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6ED17165-BBC3-4F88-895D-8DFF7CE5E7C7}" xr6:coauthVersionLast="47" xr6:coauthVersionMax="47" xr10:uidLastSave="{00000000-0000-0000-0000-000000000000}"/>
  <bookViews>
    <workbookView xWindow="3285" yWindow="3285" windowWidth="21795" windowHeight="994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9" r:id="rId11"/>
    <sheet name="Workings_risks" sheetId="88" r:id="rId12"/>
    <sheet name="Remediation" sheetId="91" r:id="rId13"/>
    <sheet name="Misc_calcs" sheetId="62" r:id="rId14"/>
    <sheet name="Data" sheetId="47" r:id="rId15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2_data">OFFSET(option2_first, 0,0, chart_count,1)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olar_demand_correction">'Option1 (base case)'!$E$27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F52" i="88"/>
  <c r="D40" i="89" l="1"/>
  <c r="A2" i="91"/>
  <c r="A1" i="91"/>
  <c r="S54" i="88"/>
  <c r="T54" i="88"/>
  <c r="U54" i="88"/>
  <c r="L29" i="89" a="1"/>
  <c r="L29" i="89" s="1"/>
  <c r="K29" i="89"/>
  <c r="I29" i="89" a="1"/>
  <c r="I29" i="89" s="1"/>
  <c r="H29" i="89"/>
  <c r="B22" i="89" a="1"/>
  <c r="E27" i="89" s="1"/>
  <c r="N53" i="88"/>
  <c r="O53" i="88" s="1"/>
  <c r="P53" i="88" s="1"/>
  <c r="Q53" i="88" s="1"/>
  <c r="AB31" i="68"/>
  <c r="AC31" i="68"/>
  <c r="AD31" i="68"/>
  <c r="AE31" i="68"/>
  <c r="AF31" i="68"/>
  <c r="AG31" i="68"/>
  <c r="AB33" i="68"/>
  <c r="AC33" i="68"/>
  <c r="AD33" i="68"/>
  <c r="AE33" i="68"/>
  <c r="AF33" i="68"/>
  <c r="AG33" i="68"/>
  <c r="AB14" i="81"/>
  <c r="AC14" i="81"/>
  <c r="AD14" i="81"/>
  <c r="AE14" i="81"/>
  <c r="AF14" i="81"/>
  <c r="AG14" i="81"/>
  <c r="Q52" i="88"/>
  <c r="G52" i="88"/>
  <c r="G58" i="88" s="1"/>
  <c r="H52" i="88"/>
  <c r="H58" i="88" s="1"/>
  <c r="I52" i="88"/>
  <c r="I54" i="88" s="1"/>
  <c r="J52" i="88"/>
  <c r="J54" i="88" s="1"/>
  <c r="K52" i="88"/>
  <c r="K54" i="88" s="1"/>
  <c r="L52" i="88"/>
  <c r="L54" i="88" s="1"/>
  <c r="M52" i="88"/>
  <c r="M54" i="88" s="1"/>
  <c r="N52" i="88"/>
  <c r="N54" i="88" s="1"/>
  <c r="O52" i="88"/>
  <c r="O54" i="88" s="1"/>
  <c r="P52" i="88"/>
  <c r="F58" i="88"/>
  <c r="G31" i="88"/>
  <c r="H31" i="88"/>
  <c r="F15" i="88"/>
  <c r="F31" i="88" s="1"/>
  <c r="Q54" i="88" l="1"/>
  <c r="P54" i="88"/>
  <c r="F54" i="88"/>
  <c r="H54" i="88"/>
  <c r="G54" i="88"/>
  <c r="L24" i="89" a="1"/>
  <c r="L24" i="89" s="1"/>
  <c r="E25" i="89"/>
  <c r="F25" i="89" a="1"/>
  <c r="F25" i="89" s="1"/>
  <c r="F28" i="89" a="1"/>
  <c r="F28" i="89" s="1"/>
  <c r="H28" i="89"/>
  <c r="E26" i="89"/>
  <c r="E23" i="89"/>
  <c r="F26" i="89" a="1"/>
  <c r="F26" i="89" s="1"/>
  <c r="F23" i="89" a="1"/>
  <c r="F23" i="89" s="1"/>
  <c r="H23" i="89"/>
  <c r="F27" i="89" a="1"/>
  <c r="F27" i="89" s="1"/>
  <c r="H27" i="89"/>
  <c r="I23" i="89" a="1"/>
  <c r="I23" i="89" s="1"/>
  <c r="I27" i="89" a="1"/>
  <c r="I27" i="89" s="1"/>
  <c r="K23" i="89"/>
  <c r="K27" i="89"/>
  <c r="L23" i="89" a="1"/>
  <c r="L23" i="89" s="1"/>
  <c r="L27" i="89" a="1"/>
  <c r="L27" i="89" s="1"/>
  <c r="E24" i="89"/>
  <c r="E28" i="89"/>
  <c r="K25" i="89"/>
  <c r="H25" i="89"/>
  <c r="B22" i="89"/>
  <c r="I25" i="89" a="1"/>
  <c r="I25" i="89" s="1"/>
  <c r="L25" i="89" a="1"/>
  <c r="L25" i="89" s="1"/>
  <c r="H26" i="89"/>
  <c r="I28" i="89" a="1"/>
  <c r="I28" i="89" s="1"/>
  <c r="F24" i="89" a="1"/>
  <c r="F24" i="89" s="1"/>
  <c r="K28" i="89"/>
  <c r="H24" i="89"/>
  <c r="I26" i="89" a="1"/>
  <c r="I26" i="89" s="1"/>
  <c r="K26" i="89"/>
  <c r="L28" i="89" a="1"/>
  <c r="L28" i="89" s="1"/>
  <c r="I24" i="89" a="1"/>
  <c r="I24" i="89" s="1"/>
  <c r="K24" i="89"/>
  <c r="L26" i="89" a="1"/>
  <c r="L26" i="89" s="1"/>
  <c r="I22" i="89" l="1" a="1"/>
  <c r="I22" i="89" s="1"/>
  <c r="I31" i="89" s="1" a="1"/>
  <c r="I31" i="89" s="1"/>
  <c r="K22" i="89"/>
  <c r="K31" i="89" s="1" a="1"/>
  <c r="K31" i="89" s="1"/>
  <c r="L22" i="89" a="1"/>
  <c r="L22" i="89" s="1"/>
  <c r="L31" i="89" s="1" a="1"/>
  <c r="L31" i="89" s="1"/>
  <c r="H22" i="89"/>
  <c r="H31" i="89" s="1" a="1"/>
  <c r="H31" i="89" s="1"/>
  <c r="E22" i="89"/>
  <c r="E31" i="89" s="1" a="1"/>
  <c r="E31" i="89" s="1"/>
  <c r="F22" i="89" a="1"/>
  <c r="F22" i="89" s="1"/>
  <c r="F31" i="89" s="1" a="1"/>
  <c r="F31" i="89" s="1"/>
  <c r="F32" i="89" s="1"/>
  <c r="L32" i="89" l="1"/>
  <c r="E40" i="89" s="1"/>
  <c r="I32" i="89"/>
  <c r="E41" i="89" s="1"/>
  <c r="H33" i="89"/>
  <c r="K33" i="89"/>
  <c r="E43" i="89" l="1" a="1"/>
  <c r="E43" i="89" s="1"/>
  <c r="E44" i="89" s="1"/>
  <c r="F37" i="88" s="1"/>
  <c r="F29" i="88" l="1"/>
  <c r="G29" i="88" s="1"/>
  <c r="G32" i="88" s="1"/>
  <c r="G37" i="88" s="1"/>
  <c r="H50" i="88"/>
  <c r="G50" i="88"/>
  <c r="F50" i="88"/>
  <c r="I58" i="88" l="1"/>
  <c r="F51" i="88"/>
  <c r="F55" i="88" s="1"/>
  <c r="G51" i="88"/>
  <c r="H29" i="88"/>
  <c r="H32" i="88" s="1"/>
  <c r="H37" i="88" s="1"/>
  <c r="I14" i="81" l="1"/>
  <c r="G55" i="88"/>
  <c r="J58" i="88"/>
  <c r="F33" i="88"/>
  <c r="G33" i="88" s="1"/>
  <c r="H51" i="88"/>
  <c r="I29" i="88"/>
  <c r="I32" i="88" s="1"/>
  <c r="I37" i="88" s="1"/>
  <c r="H55" i="88" l="1"/>
  <c r="J14" i="81"/>
  <c r="K58" i="88"/>
  <c r="H33" i="88"/>
  <c r="J29" i="88"/>
  <c r="J32" i="88" s="1"/>
  <c r="J37" i="88" s="1"/>
  <c r="K14" i="81" l="1"/>
  <c r="L58" i="88"/>
  <c r="K29" i="88"/>
  <c r="K32" i="88" s="1"/>
  <c r="K37" i="88" s="1"/>
  <c r="L14" i="81" l="1"/>
  <c r="M58" i="88"/>
  <c r="L29" i="88"/>
  <c r="L32" i="88" s="1"/>
  <c r="L37" i="88" s="1"/>
  <c r="M14" i="81" l="1"/>
  <c r="N58" i="88"/>
  <c r="N14" i="81" s="1"/>
  <c r="M29" i="88"/>
  <c r="M32" i="88" s="1"/>
  <c r="M37" i="88" s="1"/>
  <c r="O58" i="88" l="1"/>
  <c r="O14" i="81" s="1"/>
  <c r="N29" i="88"/>
  <c r="P58" i="88" l="1"/>
  <c r="P14" i="81" s="1"/>
  <c r="O29" i="88"/>
  <c r="Q58" i="88" l="1"/>
  <c r="Q14" i="81" s="1"/>
  <c r="P29" i="88"/>
  <c r="Q29" i="88" l="1"/>
  <c r="R29" i="88" l="1"/>
  <c r="S29" i="88" l="1"/>
  <c r="T29" i="88" l="1"/>
  <c r="U29" i="88" l="1"/>
  <c r="V29" i="88" l="1"/>
  <c r="W29" i="88" l="1"/>
  <c r="X29" i="88" l="1"/>
  <c r="Y29" i="88" l="1"/>
  <c r="Z29" i="88" l="1"/>
  <c r="AA29" i="88" l="1"/>
  <c r="E11" i="89" l="1"/>
  <c r="A2" i="89"/>
  <c r="A1" i="89"/>
  <c r="J36" i="88" l="1"/>
  <c r="J31" i="68" s="1"/>
  <c r="I36" i="88"/>
  <c r="I31" i="68" s="1"/>
  <c r="H36" i="88"/>
  <c r="G36" i="88"/>
  <c r="F36" i="88"/>
  <c r="I33" i="68"/>
  <c r="J33" i="68"/>
  <c r="A2" i="88"/>
  <c r="A1" i="88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s="1"/>
  <c r="C22" i="85" l="1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P17" i="81"/>
  <c r="O17" i="81"/>
  <c r="N17" i="81"/>
  <c r="M17" i="81"/>
  <c r="L17" i="81"/>
  <c r="K17" i="81"/>
  <c r="J17" i="81"/>
  <c r="I17" i="8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I80" i="81" l="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34" i="62" l="1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J74" i="68" l="1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6" i="82" l="1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T73" i="68" a="1"/>
  <c r="T73" i="68" s="1"/>
  <c r="T74" i="68" a="1"/>
  <c r="T74" i="68" s="1"/>
  <c r="T72" i="68" a="1"/>
  <c r="T72" i="68" s="1"/>
  <c r="U77" i="68" s="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S82" i="73"/>
  <c r="S107" i="73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T82" i="73"/>
  <c r="T107" i="73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6" i="85"/>
  <c r="U82" i="73"/>
  <c r="U107" i="73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6" i="85" l="1"/>
  <c r="V82" i="73"/>
  <c r="V107" i="73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4" i="81" a="1"/>
  <c r="X74" i="81" s="1"/>
  <c r="X73" i="81" a="1"/>
  <c r="X73" i="81" s="1"/>
  <c r="Y78" i="81" s="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6" i="85" l="1"/>
  <c r="W82" i="73"/>
  <c r="W107" i="73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4" i="81" a="1"/>
  <c r="Y74" i="81" s="1"/>
  <c r="Z72" i="68" a="1"/>
  <c r="Z72" i="68" s="1"/>
  <c r="AA77" i="68" s="1"/>
  <c r="Z73" i="68" a="1"/>
  <c r="Z73" i="68" s="1"/>
  <c r="Z74" i="68" a="1"/>
  <c r="Z74" i="68" s="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6" i="85" l="1"/>
  <c r="X82" i="73"/>
  <c r="X107" i="73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6" i="85" l="1"/>
  <c r="Y82" i="73"/>
  <c r="Y107" i="73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3" i="81" a="1"/>
  <c r="AB73" i="81" s="1"/>
  <c r="AC78" i="81" s="1"/>
  <c r="AB80" i="68"/>
  <c r="AB82" i="68" s="1"/>
  <c r="AB107" i="68" s="1"/>
  <c r="AD6" i="73"/>
  <c r="AA80" i="82"/>
  <c r="AA82" i="82" s="1"/>
  <c r="AA107" i="82" s="1"/>
  <c r="AA80" i="73"/>
  <c r="I9" i="85"/>
  <c r="I30" i="88" s="1"/>
  <c r="I50" i="88" l="1"/>
  <c r="I31" i="88"/>
  <c r="AC6" i="85"/>
  <c r="AA82" i="73"/>
  <c r="AA107" i="73" s="1"/>
  <c r="AC82" i="73"/>
  <c r="AC107" i="73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72" i="68" l="1" a="1"/>
  <c r="AE72" i="68" s="1"/>
  <c r="AF77" i="68" s="1"/>
  <c r="AE73" i="68" a="1"/>
  <c r="AE73" i="68" s="1"/>
  <c r="AE74" i="68" a="1"/>
  <c r="AE74" i="68" s="1"/>
  <c r="AE6" i="81"/>
  <c r="I51" i="88"/>
  <c r="I55" i="88" s="1"/>
  <c r="I33" i="88"/>
  <c r="AF6" i="68"/>
  <c r="AF6" i="75" s="1"/>
  <c r="AF6" i="85" s="1"/>
  <c r="AE6" i="73"/>
  <c r="AE73" i="73" s="1" a="1"/>
  <c r="AE73" i="73" s="1"/>
  <c r="AE80" i="68"/>
  <c r="AE82" i="68" s="1"/>
  <c r="AE107" i="68" s="1"/>
  <c r="J9" i="85"/>
  <c r="J30" i="88" s="1"/>
  <c r="AE6" i="85"/>
  <c r="AD6" i="85"/>
  <c r="AB82" i="73"/>
  <c r="AB107" i="73" s="1"/>
  <c r="AD82" i="73"/>
  <c r="AD107" i="73" s="1"/>
  <c r="I5" i="85"/>
  <c r="AD74" i="82" a="1"/>
  <c r="AD74" i="82" s="1"/>
  <c r="AD74" i="81" a="1"/>
  <c r="AD74" i="81" s="1"/>
  <c r="AD73" i="72" a="1"/>
  <c r="AD73" i="72" s="1"/>
  <c r="AE78" i="72" s="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2" i="72" a="1"/>
  <c r="AE72" i="72" s="1"/>
  <c r="AF77" i="72" s="1"/>
  <c r="AE74" i="72" a="1"/>
  <c r="AE74" i="72" s="1"/>
  <c r="AE73" i="72" a="1"/>
  <c r="AE73" i="72" s="1"/>
  <c r="AF78" i="72" s="1"/>
  <c r="I88" i="75"/>
  <c r="I97" i="75" s="1"/>
  <c r="J9" i="75"/>
  <c r="J5" i="75" s="1"/>
  <c r="J9" i="82"/>
  <c r="J9" i="81"/>
  <c r="J9" i="72"/>
  <c r="J9" i="73"/>
  <c r="K9" i="68"/>
  <c r="AF6" i="72" l="1"/>
  <c r="AF73" i="72" s="1" a="1"/>
  <c r="AF73" i="72" s="1"/>
  <c r="AG78" i="72" s="1"/>
  <c r="AF6" i="73"/>
  <c r="AE74" i="73" a="1"/>
  <c r="AE74" i="73" s="1"/>
  <c r="AE72" i="73" a="1"/>
  <c r="AE72" i="73" s="1"/>
  <c r="AE80" i="73" s="1"/>
  <c r="AE82" i="73" s="1"/>
  <c r="AE107" i="73" s="1"/>
  <c r="AF6" i="82"/>
  <c r="AF72" i="82" s="1" a="1"/>
  <c r="AF72" i="82" s="1"/>
  <c r="AF80" i="82" s="1"/>
  <c r="AF82" i="82" s="1"/>
  <c r="AF107" i="82" s="1"/>
  <c r="AF6" i="81"/>
  <c r="AF74" i="81" s="1" a="1"/>
  <c r="AF74" i="81" s="1"/>
  <c r="AG6" i="68"/>
  <c r="AG6" i="75" s="1"/>
  <c r="AG6" i="85" s="1"/>
  <c r="J50" i="88"/>
  <c r="J31" i="88"/>
  <c r="J51" i="88" s="1"/>
  <c r="J55" i="88" s="1"/>
  <c r="K9" i="85"/>
  <c r="K30" i="88" s="1"/>
  <c r="J5" i="85"/>
  <c r="AF74" i="72" a="1"/>
  <c r="AF74" i="72" s="1"/>
  <c r="AF72" i="72" a="1"/>
  <c r="AF72" i="72" s="1"/>
  <c r="AG77" i="72" s="1"/>
  <c r="AF74" i="73" a="1"/>
  <c r="AF74" i="73" s="1"/>
  <c r="AF73" i="73" a="1"/>
  <c r="AF73" i="73" s="1"/>
  <c r="AF72" i="73" a="1"/>
  <c r="AF72" i="73" s="1"/>
  <c r="AF80" i="73" s="1"/>
  <c r="AG6" i="73"/>
  <c r="AG6" i="81"/>
  <c r="J88" i="75"/>
  <c r="J97" i="75" s="1"/>
  <c r="K9" i="75"/>
  <c r="K5" i="75" s="1"/>
  <c r="K9" i="82"/>
  <c r="K9" i="81"/>
  <c r="L9" i="68"/>
  <c r="K9" i="72"/>
  <c r="K9" i="73"/>
  <c r="AG72" i="68" l="1" a="1"/>
  <c r="AG72" i="68" s="1"/>
  <c r="AF73" i="81" a="1"/>
  <c r="AF73" i="81" s="1"/>
  <c r="AG78" i="81" s="1"/>
  <c r="AF73" i="82" a="1"/>
  <c r="AF73" i="82" s="1"/>
  <c r="AF74" i="82" a="1"/>
  <c r="AF74" i="82" s="1"/>
  <c r="AG6" i="82"/>
  <c r="AG72" i="82" s="1" a="1"/>
  <c r="AG72" i="82" s="1"/>
  <c r="AG80" i="82" s="1"/>
  <c r="AG82" i="82" s="1"/>
  <c r="AG107" i="82" s="1"/>
  <c r="AG6" i="72"/>
  <c r="AG72" i="72" s="1" a="1"/>
  <c r="AG72" i="72" s="1"/>
  <c r="AG73" i="68" a="1"/>
  <c r="AG73" i="68" s="1"/>
  <c r="AG80" i="68" s="1"/>
  <c r="AG82" i="68" s="1"/>
  <c r="AG107" i="68" s="1"/>
  <c r="AG74" i="68" a="1"/>
  <c r="AG74" i="68" s="1"/>
  <c r="K50" i="88"/>
  <c r="K31" i="88"/>
  <c r="K51" i="88" s="1"/>
  <c r="K55" i="88" s="1"/>
  <c r="J33" i="88"/>
  <c r="L9" i="85"/>
  <c r="L30" i="88" s="1"/>
  <c r="AF82" i="73"/>
  <c r="AF107" i="73" s="1"/>
  <c r="K5" i="85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K88" i="75"/>
  <c r="K97" i="75" s="1"/>
  <c r="L9" i="75"/>
  <c r="L5" i="75" s="1"/>
  <c r="L9" i="82"/>
  <c r="L9" i="81"/>
  <c r="M9" i="68"/>
  <c r="L9" i="73"/>
  <c r="L9" i="72"/>
  <c r="AG73" i="72" l="1" a="1"/>
  <c r="AG73" i="72" s="1"/>
  <c r="AG73" i="82" a="1"/>
  <c r="AG73" i="82" s="1"/>
  <c r="AG74" i="82" a="1"/>
  <c r="AG74" i="82" s="1"/>
  <c r="AG74" i="72" a="1"/>
  <c r="AG74" i="72" s="1"/>
  <c r="K33" i="68"/>
  <c r="K36" i="88"/>
  <c r="K31" i="68" s="1"/>
  <c r="K33" i="88"/>
  <c r="L50" i="88"/>
  <c r="L31" i="88"/>
  <c r="L51" i="88" s="1"/>
  <c r="L55" i="88" s="1"/>
  <c r="M9" i="85"/>
  <c r="M30" i="88" s="1"/>
  <c r="AG82" i="73"/>
  <c r="AG107" i="73" s="1"/>
  <c r="L5" i="85"/>
  <c r="L88" i="75"/>
  <c r="L97" i="75" s="1"/>
  <c r="M9" i="75"/>
  <c r="M5" i="75" s="1"/>
  <c r="M9" i="82"/>
  <c r="M9" i="81"/>
  <c r="N9" i="68"/>
  <c r="M9" i="73"/>
  <c r="M9" i="72"/>
  <c r="L36" i="88" l="1"/>
  <c r="L31" i="68" s="1"/>
  <c r="L33" i="68"/>
  <c r="M50" i="88"/>
  <c r="M31" i="88"/>
  <c r="M51" i="88" s="1"/>
  <c r="M55" i="88" s="1"/>
  <c r="L33" i="88"/>
  <c r="N9" i="85"/>
  <c r="N30" i="88" s="1"/>
  <c r="M5" i="85"/>
  <c r="M88" i="75"/>
  <c r="M97" i="75" s="1"/>
  <c r="N9" i="75"/>
  <c r="N5" i="75" s="1"/>
  <c r="N9" i="82"/>
  <c r="N9" i="81"/>
  <c r="O9" i="68"/>
  <c r="N9" i="73"/>
  <c r="N9" i="72"/>
  <c r="M36" i="88" l="1"/>
  <c r="M31" i="68" s="1"/>
  <c r="M33" i="68"/>
  <c r="M33" i="88"/>
  <c r="N32" i="88" s="1"/>
  <c r="N37" i="88" s="1"/>
  <c r="N50" i="88"/>
  <c r="N31" i="88"/>
  <c r="N51" i="88" s="1"/>
  <c r="O9" i="85"/>
  <c r="O30" i="88" s="1"/>
  <c r="N5" i="85"/>
  <c r="N88" i="75"/>
  <c r="N97" i="75" s="1"/>
  <c r="O9" i="75"/>
  <c r="O5" i="75" s="1"/>
  <c r="O9" i="82"/>
  <c r="O9" i="81"/>
  <c r="P9" i="68"/>
  <c r="O9" i="73"/>
  <c r="O9" i="72"/>
  <c r="N33" i="68" l="1"/>
  <c r="N55" i="88"/>
  <c r="Q17" i="81"/>
  <c r="Q67" i="81"/>
  <c r="O50" i="88"/>
  <c r="O31" i="88"/>
  <c r="O51" i="88" s="1"/>
  <c r="P9" i="85"/>
  <c r="P30" i="88" s="1"/>
  <c r="O5" i="85"/>
  <c r="O88" i="75"/>
  <c r="O97" i="75" s="1"/>
  <c r="P9" i="75"/>
  <c r="P5" i="75" s="1"/>
  <c r="P9" i="82"/>
  <c r="P9" i="81"/>
  <c r="Q9" i="68"/>
  <c r="P9" i="73"/>
  <c r="P9" i="72"/>
  <c r="N33" i="88" l="1"/>
  <c r="N36" i="88"/>
  <c r="N31" i="68" s="1"/>
  <c r="O55" i="88"/>
  <c r="P50" i="88"/>
  <c r="P31" i="88"/>
  <c r="P51" i="88" s="1"/>
  <c r="Q72" i="81" a="1"/>
  <c r="Q72" i="81" s="1"/>
  <c r="R77" i="81" s="1"/>
  <c r="R80" i="81" s="1"/>
  <c r="R82" i="81" s="1"/>
  <c r="R107" i="81" s="1"/>
  <c r="Q9" i="85"/>
  <c r="Q30" i="88" s="1"/>
  <c r="P5" i="85"/>
  <c r="P88" i="75"/>
  <c r="P97" i="75" s="1"/>
  <c r="Q9" i="75"/>
  <c r="Q5" i="75" s="1"/>
  <c r="Q9" i="82"/>
  <c r="Q9" i="81"/>
  <c r="R9" i="68"/>
  <c r="Q9" i="73"/>
  <c r="Q9" i="72"/>
  <c r="O32" i="88" l="1"/>
  <c r="O37" i="88" s="1"/>
  <c r="P55" i="88"/>
  <c r="Q50" i="88"/>
  <c r="Q31" i="88"/>
  <c r="Q51" i="88" s="1"/>
  <c r="R9" i="85"/>
  <c r="R30" i="88" s="1"/>
  <c r="Q5" i="85"/>
  <c r="Q88" i="75"/>
  <c r="Q97" i="75" s="1"/>
  <c r="R9" i="75"/>
  <c r="R5" i="75" s="1"/>
  <c r="R9" i="82"/>
  <c r="R9" i="81"/>
  <c r="S9" i="68"/>
  <c r="R9" i="72"/>
  <c r="R9" i="73"/>
  <c r="O33" i="88" l="1"/>
  <c r="O36" i="88"/>
  <c r="O31" i="68" s="1"/>
  <c r="O33" i="68"/>
  <c r="Q55" i="88"/>
  <c r="R50" i="88"/>
  <c r="R31" i="88"/>
  <c r="R51" i="88" s="1"/>
  <c r="S9" i="85"/>
  <c r="S30" i="88" s="1"/>
  <c r="R5" i="85"/>
  <c r="R88" i="75"/>
  <c r="R97" i="75" s="1"/>
  <c r="S9" i="75"/>
  <c r="S5" i="75" s="1"/>
  <c r="S9" i="82"/>
  <c r="S9" i="81"/>
  <c r="T9" i="68"/>
  <c r="S9" i="72"/>
  <c r="S9" i="73"/>
  <c r="R52" i="88" l="1"/>
  <c r="R54" i="88" s="1"/>
  <c r="P32" i="88"/>
  <c r="P37" i="88" s="1"/>
  <c r="R55" i="88"/>
  <c r="S50" i="88"/>
  <c r="S31" i="88"/>
  <c r="S51" i="88" s="1"/>
  <c r="T9" i="85"/>
  <c r="T30" i="88" s="1"/>
  <c r="S5" i="85"/>
  <c r="S88" i="75"/>
  <c r="S97" i="75" s="1"/>
  <c r="T9" i="75"/>
  <c r="T5" i="75" s="1"/>
  <c r="T9" i="82"/>
  <c r="T9" i="81"/>
  <c r="U9" i="68"/>
  <c r="T9" i="73"/>
  <c r="T9" i="72"/>
  <c r="R58" i="88" l="1"/>
  <c r="R14" i="81" s="1"/>
  <c r="P36" i="88"/>
  <c r="P31" i="68" s="1"/>
  <c r="P33" i="68"/>
  <c r="P33" i="88"/>
  <c r="T50" i="88"/>
  <c r="T31" i="88"/>
  <c r="T51" i="88" s="1"/>
  <c r="U9" i="85"/>
  <c r="U30" i="88" s="1"/>
  <c r="T5" i="85"/>
  <c r="T88" i="75"/>
  <c r="T97" i="75" s="1"/>
  <c r="U9" i="75"/>
  <c r="U5" i="75" s="1"/>
  <c r="U9" i="82"/>
  <c r="U9" i="81"/>
  <c r="V9" i="68"/>
  <c r="U9" i="72"/>
  <c r="U9" i="73"/>
  <c r="R67" i="81" l="1"/>
  <c r="R72" i="81" s="1" a="1"/>
  <c r="R72" i="81" s="1"/>
  <c r="S77" i="81" s="1"/>
  <c r="S80" i="81" s="1"/>
  <c r="S82" i="81" s="1"/>
  <c r="S107" i="81" s="1"/>
  <c r="R17" i="81"/>
  <c r="Q32" i="88"/>
  <c r="U50" i="88"/>
  <c r="U31" i="88"/>
  <c r="U51" i="88" s="1"/>
  <c r="S58" i="88"/>
  <c r="S14" i="81" s="1"/>
  <c r="V9" i="85"/>
  <c r="V30" i="88" s="1"/>
  <c r="U5" i="85"/>
  <c r="U88" i="75"/>
  <c r="U97" i="75" s="1"/>
  <c r="V9" i="75"/>
  <c r="V5" i="75" s="1"/>
  <c r="V9" i="82"/>
  <c r="V9" i="81"/>
  <c r="W9" i="68"/>
  <c r="V9" i="73"/>
  <c r="V9" i="72"/>
  <c r="Q33" i="88" l="1"/>
  <c r="Q37" i="88"/>
  <c r="Q33" i="68" s="1"/>
  <c r="R32" i="88"/>
  <c r="Q36" i="88"/>
  <c r="Q31" i="68" s="1"/>
  <c r="S17" i="81"/>
  <c r="S67" i="81"/>
  <c r="S55" i="88"/>
  <c r="V50" i="88"/>
  <c r="V31" i="88"/>
  <c r="V51" i="88" s="1"/>
  <c r="T58" i="88"/>
  <c r="T14" i="81" s="1"/>
  <c r="W9" i="85"/>
  <c r="W30" i="88" s="1"/>
  <c r="V5" i="85"/>
  <c r="V88" i="75"/>
  <c r="V97" i="75" s="1"/>
  <c r="W9" i="75"/>
  <c r="W5" i="75" s="1"/>
  <c r="W9" i="82"/>
  <c r="W9" i="81"/>
  <c r="X9" i="68"/>
  <c r="W9" i="73"/>
  <c r="W9" i="72"/>
  <c r="R33" i="88" l="1"/>
  <c r="R37" i="88"/>
  <c r="S32" i="88"/>
  <c r="R33" i="68"/>
  <c r="R36" i="88"/>
  <c r="R31" i="68" s="1"/>
  <c r="T67" i="81"/>
  <c r="T17" i="81"/>
  <c r="S72" i="81" a="1"/>
  <c r="S72" i="81" s="1"/>
  <c r="T77" i="81" s="1"/>
  <c r="T80" i="81" s="1"/>
  <c r="T82" i="81" s="1"/>
  <c r="T107" i="81" s="1"/>
  <c r="T72" i="81" a="1"/>
  <c r="T72" i="81" s="1"/>
  <c r="U77" i="81" s="1"/>
  <c r="U80" i="81" s="1"/>
  <c r="U82" i="81" s="1"/>
  <c r="U107" i="81" s="1"/>
  <c r="T55" i="88"/>
  <c r="U58" i="88" s="1"/>
  <c r="U14" i="81" s="1"/>
  <c r="W50" i="88"/>
  <c r="W31" i="88"/>
  <c r="W51" i="88" s="1"/>
  <c r="X9" i="85"/>
  <c r="X30" i="88" s="1"/>
  <c r="W5" i="85"/>
  <c r="W88" i="75"/>
  <c r="W97" i="75" s="1"/>
  <c r="X9" i="75"/>
  <c r="X5" i="75" s="1"/>
  <c r="X9" i="82"/>
  <c r="X9" i="81"/>
  <c r="Y9" i="68"/>
  <c r="X9" i="73"/>
  <c r="X9" i="72"/>
  <c r="S33" i="88" l="1"/>
  <c r="S37" i="88"/>
  <c r="T32" i="88"/>
  <c r="S36" i="88"/>
  <c r="S31" i="68" s="1"/>
  <c r="S33" i="68"/>
  <c r="U17" i="81"/>
  <c r="U67" i="81"/>
  <c r="U55" i="88"/>
  <c r="V58" i="88" s="1"/>
  <c r="V14" i="81" s="1"/>
  <c r="X50" i="88"/>
  <c r="X31" i="88"/>
  <c r="X51" i="88" s="1"/>
  <c r="Y9" i="85"/>
  <c r="Y30" i="88" s="1"/>
  <c r="X5" i="85"/>
  <c r="X88" i="75"/>
  <c r="X97" i="75" s="1"/>
  <c r="Y9" i="75"/>
  <c r="Y5" i="75" s="1"/>
  <c r="Y9" i="82"/>
  <c r="Y9" i="81"/>
  <c r="Z9" i="68"/>
  <c r="Y9" i="73"/>
  <c r="Y9" i="72"/>
  <c r="T33" i="88" l="1"/>
  <c r="T37" i="88"/>
  <c r="T33" i="68" s="1"/>
  <c r="U32" i="88"/>
  <c r="T36" i="88"/>
  <c r="T31" i="68" s="1"/>
  <c r="V17" i="81"/>
  <c r="V67" i="81"/>
  <c r="V72" i="81" s="1" a="1"/>
  <c r="V72" i="81" s="1"/>
  <c r="W77" i="81" s="1"/>
  <c r="W80" i="81" s="1"/>
  <c r="W82" i="81" s="1"/>
  <c r="W107" i="81" s="1"/>
  <c r="U72" i="81" a="1"/>
  <c r="U72" i="81" s="1"/>
  <c r="V77" i="81" s="1"/>
  <c r="V80" i="81" s="1"/>
  <c r="V82" i="81" s="1"/>
  <c r="V107" i="81" s="1"/>
  <c r="V55" i="88"/>
  <c r="Y50" i="88"/>
  <c r="Y31" i="88"/>
  <c r="Y51" i="88" s="1"/>
  <c r="W58" i="88"/>
  <c r="W14" i="81" s="1"/>
  <c r="Z9" i="85"/>
  <c r="Z30" i="88" s="1"/>
  <c r="Y5" i="85"/>
  <c r="Y88" i="75"/>
  <c r="Y97" i="75" s="1"/>
  <c r="Z9" i="75"/>
  <c r="Z5" i="75" s="1"/>
  <c r="Z9" i="82"/>
  <c r="Z9" i="81"/>
  <c r="AA9" i="68"/>
  <c r="Z9" i="72"/>
  <c r="Z9" i="73"/>
  <c r="U33" i="88" l="1"/>
  <c r="U37" i="88"/>
  <c r="V32" i="88"/>
  <c r="V37" i="88" s="1"/>
  <c r="U33" i="68"/>
  <c r="U36" i="88"/>
  <c r="U31" i="68" s="1"/>
  <c r="W17" i="81"/>
  <c r="W67" i="81"/>
  <c r="W72" i="81" s="1" a="1"/>
  <c r="W72" i="81" s="1"/>
  <c r="X77" i="81" s="1"/>
  <c r="X80" i="81" s="1"/>
  <c r="X82" i="81" s="1"/>
  <c r="X107" i="81" s="1"/>
  <c r="W55" i="88"/>
  <c r="Z50" i="88"/>
  <c r="Z31" i="88"/>
  <c r="Z51" i="88" s="1"/>
  <c r="X58" i="88"/>
  <c r="X14" i="81" s="1"/>
  <c r="AA9" i="85"/>
  <c r="AA30" i="88" s="1"/>
  <c r="Z5" i="85"/>
  <c r="Z88" i="75"/>
  <c r="Z97" i="75" s="1"/>
  <c r="AA9" i="75"/>
  <c r="AA5" i="75" s="1"/>
  <c r="AA9" i="82"/>
  <c r="AA9" i="81"/>
  <c r="AB9" i="68"/>
  <c r="AA9" i="72"/>
  <c r="AA9" i="73"/>
  <c r="V33" i="88" l="1"/>
  <c r="W32" i="88" s="1"/>
  <c r="W37" i="88" s="1"/>
  <c r="V33" i="68"/>
  <c r="V36" i="88"/>
  <c r="V31" i="68" s="1"/>
  <c r="X17" i="81"/>
  <c r="X67" i="81"/>
  <c r="X72" i="81" s="1" a="1"/>
  <c r="X72" i="81" s="1"/>
  <c r="Y77" i="81" s="1"/>
  <c r="Y80" i="81" s="1"/>
  <c r="Y82" i="81" s="1"/>
  <c r="Y107" i="81" s="1"/>
  <c r="X55" i="88"/>
  <c r="Y58" i="88" s="1"/>
  <c r="Y14" i="81" s="1"/>
  <c r="AA50" i="88"/>
  <c r="AA31" i="88"/>
  <c r="AA51" i="88" s="1"/>
  <c r="AB9" i="85"/>
  <c r="AA5" i="85"/>
  <c r="AC9" i="68"/>
  <c r="AA88" i="75"/>
  <c r="AA97" i="75" s="1"/>
  <c r="AB9" i="75"/>
  <c r="AB5" i="75" s="1"/>
  <c r="AB9" i="82"/>
  <c r="AB9" i="81"/>
  <c r="AB9" i="73"/>
  <c r="AB9" i="72"/>
  <c r="W36" i="88" l="1"/>
  <c r="W31" i="68" s="1"/>
  <c r="W33" i="68"/>
  <c r="W33" i="88"/>
  <c r="Y17" i="81"/>
  <c r="Y67" i="81"/>
  <c r="Y72" i="81" s="1" a="1"/>
  <c r="Y72" i="81" s="1"/>
  <c r="Z77" i="81" s="1"/>
  <c r="Z80" i="81" s="1"/>
  <c r="Z82" i="81" s="1"/>
  <c r="Z107" i="81" s="1"/>
  <c r="Y55" i="88"/>
  <c r="Z58" i="88" s="1"/>
  <c r="Z14" i="81" s="1"/>
  <c r="AB17" i="81"/>
  <c r="AB67" i="81"/>
  <c r="AC9" i="85"/>
  <c r="AC9" i="75"/>
  <c r="AC88" i="75" s="1"/>
  <c r="AC97" i="75" s="1"/>
  <c r="AC9" i="72"/>
  <c r="AC9" i="73"/>
  <c r="AD9" i="68"/>
  <c r="AC9" i="81"/>
  <c r="AC9" i="82"/>
  <c r="AB88" i="75"/>
  <c r="AB97" i="75" s="1"/>
  <c r="X32" i="88" l="1"/>
  <c r="Z17" i="81"/>
  <c r="Z67" i="81"/>
  <c r="Z72" i="81" s="1" a="1"/>
  <c r="Z72" i="81" s="1"/>
  <c r="AA77" i="81" s="1"/>
  <c r="AA80" i="81" s="1"/>
  <c r="AA82" i="81" s="1"/>
  <c r="AA107" i="81" s="1"/>
  <c r="Z55" i="88"/>
  <c r="AA58" i="88"/>
  <c r="AA14" i="81" s="1"/>
  <c r="AC67" i="81"/>
  <c r="AC17" i="81"/>
  <c r="AD9" i="85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X33" i="88" l="1"/>
  <c r="X37" i="88"/>
  <c r="Y32" i="88"/>
  <c r="Y37" i="88" s="1"/>
  <c r="X36" i="88"/>
  <c r="X31" i="68" s="1"/>
  <c r="X33" i="68"/>
  <c r="AA17" i="81"/>
  <c r="C10" i="47" s="1"/>
  <c r="AA67" i="81"/>
  <c r="AA72" i="81" s="1" a="1"/>
  <c r="AA72" i="81" s="1"/>
  <c r="AB77" i="81" s="1"/>
  <c r="AB80" i="81" s="1"/>
  <c r="AB82" i="81" s="1"/>
  <c r="AB107" i="81" s="1"/>
  <c r="AB72" i="81" a="1"/>
  <c r="AB72" i="81" s="1"/>
  <c r="AC77" i="81" s="1"/>
  <c r="AC80" i="81" s="1"/>
  <c r="AC82" i="81" s="1"/>
  <c r="AC107" i="81" s="1"/>
  <c r="AA55" i="88"/>
  <c r="AD17" i="81"/>
  <c r="AD67" i="81"/>
  <c r="C53" i="62"/>
  <c r="D53" i="62" s="1"/>
  <c r="C4" i="81" s="1"/>
  <c r="AE9" i="85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G90" i="81" l="1" a="1"/>
  <c r="G90" i="81" s="1"/>
  <c r="Y33" i="68"/>
  <c r="Y36" i="88"/>
  <c r="Y31" i="68" s="1"/>
  <c r="Y33" i="88"/>
  <c r="F10" i="47"/>
  <c r="C88" i="85" s="1" a="1"/>
  <c r="D32" i="62"/>
  <c r="D10" i="47"/>
  <c r="A4" i="81" s="1"/>
  <c r="AC72" i="81" a="1"/>
  <c r="AC72" i="81" s="1"/>
  <c r="AD77" i="81" s="1"/>
  <c r="AD80" i="81" s="1"/>
  <c r="AD82" i="81" s="1"/>
  <c r="AD107" i="81" s="1"/>
  <c r="AD72" i="81" a="1"/>
  <c r="AD72" i="81" s="1"/>
  <c r="AE77" i="81" s="1"/>
  <c r="AE80" i="81" s="1"/>
  <c r="AE82" i="81" s="1"/>
  <c r="AE107" i="81" s="1"/>
  <c r="AF72" i="81" a="1"/>
  <c r="AF72" i="81" s="1"/>
  <c r="AG77" i="81" s="1"/>
  <c r="AG80" i="81" s="1"/>
  <c r="AG82" i="81" s="1"/>
  <c r="AG107" i="81" s="1"/>
  <c r="AE72" i="81" a="1"/>
  <c r="AE72" i="81" s="1"/>
  <c r="AF77" i="81" s="1"/>
  <c r="AF80" i="81" s="1"/>
  <c r="AF82" i="81" s="1"/>
  <c r="AF107" i="81" s="1"/>
  <c r="AG72" i="81" a="1"/>
  <c r="AG72" i="81" s="1"/>
  <c r="AF9" i="85"/>
  <c r="AE5" i="75"/>
  <c r="AE5" i="85" s="1"/>
  <c r="AF9" i="82"/>
  <c r="AF9" i="81"/>
  <c r="AF9" i="75"/>
  <c r="AF9" i="72"/>
  <c r="AF9" i="73"/>
  <c r="AG9" i="68"/>
  <c r="G92" i="81" l="1"/>
  <c r="C32" i="62" s="1"/>
  <c r="C38" i="62" s="1" a="1"/>
  <c r="C38" i="62" s="1"/>
  <c r="AC7" i="75" s="1"/>
  <c r="AC7" i="85" s="1"/>
  <c r="Z32" i="88"/>
  <c r="G98" i="85"/>
  <c r="J47" i="33" s="1"/>
  <c r="F93" i="85"/>
  <c r="C88" i="85"/>
  <c r="F97" i="85"/>
  <c r="I46" i="33" s="1"/>
  <c r="F96" i="85"/>
  <c r="G93" i="85"/>
  <c r="G92" i="85"/>
  <c r="E96" i="85"/>
  <c r="D96" i="85"/>
  <c r="G91" i="85"/>
  <c r="E97" i="85"/>
  <c r="G97" i="85"/>
  <c r="J46" i="33" s="1"/>
  <c r="G96" i="85"/>
  <c r="G95" i="85"/>
  <c r="F98" i="85"/>
  <c r="I47" i="33" s="1"/>
  <c r="F91" i="85"/>
  <c r="F90" i="85"/>
  <c r="G94" i="85"/>
  <c r="D98" i="85"/>
  <c r="F95" i="85"/>
  <c r="E98" i="85"/>
  <c r="F94" i="85"/>
  <c r="G90" i="85"/>
  <c r="D97" i="85"/>
  <c r="F92" i="85"/>
  <c r="AG9" i="85"/>
  <c r="AF5" i="75"/>
  <c r="AF5" i="85" s="1"/>
  <c r="AF88" i="75"/>
  <c r="AF97" i="75" s="1"/>
  <c r="AG9" i="82"/>
  <c r="AG9" i="75"/>
  <c r="AG9" i="81"/>
  <c r="AG9" i="73"/>
  <c r="AG9" i="72"/>
  <c r="H7" i="75" l="1"/>
  <c r="H7" i="85" s="1"/>
  <c r="Y7" i="75"/>
  <c r="Y7" i="85" s="1"/>
  <c r="Z7" i="75"/>
  <c r="Z7" i="85" s="1"/>
  <c r="AA7" i="75"/>
  <c r="AA7" i="85" s="1"/>
  <c r="N7" i="75"/>
  <c r="N7" i="85" s="1"/>
  <c r="AD7" i="75"/>
  <c r="AD7" i="85" s="1"/>
  <c r="AB7" i="75"/>
  <c r="AB7" i="85" s="1"/>
  <c r="O7" i="75"/>
  <c r="O7" i="85" s="1"/>
  <c r="AF7" i="75"/>
  <c r="AF7" i="85" s="1"/>
  <c r="Q7" i="75"/>
  <c r="Q7" i="85" s="1"/>
  <c r="I7" i="75"/>
  <c r="I7" i="85" s="1"/>
  <c r="U7" i="75"/>
  <c r="U7" i="85" s="1"/>
  <c r="V7" i="75"/>
  <c r="V7" i="85" s="1"/>
  <c r="R7" i="75"/>
  <c r="R7" i="85" s="1"/>
  <c r="L7" i="75"/>
  <c r="L7" i="85" s="1"/>
  <c r="M7" i="75"/>
  <c r="M7" i="85" s="1"/>
  <c r="AG7" i="75"/>
  <c r="AG7" i="85" s="1"/>
  <c r="K7" i="75"/>
  <c r="K7" i="85" s="1"/>
  <c r="T7" i="75"/>
  <c r="T7" i="85" s="1"/>
  <c r="X7" i="75"/>
  <c r="X7" i="85" s="1"/>
  <c r="S7" i="75"/>
  <c r="S7" i="85" s="1"/>
  <c r="J7" i="75"/>
  <c r="J7" i="85" s="1"/>
  <c r="P7" i="75"/>
  <c r="P7" i="85" s="1"/>
  <c r="AE7" i="75"/>
  <c r="AE7" i="85" s="1"/>
  <c r="W7" i="75"/>
  <c r="W7" i="85" s="1"/>
  <c r="Z33" i="88"/>
  <c r="AA32" i="88" s="1"/>
  <c r="Z37" i="88"/>
  <c r="Z33" i="68" s="1"/>
  <c r="Z36" i="88"/>
  <c r="Z31" i="68" s="1"/>
  <c r="C98" i="85"/>
  <c r="F47" i="33" s="1"/>
  <c r="C96" i="85"/>
  <c r="F45" i="33" s="1"/>
  <c r="K88" i="85"/>
  <c r="K97" i="85" s="1"/>
  <c r="L46" i="33" s="1"/>
  <c r="C97" i="85"/>
  <c r="F46" i="33" s="1"/>
  <c r="AG5" i="75"/>
  <c r="AG5" i="85" s="1"/>
  <c r="AG88" i="75"/>
  <c r="AG97" i="75" s="1"/>
  <c r="AA33" i="88" l="1"/>
  <c r="AA37" i="88"/>
  <c r="AA33" i="68"/>
  <c r="AA36" i="88"/>
  <c r="AA31" i="68" s="1"/>
  <c r="E46" i="8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l="1"/>
  <c r="D19" i="62"/>
  <c r="AC14" i="85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I14" i="85" l="1"/>
  <c r="AA75" i="75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0" i="72" a="1"/>
  <c r="P110" i="72" s="1"/>
  <c r="P113" i="72" a="1"/>
  <c r="P113" i="72" s="1"/>
  <c r="P116" i="72" a="1"/>
  <c r="P116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7" i="72" l="1" a="1"/>
  <c r="P117" i="72" s="1"/>
  <c r="P114" i="72" a="1"/>
  <c r="P114" i="72" s="1"/>
  <c r="P115" i="72" a="1"/>
  <c r="P115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44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44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40" i="33" s="1"/>
  <c r="F45" i="85"/>
  <c r="F50" i="85"/>
  <c r="F48" i="85"/>
  <c r="E95" i="85" s="1"/>
  <c r="H44" i="33" s="1"/>
  <c r="E90" i="85"/>
  <c r="H39" i="33" s="1"/>
  <c r="E92" i="85"/>
  <c r="H41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<sst xmlns="http://schemas.openxmlformats.org/spreadsheetml/2006/main" count="1373" uniqueCount="448">
  <si>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</si>
  <si>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</si>
  <si>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</si>
  <si>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</si>
  <si>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</si>
  <si>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</si>
  <si>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</si>
  <si>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</si>
  <si>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</si>
  <si>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</si>
  <si>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</si>
  <si>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</si>
  <si>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</si>
  <si>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</si>
  <si>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</si>
  <si>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</si>
  <si>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</si>
  <si>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</si>
  <si>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</si>
  <si>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</si>
  <si>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</si>
  <si>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</si>
  <si>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</si>
  <si>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</si>
  <si>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</si>
  <si>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</si>
  <si>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</si>
  <si>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</si>
  <si>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</si>
  <si>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</si>
  <si>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</si>
  <si>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</si>
  <si>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</si>
  <si>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</si>
  <si>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</si>
  <si>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</si>
  <si>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</si>
  <si>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</si>
  <si>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</si>
  <si>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</si>
  <si>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</si>
  <si>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</si>
  <si>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</si>
  <si>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</si>
  <si>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</si>
  <si>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</si>
  <si>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</si>
  <si>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</si>
  <si>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</si>
  <si>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</si>
  <si>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</si>
  <si>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</si>
  <si>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</si>
  <si>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</si>
  <si>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</si>
  <si>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</si>
  <si>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</si>
  <si>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</si>
  <si>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</si>
  <si>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</si>
  <si>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</si>
  <si>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</si>
  <si>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</si>
  <si>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</si>
  <si>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</si>
  <si>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</si>
  <si>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</si>
  <si>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</si>
  <si>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</si>
  <si>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</si>
  <si>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</si>
  <si>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</si>
  <si>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</si>
  <si>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</si>
  <si>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</si>
  <si>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</si>
  <si>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</si>
  <si>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</si>
  <si>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</si>
  <si>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</si>
  <si>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</si>
  <si>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</si>
  <si>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</si>
  <si>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</si>
  <si>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</si>
  <si>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</si>
  <si>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</si>
  <si>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</si>
  <si>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</si>
  <si>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</si>
  <si>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</si>
  <si>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</si>
  <si>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</si>
  <si>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</si>
  <si>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</si>
  <si>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</si>
  <si>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</si>
  <si>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</si>
  <si>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</si>
  <si>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</si>
  <si>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</si>
  <si>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</si>
  <si>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</si>
  <si>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</si>
  <si>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</si>
  <si>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</si>
  <si>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</si>
  <si>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</si>
  <si>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</si>
  <si>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</si>
  <si>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</si>
  <si>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</si>
  <si>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</si>
  <si>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</si>
  <si>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</si>
  <si>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</si>
  <si>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</si>
  <si>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</si>
  <si>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</si>
  <si>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</si>
  <si>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</si>
  <si>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</si>
  <si>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</si>
  <si>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</si>
  <si>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</si>
  <si>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</si>
  <si>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</si>
  <si>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</si>
  <si>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</si>
  <si>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</si>
  <si>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</si>
  <si>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</si>
  <si>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</si>
  <si>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</si>
  <si>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</si>
  <si>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</si>
  <si>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</si>
  <si>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</si>
  <si>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</si>
  <si>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Bendigo</t>
  </si>
  <si>
    <t>Maryborough</t>
  </si>
  <si>
    <t>Brooklyn</t>
  </si>
  <si>
    <t>Geelong</t>
  </si>
  <si>
    <t>Horsham</t>
  </si>
  <si>
    <t>Mildura</t>
  </si>
  <si>
    <t>Echuca</t>
  </si>
  <si>
    <t>Shepparton</t>
  </si>
  <si>
    <t>Colac</t>
  </si>
  <si>
    <t>Warrnambool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</si>
  <si>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</si>
  <si>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</si>
  <si>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</si>
  <si>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</si>
  <si>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</si>
  <si>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</si>
  <si>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</si>
  <si>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</si>
  <si>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</si>
  <si>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</si>
  <si>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</si>
  <si>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</si>
  <si>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</si>
  <si>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</si>
  <si>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</si>
  <si>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</si>
  <si>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</si>
  <si>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</si>
  <si>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</si>
  <si>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</si>
  <si>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</si>
  <si>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</si>
  <si>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</si>
  <si>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</si>
  <si>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</si>
  <si>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</si>
  <si>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</si>
  <si>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</si>
  <si>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</si>
  <si>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</si>
  <si>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</si>
  <si>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</si>
  <si>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</si>
  <si>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</si>
  <si>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</si>
  <si>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</si>
  <si>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</si>
  <si>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</si>
  <si>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</si>
  <si>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</si>
  <si>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</si>
  <si>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</si>
  <si>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</si>
  <si>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</si>
  <si>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</si>
  <si>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</si>
  <si>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</si>
  <si>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</si>
  <si>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</si>
  <si>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</si>
  <si>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</si>
  <si>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</si>
  <si>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</si>
  <si>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</si>
  <si>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</si>
  <si>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</si>
  <si>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</si>
  <si>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</si>
  <si>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</si>
  <si>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</si>
  <si>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</si>
  <si>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</si>
  <si>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</si>
  <si>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</si>
  <si>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</si>
  <si>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</si>
  <si>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</si>
  <si>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</si>
  <si>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</si>
  <si>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</si>
  <si>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</si>
  <si>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</si>
  <si>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</si>
  <si>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</si>
  <si>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Network average</t>
  </si>
  <si>
    <t xml:space="preserve"> Network average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</si>
  <si>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</si>
  <si>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</si>
  <si>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</si>
  <si>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</si>
  <si>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</si>
  <si>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</si>
  <si>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</si>
  <si>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</si>
  <si>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</si>
  <si>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</si>
  <si>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</si>
  <si>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</si>
  <si>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</si>
  <si>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</si>
  <si>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</si>
  <si>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</si>
  <si>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</si>
  <si>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</si>
  <si>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</si>
  <si>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</si>
  <si>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</si>
  <si>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</si>
  <si>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</si>
  <si>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</si>
  <si>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</si>
  <si>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</si>
  <si>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</si>
  <si>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</si>
  <si>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WORKINGS - RISKS</t>
  </si>
  <si>
    <t>Enter ZSS code &gt;&gt;</t>
  </si>
  <si>
    <t>eg. AR</t>
  </si>
  <si>
    <t>WORKINGS - COSTS</t>
  </si>
  <si>
    <t>Replacement cost</t>
  </si>
  <si>
    <t>Non-notifiable</t>
  </si>
  <si>
    <t>Notifiable</t>
  </si>
  <si>
    <t>Fine</t>
  </si>
  <si>
    <t>Weighted average rectification cost</t>
  </si>
  <si>
    <t>2023-24</t>
  </si>
  <si>
    <t>Defects identified</t>
  </si>
  <si>
    <t>Proactive replacement</t>
  </si>
  <si>
    <t>Cost of unplanned replacements</t>
  </si>
  <si>
    <t>Proactive replacement cost</t>
  </si>
  <si>
    <t>years</t>
  </si>
  <si>
    <t>Time to failure if P3 defects not replaced</t>
  </si>
  <si>
    <t>Cost of planned replacement</t>
  </si>
  <si>
    <t>Residual defects</t>
  </si>
  <si>
    <t>Replaced (on failure)</t>
  </si>
  <si>
    <t>Rectification costs</t>
  </si>
  <si>
    <t>Years</t>
  </si>
  <si>
    <t>Cost of unplanned replacement</t>
  </si>
  <si>
    <t>P3 replacement profile: Option 1</t>
  </si>
  <si>
    <t>P3 replacement profile: Option 2</t>
  </si>
  <si>
    <t>Average cost</t>
  </si>
  <si>
    <t>Average $ per incident</t>
  </si>
  <si>
    <t>Proportion</t>
  </si>
  <si>
    <t>Depot Region</t>
  </si>
  <si>
    <t>Incident Type</t>
  </si>
  <si>
    <t>Method of remediation</t>
  </si>
  <si>
    <t>Soil/PCB test results</t>
  </si>
  <si>
    <t>Cost ($) EX GST</t>
  </si>
  <si>
    <t>Ballarat</t>
  </si>
  <si>
    <t>Excavation</t>
  </si>
  <si>
    <t>CAT-A</t>
  </si>
  <si>
    <t>CAT-B</t>
  </si>
  <si>
    <t>INC-23639</t>
  </si>
  <si>
    <t>Hydro Excavation</t>
  </si>
  <si>
    <t>CAT-A (HYDRO)</t>
  </si>
  <si>
    <t>INC-23738</t>
  </si>
  <si>
    <t>INC-24039</t>
  </si>
  <si>
    <t>-</t>
  </si>
  <si>
    <t>INC-24038</t>
  </si>
  <si>
    <t>INC-21438</t>
  </si>
  <si>
    <t>INC-21670</t>
  </si>
  <si>
    <t>INC-24018</t>
  </si>
  <si>
    <t>INC-23888</t>
  </si>
  <si>
    <t>Dynamic Lifter</t>
  </si>
  <si>
    <t>INC-22252</t>
  </si>
  <si>
    <t>Cobram</t>
  </si>
  <si>
    <t>INC-18694</t>
  </si>
  <si>
    <t>INC-24262</t>
  </si>
  <si>
    <t>INC-24263</t>
  </si>
  <si>
    <t>INC-24248</t>
  </si>
  <si>
    <t>INC-24323</t>
  </si>
  <si>
    <t xml:space="preserve">Test and Dispose. </t>
  </si>
  <si>
    <t>INC-24198</t>
  </si>
  <si>
    <t>INC-24197</t>
  </si>
  <si>
    <t>INC-24201</t>
  </si>
  <si>
    <t>INC-24208</t>
  </si>
  <si>
    <t>INC-24378</t>
  </si>
  <si>
    <t>INC-24377</t>
  </si>
  <si>
    <t>INC-24454</t>
  </si>
  <si>
    <t>Transformer leak</t>
  </si>
  <si>
    <t>INC-24666</t>
  </si>
  <si>
    <t>CAT B</t>
  </si>
  <si>
    <t>INC - 24236</t>
  </si>
  <si>
    <t>CAT A</t>
  </si>
  <si>
    <t>INC-24520</t>
  </si>
  <si>
    <t>INC-24524</t>
  </si>
  <si>
    <t xml:space="preserve">Excavation </t>
  </si>
  <si>
    <t>INC-24127</t>
  </si>
  <si>
    <t>INC-24669</t>
  </si>
  <si>
    <t>CAT C</t>
  </si>
  <si>
    <t>INC-24715</t>
  </si>
  <si>
    <t>CAT D</t>
  </si>
  <si>
    <t>INC-23805</t>
  </si>
  <si>
    <t xml:space="preserve">Soil testing, backfill </t>
  </si>
  <si>
    <t>INC-25177</t>
  </si>
  <si>
    <t>Hydro excavation</t>
  </si>
  <si>
    <t>INC-25018</t>
  </si>
  <si>
    <t>INC-25364</t>
  </si>
  <si>
    <t>INC-25239</t>
  </si>
  <si>
    <t>INC-25380</t>
  </si>
  <si>
    <t>Burnley</t>
  </si>
  <si>
    <t>INC-25468</t>
  </si>
  <si>
    <t>Waste pick up</t>
  </si>
  <si>
    <t>INC-25529</t>
  </si>
  <si>
    <t>INC-25784</t>
  </si>
  <si>
    <t>INC-25816</t>
  </si>
  <si>
    <t>INC-25863</t>
  </si>
  <si>
    <t>INC-25891</t>
  </si>
  <si>
    <t xml:space="preserve">Dynamic Lifter </t>
  </si>
  <si>
    <t>INC-25870</t>
  </si>
  <si>
    <t>INC-25904</t>
  </si>
  <si>
    <t>INC-0026017</t>
  </si>
  <si>
    <t>INC-0026033</t>
  </si>
  <si>
    <t>Dyanmic Lifter</t>
  </si>
  <si>
    <t>INC-26233</t>
  </si>
  <si>
    <t>Excavation/ hydro excavation</t>
  </si>
  <si>
    <t>INC-26424</t>
  </si>
  <si>
    <t>INC-26503</t>
  </si>
  <si>
    <t>INC-26565</t>
  </si>
  <si>
    <t>INC-26625</t>
  </si>
  <si>
    <t>INC-26777</t>
  </si>
  <si>
    <t>Dynamic Lifter / removal of surface gravel / reinstate</t>
  </si>
  <si>
    <t>INC-26803</t>
  </si>
  <si>
    <t>Excavate PCB</t>
  </si>
  <si>
    <t>INC-26976</t>
  </si>
  <si>
    <t>Excavate PCB test</t>
  </si>
  <si>
    <t>INC-26977</t>
  </si>
  <si>
    <t>INC-26234</t>
  </si>
  <si>
    <t>Concrete wash</t>
  </si>
  <si>
    <t>INC-27166</t>
  </si>
  <si>
    <t>INC-27405</t>
  </si>
  <si>
    <t>Hot wash</t>
  </si>
  <si>
    <t>INC-27544</t>
  </si>
  <si>
    <t>Hydro Excavation and Excavation test</t>
  </si>
  <si>
    <t xml:space="preserve">CAT-A (HYDRO) / </t>
  </si>
  <si>
    <t>INC-27545</t>
  </si>
  <si>
    <t>Excavation PCB or Hydro</t>
  </si>
  <si>
    <t>INC-27797</t>
  </si>
  <si>
    <t>Dynamic Lifter Job. With PCB test</t>
  </si>
  <si>
    <t>INC-27839</t>
  </si>
  <si>
    <t>Excavation - PCB test</t>
  </si>
  <si>
    <t>CAT B and CAT D</t>
  </si>
  <si>
    <t>INC-27843</t>
  </si>
  <si>
    <t>INC-27850</t>
  </si>
  <si>
    <t>INC-27886</t>
  </si>
  <si>
    <t>INC-28067</t>
  </si>
  <si>
    <t>INC-28147</t>
  </si>
  <si>
    <t xml:space="preserve">CAT-A (HYDRO)  </t>
  </si>
  <si>
    <t>INC-28349</t>
  </si>
  <si>
    <t>INC-28400</t>
  </si>
  <si>
    <t>INC-28274</t>
  </si>
  <si>
    <t>INC-28422</t>
  </si>
  <si>
    <t>INC-28403</t>
  </si>
  <si>
    <t>INC-28421</t>
  </si>
  <si>
    <t>INC-28435</t>
  </si>
  <si>
    <t>INC-28429</t>
  </si>
  <si>
    <t>INC-28565</t>
  </si>
  <si>
    <t>Excavation and PCB test</t>
  </si>
  <si>
    <t>INC-28570</t>
  </si>
  <si>
    <t>Hydro excavation (PCB test)</t>
  </si>
  <si>
    <t>INC-28615</t>
  </si>
  <si>
    <t>INC-28197</t>
  </si>
  <si>
    <t>INC-28595</t>
  </si>
  <si>
    <t>INC-28710</t>
  </si>
  <si>
    <t>INC-28052</t>
  </si>
  <si>
    <t>Pressure Wash Concrete</t>
  </si>
  <si>
    <t>INC-28849</t>
  </si>
  <si>
    <t>INC-28896</t>
  </si>
  <si>
    <t xml:space="preserve">HAZID-0014187 </t>
  </si>
  <si>
    <t>INC-28967</t>
  </si>
  <si>
    <t xml:space="preserve">Excavation and PCB test </t>
  </si>
  <si>
    <t>INC-29109</t>
  </si>
  <si>
    <t>INC-29136</t>
  </si>
  <si>
    <t xml:space="preserve">Dynamic Lifter PCB test </t>
  </si>
  <si>
    <t>INC-29178</t>
  </si>
  <si>
    <t>INC-29358</t>
  </si>
  <si>
    <t>Cat A</t>
  </si>
  <si>
    <t>INC-29390</t>
  </si>
  <si>
    <t>For incidents &gt;=</t>
  </si>
  <si>
    <t>For incidents &lt;</t>
  </si>
  <si>
    <t>Pole mounted transformer uplift</t>
  </si>
  <si>
    <t>Proactive replacement of P3 defects</t>
  </si>
  <si>
    <t>Vehicle impact</t>
  </si>
  <si>
    <t>Vegetation</t>
  </si>
  <si>
    <t>Other equipment failure</t>
  </si>
  <si>
    <t>Third party</t>
  </si>
  <si>
    <t>Weather</t>
  </si>
  <si>
    <t>Incident date</t>
  </si>
  <si>
    <t>Incident No.</t>
  </si>
  <si>
    <t>Status</t>
  </si>
  <si>
    <t>Closed</t>
  </si>
  <si>
    <t>Remediation cost on failure</t>
  </si>
  <si>
    <t>P3 defects found</t>
  </si>
  <si>
    <t>2023 inspection</t>
  </si>
  <si>
    <t>Assets inspected</t>
  </si>
  <si>
    <t>Total network assets</t>
  </si>
  <si>
    <t>Total expected P3 defects</t>
  </si>
  <si>
    <t>Inspection period</t>
  </si>
  <si>
    <t>FY24 replacements</t>
  </si>
  <si>
    <t>Reduction in faults</t>
  </si>
  <si>
    <t>Defect failure rates pa</t>
  </si>
  <si>
    <t>$ Dec 2023</t>
  </si>
  <si>
    <t>Cost ($)</t>
  </si>
  <si>
    <t>Percentage of total</t>
  </si>
  <si>
    <t>All transformer leak incidents:</t>
  </si>
  <si>
    <t>Remediation cost</t>
  </si>
  <si>
    <t>No. of incidents</t>
  </si>
  <si>
    <t>Assumptions</t>
  </si>
  <si>
    <t>Transformer defect/damage incidents: 2024</t>
  </si>
  <si>
    <t>$ Jun 2024</t>
  </si>
  <si>
    <t>Total replacements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</si>
</sst>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_-* #,##0_-;\-* #,##0_-;_-* &quot;-&quot;??_-;_-@_-"/>
  </numFmts>
  <fonts count="100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8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8" borderId="16" applyNumberFormat="0" applyProtection="0">
      <alignment horizontal="left" vertical="center" indent="1"/>
    </xf>
    <xf numFmtId="4" fontId="92" fillId="18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  <xf numFmtId="0" fontId="94" fillId="20" borderId="0" applyNumberFormat="0" applyBorder="0" applyAlignment="0" applyProtection="0"/>
    <xf numFmtId="0" fontId="95" fillId="22" borderId="0" applyNumberFormat="0" applyBorder="0" applyAlignment="0" applyProtection="0"/>
    <xf numFmtId="0" fontId="96" fillId="21" borderId="0" applyNumberFormat="0" applyBorder="0" applyAlignment="0" applyProtection="0"/>
    <xf numFmtId="43" fontId="77" fillId="0" borderId="0" applyFont="0" applyFill="0" applyBorder="0" applyAlignment="0" applyProtection="0"/>
  </cellStyleXfs>
  <cellXfs count="399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7" fillId="0" borderId="0" xfId="20" applyFont="1"/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7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93" fillId="0" borderId="0" xfId="18" applyFont="1"/>
    <xf numFmtId="0" fontId="24" fillId="19" borderId="0" xfId="18" applyFont="1" applyFill="1" applyAlignment="1">
      <alignment vertical="center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9" fontId="15" fillId="2" borderId="0" xfId="18" applyNumberFormat="1" applyFill="1"/>
    <xf numFmtId="167" fontId="16" fillId="2" borderId="0" xfId="18" applyNumberFormat="1" applyFont="1" applyFill="1" applyBorder="1" applyAlignment="1">
      <alignment horizontal="right" vertical="center"/>
    </xf>
    <xf numFmtId="0" fontId="15" fillId="0" borderId="14" xfId="18" applyBorder="1"/>
    <xf numFmtId="167" fontId="16" fillId="0" borderId="14" xfId="18" applyNumberFormat="1" applyFont="1" applyFill="1" applyBorder="1" applyAlignment="1">
      <alignment horizontal="right" vertical="center"/>
    </xf>
    <xf numFmtId="0" fontId="15" fillId="0" borderId="17" xfId="18" applyBorder="1"/>
    <xf numFmtId="167" fontId="16" fillId="0" borderId="17" xfId="18" applyNumberFormat="1" applyFont="1" applyFill="1" applyBorder="1" applyAlignment="1">
      <alignment horizontal="right" vertical="center"/>
    </xf>
    <xf numFmtId="0" fontId="15" fillId="0" borderId="17" xfId="18" quotePrefix="1" applyBorder="1"/>
    <xf numFmtId="0" fontId="20" fillId="0" borderId="0" xfId="20" applyFont="1" applyAlignment="1">
      <alignment horizontal="center" vertical="center" wrapText="1"/>
    </xf>
    <xf numFmtId="0" fontId="18" fillId="0" borderId="0" xfId="20" applyAlignment="1">
      <alignment wrapText="1"/>
    </xf>
    <xf numFmtId="0" fontId="17" fillId="0" borderId="17" xfId="18" applyFont="1" applyBorder="1"/>
    <xf numFmtId="167" fontId="30" fillId="0" borderId="17" xfId="18" applyNumberFormat="1" applyFont="1" applyFill="1" applyBorder="1" applyAlignment="1">
      <alignment horizontal="right" vertical="center"/>
    </xf>
    <xf numFmtId="167" fontId="16" fillId="2" borderId="17" xfId="18" applyNumberFormat="1" applyFont="1" applyFill="1" applyBorder="1" applyAlignment="1">
      <alignment horizontal="right" vertical="center"/>
    </xf>
    <xf numFmtId="196" fontId="15" fillId="0" borderId="0" xfId="37" applyNumberFormat="1" applyFont="1"/>
    <xf numFmtId="0" fontId="97" fillId="11" borderId="0" xfId="18" applyFont="1" applyFill="1" applyAlignment="1">
      <alignment vertical="center"/>
    </xf>
    <xf numFmtId="0" fontId="15" fillId="0" borderId="0" xfId="20" applyFont="1" applyAlignment="1">
      <alignment wrapText="1"/>
    </xf>
    <xf numFmtId="0" fontId="34" fillId="0" borderId="0" xfId="34" applyFont="1" applyFill="1" applyBorder="1" applyAlignment="1">
      <alignment horizontal="center" vertical="center"/>
    </xf>
    <xf numFmtId="14" fontId="34" fillId="0" borderId="0" xfId="34" applyNumberFormat="1" applyFont="1" applyFill="1" applyBorder="1" applyAlignment="1">
      <alignment horizontal="left"/>
    </xf>
    <xf numFmtId="0" fontId="34" fillId="0" borderId="0" xfId="34" applyFont="1" applyFill="1" applyBorder="1" applyAlignment="1">
      <alignment horizontal="left"/>
    </xf>
    <xf numFmtId="0" fontId="34" fillId="0" borderId="0" xfId="34" applyFont="1" applyFill="1" applyBorder="1" applyAlignment="1"/>
    <xf numFmtId="0" fontId="15" fillId="0" borderId="0" xfId="20" applyFont="1" applyAlignment="1"/>
    <xf numFmtId="0" fontId="18" fillId="0" borderId="0" xfId="20" applyAlignment="1"/>
    <xf numFmtId="169" fontId="34" fillId="0" borderId="0" xfId="34" applyNumberFormat="1" applyFont="1" applyFill="1" applyBorder="1" applyAlignment="1"/>
    <xf numFmtId="14" fontId="34" fillId="0" borderId="0" xfId="34" applyNumberFormat="1" applyFont="1" applyFill="1" applyBorder="1" applyAlignment="1">
      <alignment horizontal="center" vertical="center"/>
    </xf>
    <xf numFmtId="0" fontId="18" fillId="0" borderId="0" xfId="20" applyAlignment="1">
      <alignment horizontal="left"/>
    </xf>
    <xf numFmtId="169" fontId="34" fillId="0" borderId="0" xfId="20" applyNumberFormat="1" applyFont="1" applyFill="1" applyBorder="1" applyAlignment="1"/>
    <xf numFmtId="0" fontId="34" fillId="0" borderId="0" xfId="20" applyFont="1" applyAlignment="1"/>
    <xf numFmtId="0" fontId="34" fillId="0" borderId="0" xfId="34" applyFont="1" applyFill="1" applyBorder="1" applyAlignment="1">
      <alignment horizontal="left" vertical="center"/>
    </xf>
    <xf numFmtId="14" fontId="34" fillId="0" borderId="0" xfId="34" applyNumberFormat="1" applyFont="1" applyFill="1" applyBorder="1" applyAlignment="1">
      <alignment horizontal="left" vertical="center"/>
    </xf>
    <xf numFmtId="169" fontId="34" fillId="0" borderId="0" xfId="34" applyNumberFormat="1" applyFont="1" applyFill="1" applyBorder="1" applyAlignment="1">
      <alignment horizontal="right" vertical="center"/>
    </xf>
    <xf numFmtId="169" fontId="34" fillId="0" borderId="0" xfId="34" applyNumberFormat="1" applyFont="1" applyFill="1" applyBorder="1" applyAlignment="1">
      <alignment horizontal="right"/>
    </xf>
    <xf numFmtId="167" fontId="27" fillId="2" borderId="0" xfId="23" applyNumberFormat="1" applyAlignment="1">
      <alignment horizontal="right" vertical="center"/>
    </xf>
    <xf numFmtId="3" fontId="21" fillId="0" borderId="8" xfId="22" applyNumberFormat="1">
      <alignment horizontal="right"/>
    </xf>
    <xf numFmtId="9" fontId="27" fillId="2" borderId="0" xfId="23" applyNumberFormat="1"/>
    <xf numFmtId="0" fontId="27" fillId="2" borderId="0" xfId="23" applyNumberFormat="1"/>
    <xf numFmtId="0" fontId="26" fillId="0" borderId="0" xfId="18" applyFont="1" applyAlignment="1"/>
    <xf numFmtId="0" fontId="15" fillId="0" borderId="7" xfId="18" applyBorder="1" applyAlignment="1"/>
    <xf numFmtId="0" fontId="50" fillId="0" borderId="17" xfId="18" applyFont="1" applyBorder="1"/>
    <xf numFmtId="167" fontId="98" fillId="0" borderId="17" xfId="18" applyNumberFormat="1" applyFont="1" applyFill="1" applyBorder="1" applyAlignment="1">
      <alignment horizontal="right" vertical="center"/>
    </xf>
    <xf numFmtId="168" fontId="65" fillId="0" borderId="0" xfId="18" applyNumberFormat="1" applyFont="1" applyBorder="1" applyAlignment="1">
      <alignment horizontal="right" vertical="center"/>
    </xf>
    <xf numFmtId="185" fontId="15" fillId="0" borderId="0" xfId="20" applyNumberFormat="1" applyFont="1"/>
    <xf numFmtId="0" fontId="15" fillId="0" borderId="4" xfId="20" applyFont="1" applyBorder="1"/>
    <xf numFmtId="0" fontId="17" fillId="0" borderId="12" xfId="20" applyFont="1" applyBorder="1"/>
    <xf numFmtId="185" fontId="17" fillId="0" borderId="12" xfId="20" applyNumberFormat="1" applyFont="1" applyBorder="1"/>
    <xf numFmtId="0" fontId="17" fillId="0" borderId="7" xfId="20" applyFont="1" applyBorder="1"/>
    <xf numFmtId="0" fontId="17" fillId="0" borderId="7" xfId="20" applyFont="1" applyBorder="1" applyAlignment="1">
      <alignment horizontal="right"/>
    </xf>
    <xf numFmtId="0" fontId="26" fillId="0" borderId="0" xfId="20" applyFont="1"/>
    <xf numFmtId="9" fontId="26" fillId="0" borderId="0" xfId="20" applyNumberFormat="1" applyFont="1"/>
    <xf numFmtId="0" fontId="15" fillId="16" borderId="0" xfId="20" applyFont="1" applyFill="1"/>
    <xf numFmtId="180" fontId="15" fillId="0" borderId="0" xfId="20" applyNumberFormat="1" applyFont="1" applyAlignment="1">
      <alignment horizontal="left"/>
    </xf>
    <xf numFmtId="0" fontId="15" fillId="0" borderId="7" xfId="18" applyBorder="1" applyAlignment="1">
      <alignment horizontal="right"/>
    </xf>
    <xf numFmtId="0" fontId="15" fillId="0" borderId="17" xfId="18" applyFont="1" applyBorder="1"/>
    <xf numFmtId="0" fontId="26" fillId="0" borderId="0" xfId="18" applyFont="1" applyBorder="1"/>
    <xf numFmtId="168" fontId="99" fillId="0" borderId="0" xfId="18" applyNumberFormat="1" applyFont="1" applyBorder="1" applyAlignment="1">
      <alignment horizontal="right" vertical="center"/>
    </xf>
    <xf numFmtId="167" fontId="72" fillId="0" borderId="0" xfId="18" applyNumberFormat="1" applyFont="1" applyFill="1" applyBorder="1" applyAlignment="1">
      <alignment horizontal="right" vertical="center"/>
    </xf>
    <xf numFmtId="0" fontId="15" fillId="0" borderId="0" xfId="20" applyFont="1" applyFill="1"/>
    <xf numFmtId="0" fontId="20" fillId="0" borderId="0" xfId="20" applyFont="1" applyAlignment="1"/>
    <xf numFmtId="0" fontId="86" fillId="0" borderId="0" xfId="20" applyNumberFormat="1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8">
    <cellStyle name="Assumption" xfId="23" xr:uid="{E21B85CB-AE39-493C-90CF-A6033D394DF7}"/>
    <cellStyle name="Bad 2" xfId="36" xr:uid="{C1AD6667-49F1-4741-96A2-0A1632CEC171}"/>
    <cellStyle name="Base_Input" xfId="12" xr:uid="{00000000-0005-0000-0000-000000000000}"/>
    <cellStyle name="Comma" xfId="37" builtinId="3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Good 2" xfId="34" xr:uid="{EF67FCC2-D008-4609-9C2B-4FFB363F3099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eutral 2" xfId="35" xr:uid="{B18B7292-AEB1-4A62-A649-17B0111F1CA1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FFCC"/>
      <color rgb="FF66FFFF"/>
      <color rgb="FF00215B"/>
      <color rgb="FF3333FF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9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28" sqref="A28"/>
    </sheetView>
  </sheetViews>
  <sheetFormatPr defaultColWidth="0" defaultRowHeight="15" customHeight="1" zeroHeight="1" x14ac:dyDescent="0.25"/>
  <cols>
    <col min="1" max="1" width="8" style="130" customWidth="1"/>
    <col min="2" max="2" width="1.875" style="130" customWidth="1"/>
    <col min="3" max="3" width="14" style="130" customWidth="1"/>
    <col min="4" max="4" width="8" style="130" customWidth="1"/>
    <col min="5" max="5" width="9.375" style="130" customWidth="1"/>
    <col min="6" max="11" width="8" style="130" customWidth="1"/>
    <col min="12" max="19" width="8" style="130" hidden="1" customWidth="1"/>
    <col min="20" max="16384" width="0" style="130" hidden="1"/>
  </cols>
  <sheetData>
    <row r="1" spans="1:19" x14ac:dyDescent="0.25">
      <c r="A1" s="311"/>
    </row>
    <row r="2" spans="1:19" ht="23.25" x14ac:dyDescent="0.35">
      <c r="A2" s="311"/>
      <c r="C2" s="312" t="s">
        <v>3</v>
      </c>
      <c r="D2" s="313"/>
      <c r="E2" s="313"/>
    </row>
    <row r="3" spans="1:19" ht="15.75" x14ac:dyDescent="0.25">
      <c r="A3" s="311"/>
      <c r="C3" s="314" t="s">
        <v>250</v>
      </c>
      <c r="D3" s="313"/>
      <c r="E3" s="313"/>
    </row>
    <row r="4" spans="1:19" x14ac:dyDescent="0.25">
      <c r="A4" s="311"/>
      <c r="D4" s="313"/>
      <c r="E4" s="313"/>
    </row>
    <row r="5" spans="1:19" x14ac:dyDescent="0.25">
      <c r="A5" s="311"/>
      <c r="C5" s="315" t="s">
        <v>417</v>
      </c>
    </row>
    <row r="6" spans="1:19" x14ac:dyDescent="0.25">
      <c r="A6" s="311"/>
      <c r="C6" s="316" t="s">
        <v>251</v>
      </c>
      <c r="D6" s="387">
        <v>4.1500000000000004</v>
      </c>
      <c r="E6" s="316"/>
    </row>
    <row r="7" spans="1:19" x14ac:dyDescent="0.25">
      <c r="A7" s="311"/>
      <c r="F7" s="317"/>
      <c r="G7" s="317"/>
      <c r="H7" s="317"/>
      <c r="J7" s="317"/>
      <c r="K7" s="317"/>
      <c r="L7" s="317"/>
      <c r="M7" s="317"/>
      <c r="N7" s="317"/>
      <c r="O7" s="317"/>
      <c r="P7" s="317"/>
      <c r="Q7" s="317"/>
      <c r="R7" s="317"/>
      <c r="S7" s="317"/>
    </row>
    <row r="8" spans="1:19" x14ac:dyDescent="0.25">
      <c r="A8" s="311"/>
      <c r="C8" s="318">
        <v>45688</v>
      </c>
      <c r="F8" s="317"/>
      <c r="G8" s="317"/>
      <c r="H8" s="317"/>
      <c r="J8" s="317"/>
      <c r="K8" s="317"/>
      <c r="L8" s="317"/>
      <c r="M8" s="317"/>
      <c r="N8" s="317"/>
      <c r="O8" s="317"/>
      <c r="P8" s="317"/>
      <c r="Q8" s="317"/>
      <c r="R8" s="317"/>
      <c r="S8" s="317"/>
    </row>
    <row r="9" spans="1:19" x14ac:dyDescent="0.25">
      <c r="A9" s="311"/>
      <c r="C9" s="319"/>
      <c r="D9" s="319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</row>
    <row r="10" spans="1:19" x14ac:dyDescent="0.25">
      <c r="A10" s="311"/>
      <c r="C10" s="319"/>
      <c r="D10" s="319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</row>
    <row r="11" spans="1:19" x14ac:dyDescent="0.25">
      <c r="A11" s="311"/>
      <c r="C11" s="319"/>
      <c r="D11" s="319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</row>
    <row r="12" spans="1:19" x14ac:dyDescent="0.25">
      <c r="A12" s="311"/>
      <c r="C12" s="319"/>
      <c r="D12" s="319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</row>
    <row r="13" spans="1:19" x14ac:dyDescent="0.25">
      <c r="A13" s="311"/>
      <c r="C13" s="319"/>
      <c r="D13" s="319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</row>
    <row r="14" spans="1:19" x14ac:dyDescent="0.25">
      <c r="A14" s="311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</row>
    <row r="15" spans="1:19" x14ac:dyDescent="0.25">
      <c r="A15" s="311"/>
      <c r="C15" s="315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</row>
    <row r="16" spans="1:19" x14ac:dyDescent="0.25">
      <c r="A16" s="311"/>
      <c r="C16" s="315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</row>
    <row r="17" spans="1:19" x14ac:dyDescent="0.25">
      <c r="A17" s="311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</row>
    <row r="18" spans="1:19" x14ac:dyDescent="0.25">
      <c r="A18" s="311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</row>
    <row r="19" spans="1:19" x14ac:dyDescent="0.25">
      <c r="A19" s="311"/>
      <c r="C19" s="317"/>
      <c r="D19" s="317"/>
      <c r="E19" s="317"/>
      <c r="F19" s="317"/>
      <c r="G19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</row>
    <row r="20" spans="1:19" x14ac:dyDescent="0.25">
      <c r="A20" s="311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</row>
    <row r="21" spans="1:19" ht="16.5" customHeight="1" x14ac:dyDescent="0.25">
      <c r="A21" s="311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</row>
    <row r="22" spans="1:19" x14ac:dyDescent="0.25">
      <c r="A22" s="311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</row>
    <row r="23" spans="1:19" x14ac:dyDescent="0.25">
      <c r="A23" s="311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</row>
    <row r="24" spans="1:19" x14ac:dyDescent="0.25">
      <c r="A24" s="311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</row>
    <row r="25" spans="1:19" x14ac:dyDescent="0.25">
      <c r="A25" s="311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</row>
    <row r="26" spans="1:19" x14ac:dyDescent="0.25">
      <c r="A26" s="311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</row>
    <row r="27" spans="1:19" x14ac:dyDescent="0.25">
      <c r="A27" s="311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</row>
    <row r="28" spans="1:19" x14ac:dyDescent="0.25">
      <c r="A28" s="311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</row>
    <row r="29" spans="1:19" x14ac:dyDescent="0.25">
      <c r="A29" s="311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</row>
    <row r="30" spans="1:19" x14ac:dyDescent="0.25">
      <c r="A30" s="311"/>
      <c r="C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</row>
    <row r="31" spans="1:19" x14ac:dyDescent="0.25">
      <c r="A31" s="311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</row>
    <row r="32" spans="1:19" x14ac:dyDescent="0.25">
      <c r="A32" s="311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</row>
    <row r="33" spans="1:19" x14ac:dyDescent="0.25">
      <c r="A33" s="311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</row>
    <row r="34" spans="1:19" x14ac:dyDescent="0.25">
      <c r="A34" s="311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</row>
    <row r="35" spans="1:19" x14ac:dyDescent="0.25">
      <c r="A35" s="311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</row>
    <row r="36" spans="1:19" x14ac:dyDescent="0.25">
      <c r="A36" s="311"/>
    </row>
    <row r="37" spans="1:19" x14ac:dyDescent="0.25">
      <c r="A37" s="311"/>
    </row>
    <row r="38" spans="1:19" x14ac:dyDescent="0.25">
      <c r="A38" s="311"/>
    </row>
    <row r="39" spans="1:19" x14ac:dyDescent="0.25">
      <c r="A39" s="311"/>
    </row>
    <row r="40" spans="1:19" x14ac:dyDescent="0.25">
      <c r="A40" s="311">
        <f ca="1">_xlfn.SHEETS()</f>
        <v>15</v>
      </c>
    </row>
    <row r="41" spans="1:19" x14ac:dyDescent="0.25">
      <c r="A41" s="31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Pole mounted transformer uplift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4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3" t="s">
        <v>197</v>
      </c>
      <c r="H7" s="153" t="s">
        <v>198</v>
      </c>
      <c r="I7" s="153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5">
        <f>output_dollars</f>
        <v>46203</v>
      </c>
      <c r="H8" s="185">
        <f>output_dollars</f>
        <v>46203</v>
      </c>
      <c r="I8" s="185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89" t="str">
        <f>INDEX(Assumptions!$E$14:$E$18, MATCH(C9, Assumptions!$C$14:$C$18,0))</f>
        <v>No change to existing practices</v>
      </c>
      <c r="E9" s="390"/>
      <c r="F9" s="390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91" t="str">
        <f>INDEX(Assumptions!$E$14:$E$18, MATCH(C10, Assumptions!$C$14:$C$18,0))</f>
        <v>Proactive replacement of P3 defects</v>
      </c>
      <c r="E10" s="392"/>
      <c r="F10" s="392"/>
      <c r="G10" s="103">
        <f>IF(Data!$C10, "", INDEX(Consol!$F$15:$F$82, MATCH($C10&amp;G$7, Consol!$D$15:$D$82,0))/mill_conv)</f>
        <v>-5.0640538862393596</v>
      </c>
      <c r="H10" s="103">
        <f>IF(Data!$C10, "", INDEX(Consol!$F$15:$F$82, MATCH($C10&amp;H$7, Consol!$D$15:$D$82,0))/mill_conv)</f>
        <v>23.710296319130016</v>
      </c>
      <c r="I10" s="103">
        <f>IF(Data!$C10, "", INDEX(Consol!$F$15:$F$82, MATCH($C10&amp;I$7, Consol!$D$15:$D$82,0))/mill_conv)</f>
        <v>18.646242432890659</v>
      </c>
    </row>
    <row r="11" spans="1:13" s="7" customFormat="1" ht="12.75" x14ac:dyDescent="0.2">
      <c r="C11" s="91" t="str">
        <v>Option 3</v>
      </c>
      <c r="D11" s="391">
        <f>INDEX(Assumptions!$E$14:$E$18, MATCH(C11, Assumptions!$C$14:$C$18,0))</f>
        <v>0</v>
      </c>
      <c r="E11" s="392"/>
      <c r="F11" s="392"/>
      <c r="G11" s="103" t="str">
        <f>IF(Data!$C11, "", INDEX(Consol!$F$15:$F$82, MATCH($C11&amp;G$7, Consol!$D$15:$D$82,0))/mill_conv)</f>
        <v/>
      </c>
      <c r="H11" s="103" t="str">
        <f>IF(Data!$C11, "", INDEX(Consol!$F$15:$F$82, MATCH($C11&amp;H$7, Consol!$D$15:$D$82,0))/mill_conv)</f>
        <v/>
      </c>
      <c r="I11" s="103" t="str">
        <f>IF(Data!$C11, "", INDEX(Consol!$F$15:$F$82, MATCH($C11&amp;I$7, Consol!$D$15:$D$82,0))/mill_conv)</f>
        <v/>
      </c>
    </row>
    <row r="12" spans="1:13" s="7" customFormat="1" ht="12.75" x14ac:dyDescent="0.2">
      <c r="C12" s="91" t="str">
        <v>Option 4</v>
      </c>
      <c r="D12" s="391">
        <f>INDEX(Assumptions!$E$14:$E$18, MATCH(C12, Assumptions!$C$14:$C$18,0))</f>
        <v>0</v>
      </c>
      <c r="E12" s="392"/>
      <c r="F12" s="392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91">
        <f>INDEX(Assumptions!$E$14:$E$18, MATCH(C13, Assumptions!$C$14:$C$18,0))</f>
        <v>0</v>
      </c>
      <c r="E13" s="392"/>
      <c r="F13" s="392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8"/>
      <c r="E14" s="248"/>
      <c r="F14" s="242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3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5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88" t="str">
        <f>INDEX($D$9:$D$13,MATCH(G18, $I$9:$I$13,0))</f>
        <v>Proactive replacement of P3 defects</v>
      </c>
      <c r="E18" s="388"/>
      <c r="F18" s="388"/>
      <c r="G18" s="104">
        <f>_xlfn.MAXIFS(I9:I13, IF(compliance, Data!$F$9:$F$13, Data!$C$9:$C$13),FALSE)</f>
        <v>18.646242432890659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0">
        <f>output_dollars</f>
        <v>46203</v>
      </c>
      <c r="E29" s="186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150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1.9106289141360855</v>
      </c>
      <c r="G30" s="105">
        <f>-INDEX(Consol!$I$15:$Q$82,MATCH($C$26&amp;$C30,Consol!$D$15:$D$82,0), MATCH(G$29, Consol!$I$9:$Q$9,0))/mill_conv</f>
        <v>1.9106289141360855</v>
      </c>
      <c r="H30" s="105">
        <f>-INDEX(Consol!$I$15:$Q$82,MATCH($C$26&amp;$C30,Consol!$D$15:$D$82,0), MATCH(H$29, Consol!$I$9:$Q$9,0))/mill_conv</f>
        <v>1.7137757574770645</v>
      </c>
      <c r="I30" s="105">
        <f>-INDEX(Consol!$I$15:$Q$82,MATCH($C$26&amp;$C30,Consol!$D$15:$D$82,0), MATCH(I$29, Consol!$I$9:$Q$9,0))/mill_conv</f>
        <v>1.2158549584021408</v>
      </c>
      <c r="J30" s="105">
        <f>-INDEX(Consol!$I$15:$Q$82,MATCH($C$26&amp;$C30,Consol!$D$15:$D$82,0), MATCH(J$29, Consol!$I$9:$Q$9,0))/mill_conv</f>
        <v>0.76425135130733934</v>
      </c>
      <c r="K30" s="187"/>
      <c r="L30" s="187">
        <f>SUM(F30:J30)</f>
        <v>7.5151398954587156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7"/>
      <c r="L31" s="187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226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</row>
    <row r="38" spans="1:13" s="8" customFormat="1" ht="12.75" x14ac:dyDescent="0.2">
      <c r="C38" s="258" t="s">
        <v>230</v>
      </c>
      <c r="D38" s="186">
        <f>output_dollars</f>
        <v>46203</v>
      </c>
      <c r="E38" s="186"/>
      <c r="F38" s="259" t="str">
        <f>Sensitivity_calcs!C89</f>
        <v>Option 1 (base case)</v>
      </c>
      <c r="G38" s="259" t="str">
        <f>Sensitivity_calcs!D89</f>
        <v>Option 2</v>
      </c>
      <c r="H38" s="259" t="str">
        <f>Sensitivity_calcs!E89</f>
        <v>Option 3</v>
      </c>
      <c r="I38" s="259" t="str">
        <f>Sensitivity_calcs!F89</f>
        <v>Option 4</v>
      </c>
      <c r="J38" s="259" t="str">
        <f>Sensitivity_calcs!G89</f>
        <v>Option 5</v>
      </c>
      <c r="K38" s="263"/>
      <c r="L38" s="288" t="s">
        <v>228</v>
      </c>
      <c r="M38" s="263"/>
    </row>
    <row r="39" spans="1:13" s="8" customFormat="1" ht="12.75" x14ac:dyDescent="0.2">
      <c r="C39" s="286" t="str">
        <f>Sensitivity_calcs!B90</f>
        <v>None</v>
      </c>
      <c r="D39" s="266"/>
      <c r="E39" s="266"/>
      <c r="F39" s="287">
        <f>Sensitivity_calcs!C90</f>
        <v>0</v>
      </c>
      <c r="G39" s="287">
        <f>Sensitivity_calcs!D90</f>
        <v>18.646242432890659</v>
      </c>
      <c r="H39" s="287" t="str">
        <f>Sensitivity_calcs!E90</f>
        <v/>
      </c>
      <c r="I39" s="287" t="str">
        <f>Sensitivity_calcs!F90</f>
        <v/>
      </c>
      <c r="J39" s="287" t="str">
        <f>Sensitivity_calcs!G90</f>
        <v/>
      </c>
      <c r="K39" s="257"/>
      <c r="L39" s="289" t="str">
        <f>Sensitivity_calcs!K90</f>
        <v>Option 2</v>
      </c>
      <c r="M39" s="257"/>
    </row>
    <row r="40" spans="1:13" s="8" customFormat="1" ht="12.75" x14ac:dyDescent="0.2">
      <c r="C40" s="265" t="str">
        <f>Sensitivity_calcs!B91</f>
        <v>Capex 10% higher</v>
      </c>
      <c r="D40" s="265"/>
      <c r="E40" s="265"/>
      <c r="F40" s="279">
        <f>Sensitivity_calcs!C91</f>
        <v>0</v>
      </c>
      <c r="G40" s="274">
        <f>Sensitivity_calcs!D91</f>
        <v>18.139837044266724</v>
      </c>
      <c r="H40" s="274" t="str">
        <f>Sensitivity_calcs!E91</f>
        <v/>
      </c>
      <c r="I40" s="274" t="str">
        <f>Sensitivity_calcs!F91</f>
        <v/>
      </c>
      <c r="J40" s="274" t="str">
        <f>Sensitivity_calcs!G91</f>
        <v/>
      </c>
      <c r="K40" s="257"/>
      <c r="L40" s="282" t="str">
        <f>Sensitivity_calcs!K91</f>
        <v>Option 2</v>
      </c>
      <c r="M40" s="257"/>
    </row>
    <row r="41" spans="1:13" s="8" customFormat="1" ht="12.75" x14ac:dyDescent="0.2">
      <c r="C41" s="265" t="str">
        <f>Sensitivity_calcs!B92</f>
        <v>Capex 10% lower</v>
      </c>
      <c r="D41" s="265"/>
      <c r="E41" s="265"/>
      <c r="F41" s="280">
        <f>Sensitivity_calcs!C92</f>
        <v>0</v>
      </c>
      <c r="G41" s="275">
        <f>Sensitivity_calcs!D92</f>
        <v>19.152647821514595</v>
      </c>
      <c r="H41" s="275" t="str">
        <f>Sensitivity_calcs!E92</f>
        <v/>
      </c>
      <c r="I41" s="275" t="str">
        <f>Sensitivity_calcs!F92</f>
        <v/>
      </c>
      <c r="J41" s="275" t="str">
        <f>Sensitivity_calcs!G92</f>
        <v/>
      </c>
      <c r="K41" s="257"/>
      <c r="L41" s="282" t="str">
        <f>Sensitivity_calcs!K92</f>
        <v>Option 2</v>
      </c>
      <c r="M41" s="257"/>
    </row>
    <row r="42" spans="1:13" s="8" customFormat="1" ht="12.75" x14ac:dyDescent="0.2">
      <c r="C42" s="265" t="str">
        <f>Sensitivity_calcs!B93</f>
        <v>Total benefits 10% higher</v>
      </c>
      <c r="D42" s="265"/>
      <c r="E42" s="265"/>
      <c r="F42" s="280">
        <f>Sensitivity_calcs!C93</f>
        <v>0</v>
      </c>
      <c r="G42" s="275">
        <f>Sensitivity_calcs!D93</f>
        <v>21.017272064803667</v>
      </c>
      <c r="H42" s="275" t="str">
        <f>Sensitivity_calcs!E93</f>
        <v/>
      </c>
      <c r="I42" s="275" t="str">
        <f>Sensitivity_calcs!F93</f>
        <v/>
      </c>
      <c r="J42" s="275" t="str">
        <f>Sensitivity_calcs!G93</f>
        <v/>
      </c>
      <c r="K42" s="257"/>
      <c r="L42" s="282" t="str">
        <f>Sensitivity_calcs!K93</f>
        <v>Option 2</v>
      </c>
      <c r="M42" s="257"/>
    </row>
    <row r="43" spans="1:13" s="8" customFormat="1" ht="12.75" x14ac:dyDescent="0.2">
      <c r="C43" s="265" t="str">
        <f>Sensitivity_calcs!B94</f>
        <v>Total benefits 10% lower</v>
      </c>
      <c r="D43" s="265"/>
      <c r="E43" s="265"/>
      <c r="F43" s="280">
        <f>Sensitivity_calcs!C94</f>
        <v>0</v>
      </c>
      <c r="G43" s="275">
        <f>Sensitivity_calcs!D94</f>
        <v>16.275212800977656</v>
      </c>
      <c r="H43" s="275" t="str">
        <f>Sensitivity_calcs!E94</f>
        <v/>
      </c>
      <c r="I43" s="275" t="str">
        <f>Sensitivity_calcs!F94</f>
        <v/>
      </c>
      <c r="J43" s="275" t="str">
        <f>Sensitivity_calcs!G94</f>
        <v/>
      </c>
      <c r="K43" s="257"/>
      <c r="L43" s="282" t="str">
        <f>Sensitivity_calcs!K94</f>
        <v>Option 2</v>
      </c>
      <c r="M43" s="257"/>
    </row>
    <row r="44" spans="1:13" s="8" customFormat="1" ht="12.75" x14ac:dyDescent="0.2">
      <c r="C44" s="265" t="str">
        <f>Sensitivity_calcs!B95</f>
        <v>Capex 10% higher &amp; Total benefits 10% lower</v>
      </c>
      <c r="D44" s="265"/>
      <c r="E44" s="265"/>
      <c r="F44" s="280">
        <f>Sensitivity_calcs!C95</f>
        <v>0</v>
      </c>
      <c r="G44" s="275">
        <f>Sensitivity_calcs!D95</f>
        <v>15.768807412353722</v>
      </c>
      <c r="H44" s="275" t="str">
        <f>Sensitivity_calcs!E95</f>
        <v/>
      </c>
      <c r="I44" s="275" t="str">
        <f>Sensitivity_calcs!F95</f>
        <v/>
      </c>
      <c r="J44" s="275" t="str">
        <f>Sensitivity_calcs!G95</f>
        <v/>
      </c>
      <c r="K44" s="257"/>
      <c r="L44" s="282" t="str">
        <f>Sensitivity_calcs!K95</f>
        <v>Option 2</v>
      </c>
      <c r="M44" s="257"/>
    </row>
    <row r="45" spans="1:13" s="8" customFormat="1" ht="12.75" x14ac:dyDescent="0.2">
      <c r="C45" s="265">
        <f>Sensitivity_calcs!B96</f>
        <v>0</v>
      </c>
      <c r="D45" s="265"/>
      <c r="E45" s="265"/>
      <c r="F45" s="280" t="str">
        <f>Sensitivity_calcs!C96</f>
        <v/>
      </c>
      <c r="G45" s="275" t="str">
        <f>Sensitivity_calcs!D96</f>
        <v/>
      </c>
      <c r="H45" s="275" t="str">
        <f>Sensitivity_calcs!E96</f>
        <v/>
      </c>
      <c r="I45" s="275" t="str">
        <f>Sensitivity_calcs!F96</f>
        <v/>
      </c>
      <c r="J45" s="275" t="str">
        <f>Sensitivity_calcs!G96</f>
        <v/>
      </c>
      <c r="K45" s="257"/>
      <c r="L45" s="282" t="str">
        <f>Sensitivity_calcs!K96</f>
        <v/>
      </c>
      <c r="M45" s="257"/>
    </row>
    <row r="46" spans="1:13" s="8" customFormat="1" ht="12.75" x14ac:dyDescent="0.2">
      <c r="C46" s="265">
        <f>Sensitivity_calcs!B97</f>
        <v>0</v>
      </c>
      <c r="D46" s="260"/>
      <c r="E46" s="260"/>
      <c r="F46" s="280" t="str">
        <f>Sensitivity_calcs!C97</f>
        <v/>
      </c>
      <c r="G46" s="275" t="str">
        <f>Sensitivity_calcs!D97</f>
        <v/>
      </c>
      <c r="H46" s="275" t="str">
        <f>Sensitivity_calcs!E97</f>
        <v/>
      </c>
      <c r="I46" s="275" t="str">
        <f>Sensitivity_calcs!F97</f>
        <v/>
      </c>
      <c r="J46" s="275" t="str">
        <f>Sensitivity_calcs!G97</f>
        <v/>
      </c>
      <c r="K46" s="267">
        <f>IF(C46=0,0, INDEX($F$38:$J$38, MATCH(MAX($F46:$I46),$F46:$I46,0)))</f>
        <v>0</v>
      </c>
      <c r="L46" s="282" t="str">
        <f>Sensitivity_calcs!K97</f>
        <v/>
      </c>
    </row>
    <row r="47" spans="1:13" s="8" customFormat="1" ht="12.75" x14ac:dyDescent="0.2">
      <c r="D47" s="265">
        <f>Sensitivity_calcs!B98</f>
        <v>0</v>
      </c>
      <c r="E47" s="265"/>
      <c r="F47" s="280" t="str">
        <f>Sensitivity_calcs!C98</f>
        <v/>
      </c>
      <c r="G47" s="275" t="str">
        <f>Sensitivity_calcs!D98</f>
        <v/>
      </c>
      <c r="H47" s="275" t="str">
        <f>Sensitivity_calcs!E98</f>
        <v/>
      </c>
      <c r="I47" s="275" t="str">
        <f>Sensitivity_calcs!F98</f>
        <v/>
      </c>
      <c r="J47" s="275" t="str">
        <f>Sensitivity_calcs!G98</f>
        <v/>
      </c>
      <c r="K47" s="257"/>
      <c r="L47" s="282" t="str">
        <f>Sensitivity_calcs!K98</f>
        <v/>
      </c>
      <c r="M47" s="257"/>
    </row>
    <row r="48" spans="1:13" s="8" customFormat="1" ht="12.75" x14ac:dyDescent="0.2">
      <c r="D48" s="265">
        <f>Sensitivity_calcs!B99</f>
        <v>0</v>
      </c>
      <c r="E48" s="265"/>
      <c r="F48" s="281"/>
      <c r="G48" s="105"/>
      <c r="H48" s="105"/>
      <c r="I48" s="105"/>
      <c r="J48" s="105"/>
      <c r="K48" s="257"/>
      <c r="L48" s="257"/>
    </row>
    <row r="49" spans="4:10" s="8" customFormat="1" ht="12.75" x14ac:dyDescent="0.2">
      <c r="F49" s="264"/>
      <c r="G49" s="105"/>
      <c r="H49" s="105"/>
      <c r="I49" s="105"/>
      <c r="J49" s="105"/>
    </row>
    <row r="50" spans="4:10" s="8" customFormat="1" ht="12.75" x14ac:dyDescent="0.2">
      <c r="F50" s="264"/>
      <c r="G50" s="264"/>
      <c r="H50" s="264"/>
      <c r="I50" s="264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5"/>
      <c r="E53" s="245"/>
      <c r="F53" s="245"/>
    </row>
    <row r="54" spans="4:10" s="8" customFormat="1" ht="12.75" x14ac:dyDescent="0.2">
      <c r="D54" s="245"/>
      <c r="E54" s="245"/>
      <c r="F54" s="245"/>
    </row>
    <row r="55" spans="4:10" s="8" customFormat="1" ht="12.75" hidden="1" x14ac:dyDescent="0.2">
      <c r="D55" s="245"/>
      <c r="E55" s="245"/>
      <c r="F55" s="245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Pole mounted transformer uplift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96" t="s">
        <v>417</v>
      </c>
      <c r="F8" s="396"/>
      <c r="G8" s="396"/>
      <c r="H8" s="396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45</v>
      </c>
      <c r="F10" s="8"/>
      <c r="G10" s="37">
        <v>2024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97" t="s">
        <v>58</v>
      </c>
      <c r="F14" s="397"/>
      <c r="G14" s="397"/>
      <c r="H14" s="397"/>
      <c r="I14" s="397"/>
      <c r="J14" s="397"/>
      <c r="K14" s="397"/>
      <c r="L14"/>
    </row>
    <row r="15" spans="1:16" s="1" customFormat="1" ht="12.75" customHeight="1" x14ac:dyDescent="0.2">
      <c r="C15" s="61" t="str">
        <v>Option 2</v>
      </c>
      <c r="D15" s="61"/>
      <c r="E15" s="398" t="s">
        <v>418</v>
      </c>
      <c r="F15" s="398"/>
      <c r="G15" s="398"/>
      <c r="H15" s="398"/>
      <c r="I15" s="398"/>
      <c r="J15" s="398"/>
      <c r="K15" s="398"/>
      <c r="L15"/>
    </row>
    <row r="16" spans="1:16" s="1" customFormat="1" ht="12.75" customHeight="1" x14ac:dyDescent="0.2">
      <c r="C16" s="61" t="str">
        <v>Option 3</v>
      </c>
      <c r="D16" s="61"/>
      <c r="E16" s="398"/>
      <c r="F16" s="398"/>
      <c r="G16" s="398"/>
      <c r="H16" s="398"/>
      <c r="I16" s="398"/>
      <c r="J16" s="398"/>
      <c r="K16" s="398"/>
      <c r="L16"/>
    </row>
    <row r="17" spans="1:16" s="1" customFormat="1" ht="12.75" customHeight="1" x14ac:dyDescent="0.2">
      <c r="C17" s="61" t="str">
        <v>Option 4</v>
      </c>
      <c r="D17" s="61"/>
      <c r="E17" s="398"/>
      <c r="F17" s="398"/>
      <c r="G17" s="398"/>
      <c r="H17" s="398"/>
      <c r="I17" s="398"/>
      <c r="J17" s="398"/>
      <c r="K17" s="398"/>
      <c r="L17"/>
    </row>
    <row r="18" spans="1:16" s="1" customFormat="1" ht="12.75" customHeight="1" x14ac:dyDescent="0.2">
      <c r="C18" s="61" t="str">
        <v>Option 5</v>
      </c>
      <c r="D18" s="61"/>
      <c r="E18" s="398"/>
      <c r="F18" s="398"/>
      <c r="G18" s="398"/>
      <c r="H18" s="398"/>
      <c r="I18" s="398"/>
      <c r="J18" s="398"/>
      <c r="K18" s="398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1" t="s">
        <v>233</v>
      </c>
      <c r="D20"/>
      <c r="E20" s="292" t="s">
        <v>236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246</v>
      </c>
      <c r="E22" s="297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190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45473</v>
      </c>
      <c r="H27" s="68" t="s">
        <v>70</v>
      </c>
    </row>
    <row r="28" spans="1:16" s="1" customFormat="1" x14ac:dyDescent="0.2">
      <c r="C28" s="1" t="s">
        <v>191</v>
      </c>
      <c r="G28" s="303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4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204</v>
      </c>
      <c r="G31" s="305">
        <v>20</v>
      </c>
      <c r="H31" s="68" t="s">
        <v>205</v>
      </c>
    </row>
    <row r="32" spans="1:16" s="1" customFormat="1" x14ac:dyDescent="0.2"/>
    <row r="33" spans="1:20" s="1" customFormat="1" x14ac:dyDescent="0.2">
      <c r="C33" s="1" t="s">
        <v>32</v>
      </c>
      <c r="G33" s="306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2">
        <v>45291</v>
      </c>
      <c r="H34" s="68" t="s">
        <v>72</v>
      </c>
      <c r="J34" s="68"/>
    </row>
    <row r="35" spans="1:20" s="1" customFormat="1" ht="13.5" x14ac:dyDescent="0.25">
      <c r="C35" s="1" t="s">
        <v>248</v>
      </c>
      <c r="G35" s="304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254</v>
      </c>
      <c r="D41" s="241" t="s">
        <v>255</v>
      </c>
      <c r="E41" s="327" t="s">
        <v>224</v>
      </c>
      <c r="F41" s="328"/>
      <c r="G41" s="329" t="s">
        <v>223</v>
      </c>
      <c r="H41" s="132">
        <v>43815.486225173103</v>
      </c>
      <c r="I41" s="330" t="s">
        <v>225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158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182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157</v>
      </c>
      <c r="G50" s="307">
        <v>5400000</v>
      </c>
      <c r="H50" s="69">
        <v>45107</v>
      </c>
    </row>
    <row r="52" spans="3:8" x14ac:dyDescent="0.2">
      <c r="C52" s="8" t="s">
        <v>173</v>
      </c>
      <c r="G52" s="165">
        <v>0</v>
      </c>
      <c r="H52" s="69">
        <f>input_dollars</f>
        <v>45473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5">
        <f>Data!F85</f>
        <v>1</v>
      </c>
    </row>
    <row r="56" spans="3:8" x14ac:dyDescent="0.2">
      <c r="C56" s="8" t="str">
        <f>Data!B86</f>
        <v>Harm to property from bushfire</v>
      </c>
      <c r="G56" s="305">
        <f>Data!F86</f>
        <v>1</v>
      </c>
    </row>
    <row r="57" spans="3:8" x14ac:dyDescent="0.2">
      <c r="C57" s="8" t="str">
        <f>Data!B87</f>
        <v>Harm to environment</v>
      </c>
      <c r="G57" s="305">
        <f>Data!F87</f>
        <v>1</v>
      </c>
    </row>
    <row r="58" spans="3:8" x14ac:dyDescent="0.2">
      <c r="C58" s="8" t="str">
        <f>Data!B88</f>
        <v>Safety - Public trespass</v>
      </c>
      <c r="G58" s="305">
        <f>Data!F88</f>
        <v>1</v>
      </c>
    </row>
    <row r="59" spans="3:8" x14ac:dyDescent="0.2">
      <c r="C59" s="8" t="str">
        <f>Data!B89</f>
        <v>Safety - Single fatality or serious injury ^</v>
      </c>
      <c r="G59" s="305">
        <f>Data!F89</f>
        <v>3</v>
      </c>
    </row>
    <row r="60" spans="3:8" x14ac:dyDescent="0.2">
      <c r="C60" s="8" t="str">
        <f>Data!B90</f>
        <v>Safety from bushfire in HBRA</v>
      </c>
      <c r="G60" s="305">
        <f>Data!F90</f>
        <v>3</v>
      </c>
    </row>
    <row r="61" spans="3:8" x14ac:dyDescent="0.2">
      <c r="C61" s="8" t="str">
        <f>Data!B91</f>
        <v>Safety - Multiple fatality or serious injury ^</v>
      </c>
      <c r="G61" s="305">
        <f>Data!F91</f>
        <v>6</v>
      </c>
    </row>
    <row r="62" spans="3:8" x14ac:dyDescent="0.2">
      <c r="C62" s="8" t="str">
        <f>Data!B92</f>
        <v>Safety from bushfire (REFCL declared areas)</v>
      </c>
      <c r="G62" s="305">
        <f>Data!F92</f>
        <v>6</v>
      </c>
    </row>
    <row r="63" spans="3:8" x14ac:dyDescent="0.2">
      <c r="C63" s="8" t="str">
        <f>Data!B93</f>
        <v>Safety from bushfire (electric line construction areas)</v>
      </c>
      <c r="G63" s="305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189</v>
      </c>
      <c r="D69" s="59"/>
      <c r="E69" s="59"/>
      <c r="F69" s="59"/>
      <c r="G69" s="158" t="s">
        <v>68</v>
      </c>
      <c r="H69" s="158" t="s">
        <v>174</v>
      </c>
      <c r="I69" s="158" t="s">
        <v>188</v>
      </c>
      <c r="J69" s="157" t="s">
        <v>192</v>
      </c>
      <c r="K69" s="158"/>
      <c r="L69" s="158"/>
      <c r="M69" s="158"/>
    </row>
    <row r="70" spans="2:16" x14ac:dyDescent="0.2">
      <c r="C70" s="8" t="s">
        <v>175</v>
      </c>
      <c r="G70" s="159">
        <f>G50*INDEX(hy_escalation, MATCH(input_dollars,hy_dates,0))/INDEX(hy_escalation, MATCH(H50,hy_dates,0))</f>
        <v>5822918.3841714747</v>
      </c>
      <c r="H70" s="164">
        <v>0</v>
      </c>
      <c r="I70" s="166">
        <v>0</v>
      </c>
      <c r="J70" s="393">
        <v>0</v>
      </c>
      <c r="K70" s="394"/>
      <c r="L70" s="394"/>
      <c r="M70" s="395"/>
    </row>
    <row r="71" spans="2:16" x14ac:dyDescent="0.2">
      <c r="C71" s="8" t="s">
        <v>176</v>
      </c>
      <c r="G71" s="159">
        <f>G52*INDEX(hy_escalation, MATCH(input_dollars,hy_dates,0))/INDEX(hy_escalation, MATCH(H52,hy_dates,0))</f>
        <v>0</v>
      </c>
      <c r="H71" s="163">
        <v>0</v>
      </c>
      <c r="I71" s="166">
        <v>0</v>
      </c>
      <c r="J71" s="393">
        <v>0</v>
      </c>
      <c r="K71" s="394"/>
      <c r="L71" s="394"/>
      <c r="M71" s="395"/>
    </row>
    <row r="72" spans="2:16" x14ac:dyDescent="0.2">
      <c r="I72" s="162"/>
      <c r="M72"/>
    </row>
    <row r="73" spans="2:16" x14ac:dyDescent="0.2">
      <c r="G73" s="167"/>
    </row>
    <row r="74" spans="2:16" x14ac:dyDescent="0.2">
      <c r="C74" s="82"/>
    </row>
    <row r="77" spans="2:16" x14ac:dyDescent="0.2">
      <c r="B77" s="30" t="s">
        <v>183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177</v>
      </c>
      <c r="G78" s="155">
        <v>0</v>
      </c>
      <c r="H78" s="69">
        <f>input_dollars</f>
        <v>45473</v>
      </c>
    </row>
    <row r="79" spans="2:16" x14ac:dyDescent="0.2">
      <c r="C79" s="8" t="s">
        <v>178</v>
      </c>
      <c r="G79" s="155">
        <v>0</v>
      </c>
      <c r="H79" s="69">
        <f>input_dollars</f>
        <v>45473</v>
      </c>
    </row>
    <row r="81" spans="1:16" x14ac:dyDescent="0.2">
      <c r="C81" s="8" t="s">
        <v>179</v>
      </c>
      <c r="G81" s="160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184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8">
        <v>2.4730486797759084E-2</v>
      </c>
      <c r="L90" s="308">
        <v>2.2340740091772258E-2</v>
      </c>
      <c r="M90" s="308">
        <v>2.0196329122153123E-2</v>
      </c>
      <c r="N90" s="308">
        <v>1.806294207659629E-2</v>
      </c>
      <c r="O90" s="308">
        <v>1.5913397615084226E-2</v>
      </c>
      <c r="P90" s="308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185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7"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7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7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8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8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8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8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8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227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2"/>
      <c r="C110" s="299"/>
      <c r="D110" s="59"/>
      <c r="E110" s="300"/>
      <c r="F110" s="299"/>
      <c r="G110" s="299" t="s">
        <v>17</v>
      </c>
      <c r="H110" s="299" t="s">
        <v>249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8"/>
      <c r="G111" s="309">
        <v>0.1</v>
      </c>
      <c r="H111" s="309">
        <v>0</v>
      </c>
      <c r="I111" s="262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8"/>
      <c r="G112" s="309">
        <v>-0.1</v>
      </c>
      <c r="H112" s="309">
        <v>0</v>
      </c>
      <c r="I112" s="262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8"/>
      <c r="G113" s="310">
        <v>0</v>
      </c>
      <c r="H113" s="309">
        <v>0.1</v>
      </c>
      <c r="I113" s="262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8"/>
      <c r="G114" s="310">
        <v>0</v>
      </c>
      <c r="H114" s="309">
        <v>-0.1</v>
      </c>
      <c r="I114" s="262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8"/>
      <c r="G115" s="309">
        <v>0.1</v>
      </c>
      <c r="H115" s="309">
        <v>-0.1</v>
      </c>
      <c r="I115" s="262"/>
      <c r="J115"/>
      <c r="K115"/>
      <c r="L115"/>
      <c r="M115"/>
      <c r="N115"/>
      <c r="O115"/>
      <c r="P115"/>
    </row>
    <row r="116" spans="2:16" x14ac:dyDescent="0.2">
      <c r="E116" s="268"/>
      <c r="H116"/>
      <c r="I116"/>
      <c r="J116"/>
      <c r="K116"/>
      <c r="L116"/>
      <c r="M116"/>
      <c r="N116"/>
      <c r="O116"/>
      <c r="P116"/>
    </row>
    <row r="117" spans="2:16" x14ac:dyDescent="0.2">
      <c r="E117" s="261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Pole mounted transformer uplift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151</v>
      </c>
      <c r="B3" s="5"/>
      <c r="C3" s="135"/>
      <c r="D3" s="94"/>
    </row>
    <row r="4" spans="1:43" x14ac:dyDescent="0.2">
      <c r="A4" s="168"/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2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1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2"/>
      <c r="B9" s="182"/>
      <c r="C9" s="182"/>
      <c r="D9" s="182"/>
      <c r="E9" s="182"/>
      <c r="F9" s="183"/>
      <c r="G9" s="182" t="s">
        <v>25</v>
      </c>
      <c r="H9" s="321">
        <f>DATE(LEFT(I9,4), 6,30)</f>
        <v>46203</v>
      </c>
      <c r="I9" s="184" t="str">
        <f>start</f>
        <v>2026-27</v>
      </c>
      <c r="J9" s="184" t="str">
        <f t="shared" ref="J9:AG9" si="1">LEFT(I9,4)+1&amp;"-"&amp;RIGHT(I9,2)+1</f>
        <v>2027-28</v>
      </c>
      <c r="K9" s="184" t="str">
        <f t="shared" si="1"/>
        <v>2028-29</v>
      </c>
      <c r="L9" s="184" t="str">
        <f t="shared" si="1"/>
        <v>2029-30</v>
      </c>
      <c r="M9" s="184" t="str">
        <f t="shared" si="1"/>
        <v>2030-31</v>
      </c>
      <c r="N9" s="184" t="str">
        <f t="shared" si="1"/>
        <v>2031-32</v>
      </c>
      <c r="O9" s="184" t="str">
        <f t="shared" si="1"/>
        <v>2032-33</v>
      </c>
      <c r="P9" s="184" t="str">
        <f t="shared" si="1"/>
        <v>2033-34</v>
      </c>
      <c r="Q9" s="184" t="str">
        <f t="shared" si="1"/>
        <v>2034-35</v>
      </c>
      <c r="R9" s="184" t="str">
        <f t="shared" si="1"/>
        <v>2035-36</v>
      </c>
      <c r="S9" s="184" t="str">
        <f t="shared" si="1"/>
        <v>2036-37</v>
      </c>
      <c r="T9" s="184" t="str">
        <f t="shared" si="1"/>
        <v>2037-38</v>
      </c>
      <c r="U9" s="184" t="str">
        <f t="shared" si="1"/>
        <v>2038-39</v>
      </c>
      <c r="V9" s="184" t="str">
        <f t="shared" si="1"/>
        <v>2039-40</v>
      </c>
      <c r="W9" s="184" t="str">
        <f t="shared" si="1"/>
        <v>2040-41</v>
      </c>
      <c r="X9" s="184" t="str">
        <f t="shared" si="1"/>
        <v>2041-42</v>
      </c>
      <c r="Y9" s="184" t="str">
        <f t="shared" si="1"/>
        <v>2042-43</v>
      </c>
      <c r="Z9" s="184" t="str">
        <f t="shared" si="1"/>
        <v>2043-44</v>
      </c>
      <c r="AA9" s="184" t="str">
        <f t="shared" si="1"/>
        <v>2044-45</v>
      </c>
      <c r="AB9" s="184" t="str">
        <f t="shared" si="1"/>
        <v>2045-46</v>
      </c>
      <c r="AC9" s="184" t="str">
        <f t="shared" si="1"/>
        <v>2046-47</v>
      </c>
      <c r="AD9" s="184" t="str">
        <f t="shared" si="1"/>
        <v>2047-48</v>
      </c>
      <c r="AE9" s="184" t="str">
        <f t="shared" si="1"/>
        <v>2048-49</v>
      </c>
      <c r="AF9" s="184" t="str">
        <f t="shared" si="1"/>
        <v>2049-50</v>
      </c>
      <c r="AG9" s="184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9">
        <v>0</v>
      </c>
      <c r="G14" s="208">
        <f>input_dollars</f>
        <v>45473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9">
        <v>0</v>
      </c>
      <c r="G15" s="208">
        <f>input_dollars</f>
        <v>45473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9">
        <v>0</v>
      </c>
      <c r="G16" s="208">
        <f>input_dollars</f>
        <v>45473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45473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45473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6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159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160</v>
      </c>
      <c r="D24" s="111"/>
      <c r="E24" s="111"/>
      <c r="F24" s="111"/>
      <c r="G24" s="209"/>
      <c r="H24" s="111"/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0</v>
      </c>
      <c r="W24" s="137">
        <v>0</v>
      </c>
      <c r="X24" s="137">
        <v>0</v>
      </c>
      <c r="Y24" s="137">
        <v>0</v>
      </c>
      <c r="Z24" s="137">
        <v>0</v>
      </c>
      <c r="AA24" s="137">
        <v>0</v>
      </c>
      <c r="AB24" s="137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161</v>
      </c>
      <c r="D25" s="209"/>
      <c r="E25" s="111"/>
      <c r="F25" s="111"/>
      <c r="G25" s="209"/>
      <c r="H25" s="111"/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  <c r="Y25" s="137">
        <v>0</v>
      </c>
      <c r="Z25" s="137">
        <v>0</v>
      </c>
      <c r="AA25" s="137">
        <v>0</v>
      </c>
      <c r="AB25" s="137">
        <v>0</v>
      </c>
      <c r="AC25" s="137">
        <v>0</v>
      </c>
      <c r="AD25" s="137">
        <v>0</v>
      </c>
      <c r="AE25" s="137">
        <v>0</v>
      </c>
      <c r="AF25" s="137">
        <v>0</v>
      </c>
      <c r="AG25" s="137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45498.921992955387</v>
      </c>
      <c r="F28" s="239" t="str">
        <f>IF(AND(SUM(I27:AG27)&lt;&gt;0, E28=0), "!", "")</f>
        <v/>
      </c>
      <c r="G28" s="208">
        <f>input_dollars</f>
        <v>45473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216</v>
      </c>
      <c r="G30" s="208">
        <f>input_dollars</f>
        <v>45473</v>
      </c>
      <c r="H30" s="150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45473</v>
      </c>
      <c r="H31" s="150"/>
      <c r="I31" s="32">
        <f>Workings_risks!I36</f>
        <v>0</v>
      </c>
      <c r="J31" s="32">
        <f>Workings_risks!J36</f>
        <v>0</v>
      </c>
      <c r="K31" s="32">
        <f>Workings_risks!K36</f>
        <v>0</v>
      </c>
      <c r="L31" s="32">
        <f>Workings_risks!L36</f>
        <v>0</v>
      </c>
      <c r="M31" s="32">
        <f>Workings_risks!M36</f>
        <v>0</v>
      </c>
      <c r="N31" s="32">
        <f>Workings_risks!N36</f>
        <v>11197953.445507554</v>
      </c>
      <c r="O31" s="32">
        <f>Workings_risks!O36</f>
        <v>4479181.3782030214</v>
      </c>
      <c r="P31" s="32">
        <f>Workings_risks!P36</f>
        <v>1791672.5512812084</v>
      </c>
      <c r="Q31" s="32">
        <f>Workings_risks!Q36</f>
        <v>716669.02051248343</v>
      </c>
      <c r="R31" s="32">
        <f>Workings_risks!R36</f>
        <v>286667.60820499336</v>
      </c>
      <c r="S31" s="32">
        <f>Workings_risks!S36</f>
        <v>114667.04328199738</v>
      </c>
      <c r="T31" s="32">
        <f>Workings_risks!T36</f>
        <v>45866.81731279895</v>
      </c>
      <c r="U31" s="32">
        <f>Workings_risks!U36</f>
        <v>30577.878208532631</v>
      </c>
      <c r="V31" s="32">
        <f>Workings_risks!V36</f>
        <v>0</v>
      </c>
      <c r="W31" s="32">
        <f>Workings_risks!W36</f>
        <v>0</v>
      </c>
      <c r="X31" s="32">
        <f>Workings_risks!X36</f>
        <v>0</v>
      </c>
      <c r="Y31" s="32">
        <f>Workings_risks!Y36</f>
        <v>0</v>
      </c>
      <c r="Z31" s="32">
        <f>Workings_risks!Z36</f>
        <v>0</v>
      </c>
      <c r="AA31" s="32">
        <f>Workings_risks!AA36</f>
        <v>0</v>
      </c>
      <c r="AB31" s="32">
        <f>Workings_risks!AB36</f>
        <v>0</v>
      </c>
      <c r="AC31" s="32">
        <f>Workings_risks!AC36</f>
        <v>0</v>
      </c>
      <c r="AD31" s="32">
        <f>Workings_risks!AD36</f>
        <v>0</v>
      </c>
      <c r="AE31" s="32">
        <f>Workings_risks!AE36</f>
        <v>0</v>
      </c>
      <c r="AF31" s="32">
        <f>Workings_risks!AF36</f>
        <v>0</v>
      </c>
      <c r="AG31" s="32">
        <f>Workings_risks!AG36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216</v>
      </c>
      <c r="E32"/>
      <c r="G32" s="208">
        <f>input_dollars</f>
        <v>45473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181</v>
      </c>
      <c r="D33" s="220"/>
      <c r="E33"/>
      <c r="G33" s="208">
        <f>input_dollars</f>
        <v>45473</v>
      </c>
      <c r="H33"/>
      <c r="I33" s="32">
        <f>Workings_risks!I37</f>
        <v>0</v>
      </c>
      <c r="J33" s="32">
        <f>Workings_risks!J37</f>
        <v>0</v>
      </c>
      <c r="K33" s="32">
        <f>Workings_risks!K37</f>
        <v>0</v>
      </c>
      <c r="L33" s="32">
        <f>Workings_risks!L37</f>
        <v>0</v>
      </c>
      <c r="M33" s="32">
        <f>Workings_risks!M37</f>
        <v>0</v>
      </c>
      <c r="N33" s="32">
        <f>Workings_risks!N37</f>
        <v>5201979.2932981681</v>
      </c>
      <c r="O33" s="32">
        <f>Workings_risks!O37</f>
        <v>2080791.7173192673</v>
      </c>
      <c r="P33" s="32">
        <f>Workings_risks!P37</f>
        <v>832316.68692770682</v>
      </c>
      <c r="Q33" s="32">
        <f>Workings_risks!Q37</f>
        <v>332926.67477108276</v>
      </c>
      <c r="R33" s="32">
        <f>Workings_risks!R37</f>
        <v>133170.6699084331</v>
      </c>
      <c r="S33" s="32">
        <f>Workings_risks!S37</f>
        <v>53268.267963373255</v>
      </c>
      <c r="T33" s="32">
        <f>Workings_risks!T37</f>
        <v>21307.307185349302</v>
      </c>
      <c r="U33" s="32">
        <f>Workings_risks!U37</f>
        <v>14204.871456899533</v>
      </c>
      <c r="V33" s="32">
        <f>Workings_risks!V37</f>
        <v>0</v>
      </c>
      <c r="W33" s="32">
        <f>Workings_risks!W37</f>
        <v>0</v>
      </c>
      <c r="X33" s="32">
        <f>Workings_risks!X37</f>
        <v>0</v>
      </c>
      <c r="Y33" s="32">
        <f>Workings_risks!Y37</f>
        <v>0</v>
      </c>
      <c r="Z33" s="32">
        <f>Workings_risks!Z37</f>
        <v>0</v>
      </c>
      <c r="AA33" s="32">
        <f>Workings_risks!AA37</f>
        <v>0</v>
      </c>
      <c r="AB33" s="32">
        <f>Workings_risks!AB37</f>
        <v>0</v>
      </c>
      <c r="AC33" s="32">
        <f>Workings_risks!AC37</f>
        <v>0</v>
      </c>
      <c r="AD33" s="32">
        <f>Workings_risks!AD37</f>
        <v>0</v>
      </c>
      <c r="AE33" s="32">
        <f>Workings_risks!AE37</f>
        <v>0</v>
      </c>
      <c r="AF33" s="32">
        <f>Workings_risks!AF37</f>
        <v>0</v>
      </c>
      <c r="AG33" s="32">
        <f>Workings_risks!AG37</f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181</v>
      </c>
      <c r="D34" s="207"/>
      <c r="E34"/>
      <c r="G34" s="208">
        <f>input_dollars</f>
        <v>45473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180</v>
      </c>
      <c r="D36" s="219"/>
      <c r="E36" s="107"/>
      <c r="F36" s="3"/>
      <c r="G36" s="210"/>
      <c r="H36" s="107"/>
      <c r="I36" s="106">
        <f>SUM(I28:I34)</f>
        <v>0</v>
      </c>
      <c r="J36" s="106">
        <f t="shared" ref="J36:AB36" si="4">SUM(J28:J34)</f>
        <v>0</v>
      </c>
      <c r="K36" s="106">
        <f t="shared" si="4"/>
        <v>0</v>
      </c>
      <c r="L36" s="106">
        <f t="shared" si="4"/>
        <v>0</v>
      </c>
      <c r="M36" s="106">
        <f t="shared" si="4"/>
        <v>0</v>
      </c>
      <c r="N36" s="106">
        <f t="shared" si="4"/>
        <v>16399932.738805722</v>
      </c>
      <c r="O36" s="106">
        <f t="shared" si="4"/>
        <v>6559973.0955222882</v>
      </c>
      <c r="P36" s="106">
        <f t="shared" si="4"/>
        <v>2623989.2382089151</v>
      </c>
      <c r="Q36" s="106">
        <f t="shared" si="4"/>
        <v>1049595.6952835661</v>
      </c>
      <c r="R36" s="106">
        <f t="shared" si="4"/>
        <v>419838.27811342647</v>
      </c>
      <c r="S36" s="106">
        <f t="shared" si="4"/>
        <v>167935.31124537063</v>
      </c>
      <c r="T36" s="106">
        <f t="shared" si="4"/>
        <v>67174.124498148245</v>
      </c>
      <c r="U36" s="106">
        <f t="shared" si="4"/>
        <v>44782.749665432166</v>
      </c>
      <c r="V36" s="106">
        <f t="shared" si="4"/>
        <v>0</v>
      </c>
      <c r="W36" s="106">
        <f t="shared" si="4"/>
        <v>0</v>
      </c>
      <c r="X36" s="106">
        <f t="shared" si="4"/>
        <v>0</v>
      </c>
      <c r="Y36" s="106">
        <f t="shared" si="4"/>
        <v>0</v>
      </c>
      <c r="Z36" s="106">
        <f t="shared" si="4"/>
        <v>0</v>
      </c>
      <c r="AA36" s="106">
        <f t="shared" si="4"/>
        <v>0</v>
      </c>
      <c r="AB36" s="106">
        <f t="shared" si="4"/>
        <v>0</v>
      </c>
      <c r="AC36" s="106">
        <f>SUM(AC28:AC34)</f>
        <v>0</v>
      </c>
      <c r="AD36" s="106">
        <f>SUM(AD28:AD34)</f>
        <v>0</v>
      </c>
      <c r="AE36" s="106">
        <f>SUM(AE28:AE34)</f>
        <v>0</v>
      </c>
      <c r="AF36" s="106">
        <f>SUM(AF28:AF34)</f>
        <v>0</v>
      </c>
      <c r="AG36" s="106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6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6" t="s">
        <v>63</v>
      </c>
      <c r="E45" s="113">
        <f>Assumptions!G94</f>
        <v>151432.81740793545</v>
      </c>
      <c r="G45" s="208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6" t="s">
        <v>63</v>
      </c>
      <c r="E46" s="113">
        <f>Assumptions!G95</f>
        <v>24590</v>
      </c>
      <c r="G46" s="208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6" t="s">
        <v>63</v>
      </c>
      <c r="E47" s="112">
        <f>Assumptions!G96</f>
        <v>88.357719508603083</v>
      </c>
      <c r="G47" s="208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6" t="s">
        <v>126</v>
      </c>
      <c r="E48" s="112">
        <f>Assumptions!G97</f>
        <v>0</v>
      </c>
      <c r="G48" s="208" t="s">
        <v>213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211</v>
      </c>
      <c r="D49" s="206" t="s">
        <v>214</v>
      </c>
      <c r="E49" s="112">
        <f>Assumptions!G98</f>
        <v>0.35181336539087127</v>
      </c>
      <c r="G49" s="208" t="s">
        <v>215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212</v>
      </c>
      <c r="D50" s="206" t="s">
        <v>214</v>
      </c>
      <c r="E50" s="112">
        <f>Assumptions!G99</f>
        <v>0.35181336539087127</v>
      </c>
      <c r="G50" s="208" t="s">
        <v>215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6" t="s">
        <v>126</v>
      </c>
      <c r="E51" s="112">
        <f>Assumptions!G100</f>
        <v>0</v>
      </c>
      <c r="G51" s="208" t="s">
        <v>213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6" t="s">
        <v>126</v>
      </c>
      <c r="E52" s="112">
        <f>Assumptions!G101</f>
        <v>0</v>
      </c>
      <c r="G52" s="208" t="s">
        <v>213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45473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45473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11">
        <f>input_dollars</f>
        <v>45473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3"/>
    </row>
    <row r="64" spans="1:43" x14ac:dyDescent="0.2">
      <c r="C64" s="4" t="s">
        <v>121</v>
      </c>
      <c r="G64" s="211">
        <f>input_dollars</f>
        <v>45473</v>
      </c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1">
        <f>input_dollars</f>
        <v>45473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1">
        <f>input_dollars</f>
        <v>45473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1">
        <f>input_dollars</f>
        <v>45473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165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1">
        <f>input_dollars</f>
        <v>45473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1">
        <f>input_dollars</f>
        <v>45473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1">
        <f>input_dollars</f>
        <v>45473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1">
        <f>input_dollars</f>
        <v>45473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1">
        <f>input_dollars</f>
        <v>45473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1">
        <f>input_dollars</f>
        <v>45473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3" t="s">
        <v>166</v>
      </c>
      <c r="D80" s="173"/>
      <c r="E80" s="174"/>
      <c r="F80" s="175"/>
      <c r="G80" s="216">
        <f>input_dollars</f>
        <v>45473</v>
      </c>
      <c r="H80" s="176"/>
      <c r="I80" s="177">
        <f>SUM(I77:I79)</f>
        <v>0</v>
      </c>
      <c r="J80" s="177">
        <f t="shared" ref="J80:AB80" si="12">SUM(J77:J79)</f>
        <v>0</v>
      </c>
      <c r="K80" s="177">
        <f t="shared" si="12"/>
        <v>0</v>
      </c>
      <c r="L80" s="177">
        <f t="shared" si="12"/>
        <v>0</v>
      </c>
      <c r="M80" s="177">
        <f t="shared" si="12"/>
        <v>0</v>
      </c>
      <c r="N80" s="177">
        <f t="shared" si="12"/>
        <v>0</v>
      </c>
      <c r="O80" s="177">
        <f t="shared" si="12"/>
        <v>0</v>
      </c>
      <c r="P80" s="177">
        <f t="shared" si="12"/>
        <v>0</v>
      </c>
      <c r="Q80" s="177">
        <f t="shared" si="12"/>
        <v>0</v>
      </c>
      <c r="R80" s="177">
        <f t="shared" si="12"/>
        <v>0</v>
      </c>
      <c r="S80" s="177">
        <f t="shared" si="12"/>
        <v>0</v>
      </c>
      <c r="T80" s="177">
        <f t="shared" si="12"/>
        <v>0</v>
      </c>
      <c r="U80" s="177">
        <f t="shared" si="12"/>
        <v>0</v>
      </c>
      <c r="V80" s="177">
        <f t="shared" si="12"/>
        <v>0</v>
      </c>
      <c r="W80" s="177">
        <f t="shared" si="12"/>
        <v>0</v>
      </c>
      <c r="X80" s="177">
        <f t="shared" si="12"/>
        <v>0</v>
      </c>
      <c r="Y80" s="177">
        <f t="shared" si="12"/>
        <v>0</v>
      </c>
      <c r="Z80" s="177">
        <f t="shared" si="12"/>
        <v>0</v>
      </c>
      <c r="AA80" s="177">
        <f t="shared" si="12"/>
        <v>0</v>
      </c>
      <c r="AB80" s="177">
        <f t="shared" si="12"/>
        <v>0</v>
      </c>
      <c r="AC80" s="177">
        <f>SUM(AC77:AC79)</f>
        <v>0</v>
      </c>
      <c r="AD80" s="177">
        <f>SUM(AD77:AD79)</f>
        <v>0</v>
      </c>
      <c r="AE80" s="177">
        <f>SUM(AE77:AE79)</f>
        <v>0</v>
      </c>
      <c r="AF80" s="177">
        <f>SUM(AF77:AF79)</f>
        <v>0</v>
      </c>
      <c r="AG80" s="177">
        <f>SUM(AG77:AG79)</f>
        <v>0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3">input_dollars</f>
        <v>45473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3"/>
        <v>45473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149</v>
      </c>
      <c r="D84" s="38"/>
      <c r="F84" s="97"/>
      <c r="G84" s="211">
        <f t="shared" si="13"/>
        <v>45473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3"/>
        <v>45473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196</v>
      </c>
      <c r="D87" s="179"/>
      <c r="E87" s="174"/>
      <c r="F87" s="180"/>
      <c r="G87" s="216">
        <f t="shared" si="13"/>
        <v>45473</v>
      </c>
      <c r="H87" s="180"/>
      <c r="I87" s="180">
        <f t="shared" ref="I87:AB87" si="18">SUM(I82:I86)</f>
        <v>0</v>
      </c>
      <c r="J87" s="180">
        <f t="shared" si="18"/>
        <v>0</v>
      </c>
      <c r="K87" s="180">
        <f t="shared" si="18"/>
        <v>0</v>
      </c>
      <c r="L87" s="180">
        <f t="shared" si="18"/>
        <v>0</v>
      </c>
      <c r="M87" s="180">
        <f t="shared" si="18"/>
        <v>0</v>
      </c>
      <c r="N87" s="180">
        <f t="shared" si="18"/>
        <v>0</v>
      </c>
      <c r="O87" s="180">
        <f t="shared" si="18"/>
        <v>0</v>
      </c>
      <c r="P87" s="180">
        <f t="shared" si="18"/>
        <v>0</v>
      </c>
      <c r="Q87" s="180">
        <f t="shared" si="18"/>
        <v>0</v>
      </c>
      <c r="R87" s="180">
        <f t="shared" si="18"/>
        <v>0</v>
      </c>
      <c r="S87" s="180">
        <f t="shared" si="18"/>
        <v>0</v>
      </c>
      <c r="T87" s="180">
        <f t="shared" si="18"/>
        <v>0</v>
      </c>
      <c r="U87" s="180">
        <f t="shared" si="18"/>
        <v>0</v>
      </c>
      <c r="V87" s="180">
        <f t="shared" si="18"/>
        <v>0</v>
      </c>
      <c r="W87" s="180">
        <f t="shared" si="18"/>
        <v>0</v>
      </c>
      <c r="X87" s="180">
        <f t="shared" si="18"/>
        <v>0</v>
      </c>
      <c r="Y87" s="180">
        <f t="shared" si="18"/>
        <v>0</v>
      </c>
      <c r="Z87" s="180">
        <f t="shared" si="18"/>
        <v>0</v>
      </c>
      <c r="AA87" s="180">
        <f t="shared" si="18"/>
        <v>0</v>
      </c>
      <c r="AB87" s="180">
        <f t="shared" si="18"/>
        <v>0</v>
      </c>
      <c r="AC87" s="180">
        <f>SUM(AC82:AC86)</f>
        <v>0</v>
      </c>
      <c r="AD87" s="180">
        <f>SUM(AD82:AD86)</f>
        <v>0</v>
      </c>
      <c r="AE87" s="180">
        <f>SUM(AE82:AE86)</f>
        <v>0</v>
      </c>
      <c r="AF87" s="180">
        <f>SUM(AF82:AF86)</f>
        <v>0</v>
      </c>
      <c r="AG87" s="180">
        <f>SUM(AG82:AG86)</f>
        <v>0</v>
      </c>
    </row>
    <row r="88" spans="1:33" x14ac:dyDescent="0.2">
      <c r="A88" s="8"/>
      <c r="B88" s="8"/>
      <c r="C88" s="75"/>
      <c r="D88" s="139"/>
      <c r="E88" s="64"/>
      <c r="F88" s="141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E89" s="64"/>
      <c r="F89" s="141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/>
      <c r="D90" s="82"/>
      <c r="E90" s="232"/>
      <c r="F90" s="233"/>
      <c r="G90" s="23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2"/>
      <c r="D91" s="232"/>
      <c r="E91" s="232"/>
      <c r="F91" s="232"/>
      <c r="G91" s="232"/>
    </row>
    <row r="92" spans="1:33" x14ac:dyDescent="0.2">
      <c r="C92" s="232"/>
      <c r="D92" s="232"/>
      <c r="E92" s="232"/>
      <c r="F92" s="232"/>
      <c r="G92" s="232"/>
    </row>
    <row r="94" spans="1:33" x14ac:dyDescent="0.2">
      <c r="G94" s="12"/>
    </row>
    <row r="102" spans="1:43" ht="15" x14ac:dyDescent="0.2">
      <c r="A102" s="89" t="s">
        <v>226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E105"/>
      <c r="F105"/>
      <c r="G105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196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166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249</v>
      </c>
      <c r="D108" s="253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2" t="str">
        <f>Assumptions!G110</f>
        <v>Capex</v>
      </c>
      <c r="E109" s="302" t="str">
        <f>Assumptions!H110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"sens"&amp;Assumptions!B111</f>
        <v>sens1</v>
      </c>
      <c r="C110" s="301" t="str">
        <f>Assumptions!C111</f>
        <v>Capex 10% higher</v>
      </c>
      <c r="D110" s="302">
        <f>Assumptions!G111</f>
        <v>0.1</v>
      </c>
      <c r="E110" s="302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1" t="str">
        <f>Assumptions!C112</f>
        <v>Capex 10% lower</v>
      </c>
      <c r="D111" s="302">
        <f>Assumptions!G112</f>
        <v>-0.1</v>
      </c>
      <c r="E111" s="302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1" t="str">
        <f>Assumptions!C113</f>
        <v>Total benefits 10% higher</v>
      </c>
      <c r="D112" s="302">
        <f>Assumptions!G113</f>
        <v>0</v>
      </c>
      <c r="E112" s="302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1" t="str">
        <f>Assumptions!C114</f>
        <v>Total benefits 10% lower</v>
      </c>
      <c r="D113" s="302">
        <f>Assumptions!G114</f>
        <v>0</v>
      </c>
      <c r="E113" s="302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1" t="str">
        <f>Assumptions!C115</f>
        <v>Capex 10% higher &amp; Total benefits 10% lower</v>
      </c>
      <c r="D114" s="302">
        <f>Assumptions!G115</f>
        <v>0.1</v>
      </c>
      <c r="E114" s="302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1">
        <f>Assumptions!C116</f>
        <v>0</v>
      </c>
      <c r="D115" s="302">
        <f>Assumptions!G116</f>
        <v>0</v>
      </c>
      <c r="E115" s="302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1">
        <f>Assumptions!C117</f>
        <v>0</v>
      </c>
      <c r="D116" s="302">
        <f>Assumptions!G117</f>
        <v>0</v>
      </c>
      <c r="E116" s="302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1">
        <f>Assumptions!C118</f>
        <v>0</v>
      </c>
      <c r="D117" s="302">
        <f>Assumptions!G118</f>
        <v>0</v>
      </c>
      <c r="E117" s="302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L14" sqref="L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Pole mounted transformer uplift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130</v>
      </c>
      <c r="B3" s="5"/>
      <c r="C3" s="201" t="str">
        <f>INDEX(Assumptions!$E$14:$E$18, MATCH(A3,_xlfn.ANCHORARRAY( Assumptions!$C$14),0))</f>
        <v>Proactive replacement of P3 defects</v>
      </c>
    </row>
    <row r="4" spans="1:43" x14ac:dyDescent="0.2">
      <c r="A4" s="202" t="str">
        <f>(INDEX(Data!$D$9:$D$13, MATCH(A3, options,0)))</f>
        <v/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9">
        <v>50</v>
      </c>
      <c r="G14" s="208">
        <f>input_dollars</f>
        <v>45473</v>
      </c>
      <c r="H14" s="150"/>
      <c r="I14" s="32">
        <f>Workings_risks!I58</f>
        <v>1782742.9999999998</v>
      </c>
      <c r="J14" s="32">
        <f>Workings_risks!J58</f>
        <v>1782742.9999999998</v>
      </c>
      <c r="K14" s="32">
        <f>Workings_risks!K58</f>
        <v>1599066</v>
      </c>
      <c r="L14" s="32">
        <f>Workings_risks!L58</f>
        <v>1134473</v>
      </c>
      <c r="M14" s="32">
        <f>Workings_risks!M58</f>
        <v>713096.99999999988</v>
      </c>
      <c r="N14" s="32">
        <f>Workings_risks!N58</f>
        <v>713096.99999999988</v>
      </c>
      <c r="O14" s="32">
        <f>Workings_risks!O58</f>
        <v>713096.99999999988</v>
      </c>
      <c r="P14" s="32">
        <f>Workings_risks!P58</f>
        <v>713096.99999999988</v>
      </c>
      <c r="Q14" s="32">
        <f>Workings_risks!Q58</f>
        <v>713096.99999999988</v>
      </c>
      <c r="R14" s="32">
        <f>Workings_risks!R58</f>
        <v>713096.99999999988</v>
      </c>
      <c r="S14" s="32">
        <f>Workings_risks!S58</f>
        <v>0</v>
      </c>
      <c r="T14" s="32">
        <f>Workings_risks!T58</f>
        <v>0</v>
      </c>
      <c r="U14" s="32">
        <f>Workings_risks!U58</f>
        <v>0</v>
      </c>
      <c r="V14" s="32">
        <f>Workings_risks!V58</f>
        <v>0</v>
      </c>
      <c r="W14" s="32">
        <f>Workings_risks!W58</f>
        <v>0</v>
      </c>
      <c r="X14" s="32">
        <f>Workings_risks!X58</f>
        <v>0</v>
      </c>
      <c r="Y14" s="32">
        <f>Workings_risks!Y58</f>
        <v>0</v>
      </c>
      <c r="Z14" s="32">
        <f>Workings_risks!Z58</f>
        <v>0</v>
      </c>
      <c r="AA14" s="32">
        <f>Workings_risks!AA58</f>
        <v>0</v>
      </c>
      <c r="AB14" s="32">
        <f>Workings_risks!AB58</f>
        <v>0</v>
      </c>
      <c r="AC14" s="32">
        <f>Workings_risks!AC58</f>
        <v>0</v>
      </c>
      <c r="AD14" s="32">
        <f>Workings_risks!AD58</f>
        <v>0</v>
      </c>
      <c r="AE14" s="32">
        <f>Workings_risks!AE58</f>
        <v>0</v>
      </c>
      <c r="AF14" s="32">
        <f>Workings_risks!AF58</f>
        <v>0</v>
      </c>
      <c r="AG14" s="32">
        <f>Workings_risks!AG58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9">
        <v>0</v>
      </c>
      <c r="G15" s="208">
        <f>input_dollars</f>
        <v>45473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9">
        <v>0</v>
      </c>
      <c r="G16" s="208">
        <f>input_dollars</f>
        <v>45473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8">
        <f>input_dollars</f>
        <v>45473</v>
      </c>
      <c r="H17" s="107"/>
      <c r="I17" s="106">
        <f t="shared" ref="I17:Q17" si="0">SUM(I14:I16)</f>
        <v>1782742.9999999998</v>
      </c>
      <c r="J17" s="106">
        <f t="shared" si="0"/>
        <v>1782742.9999999998</v>
      </c>
      <c r="K17" s="106">
        <f t="shared" si="0"/>
        <v>1599066</v>
      </c>
      <c r="L17" s="106">
        <f t="shared" si="0"/>
        <v>1134473</v>
      </c>
      <c r="M17" s="106">
        <f t="shared" si="0"/>
        <v>713096.99999999988</v>
      </c>
      <c r="N17" s="106">
        <f t="shared" si="0"/>
        <v>713096.99999999988</v>
      </c>
      <c r="O17" s="106">
        <f t="shared" si="0"/>
        <v>713096.99999999988</v>
      </c>
      <c r="P17" s="106">
        <f t="shared" si="0"/>
        <v>713096.99999999988</v>
      </c>
      <c r="Q17" s="106">
        <f t="shared" si="0"/>
        <v>713096.99999999988</v>
      </c>
      <c r="R17" s="106">
        <f t="shared" ref="R17:AG17" si="1">SUM(R14:R16)</f>
        <v>713096.99999999988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45473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6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159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160</v>
      </c>
      <c r="D24" s="111"/>
      <c r="E24" s="111"/>
      <c r="F24" s="111"/>
      <c r="G24" s="209"/>
      <c r="H24" s="111"/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161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45498.921992955387</v>
      </c>
      <c r="F28" s="239" t="str">
        <f>IF(AND(SUM(I27:AG27)&lt;&gt;0, E28=0), "!", "")</f>
        <v/>
      </c>
      <c r="G28" s="208">
        <f>input_dollars</f>
        <v>45473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216</v>
      </c>
      <c r="G30" s="208">
        <f>input_dollars</f>
        <v>45473</v>
      </c>
      <c r="H30" s="150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45473</v>
      </c>
      <c r="H31" s="150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216</v>
      </c>
      <c r="E32"/>
      <c r="G32" s="208">
        <f>input_dollars</f>
        <v>45473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181</v>
      </c>
      <c r="D33" s="220"/>
      <c r="E33"/>
      <c r="G33" s="208">
        <f>input_dollars</f>
        <v>45473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181</v>
      </c>
      <c r="D34" s="207"/>
      <c r="E34"/>
      <c r="G34" s="208">
        <f>input_dollars</f>
        <v>45473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180</v>
      </c>
      <c r="D36" s="219"/>
      <c r="E36" s="107"/>
      <c r="F36" s="3"/>
      <c r="G36" s="210"/>
      <c r="H36" s="107"/>
      <c r="I36" s="171">
        <f>SUM(I28:I34)</f>
        <v>0</v>
      </c>
      <c r="J36" s="171">
        <f t="shared" ref="J36:AG36" si="3">SUM(J28:J34)</f>
        <v>0</v>
      </c>
      <c r="K36" s="171">
        <f t="shared" si="3"/>
        <v>0</v>
      </c>
      <c r="L36" s="171">
        <f t="shared" si="3"/>
        <v>0</v>
      </c>
      <c r="M36" s="171">
        <f t="shared" si="3"/>
        <v>0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 t="shared" si="3"/>
        <v>0</v>
      </c>
      <c r="AD36" s="171">
        <f t="shared" si="3"/>
        <v>0</v>
      </c>
      <c r="AE36" s="171">
        <f t="shared" si="3"/>
        <v>0</v>
      </c>
      <c r="AF36" s="171">
        <f t="shared" si="3"/>
        <v>0</v>
      </c>
      <c r="AG36" s="171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6" t="s">
        <v>63</v>
      </c>
      <c r="E45" s="113">
        <f>Assumptions!G94</f>
        <v>151432.81740793545</v>
      </c>
      <c r="G45" s="208" t="s">
        <v>40</v>
      </c>
      <c r="I45" s="325">
        <v>0</v>
      </c>
      <c r="J45" s="325">
        <v>0</v>
      </c>
      <c r="K45" s="325">
        <v>0</v>
      </c>
      <c r="L45" s="325">
        <v>0</v>
      </c>
      <c r="M45" s="325">
        <v>0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325">
        <v>0</v>
      </c>
      <c r="T45" s="325">
        <v>0</v>
      </c>
      <c r="U45" s="325">
        <v>0</v>
      </c>
      <c r="V45" s="325">
        <v>0</v>
      </c>
      <c r="W45" s="325">
        <v>0</v>
      </c>
      <c r="X45" s="325">
        <v>0</v>
      </c>
      <c r="Y45" s="325">
        <v>0</v>
      </c>
      <c r="Z45" s="325">
        <v>0</v>
      </c>
      <c r="AA45" s="325">
        <v>0</v>
      </c>
      <c r="AB45" s="325">
        <v>0</v>
      </c>
      <c r="AC45" s="325">
        <v>0</v>
      </c>
      <c r="AD45" s="325">
        <v>0</v>
      </c>
      <c r="AE45" s="325">
        <v>0</v>
      </c>
      <c r="AF45" s="325">
        <v>0</v>
      </c>
      <c r="AG45" s="325">
        <v>0</v>
      </c>
    </row>
    <row r="46" spans="1:16372" x14ac:dyDescent="0.2">
      <c r="C46" s="1" t="s">
        <v>4</v>
      </c>
      <c r="D46" s="206" t="s">
        <v>63</v>
      </c>
      <c r="E46" s="113">
        <f>Assumptions!G95</f>
        <v>24590</v>
      </c>
      <c r="G46" s="208" t="s">
        <v>40</v>
      </c>
      <c r="I46" s="325">
        <v>0</v>
      </c>
      <c r="J46" s="325">
        <v>0</v>
      </c>
      <c r="K46" s="325">
        <v>0</v>
      </c>
      <c r="L46" s="325">
        <v>0</v>
      </c>
      <c r="M46" s="325">
        <v>0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325">
        <v>0</v>
      </c>
      <c r="T46" s="325">
        <v>0</v>
      </c>
      <c r="U46" s="325">
        <v>0</v>
      </c>
      <c r="V46" s="325">
        <v>0</v>
      </c>
      <c r="W46" s="325">
        <v>0</v>
      </c>
      <c r="X46" s="325">
        <v>0</v>
      </c>
      <c r="Y46" s="325">
        <v>0</v>
      </c>
      <c r="Z46" s="325">
        <v>0</v>
      </c>
      <c r="AA46" s="325">
        <v>0</v>
      </c>
      <c r="AB46" s="325">
        <v>0</v>
      </c>
      <c r="AC46" s="325">
        <v>0</v>
      </c>
      <c r="AD46" s="325">
        <v>0</v>
      </c>
      <c r="AE46" s="325">
        <v>0</v>
      </c>
      <c r="AF46" s="325">
        <v>0</v>
      </c>
      <c r="AG46" s="325">
        <v>0</v>
      </c>
    </row>
    <row r="47" spans="1:16372" x14ac:dyDescent="0.2">
      <c r="C47" s="1" t="s">
        <v>5</v>
      </c>
      <c r="D47" s="206" t="s">
        <v>63</v>
      </c>
      <c r="E47" s="113">
        <f>Assumptions!G96</f>
        <v>88.357719508603083</v>
      </c>
      <c r="G47" s="208" t="s">
        <v>40</v>
      </c>
      <c r="I47" s="325">
        <v>0</v>
      </c>
      <c r="J47" s="325">
        <v>0</v>
      </c>
      <c r="K47" s="325">
        <v>0</v>
      </c>
      <c r="L47" s="325">
        <v>0</v>
      </c>
      <c r="M47" s="325">
        <v>0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325">
        <v>0</v>
      </c>
      <c r="T47" s="325">
        <v>0</v>
      </c>
      <c r="U47" s="325">
        <v>0</v>
      </c>
      <c r="V47" s="325">
        <v>0</v>
      </c>
      <c r="W47" s="325">
        <v>0</v>
      </c>
      <c r="X47" s="325">
        <v>0</v>
      </c>
      <c r="Y47" s="325">
        <v>0</v>
      </c>
      <c r="Z47" s="325">
        <v>0</v>
      </c>
      <c r="AA47" s="325">
        <v>0</v>
      </c>
      <c r="AB47" s="325">
        <v>0</v>
      </c>
      <c r="AC47" s="325">
        <v>0</v>
      </c>
      <c r="AD47" s="325">
        <v>0</v>
      </c>
      <c r="AE47" s="325">
        <v>0</v>
      </c>
      <c r="AF47" s="325">
        <v>0</v>
      </c>
      <c r="AG47" s="325">
        <v>0</v>
      </c>
    </row>
    <row r="48" spans="1:16372" x14ac:dyDescent="0.2">
      <c r="C48" s="1" t="s">
        <v>15</v>
      </c>
      <c r="D48" s="206" t="s">
        <v>126</v>
      </c>
      <c r="E48" s="112">
        <f>Assumptions!G97</f>
        <v>0</v>
      </c>
      <c r="G48" s="208" t="s">
        <v>213</v>
      </c>
      <c r="I48" s="325">
        <v>0</v>
      </c>
      <c r="J48" s="325">
        <v>0</v>
      </c>
      <c r="K48" s="325">
        <v>0</v>
      </c>
      <c r="L48" s="325">
        <v>0</v>
      </c>
      <c r="M48" s="325">
        <v>0</v>
      </c>
      <c r="N48" s="325">
        <v>0</v>
      </c>
      <c r="O48" s="325">
        <v>0</v>
      </c>
      <c r="P48" s="325">
        <v>0</v>
      </c>
      <c r="Q48" s="325">
        <v>0</v>
      </c>
      <c r="R48" s="325">
        <v>0</v>
      </c>
      <c r="S48" s="325">
        <v>0</v>
      </c>
      <c r="T48" s="325">
        <v>0</v>
      </c>
      <c r="U48" s="325">
        <v>0</v>
      </c>
      <c r="V48" s="325">
        <v>0</v>
      </c>
      <c r="W48" s="325">
        <v>0</v>
      </c>
      <c r="X48" s="325">
        <v>0</v>
      </c>
      <c r="Y48" s="325">
        <v>0</v>
      </c>
      <c r="Z48" s="325">
        <v>0</v>
      </c>
      <c r="AA48" s="325">
        <v>0</v>
      </c>
      <c r="AB48" s="325">
        <v>0</v>
      </c>
      <c r="AC48" s="325">
        <v>0</v>
      </c>
      <c r="AD48" s="325">
        <v>0</v>
      </c>
      <c r="AE48" s="325">
        <v>0</v>
      </c>
      <c r="AF48" s="325">
        <v>0</v>
      </c>
      <c r="AG48" s="325">
        <v>0</v>
      </c>
    </row>
    <row r="49" spans="1:43" x14ac:dyDescent="0.2">
      <c r="C49" s="1" t="s">
        <v>9</v>
      </c>
      <c r="D49" s="206" t="s">
        <v>214</v>
      </c>
      <c r="E49" s="112">
        <f>Assumptions!G98</f>
        <v>0.35181336539087127</v>
      </c>
      <c r="G49" s="208" t="s">
        <v>215</v>
      </c>
      <c r="I49" s="325">
        <v>0</v>
      </c>
      <c r="J49" s="325">
        <v>0</v>
      </c>
      <c r="K49" s="325">
        <v>0</v>
      </c>
      <c r="L49" s="325">
        <v>0</v>
      </c>
      <c r="M49" s="325">
        <v>0</v>
      </c>
      <c r="N49" s="325">
        <v>0</v>
      </c>
      <c r="O49" s="325">
        <v>0</v>
      </c>
      <c r="P49" s="325">
        <v>0</v>
      </c>
      <c r="Q49" s="325">
        <v>0</v>
      </c>
      <c r="R49" s="325">
        <v>0</v>
      </c>
      <c r="S49" s="325">
        <v>0</v>
      </c>
      <c r="T49" s="325">
        <v>0</v>
      </c>
      <c r="U49" s="325">
        <v>0</v>
      </c>
      <c r="V49" s="325">
        <v>0</v>
      </c>
      <c r="W49" s="325">
        <v>0</v>
      </c>
      <c r="X49" s="325">
        <v>0</v>
      </c>
      <c r="Y49" s="325">
        <v>0</v>
      </c>
      <c r="Z49" s="325">
        <v>0</v>
      </c>
      <c r="AA49" s="325">
        <v>0</v>
      </c>
      <c r="AB49" s="325">
        <v>0</v>
      </c>
      <c r="AC49" s="325">
        <v>0</v>
      </c>
      <c r="AD49" s="325">
        <v>0</v>
      </c>
      <c r="AE49" s="325">
        <v>0</v>
      </c>
      <c r="AF49" s="325">
        <v>0</v>
      </c>
      <c r="AG49" s="325">
        <v>0</v>
      </c>
    </row>
    <row r="50" spans="1:43" x14ac:dyDescent="0.2">
      <c r="C50" s="1" t="s">
        <v>10</v>
      </c>
      <c r="D50" s="206" t="s">
        <v>214</v>
      </c>
      <c r="E50" s="112">
        <f>Assumptions!G99</f>
        <v>0.35181336539087127</v>
      </c>
      <c r="G50" s="208" t="s">
        <v>215</v>
      </c>
      <c r="I50" s="325">
        <v>0</v>
      </c>
      <c r="J50" s="325">
        <v>0</v>
      </c>
      <c r="K50" s="325">
        <v>0</v>
      </c>
      <c r="L50" s="325">
        <v>0</v>
      </c>
      <c r="M50" s="325">
        <v>0</v>
      </c>
      <c r="N50" s="325">
        <v>0</v>
      </c>
      <c r="O50" s="325">
        <v>0</v>
      </c>
      <c r="P50" s="325">
        <v>0</v>
      </c>
      <c r="Q50" s="325">
        <v>0</v>
      </c>
      <c r="R50" s="325">
        <v>0</v>
      </c>
      <c r="S50" s="325">
        <v>0</v>
      </c>
      <c r="T50" s="325">
        <v>0</v>
      </c>
      <c r="U50" s="325">
        <v>0</v>
      </c>
      <c r="V50" s="325">
        <v>0</v>
      </c>
      <c r="W50" s="325">
        <v>0</v>
      </c>
      <c r="X50" s="325">
        <v>0</v>
      </c>
      <c r="Y50" s="325">
        <v>0</v>
      </c>
      <c r="Z50" s="325">
        <v>0</v>
      </c>
      <c r="AA50" s="325">
        <v>0</v>
      </c>
      <c r="AB50" s="325">
        <v>0</v>
      </c>
      <c r="AC50" s="325">
        <v>0</v>
      </c>
      <c r="AD50" s="325">
        <v>0</v>
      </c>
      <c r="AE50" s="325">
        <v>0</v>
      </c>
      <c r="AF50" s="325">
        <v>0</v>
      </c>
      <c r="AG50" s="325">
        <v>0</v>
      </c>
    </row>
    <row r="51" spans="1:43" x14ac:dyDescent="0.2">
      <c r="C51" s="1" t="s">
        <v>6</v>
      </c>
      <c r="D51" s="206" t="s">
        <v>126</v>
      </c>
      <c r="E51" s="112">
        <f>Assumptions!G100</f>
        <v>0</v>
      </c>
      <c r="G51" s="208" t="s">
        <v>213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6" t="s">
        <v>126</v>
      </c>
      <c r="E52" s="112">
        <f>Assumptions!G101</f>
        <v>0</v>
      </c>
      <c r="G52" s="208" t="s">
        <v>213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326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45473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45473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11">
        <f>input_dollars</f>
        <v>45473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0</v>
      </c>
      <c r="L57" s="171" cm="1">
        <f t="array" ref="L57">SUMPRODUCT((L$45:L$52)*($E$45:$E$52))+SUM(L54:L55)+L42</f>
        <v>0</v>
      </c>
      <c r="M57" s="171" cm="1">
        <f t="array" ref="M57">SUMPRODUCT((M$45:M$52)*($E$45:$E$52))+SUM(M54:M55)+M42</f>
        <v>0</v>
      </c>
      <c r="N57" s="171" cm="1">
        <f t="array" ref="N57">SUMPRODUCT((N$45:N$52)*($E$45:$E$52))+SUM(N54:N55)+N42</f>
        <v>0</v>
      </c>
      <c r="O57" s="171" cm="1">
        <f t="array" ref="O57">SUMPRODUCT((O$45:O$52)*($E$45:$E$52))+SUM(O54:O55)+O42</f>
        <v>0</v>
      </c>
      <c r="P57" s="171" cm="1">
        <f t="array" ref="P57">SUMPRODUCT((P$45:P$52)*($E$45:$E$52))+SUM(P54:P55)+P42</f>
        <v>0</v>
      </c>
      <c r="Q57" s="171" cm="1">
        <f t="array" ref="Q57">SUMPRODUCT((Q$45:Q$52)*($E$45:$E$52))+SUM(Q54:Q55)+Q42</f>
        <v>0</v>
      </c>
      <c r="R57" s="171" cm="1">
        <f t="array" ref="R57">SUMPRODUCT((R$45:R$52)*($E$45:$E$52))+SUM(R54:R55)+R42</f>
        <v>0</v>
      </c>
      <c r="S57" s="171" cm="1">
        <f t="array" ref="S57">SUMPRODUCT((S$45:S$52)*($E$45:$E$52))+SUM(S54:S55)+S42</f>
        <v>0</v>
      </c>
      <c r="T57" s="171" cm="1">
        <f t="array" ref="T57">SUMPRODUCT((T$45:T$52)*($E$45:$E$52))+SUM(T54:T55)+T42</f>
        <v>0</v>
      </c>
      <c r="U57" s="171" cm="1">
        <f t="array" ref="U57">SUMPRODUCT((U$45:U$52)*($E$45:$E$52))+SUM(U54:U55)+U42</f>
        <v>0</v>
      </c>
      <c r="V57" s="171" cm="1">
        <f t="array" ref="V57">SUMPRODUCT((V$45:V$52)*($E$45:$E$52))+SUM(V54:V55)+V42</f>
        <v>0</v>
      </c>
      <c r="W57" s="171" cm="1">
        <f t="array" ref="W57">SUMPRODUCT((W$45:W$52)*($E$45:$E$52))+SUM(W54:W55)+W42</f>
        <v>0</v>
      </c>
      <c r="X57" s="171" cm="1">
        <f t="array" ref="X57">SUMPRODUCT((X$45:X$52)*($E$45:$E$52))+SUM(X54:X55)+X42</f>
        <v>0</v>
      </c>
      <c r="Y57" s="171" cm="1">
        <f t="array" ref="Y57">SUMPRODUCT((Y$45:Y$52)*($E$45:$E$52))+SUM(Y54:Y55)+Y42</f>
        <v>0</v>
      </c>
      <c r="Z57" s="171" cm="1">
        <f t="array" ref="Z57">SUMPRODUCT((Z$45:Z$52)*($E$45:$E$52))+SUM(Z54:Z55)+Z42</f>
        <v>0</v>
      </c>
      <c r="AA57" s="171" cm="1">
        <f t="array" ref="AA57">SUMPRODUCT((AA$45:AA$52)*($E$45:$E$52))+SUM(AA54:AA55)+AA42</f>
        <v>0</v>
      </c>
      <c r="AB57" s="171" cm="1">
        <f t="array" ref="AB57">SUMPRODUCT((AB$45:AB$52)*($E$45:$E$52))+SUM(AB54:AB55)+AB42</f>
        <v>0</v>
      </c>
      <c r="AC57" s="171" cm="1">
        <f t="array" ref="AC57">SUMPRODUCT((AC$45:AC$52)*($E$45:$E$52))+SUM(AC54:AC55)+AC42</f>
        <v>0</v>
      </c>
      <c r="AD57" s="171" cm="1">
        <f t="array" ref="AD57">SUMPRODUCT((AD$45:AD$52)*($E$45:$E$52))+SUM(AD54:AD55)+AD42</f>
        <v>0</v>
      </c>
      <c r="AE57" s="171" cm="1">
        <f t="array" ref="AE57">SUMPRODUCT((AE$45:AE$52)*($E$45:$E$52))+SUM(AE54:AE55)+AE42</f>
        <v>0</v>
      </c>
      <c r="AF57" s="171" cm="1">
        <f t="array" ref="AF57">SUMPRODUCT((AF$45:AF$52)*($E$45:$E$52))+SUM(AF54:AF55)+AF42</f>
        <v>0</v>
      </c>
      <c r="AG57" s="171" cm="1">
        <f t="array" ref="AG57">SUMPRODUCT((AG$45:AG$52)*($E$45:$E$52))+SUM(AG54:AG55)+AG42</f>
        <v>0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3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</row>
    <row r="64" spans="1:43" x14ac:dyDescent="0.2">
      <c r="C64" s="4" t="str">
        <f>'Option1 (base case)'!C64</f>
        <v>Risks mitigated vs base case</v>
      </c>
      <c r="G64" s="211">
        <f>input_dollars</f>
        <v>45473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0</v>
      </c>
      <c r="L64" s="133">
        <f>(1-INDEX(Data!$C$9:$C$13, MATCH($A$3, options,0)))*('Option1 (base case)'!L36-L36)</f>
        <v>0</v>
      </c>
      <c r="M64" s="133">
        <f>(1-INDEX(Data!$C$9:$C$13, MATCH($A$3, options,0)))*('Option1 (base case)'!M36-M36)</f>
        <v>0</v>
      </c>
      <c r="N64" s="133">
        <f>(1-INDEX(Data!$C$9:$C$13, MATCH($A$3, options,0)))*('Option1 (base case)'!N36-N36)</f>
        <v>16399932.738805722</v>
      </c>
      <c r="O64" s="133">
        <f>(1-INDEX(Data!$C$9:$C$13, MATCH($A$3, options,0)))*('Option1 (base case)'!O36-O36)</f>
        <v>6559973.0955222882</v>
      </c>
      <c r="P64" s="133">
        <f>(1-INDEX(Data!$C$9:$C$13, MATCH($A$3, options,0)))*('Option1 (base case)'!P36-P36)</f>
        <v>2623989.2382089151</v>
      </c>
      <c r="Q64" s="133">
        <f>(1-INDEX(Data!$C$9:$C$13, MATCH($A$3, options,0)))*('Option1 (base case)'!Q36-Q36)</f>
        <v>1049595.6952835661</v>
      </c>
      <c r="R64" s="133">
        <f>(1-INDEX(Data!$C$9:$C$13, MATCH($A$3, options,0)))*('Option1 (base case)'!R36-R36)</f>
        <v>419838.27811342647</v>
      </c>
      <c r="S64" s="133">
        <f>(1-INDEX(Data!$C$9:$C$13, MATCH($A$3, options,0)))*('Option1 (base case)'!S36-S36)</f>
        <v>167935.31124537063</v>
      </c>
      <c r="T64" s="133">
        <f>(1-INDEX(Data!$C$9:$C$13, MATCH($A$3, options,0)))*('Option1 (base case)'!T36-T36)</f>
        <v>67174.124498148245</v>
      </c>
      <c r="U64" s="133">
        <f>(1-INDEX(Data!$C$9:$C$13, MATCH($A$3, options,0)))*('Option1 (base case)'!U36-U36)</f>
        <v>44782.749665432166</v>
      </c>
      <c r="V64" s="133">
        <f>(1-INDEX(Data!$C$9:$C$13, MATCH($A$3, options,0)))*('Option1 (base case)'!V36-V36)</f>
        <v>0</v>
      </c>
      <c r="W64" s="133">
        <f>(1-INDEX(Data!$C$9:$C$13, MATCH($A$3, options,0)))*('Option1 (base case)'!W36-W36)</f>
        <v>0</v>
      </c>
      <c r="X64" s="133">
        <f>(1-INDEX(Data!$C$9:$C$13, MATCH($A$3, options,0)))*('Option1 (base case)'!X36-X36)</f>
        <v>0</v>
      </c>
      <c r="Y64" s="133">
        <f>(1-INDEX(Data!$C$9:$C$13, MATCH($A$3, options,0)))*('Option1 (base case)'!Y36-Y36)</f>
        <v>0</v>
      </c>
      <c r="Z64" s="133">
        <f>(1-INDEX(Data!$C$9:$C$13, MATCH($A$3, options,0)))*('Option1 (base case)'!Z36-Z36)</f>
        <v>0</v>
      </c>
      <c r="AA64" s="133">
        <f>(1-INDEX(Data!$C$9:$C$13, MATCH($A$3, options,0)))*('Option1 (base case)'!AA36-AA36)</f>
        <v>0</v>
      </c>
      <c r="AB64" s="133">
        <f>(1-INDEX(Data!$C$9:$C$13, MATCH($A$3, options,0)))*('Option1 (base case)'!AB36-AB36)</f>
        <v>0</v>
      </c>
      <c r="AC64" s="133">
        <f>(1-INDEX(Data!$C$9:$C$13, MATCH($A$3, options,0)))*('Option1 (base case)'!AC36-AC36)</f>
        <v>0</v>
      </c>
      <c r="AD64" s="133">
        <f>(1-INDEX(Data!$C$9:$C$13, MATCH($A$3, options,0)))*('Option1 (base case)'!AD36-AD36)</f>
        <v>0</v>
      </c>
      <c r="AE64" s="133">
        <f>(1-INDEX(Data!$C$9:$C$13, MATCH($A$3, options,0)))*('Option1 (base case)'!AE36-AE36)</f>
        <v>0</v>
      </c>
      <c r="AF64" s="133">
        <f>(1-INDEX(Data!$C$9:$C$13, MATCH($A$3, options,0)))*('Option1 (base case)'!AF36-AF36)</f>
        <v>0</v>
      </c>
      <c r="AG64" s="133">
        <f>(1-INDEX(Data!$C$9:$C$13, MATCH($A$3, options,0)))*('Option1 (base case)'!AG36-AG36)</f>
        <v>0</v>
      </c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1">
        <f>input_dollars</f>
        <v>45473</v>
      </c>
      <c r="H67" s="31"/>
      <c r="I67" s="119">
        <f t="shared" ref="I67:AG67" si="5">-I14</f>
        <v>-1782742.9999999998</v>
      </c>
      <c r="J67" s="119">
        <f t="shared" si="5"/>
        <v>-1782742.9999999998</v>
      </c>
      <c r="K67" s="119">
        <f t="shared" si="5"/>
        <v>-1599066</v>
      </c>
      <c r="L67" s="119">
        <f t="shared" si="5"/>
        <v>-1134473</v>
      </c>
      <c r="M67" s="119">
        <f t="shared" si="5"/>
        <v>-713096.99999999988</v>
      </c>
      <c r="N67" s="119">
        <f t="shared" si="5"/>
        <v>-713096.99999999988</v>
      </c>
      <c r="O67" s="119">
        <f t="shared" si="5"/>
        <v>-713096.99999999988</v>
      </c>
      <c r="P67" s="119">
        <f t="shared" si="5"/>
        <v>-713096.99999999988</v>
      </c>
      <c r="Q67" s="119">
        <f t="shared" si="5"/>
        <v>-713096.99999999988</v>
      </c>
      <c r="R67" s="119">
        <f t="shared" si="5"/>
        <v>-713096.99999999988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1">
        <f>input_dollars</f>
        <v>45473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1">
        <f>input_dollars</f>
        <v>45473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165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1">
        <f>input_dollars</f>
        <v>45473</v>
      </c>
      <c r="H72" s="31"/>
      <c r="I72" s="119" cm="1">
        <f t="array" ref="I72">SUMPRODUCT(($I67:I67))-SUMPRODUCT(($I67:I67)*($I$6:I$6&lt;=(I$6-$E14)))</f>
        <v>-1782742.9999999998</v>
      </c>
      <c r="J72" s="119" cm="1">
        <f t="array" ref="J72">SUMPRODUCT(($I67:J67))-SUMPRODUCT(($I67:J67)*($I$6:J$6&lt;=(J$6-$E14)))</f>
        <v>-3565485.9999999995</v>
      </c>
      <c r="K72" s="119" cm="1">
        <f t="array" ref="K72">SUMPRODUCT(($I67:K67))-SUMPRODUCT(($I67:K67)*($I$6:K$6&lt;=(K$6-$E14)))</f>
        <v>-5164552</v>
      </c>
      <c r="L72" s="119" cm="1">
        <f t="array" ref="L72">SUMPRODUCT(($I67:L67))-SUMPRODUCT(($I67:L67)*($I$6:L$6&lt;=(L$6-$E14)))</f>
        <v>-6299025</v>
      </c>
      <c r="M72" s="119" cm="1">
        <f t="array" ref="M72">SUMPRODUCT(($I67:M67))-SUMPRODUCT(($I67:M67)*($I$6:M$6&lt;=(M$6-$E14)))</f>
        <v>-7012122</v>
      </c>
      <c r="N72" s="119" cm="1">
        <f t="array" ref="N72">SUMPRODUCT(($I67:N67))-SUMPRODUCT(($I67:N67)*($I$6:N$6&lt;=(N$6-$E14)))</f>
        <v>-7725219</v>
      </c>
      <c r="O72" s="119" cm="1">
        <f t="array" ref="O72">SUMPRODUCT(($I67:O67))-SUMPRODUCT(($I67:O67)*($I$6:O$6&lt;=(O$6-$E14)))</f>
        <v>-8438316</v>
      </c>
      <c r="P72" s="119" cm="1">
        <f t="array" ref="P72">SUMPRODUCT(($I67:P67))-SUMPRODUCT(($I67:P67)*($I$6:P$6&lt;=(P$6-$E14)))</f>
        <v>-9151413</v>
      </c>
      <c r="Q72" s="119" cm="1">
        <f t="array" ref="Q72">SUMPRODUCT(($I67:Q67))-SUMPRODUCT(($I67:Q67)*($I$6:Q$6&lt;=(Q$6-$E14)))</f>
        <v>-9864510</v>
      </c>
      <c r="R72" s="119" cm="1">
        <f t="array" ref="R72">SUMPRODUCT(($I67:R67))-SUMPRODUCT(($I67:R67)*($I$6:R$6&lt;=(R$6-$E14)))</f>
        <v>-10577607</v>
      </c>
      <c r="S72" s="119" cm="1">
        <f t="array" ref="S72">SUMPRODUCT(($I67:S67))-SUMPRODUCT(($I67:S67)*($I$6:S$6&lt;=(S$6-$E14)))</f>
        <v>-10577607</v>
      </c>
      <c r="T72" s="119" cm="1">
        <f t="array" ref="T72">SUMPRODUCT(($I67:T67))-SUMPRODUCT(($I67:T67)*($I$6:T$6&lt;=(T$6-$E14)))</f>
        <v>-10577607</v>
      </c>
      <c r="U72" s="119" cm="1">
        <f t="array" ref="U72">SUMPRODUCT(($I67:U67))-SUMPRODUCT(($I67:U67)*($I$6:U$6&lt;=(U$6-$E14)))</f>
        <v>-10577607</v>
      </c>
      <c r="V72" s="119" cm="1">
        <f t="array" ref="V72">SUMPRODUCT(($I67:V67))-SUMPRODUCT(($I67:V67)*($I$6:V$6&lt;=(V$6-$E14)))</f>
        <v>-10577607</v>
      </c>
      <c r="W72" s="119" cm="1">
        <f t="array" ref="W72">SUMPRODUCT(($I67:W67))-SUMPRODUCT(($I67:W67)*($I$6:W$6&lt;=(W$6-$E14)))</f>
        <v>-10577607</v>
      </c>
      <c r="X72" s="119" cm="1">
        <f t="array" ref="X72">SUMPRODUCT(($I67:X67))-SUMPRODUCT(($I67:X67)*($I$6:X$6&lt;=(X$6-$E14)))</f>
        <v>-10577607</v>
      </c>
      <c r="Y72" s="119" cm="1">
        <f t="array" ref="Y72">SUMPRODUCT(($I67:Y67))-SUMPRODUCT(($I67:Y67)*($I$6:Y$6&lt;=(Y$6-$E14)))</f>
        <v>-10577607</v>
      </c>
      <c r="Z72" s="119" cm="1">
        <f t="array" ref="Z72">SUMPRODUCT(($I67:Z67))-SUMPRODUCT(($I67:Z67)*($I$6:Z$6&lt;=(Z$6-$E14)))</f>
        <v>-10577607</v>
      </c>
      <c r="AA72" s="119" cm="1">
        <f t="array" ref="AA72">SUMPRODUCT(($I67:AA67))-SUMPRODUCT(($I67:AA67)*($I$6:AA$6&lt;=(AA$6-$E14)))</f>
        <v>-10577607</v>
      </c>
      <c r="AB72" s="119" cm="1">
        <f t="array" ref="AB72">SUMPRODUCT(($I67:AB67))-SUMPRODUCT(($I67:AB67)*($I$6:AB$6&lt;=(AB$6-$E14)))</f>
        <v>-10577607</v>
      </c>
      <c r="AC72" s="119" cm="1">
        <f t="array" ref="AC72">SUMPRODUCT(($I67:AC67))-SUMPRODUCT(($I67:AC67)*($I$6:AC$6&lt;=(AC$6-$E14)))</f>
        <v>-10577607</v>
      </c>
      <c r="AD72" s="119" cm="1">
        <f t="array" ref="AD72">SUMPRODUCT(($I67:AD67))-SUMPRODUCT(($I67:AD67)*($I$6:AD$6&lt;=(AD$6-$E14)))</f>
        <v>-10577607</v>
      </c>
      <c r="AE72" s="119" cm="1">
        <f t="array" ref="AE72">SUMPRODUCT(($I67:AE67))-SUMPRODUCT(($I67:AE67)*($I$6:AE$6&lt;=(AE$6-$E14)))</f>
        <v>-10577607</v>
      </c>
      <c r="AF72" s="119" cm="1">
        <f t="array" ref="AF72">SUMPRODUCT(($I67:AF67))-SUMPRODUCT(($I67:AF67)*($I$6:AF$6&lt;=(AF$6-$E14)))</f>
        <v>-10577607</v>
      </c>
      <c r="AG72" s="119" cm="1">
        <f t="array" ref="AG72">SUMPRODUCT(($I67:AG67))-SUMPRODUCT(($I67:AG67)*($I$6:AG$6&lt;=(AG$6-$E14)))</f>
        <v>-10577607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1">
        <f>input_dollars</f>
        <v>45473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1">
        <f>input_dollars</f>
        <v>45473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1">
        <f>input_dollars</f>
        <v>45473</v>
      </c>
      <c r="H77" s="31"/>
      <c r="I77" s="119">
        <f t="shared" ref="I77:AG77" si="8">IF($E14=0,0,-PMT(real_disc, $E14,H72,))</f>
        <v>0</v>
      </c>
      <c r="J77" s="119">
        <f t="shared" si="8"/>
        <v>-76004.947293796431</v>
      </c>
      <c r="K77" s="119">
        <f t="shared" si="8"/>
        <v>-152009.89458759286</v>
      </c>
      <c r="L77" s="119">
        <f t="shared" si="8"/>
        <v>-220184.01000933451</v>
      </c>
      <c r="M77" s="119">
        <f t="shared" si="8"/>
        <v>-268550.80240242492</v>
      </c>
      <c r="N77" s="119">
        <f t="shared" si="8"/>
        <v>-298952.77279320156</v>
      </c>
      <c r="O77" s="119">
        <f t="shared" si="8"/>
        <v>-329354.74318397819</v>
      </c>
      <c r="P77" s="119">
        <f t="shared" si="8"/>
        <v>-359756.71357475489</v>
      </c>
      <c r="Q77" s="119">
        <f t="shared" si="8"/>
        <v>-390158.68396553153</v>
      </c>
      <c r="R77" s="119">
        <f t="shared" si="8"/>
        <v>-420560.65435630822</v>
      </c>
      <c r="S77" s="119">
        <f t="shared" si="8"/>
        <v>-450962.62474708486</v>
      </c>
      <c r="T77" s="119">
        <f t="shared" si="8"/>
        <v>-450962.62474708486</v>
      </c>
      <c r="U77" s="119">
        <f t="shared" si="8"/>
        <v>-450962.62474708486</v>
      </c>
      <c r="V77" s="119">
        <f t="shared" si="8"/>
        <v>-450962.62474708486</v>
      </c>
      <c r="W77" s="119">
        <f t="shared" si="8"/>
        <v>-450962.62474708486</v>
      </c>
      <c r="X77" s="119">
        <f t="shared" si="8"/>
        <v>-450962.62474708486</v>
      </c>
      <c r="Y77" s="119">
        <f t="shared" si="8"/>
        <v>-450962.62474708486</v>
      </c>
      <c r="Z77" s="119">
        <f t="shared" si="8"/>
        <v>-450962.62474708486</v>
      </c>
      <c r="AA77" s="119">
        <f t="shared" si="8"/>
        <v>-450962.62474708486</v>
      </c>
      <c r="AB77" s="119">
        <f t="shared" si="8"/>
        <v>-450962.62474708486</v>
      </c>
      <c r="AC77" s="119">
        <f t="shared" si="8"/>
        <v>-450962.62474708486</v>
      </c>
      <c r="AD77" s="119">
        <f t="shared" si="8"/>
        <v>-450962.62474708486</v>
      </c>
      <c r="AE77" s="119">
        <f t="shared" si="8"/>
        <v>-450962.62474708486</v>
      </c>
      <c r="AF77" s="119">
        <f t="shared" si="8"/>
        <v>-450962.62474708486</v>
      </c>
      <c r="AG77" s="119">
        <f t="shared" si="8"/>
        <v>-450962.62474708486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1">
        <f>input_dollars</f>
        <v>45473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1">
        <f>input_dollars</f>
        <v>45473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3" t="s">
        <v>166</v>
      </c>
      <c r="D80" s="173"/>
      <c r="E80" s="174"/>
      <c r="F80" s="175"/>
      <c r="G80" s="216">
        <f>input_dollars</f>
        <v>45473</v>
      </c>
      <c r="H80" s="176"/>
      <c r="I80" s="177">
        <f>SUM(I77:I79)</f>
        <v>0</v>
      </c>
      <c r="J80" s="177">
        <f t="shared" ref="J80:AB80" si="11">SUM(J77:J79)</f>
        <v>-76004.947293796431</v>
      </c>
      <c r="K80" s="177">
        <f t="shared" si="11"/>
        <v>-152009.89458759286</v>
      </c>
      <c r="L80" s="177">
        <f t="shared" si="11"/>
        <v>-220184.01000933451</v>
      </c>
      <c r="M80" s="177">
        <f t="shared" si="11"/>
        <v>-268550.80240242492</v>
      </c>
      <c r="N80" s="177">
        <f t="shared" si="11"/>
        <v>-298952.77279320156</v>
      </c>
      <c r="O80" s="177">
        <f t="shared" si="11"/>
        <v>-329354.74318397819</v>
      </c>
      <c r="P80" s="177">
        <f t="shared" si="11"/>
        <v>-359756.71357475489</v>
      </c>
      <c r="Q80" s="177">
        <f t="shared" si="11"/>
        <v>-390158.68396553153</v>
      </c>
      <c r="R80" s="177">
        <f t="shared" si="11"/>
        <v>-420560.65435630822</v>
      </c>
      <c r="S80" s="177">
        <f t="shared" si="11"/>
        <v>-450962.62474708486</v>
      </c>
      <c r="T80" s="177">
        <f t="shared" si="11"/>
        <v>-450962.62474708486</v>
      </c>
      <c r="U80" s="177">
        <f t="shared" si="11"/>
        <v>-450962.62474708486</v>
      </c>
      <c r="V80" s="177">
        <f t="shared" si="11"/>
        <v>-450962.62474708486</v>
      </c>
      <c r="W80" s="177">
        <f t="shared" si="11"/>
        <v>-450962.62474708486</v>
      </c>
      <c r="X80" s="177">
        <f t="shared" si="11"/>
        <v>-450962.62474708486</v>
      </c>
      <c r="Y80" s="177">
        <f t="shared" si="11"/>
        <v>-450962.62474708486</v>
      </c>
      <c r="Z80" s="177">
        <f t="shared" si="11"/>
        <v>-450962.62474708486</v>
      </c>
      <c r="AA80" s="177">
        <f t="shared" si="11"/>
        <v>-450962.62474708486</v>
      </c>
      <c r="AB80" s="177">
        <f t="shared" si="11"/>
        <v>-450962.62474708486</v>
      </c>
      <c r="AC80" s="177">
        <f>SUM(AC77:AC79)</f>
        <v>-450962.62474708486</v>
      </c>
      <c r="AD80" s="177">
        <f>SUM(AD77:AD79)</f>
        <v>-450962.62474708486</v>
      </c>
      <c r="AE80" s="177">
        <f>SUM(AE77:AE79)</f>
        <v>-450962.62474708486</v>
      </c>
      <c r="AF80" s="177">
        <f>SUM(AF77:AF79)</f>
        <v>-450962.62474708486</v>
      </c>
      <c r="AG80" s="177">
        <f>SUM(AG77:AG79)</f>
        <v>-450962.62474708486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45473</v>
      </c>
      <c r="H82" s="31"/>
      <c r="I82" s="119">
        <f>I80</f>
        <v>0</v>
      </c>
      <c r="J82" s="119">
        <f t="shared" ref="J82:AB82" si="13">J80</f>
        <v>-76004.947293796431</v>
      </c>
      <c r="K82" s="119">
        <f t="shared" si="13"/>
        <v>-152009.89458759286</v>
      </c>
      <c r="L82" s="119">
        <f t="shared" si="13"/>
        <v>-220184.01000933451</v>
      </c>
      <c r="M82" s="119">
        <f t="shared" si="13"/>
        <v>-268550.80240242492</v>
      </c>
      <c r="N82" s="119">
        <f t="shared" si="13"/>
        <v>-298952.77279320156</v>
      </c>
      <c r="O82" s="119">
        <f t="shared" si="13"/>
        <v>-329354.74318397819</v>
      </c>
      <c r="P82" s="119">
        <f t="shared" si="13"/>
        <v>-359756.71357475489</v>
      </c>
      <c r="Q82" s="119">
        <f t="shared" si="13"/>
        <v>-390158.68396553153</v>
      </c>
      <c r="R82" s="119">
        <f t="shared" si="13"/>
        <v>-420560.65435630822</v>
      </c>
      <c r="S82" s="119">
        <f t="shared" si="13"/>
        <v>-450962.62474708486</v>
      </c>
      <c r="T82" s="119">
        <f t="shared" si="13"/>
        <v>-450962.62474708486</v>
      </c>
      <c r="U82" s="119">
        <f t="shared" si="13"/>
        <v>-450962.62474708486</v>
      </c>
      <c r="V82" s="119">
        <f t="shared" si="13"/>
        <v>-450962.62474708486</v>
      </c>
      <c r="W82" s="119">
        <f t="shared" si="13"/>
        <v>-450962.62474708486</v>
      </c>
      <c r="X82" s="119">
        <f t="shared" si="13"/>
        <v>-450962.62474708486</v>
      </c>
      <c r="Y82" s="119">
        <f t="shared" si="13"/>
        <v>-450962.62474708486</v>
      </c>
      <c r="Z82" s="119">
        <f t="shared" si="13"/>
        <v>-450962.62474708486</v>
      </c>
      <c r="AA82" s="119">
        <f t="shared" si="13"/>
        <v>-450962.62474708486</v>
      </c>
      <c r="AB82" s="119">
        <f t="shared" si="13"/>
        <v>-450962.62474708486</v>
      </c>
      <c r="AC82" s="119">
        <f>AC80</f>
        <v>-450962.62474708486</v>
      </c>
      <c r="AD82" s="119">
        <f>AD80</f>
        <v>-450962.62474708486</v>
      </c>
      <c r="AE82" s="119">
        <f>AE80</f>
        <v>-450962.62474708486</v>
      </c>
      <c r="AF82" s="119">
        <f>AF80</f>
        <v>-450962.62474708486</v>
      </c>
      <c r="AG82" s="119">
        <f>AG80</f>
        <v>-450962.62474708486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2"/>
        <v>45473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149</v>
      </c>
      <c r="D84" s="38"/>
      <c r="F84" s="97"/>
      <c r="G84" s="211">
        <f t="shared" si="12"/>
        <v>45473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16399932.738805722</v>
      </c>
      <c r="O84" s="31">
        <f t="shared" si="15"/>
        <v>6559973.0955222882</v>
      </c>
      <c r="P84" s="31">
        <f t="shared" si="15"/>
        <v>2623989.2382089151</v>
      </c>
      <c r="Q84" s="31">
        <f t="shared" si="15"/>
        <v>1049595.6952835661</v>
      </c>
      <c r="R84" s="31">
        <f t="shared" si="15"/>
        <v>419838.27811342647</v>
      </c>
      <c r="S84" s="31">
        <f t="shared" si="15"/>
        <v>167935.31124537063</v>
      </c>
      <c r="T84" s="31">
        <f t="shared" si="15"/>
        <v>67174.124498148245</v>
      </c>
      <c r="U84" s="31">
        <f t="shared" si="15"/>
        <v>44782.749665432166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2"/>
        <v>45473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8" t="s">
        <v>196</v>
      </c>
      <c r="D87" s="179"/>
      <c r="E87" s="174"/>
      <c r="F87" s="180"/>
      <c r="G87" s="216">
        <f t="shared" si="12"/>
        <v>45473</v>
      </c>
      <c r="H87" s="180"/>
      <c r="I87" s="180">
        <f t="shared" ref="I87:AB87" si="17">SUM(I82:I86)</f>
        <v>0</v>
      </c>
      <c r="J87" s="180">
        <f t="shared" si="17"/>
        <v>-76004.947293796431</v>
      </c>
      <c r="K87" s="180">
        <f t="shared" si="17"/>
        <v>-152009.89458759286</v>
      </c>
      <c r="L87" s="180">
        <f t="shared" si="17"/>
        <v>-220184.01000933451</v>
      </c>
      <c r="M87" s="180">
        <f t="shared" si="17"/>
        <v>-268550.80240242492</v>
      </c>
      <c r="N87" s="180">
        <f t="shared" si="17"/>
        <v>16100979.966012521</v>
      </c>
      <c r="O87" s="180">
        <f t="shared" si="17"/>
        <v>6230618.3523383103</v>
      </c>
      <c r="P87" s="180">
        <f t="shared" si="17"/>
        <v>2264232.5246341601</v>
      </c>
      <c r="Q87" s="180">
        <f t="shared" si="17"/>
        <v>659437.01131803461</v>
      </c>
      <c r="R87" s="180">
        <f t="shared" si="17"/>
        <v>-722.37624288175721</v>
      </c>
      <c r="S87" s="180">
        <f t="shared" si="17"/>
        <v>-283027.31350171426</v>
      </c>
      <c r="T87" s="180">
        <f t="shared" si="17"/>
        <v>-383788.50024893659</v>
      </c>
      <c r="U87" s="180">
        <f t="shared" si="17"/>
        <v>-406179.87508165272</v>
      </c>
      <c r="V87" s="180">
        <f t="shared" si="17"/>
        <v>-450962.62474708486</v>
      </c>
      <c r="W87" s="180">
        <f t="shared" si="17"/>
        <v>-450962.62474708486</v>
      </c>
      <c r="X87" s="180">
        <f t="shared" si="17"/>
        <v>-450962.62474708486</v>
      </c>
      <c r="Y87" s="180">
        <f t="shared" si="17"/>
        <v>-450962.62474708486</v>
      </c>
      <c r="Z87" s="180">
        <f t="shared" si="17"/>
        <v>-450962.62474708486</v>
      </c>
      <c r="AA87" s="180">
        <f t="shared" si="17"/>
        <v>-450962.62474708486</v>
      </c>
      <c r="AB87" s="180">
        <f t="shared" si="17"/>
        <v>-450962.62474708486</v>
      </c>
      <c r="AC87" s="180">
        <f>SUM(AC82:AC86)</f>
        <v>-450962.62474708486</v>
      </c>
      <c r="AD87" s="180">
        <f>SUM(AD82:AD86)</f>
        <v>-450962.62474708486</v>
      </c>
      <c r="AE87" s="180">
        <f>SUM(AE82:AE86)</f>
        <v>-450962.62474708486</v>
      </c>
      <c r="AF87" s="180">
        <f>SUM(AF82:AF86)</f>
        <v>-450962.62474708486</v>
      </c>
      <c r="AG87" s="180">
        <f>SUM(AG82:AG86)</f>
        <v>-450962.62474708486</v>
      </c>
    </row>
    <row r="88" spans="1:33" x14ac:dyDescent="0.2">
      <c r="A88" s="8"/>
      <c r="B88" s="8"/>
      <c r="C88" s="75"/>
      <c r="D88" s="139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 t="s">
        <v>206</v>
      </c>
      <c r="D90" s="82"/>
      <c r="E90" s="232"/>
      <c r="F90" s="233"/>
      <c r="G90" s="234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5"/>
      <c r="E91" s="232"/>
      <c r="F91" s="233"/>
      <c r="G91" s="234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6" t="s">
        <v>201</v>
      </c>
      <c r="D92" s="237"/>
      <c r="E92" s="237"/>
      <c r="F92" s="237"/>
      <c r="G92" s="238">
        <f>IF(_xlfn.MINIFS($G$90:$G$91, $G$90:$G$91, "&gt;"&amp;0)=0, $A$4, _xlfn.MINIFS($G$90:$G$91, $G$90:$G$91, "&gt;"&amp;0))</f>
        <v>1</v>
      </c>
    </row>
    <row r="94" spans="1:33" x14ac:dyDescent="0.2">
      <c r="G94" s="12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</row>
    <row r="96" spans="1:33" x14ac:dyDescent="0.2"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</row>
    <row r="97" spans="1:43" x14ac:dyDescent="0.2"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</row>
    <row r="98" spans="1:43" x14ac:dyDescent="0.2"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</row>
    <row r="99" spans="1:43" x14ac:dyDescent="0.2"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</row>
    <row r="100" spans="1:43" x14ac:dyDescent="0.2"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</row>
    <row r="101" spans="1:43" x14ac:dyDescent="0.2"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</row>
    <row r="102" spans="1:43" ht="15" x14ac:dyDescent="0.2">
      <c r="A102" s="89" t="s">
        <v>226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D105"/>
      <c r="E105"/>
      <c r="F105"/>
      <c r="G105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196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-76004.947293796431</v>
      </c>
      <c r="K106" s="31">
        <f t="shared" si="18"/>
        <v>-152009.89458759286</v>
      </c>
      <c r="L106" s="31">
        <f t="shared" si="18"/>
        <v>-220184.01000933451</v>
      </c>
      <c r="M106" s="31">
        <f t="shared" si="18"/>
        <v>-268550.80240242492</v>
      </c>
      <c r="N106" s="31">
        <f t="shared" si="18"/>
        <v>16100979.966012521</v>
      </c>
      <c r="O106" s="31">
        <f t="shared" si="18"/>
        <v>6230618.3523383103</v>
      </c>
      <c r="P106" s="31">
        <f t="shared" si="18"/>
        <v>2264232.5246341601</v>
      </c>
      <c r="Q106" s="31">
        <f t="shared" si="18"/>
        <v>659437.01131803461</v>
      </c>
      <c r="R106" s="31">
        <f t="shared" si="18"/>
        <v>-722.37624288175721</v>
      </c>
      <c r="S106" s="31">
        <f t="shared" si="18"/>
        <v>-283027.31350171426</v>
      </c>
      <c r="T106" s="31">
        <f t="shared" si="18"/>
        <v>-383788.50024893659</v>
      </c>
      <c r="U106" s="31">
        <f t="shared" si="18"/>
        <v>-406179.87508165272</v>
      </c>
      <c r="V106" s="31">
        <f t="shared" si="18"/>
        <v>-450962.62474708486</v>
      </c>
      <c r="W106" s="31">
        <f t="shared" si="18"/>
        <v>-450962.62474708486</v>
      </c>
      <c r="X106" s="31">
        <f t="shared" si="18"/>
        <v>-450962.62474708486</v>
      </c>
      <c r="Y106" s="31">
        <f t="shared" si="18"/>
        <v>-450962.62474708486</v>
      </c>
      <c r="Z106" s="31">
        <f t="shared" si="18"/>
        <v>-450962.62474708486</v>
      </c>
      <c r="AA106" s="31">
        <f t="shared" si="18"/>
        <v>-450962.62474708486</v>
      </c>
      <c r="AB106" s="31">
        <f t="shared" si="18"/>
        <v>-450962.62474708486</v>
      </c>
      <c r="AC106" s="31">
        <f t="shared" si="18"/>
        <v>-450962.62474708486</v>
      </c>
      <c r="AD106" s="31">
        <f t="shared" si="18"/>
        <v>-450962.62474708486</v>
      </c>
      <c r="AE106" s="31">
        <f t="shared" si="18"/>
        <v>-450962.62474708486</v>
      </c>
      <c r="AF106" s="31">
        <f t="shared" si="18"/>
        <v>-450962.62474708486</v>
      </c>
      <c r="AG106" s="31">
        <f t="shared" si="18"/>
        <v>-450962.62474708486</v>
      </c>
    </row>
    <row r="107" spans="1:43" x14ac:dyDescent="0.2">
      <c r="C107" s="1" t="s">
        <v>166</v>
      </c>
      <c r="D107"/>
      <c r="E107"/>
      <c r="F107"/>
      <c r="G107"/>
      <c r="I107" s="31">
        <f>I82</f>
        <v>0</v>
      </c>
      <c r="J107" s="31">
        <f t="shared" ref="J107:AG107" si="19">J82</f>
        <v>-76004.947293796431</v>
      </c>
      <c r="K107" s="31">
        <f t="shared" si="19"/>
        <v>-152009.89458759286</v>
      </c>
      <c r="L107" s="31">
        <f t="shared" si="19"/>
        <v>-220184.01000933451</v>
      </c>
      <c r="M107" s="31">
        <f t="shared" si="19"/>
        <v>-268550.80240242492</v>
      </c>
      <c r="N107" s="31">
        <f t="shared" si="19"/>
        <v>-298952.77279320156</v>
      </c>
      <c r="O107" s="31">
        <f t="shared" si="19"/>
        <v>-329354.74318397819</v>
      </c>
      <c r="P107" s="31">
        <f t="shared" si="19"/>
        <v>-359756.71357475489</v>
      </c>
      <c r="Q107" s="31">
        <f t="shared" si="19"/>
        <v>-390158.68396553153</v>
      </c>
      <c r="R107" s="31">
        <f t="shared" si="19"/>
        <v>-420560.65435630822</v>
      </c>
      <c r="S107" s="31">
        <f t="shared" si="19"/>
        <v>-450962.62474708486</v>
      </c>
      <c r="T107" s="31">
        <f t="shared" si="19"/>
        <v>-450962.62474708486</v>
      </c>
      <c r="U107" s="31">
        <f t="shared" si="19"/>
        <v>-450962.62474708486</v>
      </c>
      <c r="V107" s="31">
        <f t="shared" si="19"/>
        <v>-450962.62474708486</v>
      </c>
      <c r="W107" s="31">
        <f t="shared" si="19"/>
        <v>-450962.62474708486</v>
      </c>
      <c r="X107" s="31">
        <f t="shared" si="19"/>
        <v>-450962.62474708486</v>
      </c>
      <c r="Y107" s="31">
        <f t="shared" si="19"/>
        <v>-450962.62474708486</v>
      </c>
      <c r="Z107" s="31">
        <f t="shared" si="19"/>
        <v>-450962.62474708486</v>
      </c>
      <c r="AA107" s="31">
        <f t="shared" si="19"/>
        <v>-450962.62474708486</v>
      </c>
      <c r="AB107" s="31">
        <f t="shared" si="19"/>
        <v>-450962.62474708486</v>
      </c>
      <c r="AC107" s="31">
        <f t="shared" si="19"/>
        <v>-450962.62474708486</v>
      </c>
      <c r="AD107" s="31">
        <f t="shared" si="19"/>
        <v>-450962.62474708486</v>
      </c>
      <c r="AE107" s="31">
        <f t="shared" si="19"/>
        <v>-450962.62474708486</v>
      </c>
      <c r="AF107" s="31">
        <f t="shared" si="19"/>
        <v>-450962.62474708486</v>
      </c>
      <c r="AG107" s="31">
        <f t="shared" si="19"/>
        <v>-450962.62474708486</v>
      </c>
    </row>
    <row r="108" spans="1:43" x14ac:dyDescent="0.2">
      <c r="C108" s="1" t="s">
        <v>249</v>
      </c>
      <c r="D108" s="253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16399932.738805722</v>
      </c>
      <c r="O108" s="31">
        <f t="shared" si="20"/>
        <v>6559973.0955222882</v>
      </c>
      <c r="P108" s="31">
        <f t="shared" si="20"/>
        <v>2623989.2382089151</v>
      </c>
      <c r="Q108" s="31">
        <f t="shared" si="20"/>
        <v>1049595.6952835661</v>
      </c>
      <c r="R108" s="31">
        <f t="shared" si="20"/>
        <v>419838.27811342647</v>
      </c>
      <c r="S108" s="31">
        <f t="shared" si="20"/>
        <v>167935.31124537063</v>
      </c>
      <c r="T108" s="31">
        <f t="shared" si="20"/>
        <v>67174.124498148245</v>
      </c>
      <c r="U108" s="31">
        <f t="shared" si="20"/>
        <v>44782.749665432166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2" t="str">
        <f>Assumptions!G110</f>
        <v>Capex</v>
      </c>
      <c r="E109" s="302" t="str">
        <f>Assumptions!H110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"sens"&amp;Assumptions!B111</f>
        <v>sens1</v>
      </c>
      <c r="C110" s="301" t="str">
        <f>Assumptions!C111</f>
        <v>Capex 10% higher</v>
      </c>
      <c r="D110" s="302">
        <f>Assumptions!G111</f>
        <v>0.1</v>
      </c>
      <c r="E110" s="302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-83605.442023176074</v>
      </c>
      <c r="K110" s="31" cm="1">
        <f t="array" ref="K110">K$106+IF($C110&lt;&gt;0,SUMPRODUCT((K$107:K$108)*TRANSPOSE(($D110:$E110))),0)</f>
        <v>-167210.88404635215</v>
      </c>
      <c r="L110" s="31" cm="1">
        <f t="array" ref="L110">L$106+IF($C110&lt;&gt;0,SUMPRODUCT((L$107:L$108)*TRANSPOSE(($D110:$E110))),0)</f>
        <v>-242202.41101026797</v>
      </c>
      <c r="M110" s="31" cm="1">
        <f t="array" ref="M110">M$106+IF($C110&lt;&gt;0,SUMPRODUCT((M$107:M$108)*TRANSPOSE(($D110:$E110))),0)</f>
        <v>-295405.88264266739</v>
      </c>
      <c r="N110" s="31" cm="1">
        <f t="array" ref="N110">N$106+IF($C110&lt;&gt;0,SUMPRODUCT((N$107:N$108)*TRANSPOSE(($D110:$E110))),0)</f>
        <v>16071084.688733201</v>
      </c>
      <c r="O110" s="31" cm="1">
        <f t="array" ref="O110">O$106+IF($C110&lt;&gt;0,SUMPRODUCT((O$107:O$108)*TRANSPOSE(($D110:$E110))),0)</f>
        <v>6197682.8780199122</v>
      </c>
      <c r="P110" s="31" cm="1">
        <f t="array" ref="P110">P$106+IF($C110&lt;&gt;0,SUMPRODUCT((P$107:P$108)*TRANSPOSE(($D110:$E110))),0)</f>
        <v>2228256.8532766844</v>
      </c>
      <c r="Q110" s="31" cm="1">
        <f t="array" ref="Q110">Q$106+IF($C110&lt;&gt;0,SUMPRODUCT((Q$107:Q$108)*TRANSPOSE(($D110:$E110))),0)</f>
        <v>620421.14292148151</v>
      </c>
      <c r="R110" s="31" cm="1">
        <f t="array" ref="R110">R$106+IF($C110&lt;&gt;0,SUMPRODUCT((R$107:R$108)*TRANSPOSE(($D110:$E110))),0)</f>
        <v>-42778.44167851258</v>
      </c>
      <c r="S110" s="31" cm="1">
        <f t="array" ref="S110">S$106+IF($C110&lt;&gt;0,SUMPRODUCT((S$107:S$108)*TRANSPOSE(($D110:$E110))),0)</f>
        <v>-328123.57597642276</v>
      </c>
      <c r="T110" s="31" cm="1">
        <f t="array" ref="T110">T$106+IF($C110&lt;&gt;0,SUMPRODUCT((T$107:T$108)*TRANSPOSE(($D110:$E110))),0)</f>
        <v>-428884.76272364508</v>
      </c>
      <c r="U110" s="31" cm="1">
        <f t="array" ref="U110">U$106+IF($C110&lt;&gt;0,SUMPRODUCT((U$107:U$108)*TRANSPOSE(($D110:$E110))),0)</f>
        <v>-451276.13755636121</v>
      </c>
      <c r="V110" s="31" cm="1">
        <f t="array" ref="V110">V$106+IF($C110&lt;&gt;0,SUMPRODUCT((V$107:V$108)*TRANSPOSE(($D110:$E110))),0)</f>
        <v>-496058.88722179335</v>
      </c>
      <c r="W110" s="31" cm="1">
        <f t="array" ref="W110">W$106+IF($C110&lt;&gt;0,SUMPRODUCT((W$107:W$108)*TRANSPOSE(($D110:$E110))),0)</f>
        <v>-496058.88722179335</v>
      </c>
      <c r="X110" s="31" cm="1">
        <f t="array" ref="X110">X$106+IF($C110&lt;&gt;0,SUMPRODUCT((X$107:X$108)*TRANSPOSE(($D110:$E110))),0)</f>
        <v>-496058.88722179335</v>
      </c>
      <c r="Y110" s="31" cm="1">
        <f t="array" ref="Y110">Y$106+IF($C110&lt;&gt;0,SUMPRODUCT((Y$107:Y$108)*TRANSPOSE(($D110:$E110))),0)</f>
        <v>-496058.88722179335</v>
      </c>
      <c r="Z110" s="31" cm="1">
        <f t="array" ref="Z110">Z$106+IF($C110&lt;&gt;0,SUMPRODUCT((Z$107:Z$108)*TRANSPOSE(($D110:$E110))),0)</f>
        <v>-496058.88722179335</v>
      </c>
      <c r="AA110" s="31" cm="1">
        <f t="array" ref="AA110">AA$106+IF($C110&lt;&gt;0,SUMPRODUCT((AA$107:AA$108)*TRANSPOSE(($D110:$E110))),0)</f>
        <v>-496058.88722179335</v>
      </c>
      <c r="AB110" s="31" cm="1">
        <f t="array" ref="AB110">AB$106+IF($C110&lt;&gt;0,SUMPRODUCT((AB$107:AB$108)*TRANSPOSE(($D110:$E110))),0)</f>
        <v>-496058.88722179335</v>
      </c>
      <c r="AC110" s="31" cm="1">
        <f t="array" ref="AC110">AC$106+IF($C110&lt;&gt;0,SUMPRODUCT((AC$107:AC$108)*TRANSPOSE(($D110:$E110))),0)</f>
        <v>-496058.88722179335</v>
      </c>
      <c r="AD110" s="31" cm="1">
        <f t="array" ref="AD110">AD$106+IF($C110&lt;&gt;0,SUMPRODUCT((AD$107:AD$108)*TRANSPOSE(($D110:$E110))),0)</f>
        <v>-496058.88722179335</v>
      </c>
      <c r="AE110" s="31" cm="1">
        <f t="array" ref="AE110">AE$106+IF($C110&lt;&gt;0,SUMPRODUCT((AE$107:AE$108)*TRANSPOSE(($D110:$E110))),0)</f>
        <v>-496058.88722179335</v>
      </c>
      <c r="AF110" s="31" cm="1">
        <f t="array" ref="AF110">AF$106+IF($C110&lt;&gt;0,SUMPRODUCT((AF$107:AF$108)*TRANSPOSE(($D110:$E110))),0)</f>
        <v>-496058.88722179335</v>
      </c>
      <c r="AG110" s="31" cm="1">
        <f t="array" ref="AG110">AG$106+IF($C110&lt;&gt;0,SUMPRODUCT((AG$107:AG$108)*TRANSPOSE(($D110:$E110))),0)</f>
        <v>-496058.88722179335</v>
      </c>
    </row>
    <row r="111" spans="1:43" x14ac:dyDescent="0.2">
      <c r="A111" s="1" t="str">
        <f>"sens"&amp;Assumptions!B112</f>
        <v>sens2</v>
      </c>
      <c r="C111" s="301" t="str">
        <f>Assumptions!C112</f>
        <v>Capex 10% lower</v>
      </c>
      <c r="D111" s="302">
        <f>Assumptions!G112</f>
        <v>-0.1</v>
      </c>
      <c r="E111" s="302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-68404.452564416788</v>
      </c>
      <c r="K111" s="31" cm="1">
        <f t="array" ref="K111">K$106+IF($C111&lt;&gt;0,SUMPRODUCT((K$107:K$108)*TRANSPOSE(($D111:$E111))),0)</f>
        <v>-136808.90512883358</v>
      </c>
      <c r="L111" s="31" cm="1">
        <f t="array" ref="L111">L$106+IF($C111&lt;&gt;0,SUMPRODUCT((L$107:L$108)*TRANSPOSE(($D111:$E111))),0)</f>
        <v>-198165.60900840105</v>
      </c>
      <c r="M111" s="31" cm="1">
        <f t="array" ref="M111">M$106+IF($C111&lt;&gt;0,SUMPRODUCT((M$107:M$108)*TRANSPOSE(($D111:$E111))),0)</f>
        <v>-241695.72216218241</v>
      </c>
      <c r="N111" s="31" cm="1">
        <f t="array" ref="N111">N$106+IF($C111&lt;&gt;0,SUMPRODUCT((N$107:N$108)*TRANSPOSE(($D111:$E111))),0)</f>
        <v>16130875.24329184</v>
      </c>
      <c r="O111" s="31" cm="1">
        <f t="array" ref="O111">O$106+IF($C111&lt;&gt;0,SUMPRODUCT((O$107:O$108)*TRANSPOSE(($D111:$E111))),0)</f>
        <v>6263553.8266567085</v>
      </c>
      <c r="P111" s="31" cm="1">
        <f t="array" ref="P111">P$106+IF($C111&lt;&gt;0,SUMPRODUCT((P$107:P$108)*TRANSPOSE(($D111:$E111))),0)</f>
        <v>2300208.1959916358</v>
      </c>
      <c r="Q111" s="31" cm="1">
        <f t="array" ref="Q111">Q$106+IF($C111&lt;&gt;0,SUMPRODUCT((Q$107:Q$108)*TRANSPOSE(($D111:$E111))),0)</f>
        <v>698452.8797145877</v>
      </c>
      <c r="R111" s="31" cm="1">
        <f t="array" ref="R111">R$106+IF($C111&lt;&gt;0,SUMPRODUCT((R$107:R$108)*TRANSPOSE(($D111:$E111))),0)</f>
        <v>41333.689192749065</v>
      </c>
      <c r="S111" s="31" cm="1">
        <f t="array" ref="S111">S$106+IF($C111&lt;&gt;0,SUMPRODUCT((S$107:S$108)*TRANSPOSE(($D111:$E111))),0)</f>
        <v>-237931.05102700577</v>
      </c>
      <c r="T111" s="31" cm="1">
        <f t="array" ref="T111">T$106+IF($C111&lt;&gt;0,SUMPRODUCT((T$107:T$108)*TRANSPOSE(($D111:$E111))),0)</f>
        <v>-338692.2377742281</v>
      </c>
      <c r="U111" s="31" cm="1">
        <f t="array" ref="U111">U$106+IF($C111&lt;&gt;0,SUMPRODUCT((U$107:U$108)*TRANSPOSE(($D111:$E111))),0)</f>
        <v>-361083.61260694423</v>
      </c>
      <c r="V111" s="31" cm="1">
        <f t="array" ref="V111">V$106+IF($C111&lt;&gt;0,SUMPRODUCT((V$107:V$108)*TRANSPOSE(($D111:$E111))),0)</f>
        <v>-405866.36227237637</v>
      </c>
      <c r="W111" s="31" cm="1">
        <f t="array" ref="W111">W$106+IF($C111&lt;&gt;0,SUMPRODUCT((W$107:W$108)*TRANSPOSE(($D111:$E111))),0)</f>
        <v>-405866.36227237637</v>
      </c>
      <c r="X111" s="31" cm="1">
        <f t="array" ref="X111">X$106+IF($C111&lt;&gt;0,SUMPRODUCT((X$107:X$108)*TRANSPOSE(($D111:$E111))),0)</f>
        <v>-405866.36227237637</v>
      </c>
      <c r="Y111" s="31" cm="1">
        <f t="array" ref="Y111">Y$106+IF($C111&lt;&gt;0,SUMPRODUCT((Y$107:Y$108)*TRANSPOSE(($D111:$E111))),0)</f>
        <v>-405866.36227237637</v>
      </c>
      <c r="Z111" s="31" cm="1">
        <f t="array" ref="Z111">Z$106+IF($C111&lt;&gt;0,SUMPRODUCT((Z$107:Z$108)*TRANSPOSE(($D111:$E111))),0)</f>
        <v>-405866.36227237637</v>
      </c>
      <c r="AA111" s="31" cm="1">
        <f t="array" ref="AA111">AA$106+IF($C111&lt;&gt;0,SUMPRODUCT((AA$107:AA$108)*TRANSPOSE(($D111:$E111))),0)</f>
        <v>-405866.36227237637</v>
      </c>
      <c r="AB111" s="31" cm="1">
        <f t="array" ref="AB111">AB$106+IF($C111&lt;&gt;0,SUMPRODUCT((AB$107:AB$108)*TRANSPOSE(($D111:$E111))),0)</f>
        <v>-405866.36227237637</v>
      </c>
      <c r="AC111" s="31" cm="1">
        <f t="array" ref="AC111">AC$106+IF($C111&lt;&gt;0,SUMPRODUCT((AC$107:AC$108)*TRANSPOSE(($D111:$E111))),0)</f>
        <v>-405866.36227237637</v>
      </c>
      <c r="AD111" s="31" cm="1">
        <f t="array" ref="AD111">AD$106+IF($C111&lt;&gt;0,SUMPRODUCT((AD$107:AD$108)*TRANSPOSE(($D111:$E111))),0)</f>
        <v>-405866.36227237637</v>
      </c>
      <c r="AE111" s="31" cm="1">
        <f t="array" ref="AE111">AE$106+IF($C111&lt;&gt;0,SUMPRODUCT((AE$107:AE$108)*TRANSPOSE(($D111:$E111))),0)</f>
        <v>-405866.36227237637</v>
      </c>
      <c r="AF111" s="31" cm="1">
        <f t="array" ref="AF111">AF$106+IF($C111&lt;&gt;0,SUMPRODUCT((AF$107:AF$108)*TRANSPOSE(($D111:$E111))),0)</f>
        <v>-405866.36227237637</v>
      </c>
      <c r="AG111" s="31" cm="1">
        <f t="array" ref="AG111">AG$106+IF($C111&lt;&gt;0,SUMPRODUCT((AG$107:AG$108)*TRANSPOSE(($D111:$E111))),0)</f>
        <v>-405866.36227237637</v>
      </c>
    </row>
    <row r="112" spans="1:43" x14ac:dyDescent="0.2">
      <c r="A112" s="1" t="str">
        <f>"sens"&amp;Assumptions!B113</f>
        <v>sens3</v>
      </c>
      <c r="C112" s="301" t="str">
        <f>Assumptions!C113</f>
        <v>Total benefits 10% higher</v>
      </c>
      <c r="D112" s="302">
        <f>Assumptions!G113</f>
        <v>0</v>
      </c>
      <c r="E112" s="302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-76004.947293796431</v>
      </c>
      <c r="K112" s="31" cm="1">
        <f t="array" ref="K112">K$106+IF($C112&lt;&gt;0,SUMPRODUCT((K$107:K$108)*TRANSPOSE(($D112:$E112))),0)</f>
        <v>-152009.89458759286</v>
      </c>
      <c r="L112" s="31" cm="1">
        <f t="array" ref="L112">L$106+IF($C112&lt;&gt;0,SUMPRODUCT((L$107:L$108)*TRANSPOSE(($D112:$E112))),0)</f>
        <v>-220184.01000933451</v>
      </c>
      <c r="M112" s="31" cm="1">
        <f t="array" ref="M112">M$106+IF($C112&lt;&gt;0,SUMPRODUCT((M$107:M$108)*TRANSPOSE(($D112:$E112))),0)</f>
        <v>-268550.80240242492</v>
      </c>
      <c r="N112" s="31" cm="1">
        <f t="array" ref="N112">N$106+IF($C112&lt;&gt;0,SUMPRODUCT((N$107:N$108)*TRANSPOSE(($D112:$E112))),0)</f>
        <v>17740973.239893094</v>
      </c>
      <c r="O112" s="31" cm="1">
        <f t="array" ref="O112">O$106+IF($C112&lt;&gt;0,SUMPRODUCT((O$107:O$108)*TRANSPOSE(($D112:$E112))),0)</f>
        <v>6886615.6618905393</v>
      </c>
      <c r="P112" s="31" cm="1">
        <f t="array" ref="P112">P$106+IF($C112&lt;&gt;0,SUMPRODUCT((P$107:P$108)*TRANSPOSE(($D112:$E112))),0)</f>
        <v>2526631.4484550515</v>
      </c>
      <c r="Q112" s="31" cm="1">
        <f t="array" ref="Q112">Q$106+IF($C112&lt;&gt;0,SUMPRODUCT((Q$107:Q$108)*TRANSPOSE(($D112:$E112))),0)</f>
        <v>764396.58084639127</v>
      </c>
      <c r="R112" s="31" cm="1">
        <f t="array" ref="R112">R$106+IF($C112&lt;&gt;0,SUMPRODUCT((R$107:R$108)*TRANSPOSE(($D112:$E112))),0)</f>
        <v>41261.451568460892</v>
      </c>
      <c r="S112" s="31" cm="1">
        <f t="array" ref="S112">S$106+IF($C112&lt;&gt;0,SUMPRODUCT((S$107:S$108)*TRANSPOSE(($D112:$E112))),0)</f>
        <v>-266233.78237717721</v>
      </c>
      <c r="T112" s="31" cm="1">
        <f t="array" ref="T112">T$106+IF($C112&lt;&gt;0,SUMPRODUCT((T$107:T$108)*TRANSPOSE(($D112:$E112))),0)</f>
        <v>-377071.08779912174</v>
      </c>
      <c r="U112" s="31" cm="1">
        <f t="array" ref="U112">U$106+IF($C112&lt;&gt;0,SUMPRODUCT((U$107:U$108)*TRANSPOSE(($D112:$E112))),0)</f>
        <v>-401701.60011510953</v>
      </c>
      <c r="V112" s="31" cm="1">
        <f t="array" ref="V112">V$106+IF($C112&lt;&gt;0,SUMPRODUCT((V$107:V$108)*TRANSPOSE(($D112:$E112))),0)</f>
        <v>-450962.62474708486</v>
      </c>
      <c r="W112" s="31" cm="1">
        <f t="array" ref="W112">W$106+IF($C112&lt;&gt;0,SUMPRODUCT((W$107:W$108)*TRANSPOSE(($D112:$E112))),0)</f>
        <v>-450962.62474708486</v>
      </c>
      <c r="X112" s="31" cm="1">
        <f t="array" ref="X112">X$106+IF($C112&lt;&gt;0,SUMPRODUCT((X$107:X$108)*TRANSPOSE(($D112:$E112))),0)</f>
        <v>-450962.62474708486</v>
      </c>
      <c r="Y112" s="31" cm="1">
        <f t="array" ref="Y112">Y$106+IF($C112&lt;&gt;0,SUMPRODUCT((Y$107:Y$108)*TRANSPOSE(($D112:$E112))),0)</f>
        <v>-450962.62474708486</v>
      </c>
      <c r="Z112" s="31" cm="1">
        <f t="array" ref="Z112">Z$106+IF($C112&lt;&gt;0,SUMPRODUCT((Z$107:Z$108)*TRANSPOSE(($D112:$E112))),0)</f>
        <v>-450962.62474708486</v>
      </c>
      <c r="AA112" s="31" cm="1">
        <f t="array" ref="AA112">AA$106+IF($C112&lt;&gt;0,SUMPRODUCT((AA$107:AA$108)*TRANSPOSE(($D112:$E112))),0)</f>
        <v>-450962.62474708486</v>
      </c>
      <c r="AB112" s="31" cm="1">
        <f t="array" ref="AB112">AB$106+IF($C112&lt;&gt;0,SUMPRODUCT((AB$107:AB$108)*TRANSPOSE(($D112:$E112))),0)</f>
        <v>-450962.62474708486</v>
      </c>
      <c r="AC112" s="31" cm="1">
        <f t="array" ref="AC112">AC$106+IF($C112&lt;&gt;0,SUMPRODUCT((AC$107:AC$108)*TRANSPOSE(($D112:$E112))),0)</f>
        <v>-450962.62474708486</v>
      </c>
      <c r="AD112" s="31" cm="1">
        <f t="array" ref="AD112">AD$106+IF($C112&lt;&gt;0,SUMPRODUCT((AD$107:AD$108)*TRANSPOSE(($D112:$E112))),0)</f>
        <v>-450962.62474708486</v>
      </c>
      <c r="AE112" s="31" cm="1">
        <f t="array" ref="AE112">AE$106+IF($C112&lt;&gt;0,SUMPRODUCT((AE$107:AE$108)*TRANSPOSE(($D112:$E112))),0)</f>
        <v>-450962.62474708486</v>
      </c>
      <c r="AF112" s="31" cm="1">
        <f t="array" ref="AF112">AF$106+IF($C112&lt;&gt;0,SUMPRODUCT((AF$107:AF$108)*TRANSPOSE(($D112:$E112))),0)</f>
        <v>-450962.62474708486</v>
      </c>
      <c r="AG112" s="31" cm="1">
        <f t="array" ref="AG112">AG$106+IF($C112&lt;&gt;0,SUMPRODUCT((AG$107:AG$108)*TRANSPOSE(($D112:$E112))),0)</f>
        <v>-450962.62474708486</v>
      </c>
    </row>
    <row r="113" spans="1:33" x14ac:dyDescent="0.2">
      <c r="A113" s="1" t="str">
        <f>"sens"&amp;Assumptions!B114</f>
        <v>sens4</v>
      </c>
      <c r="C113" s="301" t="str">
        <f>Assumptions!C114</f>
        <v>Total benefits 10% lower</v>
      </c>
      <c r="D113" s="302">
        <f>Assumptions!G114</f>
        <v>0</v>
      </c>
      <c r="E113" s="302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-76004.947293796431</v>
      </c>
      <c r="K113" s="31" cm="1">
        <f t="array" ref="K113">K$106+IF($C113&lt;&gt;0,SUMPRODUCT((K$107:K$108)*TRANSPOSE(($D113:$E113))),0)</f>
        <v>-152009.89458759286</v>
      </c>
      <c r="L113" s="31" cm="1">
        <f t="array" ref="L113">L$106+IF($C113&lt;&gt;0,SUMPRODUCT((L$107:L$108)*TRANSPOSE(($D113:$E113))),0)</f>
        <v>-220184.01000933451</v>
      </c>
      <c r="M113" s="31" cm="1">
        <f t="array" ref="M113">M$106+IF($C113&lt;&gt;0,SUMPRODUCT((M$107:M$108)*TRANSPOSE(($D113:$E113))),0)</f>
        <v>-268550.80240242492</v>
      </c>
      <c r="N113" s="31" cm="1">
        <f t="array" ref="N113">N$106+IF($C113&lt;&gt;0,SUMPRODUCT((N$107:N$108)*TRANSPOSE(($D113:$E113))),0)</f>
        <v>14460986.692131948</v>
      </c>
      <c r="O113" s="31" cm="1">
        <f t="array" ref="O113">O$106+IF($C113&lt;&gt;0,SUMPRODUCT((O$107:O$108)*TRANSPOSE(($D113:$E113))),0)</f>
        <v>5574621.0427860813</v>
      </c>
      <c r="P113" s="31" cm="1">
        <f t="array" ref="P113">P$106+IF($C113&lt;&gt;0,SUMPRODUCT((P$107:P$108)*TRANSPOSE(($D113:$E113))),0)</f>
        <v>2001833.6008132687</v>
      </c>
      <c r="Q113" s="31" cm="1">
        <f t="array" ref="Q113">Q$106+IF($C113&lt;&gt;0,SUMPRODUCT((Q$107:Q$108)*TRANSPOSE(($D113:$E113))),0)</f>
        <v>554477.44178967795</v>
      </c>
      <c r="R113" s="31" cm="1">
        <f t="array" ref="R113">R$106+IF($C113&lt;&gt;0,SUMPRODUCT((R$107:R$108)*TRANSPOSE(($D113:$E113))),0)</f>
        <v>-42706.204054224407</v>
      </c>
      <c r="S113" s="31" cm="1">
        <f t="array" ref="S113">S$106+IF($C113&lt;&gt;0,SUMPRODUCT((S$107:S$108)*TRANSPOSE(($D113:$E113))),0)</f>
        <v>-299820.84462625132</v>
      </c>
      <c r="T113" s="31" cm="1">
        <f t="array" ref="T113">T$106+IF($C113&lt;&gt;0,SUMPRODUCT((T$107:T$108)*TRANSPOSE(($D113:$E113))),0)</f>
        <v>-390505.91269875143</v>
      </c>
      <c r="U113" s="31" cm="1">
        <f t="array" ref="U113">U$106+IF($C113&lt;&gt;0,SUMPRODUCT((U$107:U$108)*TRANSPOSE(($D113:$E113))),0)</f>
        <v>-410658.15004819591</v>
      </c>
      <c r="V113" s="31" cm="1">
        <f t="array" ref="V113">V$106+IF($C113&lt;&gt;0,SUMPRODUCT((V$107:V$108)*TRANSPOSE(($D113:$E113))),0)</f>
        <v>-450962.62474708486</v>
      </c>
      <c r="W113" s="31" cm="1">
        <f t="array" ref="W113">W$106+IF($C113&lt;&gt;0,SUMPRODUCT((W$107:W$108)*TRANSPOSE(($D113:$E113))),0)</f>
        <v>-450962.62474708486</v>
      </c>
      <c r="X113" s="31" cm="1">
        <f t="array" ref="X113">X$106+IF($C113&lt;&gt;0,SUMPRODUCT((X$107:X$108)*TRANSPOSE(($D113:$E113))),0)</f>
        <v>-450962.62474708486</v>
      </c>
      <c r="Y113" s="31" cm="1">
        <f t="array" ref="Y113">Y$106+IF($C113&lt;&gt;0,SUMPRODUCT((Y$107:Y$108)*TRANSPOSE(($D113:$E113))),0)</f>
        <v>-450962.62474708486</v>
      </c>
      <c r="Z113" s="31" cm="1">
        <f t="array" ref="Z113">Z$106+IF($C113&lt;&gt;0,SUMPRODUCT((Z$107:Z$108)*TRANSPOSE(($D113:$E113))),0)</f>
        <v>-450962.62474708486</v>
      </c>
      <c r="AA113" s="31" cm="1">
        <f t="array" ref="AA113">AA$106+IF($C113&lt;&gt;0,SUMPRODUCT((AA$107:AA$108)*TRANSPOSE(($D113:$E113))),0)</f>
        <v>-450962.62474708486</v>
      </c>
      <c r="AB113" s="31" cm="1">
        <f t="array" ref="AB113">AB$106+IF($C113&lt;&gt;0,SUMPRODUCT((AB$107:AB$108)*TRANSPOSE(($D113:$E113))),0)</f>
        <v>-450962.62474708486</v>
      </c>
      <c r="AC113" s="31" cm="1">
        <f t="array" ref="AC113">AC$106+IF($C113&lt;&gt;0,SUMPRODUCT((AC$107:AC$108)*TRANSPOSE(($D113:$E113))),0)</f>
        <v>-450962.62474708486</v>
      </c>
      <c r="AD113" s="31" cm="1">
        <f t="array" ref="AD113">AD$106+IF($C113&lt;&gt;0,SUMPRODUCT((AD$107:AD$108)*TRANSPOSE(($D113:$E113))),0)</f>
        <v>-450962.62474708486</v>
      </c>
      <c r="AE113" s="31" cm="1">
        <f t="array" ref="AE113">AE$106+IF($C113&lt;&gt;0,SUMPRODUCT((AE$107:AE$108)*TRANSPOSE(($D113:$E113))),0)</f>
        <v>-450962.62474708486</v>
      </c>
      <c r="AF113" s="31" cm="1">
        <f t="array" ref="AF113">AF$106+IF($C113&lt;&gt;0,SUMPRODUCT((AF$107:AF$108)*TRANSPOSE(($D113:$E113))),0)</f>
        <v>-450962.62474708486</v>
      </c>
      <c r="AG113" s="31" cm="1">
        <f t="array" ref="AG113">AG$106+IF($C113&lt;&gt;0,SUMPRODUCT((AG$107:AG$108)*TRANSPOSE(($D113:$E113))),0)</f>
        <v>-450962.62474708486</v>
      </c>
    </row>
    <row r="114" spans="1:33" x14ac:dyDescent="0.2">
      <c r="A114" s="1" t="str">
        <f>"sens"&amp;Assumptions!B115</f>
        <v>sens5</v>
      </c>
      <c r="C114" s="301" t="str">
        <f>Assumptions!C115</f>
        <v>Capex 10% higher &amp; Total benefits 10% lower</v>
      </c>
      <c r="D114" s="302">
        <f>Assumptions!G115</f>
        <v>0.1</v>
      </c>
      <c r="E114" s="302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-83605.442023176074</v>
      </c>
      <c r="K114" s="31" cm="1">
        <f t="array" ref="K114">K$106+IF($C114&lt;&gt;0,SUMPRODUCT((K$107:K$108)*TRANSPOSE(($D114:$E114))),0)</f>
        <v>-167210.88404635215</v>
      </c>
      <c r="L114" s="31" cm="1">
        <f t="array" ref="L114">L$106+IF($C114&lt;&gt;0,SUMPRODUCT((L$107:L$108)*TRANSPOSE(($D114:$E114))),0)</f>
        <v>-242202.41101026797</v>
      </c>
      <c r="M114" s="31" cm="1">
        <f t="array" ref="M114">M$106+IF($C114&lt;&gt;0,SUMPRODUCT((M$107:M$108)*TRANSPOSE(($D114:$E114))),0)</f>
        <v>-295405.88264266739</v>
      </c>
      <c r="N114" s="31" cm="1">
        <f t="array" ref="N114">N$106+IF($C114&lt;&gt;0,SUMPRODUCT((N$107:N$108)*TRANSPOSE(($D114:$E114))),0)</f>
        <v>14431091.414852628</v>
      </c>
      <c r="O114" s="31" cm="1">
        <f t="array" ref="O114">O$106+IF($C114&lt;&gt;0,SUMPRODUCT((O$107:O$108)*TRANSPOSE(($D114:$E114))),0)</f>
        <v>5541685.5684676841</v>
      </c>
      <c r="P114" s="31" cm="1">
        <f t="array" ref="P114">P$106+IF($C114&lt;&gt;0,SUMPRODUCT((P$107:P$108)*TRANSPOSE(($D114:$E114))),0)</f>
        <v>1965857.929455793</v>
      </c>
      <c r="Q114" s="31" cm="1">
        <f t="array" ref="Q114">Q$106+IF($C114&lt;&gt;0,SUMPRODUCT((Q$107:Q$108)*TRANSPOSE(($D114:$E114))),0)</f>
        <v>515461.57339312485</v>
      </c>
      <c r="R114" s="31" cm="1">
        <f t="array" ref="R114">R$106+IF($C114&lt;&gt;0,SUMPRODUCT((R$107:R$108)*TRANSPOSE(($D114:$E114))),0)</f>
        <v>-84762.269489855229</v>
      </c>
      <c r="S114" s="31" cm="1">
        <f t="array" ref="S114">S$106+IF($C114&lt;&gt;0,SUMPRODUCT((S$107:S$108)*TRANSPOSE(($D114:$E114))),0)</f>
        <v>-344917.10710095981</v>
      </c>
      <c r="T114" s="31" cm="1">
        <f t="array" ref="T114">T$106+IF($C114&lt;&gt;0,SUMPRODUCT((T$107:T$108)*TRANSPOSE(($D114:$E114))),0)</f>
        <v>-435602.17517345992</v>
      </c>
      <c r="U114" s="31" cm="1">
        <f t="array" ref="U114">U$106+IF($C114&lt;&gt;0,SUMPRODUCT((U$107:U$108)*TRANSPOSE(($D114:$E114))),0)</f>
        <v>-455754.41252290446</v>
      </c>
      <c r="V114" s="31" cm="1">
        <f t="array" ref="V114">V$106+IF($C114&lt;&gt;0,SUMPRODUCT((V$107:V$108)*TRANSPOSE(($D114:$E114))),0)</f>
        <v>-496058.88722179335</v>
      </c>
      <c r="W114" s="31" cm="1">
        <f t="array" ref="W114">W$106+IF($C114&lt;&gt;0,SUMPRODUCT((W$107:W$108)*TRANSPOSE(($D114:$E114))),0)</f>
        <v>-496058.88722179335</v>
      </c>
      <c r="X114" s="31" cm="1">
        <f t="array" ref="X114">X$106+IF($C114&lt;&gt;0,SUMPRODUCT((X$107:X$108)*TRANSPOSE(($D114:$E114))),0)</f>
        <v>-496058.88722179335</v>
      </c>
      <c r="Y114" s="31" cm="1">
        <f t="array" ref="Y114">Y$106+IF($C114&lt;&gt;0,SUMPRODUCT((Y$107:Y$108)*TRANSPOSE(($D114:$E114))),0)</f>
        <v>-496058.88722179335</v>
      </c>
      <c r="Z114" s="31" cm="1">
        <f t="array" ref="Z114">Z$106+IF($C114&lt;&gt;0,SUMPRODUCT((Z$107:Z$108)*TRANSPOSE(($D114:$E114))),0)</f>
        <v>-496058.88722179335</v>
      </c>
      <c r="AA114" s="31" cm="1">
        <f t="array" ref="AA114">AA$106+IF($C114&lt;&gt;0,SUMPRODUCT((AA$107:AA$108)*TRANSPOSE(($D114:$E114))),0)</f>
        <v>-496058.88722179335</v>
      </c>
      <c r="AB114" s="31" cm="1">
        <f t="array" ref="AB114">AB$106+IF($C114&lt;&gt;0,SUMPRODUCT((AB$107:AB$108)*TRANSPOSE(($D114:$E114))),0)</f>
        <v>-496058.88722179335</v>
      </c>
      <c r="AC114" s="31" cm="1">
        <f t="array" ref="AC114">AC$106+IF($C114&lt;&gt;0,SUMPRODUCT((AC$107:AC$108)*TRANSPOSE(($D114:$E114))),0)</f>
        <v>-496058.88722179335</v>
      </c>
      <c r="AD114" s="31" cm="1">
        <f t="array" ref="AD114">AD$106+IF($C114&lt;&gt;0,SUMPRODUCT((AD$107:AD$108)*TRANSPOSE(($D114:$E114))),0)</f>
        <v>-496058.88722179335</v>
      </c>
      <c r="AE114" s="31" cm="1">
        <f t="array" ref="AE114">AE$106+IF($C114&lt;&gt;0,SUMPRODUCT((AE$107:AE$108)*TRANSPOSE(($D114:$E114))),0)</f>
        <v>-496058.88722179335</v>
      </c>
      <c r="AF114" s="31" cm="1">
        <f t="array" ref="AF114">AF$106+IF($C114&lt;&gt;0,SUMPRODUCT((AF$107:AF$108)*TRANSPOSE(($D114:$E114))),0)</f>
        <v>-496058.88722179335</v>
      </c>
      <c r="AG114" s="31" cm="1">
        <f t="array" ref="AG114">AG$106+IF($C114&lt;&gt;0,SUMPRODUCT((AG$107:AG$108)*TRANSPOSE(($D114:$E114))),0)</f>
        <v>-496058.88722179335</v>
      </c>
    </row>
    <row r="115" spans="1:33" x14ac:dyDescent="0.2">
      <c r="A115" s="1" t="str">
        <f>"sens"&amp;Assumptions!B116</f>
        <v>sens</v>
      </c>
      <c r="C115" s="301">
        <f>Assumptions!C116</f>
        <v>0</v>
      </c>
      <c r="D115" s="302">
        <f>Assumptions!G116</f>
        <v>0</v>
      </c>
      <c r="E115" s="302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-76004.947293796431</v>
      </c>
      <c r="K115" s="31" cm="1">
        <f t="array" ref="K115">K$106+IF($C115&lt;&gt;0,SUMPRODUCT((K$107:K$108)*TRANSPOSE(($D115:$E115))),0)</f>
        <v>-152009.89458759286</v>
      </c>
      <c r="L115" s="31" cm="1">
        <f t="array" ref="L115">L$106+IF($C115&lt;&gt;0,SUMPRODUCT((L$107:L$108)*TRANSPOSE(($D115:$E115))),0)</f>
        <v>-220184.01000933451</v>
      </c>
      <c r="M115" s="31" cm="1">
        <f t="array" ref="M115">M$106+IF($C115&lt;&gt;0,SUMPRODUCT((M$107:M$108)*TRANSPOSE(($D115:$E115))),0)</f>
        <v>-268550.80240242492</v>
      </c>
      <c r="N115" s="31" cm="1">
        <f t="array" ref="N115">N$106+IF($C115&lt;&gt;0,SUMPRODUCT((N$107:N$108)*TRANSPOSE(($D115:$E115))),0)</f>
        <v>16100979.966012521</v>
      </c>
      <c r="O115" s="31" cm="1">
        <f t="array" ref="O115">O$106+IF($C115&lt;&gt;0,SUMPRODUCT((O$107:O$108)*TRANSPOSE(($D115:$E115))),0)</f>
        <v>6230618.3523383103</v>
      </c>
      <c r="P115" s="31" cm="1">
        <f t="array" ref="P115">P$106+IF($C115&lt;&gt;0,SUMPRODUCT((P$107:P$108)*TRANSPOSE(($D115:$E115))),0)</f>
        <v>2264232.5246341601</v>
      </c>
      <c r="Q115" s="31" cm="1">
        <f t="array" ref="Q115">Q$106+IF($C115&lt;&gt;0,SUMPRODUCT((Q$107:Q$108)*TRANSPOSE(($D115:$E115))),0)</f>
        <v>659437.01131803461</v>
      </c>
      <c r="R115" s="31" cm="1">
        <f t="array" ref="R115">R$106+IF($C115&lt;&gt;0,SUMPRODUCT((R$107:R$108)*TRANSPOSE(($D115:$E115))),0)</f>
        <v>-722.37624288175721</v>
      </c>
      <c r="S115" s="31" cm="1">
        <f t="array" ref="S115">S$106+IF($C115&lt;&gt;0,SUMPRODUCT((S$107:S$108)*TRANSPOSE(($D115:$E115))),0)</f>
        <v>-283027.31350171426</v>
      </c>
      <c r="T115" s="31" cm="1">
        <f t="array" ref="T115">T$106+IF($C115&lt;&gt;0,SUMPRODUCT((T$107:T$108)*TRANSPOSE(($D115:$E115))),0)</f>
        <v>-383788.50024893659</v>
      </c>
      <c r="U115" s="31" cm="1">
        <f t="array" ref="U115">U$106+IF($C115&lt;&gt;0,SUMPRODUCT((U$107:U$108)*TRANSPOSE(($D115:$E115))),0)</f>
        <v>-406179.87508165272</v>
      </c>
      <c r="V115" s="31" cm="1">
        <f t="array" ref="V115">V$106+IF($C115&lt;&gt;0,SUMPRODUCT((V$107:V$108)*TRANSPOSE(($D115:$E115))),0)</f>
        <v>-450962.62474708486</v>
      </c>
      <c r="W115" s="31" cm="1">
        <f t="array" ref="W115">W$106+IF($C115&lt;&gt;0,SUMPRODUCT((W$107:W$108)*TRANSPOSE(($D115:$E115))),0)</f>
        <v>-450962.62474708486</v>
      </c>
      <c r="X115" s="31" cm="1">
        <f t="array" ref="X115">X$106+IF($C115&lt;&gt;0,SUMPRODUCT((X$107:X$108)*TRANSPOSE(($D115:$E115))),0)</f>
        <v>-450962.62474708486</v>
      </c>
      <c r="Y115" s="31" cm="1">
        <f t="array" ref="Y115">Y$106+IF($C115&lt;&gt;0,SUMPRODUCT((Y$107:Y$108)*TRANSPOSE(($D115:$E115))),0)</f>
        <v>-450962.62474708486</v>
      </c>
      <c r="Z115" s="31" cm="1">
        <f t="array" ref="Z115">Z$106+IF($C115&lt;&gt;0,SUMPRODUCT((Z$107:Z$108)*TRANSPOSE(($D115:$E115))),0)</f>
        <v>-450962.62474708486</v>
      </c>
      <c r="AA115" s="31" cm="1">
        <f t="array" ref="AA115">AA$106+IF($C115&lt;&gt;0,SUMPRODUCT((AA$107:AA$108)*TRANSPOSE(($D115:$E115))),0)</f>
        <v>-450962.62474708486</v>
      </c>
      <c r="AB115" s="31" cm="1">
        <f t="array" ref="AB115">AB$106+IF($C115&lt;&gt;0,SUMPRODUCT((AB$107:AB$108)*TRANSPOSE(($D115:$E115))),0)</f>
        <v>-450962.62474708486</v>
      </c>
      <c r="AC115" s="31" cm="1">
        <f t="array" ref="AC115">AC$106+IF($C115&lt;&gt;0,SUMPRODUCT((AC$107:AC$108)*TRANSPOSE(($D115:$E115))),0)</f>
        <v>-450962.62474708486</v>
      </c>
      <c r="AD115" s="31" cm="1">
        <f t="array" ref="AD115">AD$106+IF($C115&lt;&gt;0,SUMPRODUCT((AD$107:AD$108)*TRANSPOSE(($D115:$E115))),0)</f>
        <v>-450962.62474708486</v>
      </c>
      <c r="AE115" s="31" cm="1">
        <f t="array" ref="AE115">AE$106+IF($C115&lt;&gt;0,SUMPRODUCT((AE$107:AE$108)*TRANSPOSE(($D115:$E115))),0)</f>
        <v>-450962.62474708486</v>
      </c>
      <c r="AF115" s="31" cm="1">
        <f t="array" ref="AF115">AF$106+IF($C115&lt;&gt;0,SUMPRODUCT((AF$107:AF$108)*TRANSPOSE(($D115:$E115))),0)</f>
        <v>-450962.62474708486</v>
      </c>
      <c r="AG115" s="31" cm="1">
        <f t="array" ref="AG115">AG$106+IF($C115&lt;&gt;0,SUMPRODUCT((AG$107:AG$108)*TRANSPOSE(($D115:$E115))),0)</f>
        <v>-450962.62474708486</v>
      </c>
    </row>
    <row r="116" spans="1:33" x14ac:dyDescent="0.2">
      <c r="A116" s="1" t="str">
        <f>"sens"&amp;Assumptions!B117</f>
        <v>sens</v>
      </c>
      <c r="C116" s="301">
        <f>Assumptions!C117</f>
        <v>0</v>
      </c>
      <c r="D116" s="302">
        <f>Assumptions!G117</f>
        <v>0</v>
      </c>
      <c r="E116" s="302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-76004.947293796431</v>
      </c>
      <c r="K116" s="31" cm="1">
        <f t="array" ref="K116">K$106+IF($C116&lt;&gt;0,SUMPRODUCT((K$107:K$108)*TRANSPOSE(($D116:$E116))),0)</f>
        <v>-152009.89458759286</v>
      </c>
      <c r="L116" s="31" cm="1">
        <f t="array" ref="L116">L$106+IF($C116&lt;&gt;0,SUMPRODUCT((L$107:L$108)*TRANSPOSE(($D116:$E116))),0)</f>
        <v>-220184.01000933451</v>
      </c>
      <c r="M116" s="31" cm="1">
        <f t="array" ref="M116">M$106+IF($C116&lt;&gt;0,SUMPRODUCT((M$107:M$108)*TRANSPOSE(($D116:$E116))),0)</f>
        <v>-268550.80240242492</v>
      </c>
      <c r="N116" s="31" cm="1">
        <f t="array" ref="N116">N$106+IF($C116&lt;&gt;0,SUMPRODUCT((N$107:N$108)*TRANSPOSE(($D116:$E116))),0)</f>
        <v>16100979.966012521</v>
      </c>
      <c r="O116" s="31" cm="1">
        <f t="array" ref="O116">O$106+IF($C116&lt;&gt;0,SUMPRODUCT((O$107:O$108)*TRANSPOSE(($D116:$E116))),0)</f>
        <v>6230618.3523383103</v>
      </c>
      <c r="P116" s="31" cm="1">
        <f t="array" ref="P116">P$106+IF($C116&lt;&gt;0,SUMPRODUCT((P$107:P$108)*TRANSPOSE(($D116:$E116))),0)</f>
        <v>2264232.5246341601</v>
      </c>
      <c r="Q116" s="31" cm="1">
        <f t="array" ref="Q116">Q$106+IF($C116&lt;&gt;0,SUMPRODUCT((Q$107:Q$108)*TRANSPOSE(($D116:$E116))),0)</f>
        <v>659437.01131803461</v>
      </c>
      <c r="R116" s="31" cm="1">
        <f t="array" ref="R116">R$106+IF($C116&lt;&gt;0,SUMPRODUCT((R$107:R$108)*TRANSPOSE(($D116:$E116))),0)</f>
        <v>-722.37624288175721</v>
      </c>
      <c r="S116" s="31" cm="1">
        <f t="array" ref="S116">S$106+IF($C116&lt;&gt;0,SUMPRODUCT((S$107:S$108)*TRANSPOSE(($D116:$E116))),0)</f>
        <v>-283027.31350171426</v>
      </c>
      <c r="T116" s="31" cm="1">
        <f t="array" ref="T116">T$106+IF($C116&lt;&gt;0,SUMPRODUCT((T$107:T$108)*TRANSPOSE(($D116:$E116))),0)</f>
        <v>-383788.50024893659</v>
      </c>
      <c r="U116" s="31" cm="1">
        <f t="array" ref="U116">U$106+IF($C116&lt;&gt;0,SUMPRODUCT((U$107:U$108)*TRANSPOSE(($D116:$E116))),0)</f>
        <v>-406179.87508165272</v>
      </c>
      <c r="V116" s="31" cm="1">
        <f t="array" ref="V116">V$106+IF($C116&lt;&gt;0,SUMPRODUCT((V$107:V$108)*TRANSPOSE(($D116:$E116))),0)</f>
        <v>-450962.62474708486</v>
      </c>
      <c r="W116" s="31" cm="1">
        <f t="array" ref="W116">W$106+IF($C116&lt;&gt;0,SUMPRODUCT((W$107:W$108)*TRANSPOSE(($D116:$E116))),0)</f>
        <v>-450962.62474708486</v>
      </c>
      <c r="X116" s="31" cm="1">
        <f t="array" ref="X116">X$106+IF($C116&lt;&gt;0,SUMPRODUCT((X$107:X$108)*TRANSPOSE(($D116:$E116))),0)</f>
        <v>-450962.62474708486</v>
      </c>
      <c r="Y116" s="31" cm="1">
        <f t="array" ref="Y116">Y$106+IF($C116&lt;&gt;0,SUMPRODUCT((Y$107:Y$108)*TRANSPOSE(($D116:$E116))),0)</f>
        <v>-450962.62474708486</v>
      </c>
      <c r="Z116" s="31" cm="1">
        <f t="array" ref="Z116">Z$106+IF($C116&lt;&gt;0,SUMPRODUCT((Z$107:Z$108)*TRANSPOSE(($D116:$E116))),0)</f>
        <v>-450962.62474708486</v>
      </c>
      <c r="AA116" s="31" cm="1">
        <f t="array" ref="AA116">AA$106+IF($C116&lt;&gt;0,SUMPRODUCT((AA$107:AA$108)*TRANSPOSE(($D116:$E116))),0)</f>
        <v>-450962.62474708486</v>
      </c>
      <c r="AB116" s="31" cm="1">
        <f t="array" ref="AB116">AB$106+IF($C116&lt;&gt;0,SUMPRODUCT((AB$107:AB$108)*TRANSPOSE(($D116:$E116))),0)</f>
        <v>-450962.62474708486</v>
      </c>
      <c r="AC116" s="31" cm="1">
        <f t="array" ref="AC116">AC$106+IF($C116&lt;&gt;0,SUMPRODUCT((AC$107:AC$108)*TRANSPOSE(($D116:$E116))),0)</f>
        <v>-450962.62474708486</v>
      </c>
      <c r="AD116" s="31" cm="1">
        <f t="array" ref="AD116">AD$106+IF($C116&lt;&gt;0,SUMPRODUCT((AD$107:AD$108)*TRANSPOSE(($D116:$E116))),0)</f>
        <v>-450962.62474708486</v>
      </c>
      <c r="AE116" s="31" cm="1">
        <f t="array" ref="AE116">AE$106+IF($C116&lt;&gt;0,SUMPRODUCT((AE$107:AE$108)*TRANSPOSE(($D116:$E116))),0)</f>
        <v>-450962.62474708486</v>
      </c>
      <c r="AF116" s="31" cm="1">
        <f t="array" ref="AF116">AF$106+IF($C116&lt;&gt;0,SUMPRODUCT((AF$107:AF$108)*TRANSPOSE(($D116:$E116))),0)</f>
        <v>-450962.62474708486</v>
      </c>
      <c r="AG116" s="31" cm="1">
        <f t="array" ref="AG116">AG$106+IF($C116&lt;&gt;0,SUMPRODUCT((AG$107:AG$108)*TRANSPOSE(($D116:$E116))),0)</f>
        <v>-450962.62474708486</v>
      </c>
    </row>
    <row r="117" spans="1:33" x14ac:dyDescent="0.2">
      <c r="A117" s="1" t="str">
        <f>"sens"&amp;Assumptions!B118</f>
        <v>sens</v>
      </c>
      <c r="C117" s="301">
        <f>Assumptions!C118</f>
        <v>0</v>
      </c>
      <c r="D117" s="302">
        <f>Assumptions!G118</f>
        <v>0</v>
      </c>
      <c r="E117" s="302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-76004.947293796431</v>
      </c>
      <c r="K117" s="31" cm="1">
        <f t="array" ref="K117">K$106+IF($C117&lt;&gt;0,SUMPRODUCT((K$107:K$108)*TRANSPOSE(($D117:$E117))),0)</f>
        <v>-152009.89458759286</v>
      </c>
      <c r="L117" s="31" cm="1">
        <f t="array" ref="L117">L$106+IF($C117&lt;&gt;0,SUMPRODUCT((L$107:L$108)*TRANSPOSE(($D117:$E117))),0)</f>
        <v>-220184.01000933451</v>
      </c>
      <c r="M117" s="31" cm="1">
        <f t="array" ref="M117">M$106+IF($C117&lt;&gt;0,SUMPRODUCT((M$107:M$108)*TRANSPOSE(($D117:$E117))),0)</f>
        <v>-268550.80240242492</v>
      </c>
      <c r="N117" s="31" cm="1">
        <f t="array" ref="N117">N$106+IF($C117&lt;&gt;0,SUMPRODUCT((N$107:N$108)*TRANSPOSE(($D117:$E117))),0)</f>
        <v>16100979.966012521</v>
      </c>
      <c r="O117" s="31" cm="1">
        <f t="array" ref="O117">O$106+IF($C117&lt;&gt;0,SUMPRODUCT((O$107:O$108)*TRANSPOSE(($D117:$E117))),0)</f>
        <v>6230618.3523383103</v>
      </c>
      <c r="P117" s="31" cm="1">
        <f t="array" ref="P117">P$106+IF($C117&lt;&gt;0,SUMPRODUCT((P$107:P$108)*TRANSPOSE(($D117:$E117))),0)</f>
        <v>2264232.5246341601</v>
      </c>
      <c r="Q117" s="31" cm="1">
        <f t="array" ref="Q117">Q$106+IF($C117&lt;&gt;0,SUMPRODUCT((Q$107:Q$108)*TRANSPOSE(($D117:$E117))),0)</f>
        <v>659437.01131803461</v>
      </c>
      <c r="R117" s="31" cm="1">
        <f t="array" ref="R117">R$106+IF($C117&lt;&gt;0,SUMPRODUCT((R$107:R$108)*TRANSPOSE(($D117:$E117))),0)</f>
        <v>-722.37624288175721</v>
      </c>
      <c r="S117" s="31" cm="1">
        <f t="array" ref="S117">S$106+IF($C117&lt;&gt;0,SUMPRODUCT((S$107:S$108)*TRANSPOSE(($D117:$E117))),0)</f>
        <v>-283027.31350171426</v>
      </c>
      <c r="T117" s="31" cm="1">
        <f t="array" ref="T117">T$106+IF($C117&lt;&gt;0,SUMPRODUCT((T$107:T$108)*TRANSPOSE(($D117:$E117))),0)</f>
        <v>-383788.50024893659</v>
      </c>
      <c r="U117" s="31" cm="1">
        <f t="array" ref="U117">U$106+IF($C117&lt;&gt;0,SUMPRODUCT((U$107:U$108)*TRANSPOSE(($D117:$E117))),0)</f>
        <v>-406179.87508165272</v>
      </c>
      <c r="V117" s="31" cm="1">
        <f t="array" ref="V117">V$106+IF($C117&lt;&gt;0,SUMPRODUCT((V$107:V$108)*TRANSPOSE(($D117:$E117))),0)</f>
        <v>-450962.62474708486</v>
      </c>
      <c r="W117" s="31" cm="1">
        <f t="array" ref="W117">W$106+IF($C117&lt;&gt;0,SUMPRODUCT((W$107:W$108)*TRANSPOSE(($D117:$E117))),0)</f>
        <v>-450962.62474708486</v>
      </c>
      <c r="X117" s="31" cm="1">
        <f t="array" ref="X117">X$106+IF($C117&lt;&gt;0,SUMPRODUCT((X$107:X$108)*TRANSPOSE(($D117:$E117))),0)</f>
        <v>-450962.62474708486</v>
      </c>
      <c r="Y117" s="31" cm="1">
        <f t="array" ref="Y117">Y$106+IF($C117&lt;&gt;0,SUMPRODUCT((Y$107:Y$108)*TRANSPOSE(($D117:$E117))),0)</f>
        <v>-450962.62474708486</v>
      </c>
      <c r="Z117" s="31" cm="1">
        <f t="array" ref="Z117">Z$106+IF($C117&lt;&gt;0,SUMPRODUCT((Z$107:Z$108)*TRANSPOSE(($D117:$E117))),0)</f>
        <v>-450962.62474708486</v>
      </c>
      <c r="AA117" s="31" cm="1">
        <f t="array" ref="AA117">AA$106+IF($C117&lt;&gt;0,SUMPRODUCT((AA$107:AA$108)*TRANSPOSE(($D117:$E117))),0)</f>
        <v>-450962.62474708486</v>
      </c>
      <c r="AB117" s="31" cm="1">
        <f t="array" ref="AB117">AB$106+IF($C117&lt;&gt;0,SUMPRODUCT((AB$107:AB$108)*TRANSPOSE(($D117:$E117))),0)</f>
        <v>-450962.62474708486</v>
      </c>
      <c r="AC117" s="31" cm="1">
        <f t="array" ref="AC117">AC$106+IF($C117&lt;&gt;0,SUMPRODUCT((AC$107:AC$108)*TRANSPOSE(($D117:$E117))),0)</f>
        <v>-450962.62474708486</v>
      </c>
      <c r="AD117" s="31" cm="1">
        <f t="array" ref="AD117">AD$106+IF($C117&lt;&gt;0,SUMPRODUCT((AD$107:AD$108)*TRANSPOSE(($D117:$E117))),0)</f>
        <v>-450962.62474708486</v>
      </c>
      <c r="AE117" s="31" cm="1">
        <f t="array" ref="AE117">AE$106+IF($C117&lt;&gt;0,SUMPRODUCT((AE$107:AE$108)*TRANSPOSE(($D117:$E117))),0)</f>
        <v>-450962.62474708486</v>
      </c>
      <c r="AF117" s="31" cm="1">
        <f t="array" ref="AF117">AF$106+IF($C117&lt;&gt;0,SUMPRODUCT((AF$107:AF$108)*TRANSPOSE(($D117:$E117))),0)</f>
        <v>-450962.62474708486</v>
      </c>
      <c r="AG117" s="31" cm="1">
        <f t="array" ref="AG117">AG$106+IF($C117&lt;&gt;0,SUMPRODUCT((AG$107:AG$108)*TRANSPOSE(($D117:$E117))),0)</f>
        <v>-450962.62474708486</v>
      </c>
    </row>
    <row r="118" spans="1:33" x14ac:dyDescent="0.2">
      <c r="E118" s="244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9"/>
      <c r="J129" s="249"/>
      <c r="K129" s="249"/>
      <c r="L129" s="249"/>
    </row>
    <row r="130" spans="9:12" x14ac:dyDescent="0.2">
      <c r="I130" s="249"/>
      <c r="J130" s="249"/>
      <c r="K130" s="249"/>
      <c r="L130" s="249"/>
    </row>
    <row r="131" spans="9:12" x14ac:dyDescent="0.2">
      <c r="I131" s="249"/>
      <c r="J131" s="249"/>
      <c r="K131" s="249"/>
      <c r="L131" s="249"/>
    </row>
    <row r="132" spans="9:12" x14ac:dyDescent="0.2">
      <c r="I132" s="249"/>
      <c r="J132" s="249"/>
      <c r="K132" s="249"/>
      <c r="L132" s="249"/>
    </row>
    <row r="133" spans="9:12" x14ac:dyDescent="0.2">
      <c r="I133" s="249"/>
      <c r="J133" s="249"/>
      <c r="K133" s="249"/>
      <c r="L133" s="249"/>
    </row>
    <row r="134" spans="9:12" x14ac:dyDescent="0.2">
      <c r="I134" s="249"/>
      <c r="J134" s="249"/>
      <c r="K134" s="249"/>
      <c r="L134" s="249"/>
    </row>
    <row r="135" spans="9:12" x14ac:dyDescent="0.2">
      <c r="I135" s="249"/>
      <c r="J135" s="249"/>
      <c r="K135" s="249"/>
      <c r="L135" s="249"/>
    </row>
    <row r="136" spans="9:12" x14ac:dyDescent="0.2">
      <c r="I136" s="249"/>
      <c r="J136" s="249"/>
      <c r="K136" s="249"/>
      <c r="L136" s="249"/>
    </row>
  </sheetData>
  <conditionalFormatting sqref="E14:E16">
    <cfRule type="expression" dxfId="11" priority="1">
      <formula>AND(SUM($I14:$AB14)&lt;&gt;0, E14=0)</formula>
    </cfRule>
  </conditionalFormatting>
  <conditionalFormatting sqref="E28">
    <cfRule type="expression" dxfId="10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Pole mounted transformer uplift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135</v>
      </c>
      <c r="B3" s="5"/>
      <c r="C3" s="201">
        <f>INDEX(Assumptions!$E$14:$E$18, MATCH(A3,_xlfn.ANCHORARRAY( Assumptions!$C$14),0))</f>
        <v>0</v>
      </c>
    </row>
    <row r="4" spans="1:43" x14ac:dyDescent="0.2">
      <c r="A4" s="202" t="str">
        <f>(INDEX(Data!$D$9:$D$13, MATCH(A3, options,0)))</f>
        <v>Not used</v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  <c r="AH12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9">
        <v>0</v>
      </c>
      <c r="G14" s="208">
        <f>input_dollars</f>
        <v>45473</v>
      </c>
      <c r="H14" s="150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9">
        <v>0</v>
      </c>
      <c r="G15" s="208">
        <f>input_dollars</f>
        <v>45473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9">
        <v>0</v>
      </c>
      <c r="G16" s="208">
        <f>input_dollars</f>
        <v>45473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45473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45473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6"/>
      <c r="AH20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159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160</v>
      </c>
      <c r="D24" s="111"/>
      <c r="E24" s="111"/>
      <c r="F24" s="111"/>
      <c r="G24" s="209"/>
      <c r="H24" s="111"/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161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45498.921992955387</v>
      </c>
      <c r="F28" s="239" t="str">
        <f>IF(AND(SUM(I27:AG27)&lt;&gt;0, E28=0), "!", "")</f>
        <v/>
      </c>
      <c r="G28" s="208">
        <f>input_dollars</f>
        <v>45473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216</v>
      </c>
      <c r="G30" s="208">
        <f>input_dollars</f>
        <v>45473</v>
      </c>
      <c r="H30" s="150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45473</v>
      </c>
      <c r="H31" s="150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216</v>
      </c>
      <c r="E32"/>
      <c r="G32" s="208">
        <f>input_dollars</f>
        <v>45473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181</v>
      </c>
      <c r="D33" s="220"/>
      <c r="E33"/>
      <c r="G33" s="208">
        <f>input_dollars</f>
        <v>45473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181</v>
      </c>
      <c r="D34" s="207"/>
      <c r="E34"/>
      <c r="G34" s="208">
        <f>input_dollars</f>
        <v>45473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180</v>
      </c>
      <c r="D36" s="219"/>
      <c r="E36" s="107"/>
      <c r="F36" s="3"/>
      <c r="G36" s="210"/>
      <c r="H36" s="107"/>
      <c r="I36" s="171">
        <f>SUM(I28:I34)</f>
        <v>0</v>
      </c>
      <c r="J36" s="171">
        <f t="shared" ref="J36:AB36" si="3">SUM(J28:J34)</f>
        <v>0</v>
      </c>
      <c r="K36" s="171">
        <f t="shared" si="3"/>
        <v>0</v>
      </c>
      <c r="L36" s="171">
        <f t="shared" si="3"/>
        <v>0</v>
      </c>
      <c r="M36" s="171">
        <f t="shared" si="3"/>
        <v>0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>SUM(AC28:AC34)</f>
        <v>0</v>
      </c>
      <c r="AD36" s="171">
        <f>SUM(AD28:AD34)</f>
        <v>0</v>
      </c>
      <c r="AE36" s="171">
        <f>SUM(AE28:AE34)</f>
        <v>0</v>
      </c>
      <c r="AF36" s="171">
        <f>SUM(AF28:AF34)</f>
        <v>0</v>
      </c>
      <c r="AG36" s="171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6" t="s">
        <v>63</v>
      </c>
      <c r="E45" s="113">
        <f>Assumptions!G94</f>
        <v>151432.81740793545</v>
      </c>
      <c r="G45" s="208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6" t="s">
        <v>63</v>
      </c>
      <c r="E46" s="113">
        <f>Assumptions!G95</f>
        <v>24590</v>
      </c>
      <c r="G46" s="208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6" t="s">
        <v>63</v>
      </c>
      <c r="E47" s="112">
        <f>Assumptions!G96</f>
        <v>88.357719508603083</v>
      </c>
      <c r="G47" s="208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6" t="s">
        <v>126</v>
      </c>
      <c r="E48" s="112">
        <f>Assumptions!G97</f>
        <v>0</v>
      </c>
      <c r="G48" s="208" t="s">
        <v>213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211</v>
      </c>
      <c r="D49" s="206" t="s">
        <v>214</v>
      </c>
      <c r="E49" s="112">
        <f>Assumptions!G98</f>
        <v>0.35181336539087127</v>
      </c>
      <c r="G49" s="208" t="s">
        <v>215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212</v>
      </c>
      <c r="D50" s="206" t="s">
        <v>214</v>
      </c>
      <c r="E50" s="112">
        <f>Assumptions!G99</f>
        <v>0.35181336539087127</v>
      </c>
      <c r="G50" s="208" t="s">
        <v>215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6" t="s">
        <v>126</v>
      </c>
      <c r="E51" s="112">
        <f>Assumptions!G100</f>
        <v>0</v>
      </c>
      <c r="G51" s="208" t="s">
        <v>213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6" t="s">
        <v>126</v>
      </c>
      <c r="E52" s="112">
        <f>Assumptions!G101</f>
        <v>0</v>
      </c>
      <c r="G52" s="208" t="s">
        <v>213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6"/>
      <c r="G54" s="208">
        <f>input_dollars</f>
        <v>45473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6"/>
      <c r="G55" s="208">
        <f>input_dollars</f>
        <v>45473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6"/>
      <c r="G56" s="206"/>
      <c r="AH56"/>
    </row>
    <row r="57" spans="1:43" x14ac:dyDescent="0.2">
      <c r="C57" s="3" t="s">
        <v>125</v>
      </c>
      <c r="D57" s="219"/>
      <c r="E57" s="107"/>
      <c r="F57" s="3"/>
      <c r="G57" s="211">
        <f>input_dollars</f>
        <v>45473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0</v>
      </c>
      <c r="L57" s="171" cm="1">
        <f t="array" ref="L57">SUMPRODUCT((L$45:L$52)*($E$45:$E$52))+SUM(L54:L55)+L42</f>
        <v>0</v>
      </c>
      <c r="M57" s="171" cm="1">
        <f t="array" ref="M57">SUMPRODUCT((M$45:M$52)*($E$45:$E$52))+SUM(M54:M55)+M42</f>
        <v>0</v>
      </c>
      <c r="N57" s="171" cm="1">
        <f t="array" ref="N57">SUMPRODUCT((N$45:N$52)*($E$45:$E$52))+SUM(N54:N55)+N42</f>
        <v>0</v>
      </c>
      <c r="O57" s="171" cm="1">
        <f t="array" ref="O57">SUMPRODUCT((O$45:O$52)*($E$45:$E$52))+SUM(O54:O55)+O42</f>
        <v>0</v>
      </c>
      <c r="P57" s="171" cm="1">
        <f t="array" ref="P57">SUMPRODUCT((P$45:P$52)*($E$45:$E$52))+SUM(P54:P55)+P42</f>
        <v>0</v>
      </c>
      <c r="Q57" s="171" cm="1">
        <f t="array" ref="Q57">SUMPRODUCT((Q$45:Q$52)*($E$45:$E$52))+SUM(Q54:Q55)+Q42</f>
        <v>0</v>
      </c>
      <c r="R57" s="171" cm="1">
        <f t="array" ref="R57">SUMPRODUCT((R$45:R$52)*($E$45:$E$52))+SUM(R54:R55)+R42</f>
        <v>0</v>
      </c>
      <c r="S57" s="171" cm="1">
        <f t="array" ref="S57">SUMPRODUCT((S$45:S$52)*($E$45:$E$52))+SUM(S54:S55)+S42</f>
        <v>0</v>
      </c>
      <c r="T57" s="171" cm="1">
        <f t="array" ref="T57">SUMPRODUCT((T$45:T$52)*($E$45:$E$52))+SUM(T54:T55)+T42</f>
        <v>0</v>
      </c>
      <c r="U57" s="171" cm="1">
        <f t="array" ref="U57">SUMPRODUCT((U$45:U$52)*($E$45:$E$52))+SUM(U54:U55)+U42</f>
        <v>0</v>
      </c>
      <c r="V57" s="171" cm="1">
        <f t="array" ref="V57">SUMPRODUCT((V$45:V$52)*($E$45:$E$52))+SUM(V54:V55)+V42</f>
        <v>0</v>
      </c>
      <c r="W57" s="171" cm="1">
        <f t="array" ref="W57">SUMPRODUCT((W$45:W$52)*($E$45:$E$52))+SUM(W54:W55)+W42</f>
        <v>0</v>
      </c>
      <c r="X57" s="171" cm="1">
        <f t="array" ref="X57">SUMPRODUCT((X$45:X$52)*($E$45:$E$52))+SUM(X54:X55)+X42</f>
        <v>0</v>
      </c>
      <c r="Y57" s="171" cm="1">
        <f t="array" ref="Y57">SUMPRODUCT((Y$45:Y$52)*($E$45:$E$52))+SUM(Y54:Y55)+Y42</f>
        <v>0</v>
      </c>
      <c r="Z57" s="171" cm="1">
        <f t="array" ref="Z57">SUMPRODUCT((Z$45:Z$52)*($E$45:$E$52))+SUM(Z54:Z55)+Z42</f>
        <v>0</v>
      </c>
      <c r="AA57" s="171" cm="1">
        <f t="array" ref="AA57">SUMPRODUCT((AA$45:AA$52)*($E$45:$E$52))+SUM(AA54:AA55)+AA42</f>
        <v>0</v>
      </c>
      <c r="AB57" s="171" cm="1">
        <f t="array" ref="AB57">SUMPRODUCT((AB$45:AB$52)*($E$45:$E$52))+SUM(AB54:AB55)+AB42</f>
        <v>0</v>
      </c>
      <c r="AC57" s="171" cm="1">
        <f t="array" ref="AC57">SUMPRODUCT((AC$45:AC$52)*($E$45:$E$52))+SUM(AC54:AC55)+AC42</f>
        <v>0</v>
      </c>
      <c r="AD57" s="171" cm="1">
        <f t="array" ref="AD57">SUMPRODUCT((AD$45:AD$52)*($E$45:$E$52))+SUM(AD54:AD55)+AD42</f>
        <v>0</v>
      </c>
      <c r="AE57" s="171" cm="1">
        <f t="array" ref="AE57">SUMPRODUCT((AE$45:AE$52)*($E$45:$E$52))+SUM(AE54:AE55)+AE42</f>
        <v>0</v>
      </c>
      <c r="AF57" s="171" cm="1">
        <f t="array" ref="AF57">SUMPRODUCT((AF$45:AF$52)*($E$45:$E$52))+SUM(AF54:AF55)+AF42</f>
        <v>0</v>
      </c>
      <c r="AG57" s="171" cm="1">
        <f t="array" ref="AG57">SUMPRODUCT((AG$45:AG$52)*($E$45:$E$52))+SUM(AG54:AG55)+AG42</f>
        <v>0</v>
      </c>
      <c r="AH57"/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3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/>
    </row>
    <row r="64" spans="1:43" x14ac:dyDescent="0.2">
      <c r="C64" s="4" t="str">
        <f>'Option1 (base case)'!C64</f>
        <v>Risks mitigated vs base case</v>
      </c>
      <c r="G64" s="211">
        <f>input_dollars</f>
        <v>45473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0</v>
      </c>
      <c r="L64" s="133">
        <f>(1-INDEX(Data!$C$9:$C$13, MATCH($A$3, options,0)))*('Option1 (base case)'!L36-L36)</f>
        <v>0</v>
      </c>
      <c r="M64" s="133">
        <f>(1-INDEX(Data!$C$9:$C$13, MATCH($A$3, options,0)))*('Option1 (base case)'!M36-M36)</f>
        <v>0</v>
      </c>
      <c r="N64" s="133">
        <f>(1-INDEX(Data!$C$9:$C$13, MATCH($A$3, options,0)))*('Option1 (base case)'!N36-N36)</f>
        <v>0</v>
      </c>
      <c r="O64" s="133">
        <f>(1-INDEX(Data!$C$9:$C$13, MATCH($A$3, options,0)))*('Option1 (base case)'!O36-O36)</f>
        <v>0</v>
      </c>
      <c r="P64" s="133">
        <f>(1-INDEX(Data!$C$9:$C$13, MATCH($A$3, options,0)))*('Option1 (base case)'!P36-P36)</f>
        <v>0</v>
      </c>
      <c r="Q64" s="133">
        <f>(1-INDEX(Data!$C$9:$C$13, MATCH($A$3, options,0)))*('Option1 (base case)'!Q36-Q36)</f>
        <v>0</v>
      </c>
      <c r="R64" s="133">
        <f>(1-INDEX(Data!$C$9:$C$13, MATCH($A$3, options,0)))*('Option1 (base case)'!R36-R36)</f>
        <v>0</v>
      </c>
      <c r="S64" s="133">
        <f>(1-INDEX(Data!$C$9:$C$13, MATCH($A$3, options,0)))*('Option1 (base case)'!S36-S36)</f>
        <v>0</v>
      </c>
      <c r="T64" s="133">
        <f>(1-INDEX(Data!$C$9:$C$13, MATCH($A$3, options,0)))*('Option1 (base case)'!T36-T36)</f>
        <v>0</v>
      </c>
      <c r="U64" s="133">
        <f>(1-INDEX(Data!$C$9:$C$13, MATCH($A$3, options,0)))*('Option1 (base case)'!U36-U36)</f>
        <v>0</v>
      </c>
      <c r="V64" s="133">
        <f>(1-INDEX(Data!$C$9:$C$13, MATCH($A$3, options,0)))*('Option1 (base case)'!V36-V36)</f>
        <v>0</v>
      </c>
      <c r="W64" s="133">
        <f>(1-INDEX(Data!$C$9:$C$13, MATCH($A$3, options,0)))*('Option1 (base case)'!W36-W36)</f>
        <v>0</v>
      </c>
      <c r="X64" s="133">
        <f>(1-INDEX(Data!$C$9:$C$13, MATCH($A$3, options,0)))*('Option1 (base case)'!X36-X36)</f>
        <v>0</v>
      </c>
      <c r="Y64" s="133">
        <f>(1-INDEX(Data!$C$9:$C$13, MATCH($A$3, options,0)))*('Option1 (base case)'!Y36-Y36)</f>
        <v>0</v>
      </c>
      <c r="Z64" s="133">
        <f>(1-INDEX(Data!$C$9:$C$13, MATCH($A$3, options,0)))*('Option1 (base case)'!Z36-Z36)</f>
        <v>0</v>
      </c>
      <c r="AA64" s="133">
        <f>(1-INDEX(Data!$C$9:$C$13, MATCH($A$3, options,0)))*('Option1 (base case)'!AA36-AA36)</f>
        <v>0</v>
      </c>
      <c r="AB64" s="133">
        <f>(1-INDEX(Data!$C$9:$C$13, MATCH($A$3, options,0)))*('Option1 (base case)'!AB36-AB36)</f>
        <v>0</v>
      </c>
      <c r="AC64" s="133">
        <f>(1-INDEX(Data!$C$9:$C$13, MATCH($A$3, options,0)))*('Option1 (base case)'!AC36-AC36)</f>
        <v>0</v>
      </c>
      <c r="AD64" s="133">
        <f>(1-INDEX(Data!$C$9:$C$13, MATCH($A$3, options,0)))*('Option1 (base case)'!AD36-AD36)</f>
        <v>0</v>
      </c>
      <c r="AE64" s="133">
        <f>(1-INDEX(Data!$C$9:$C$13, MATCH($A$3, options,0)))*('Option1 (base case)'!AE36-AE36)</f>
        <v>0</v>
      </c>
      <c r="AF64" s="133">
        <f>(1-INDEX(Data!$C$9:$C$13, MATCH($A$3, options,0)))*('Option1 (base case)'!AF36-AF36)</f>
        <v>0</v>
      </c>
      <c r="AG64" s="133">
        <f>(1-INDEX(Data!$C$9:$C$13, MATCH($A$3, options,0)))*('Option1 (base case)'!AG36-AG36)</f>
        <v>0</v>
      </c>
      <c r="AH64"/>
    </row>
    <row r="65" spans="1:34" x14ac:dyDescent="0.2">
      <c r="G65" s="213"/>
      <c r="AH65"/>
    </row>
    <row r="66" spans="1:34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&lt; Enter description &gt;</v>
      </c>
      <c r="D67" s="38"/>
      <c r="F67" s="97"/>
      <c r="G67" s="211">
        <f>input_dollars</f>
        <v>45473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 t="str">
        <f>C15</f>
        <v>&lt; Enter description &gt;</v>
      </c>
      <c r="D68" s="38"/>
      <c r="F68" s="97"/>
      <c r="G68" s="211">
        <f>input_dollars</f>
        <v>45473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 t="str">
        <f>C16</f>
        <v>&lt; Enter description &gt;</v>
      </c>
      <c r="D69" s="38"/>
      <c r="F69" s="97"/>
      <c r="G69" s="211">
        <f>input_dollars</f>
        <v>45473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8" t="s">
        <v>165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&lt; Enter description &gt;</v>
      </c>
      <c r="D72" s="38"/>
      <c r="F72" s="97"/>
      <c r="G72" s="211">
        <f>input_dollars</f>
        <v>45473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 t="str">
        <f>C15</f>
        <v>&lt; Enter description &gt;</v>
      </c>
      <c r="D73" s="38"/>
      <c r="F73" s="97"/>
      <c r="G73" s="211">
        <f>input_dollars</f>
        <v>45473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 t="str">
        <f>C16</f>
        <v>&lt; Enter description &gt;</v>
      </c>
      <c r="D74" s="38"/>
      <c r="F74" s="97"/>
      <c r="G74" s="211">
        <f>input_dollars</f>
        <v>45473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8" t="s">
        <v>91</v>
      </c>
      <c r="D76" s="38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&lt; Enter description &gt;</v>
      </c>
      <c r="D77" s="38"/>
      <c r="G77" s="211">
        <f>input_dollars</f>
        <v>45473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  <c r="AH77"/>
    </row>
    <row r="78" spans="1:34" x14ac:dyDescent="0.2">
      <c r="A78" s="8"/>
      <c r="B78" s="8"/>
      <c r="C78" s="4" t="str">
        <f>$C$76&amp;" - "&amp;C15</f>
        <v>Annualised capex - &lt; Enter description &gt;</v>
      </c>
      <c r="D78" s="38"/>
      <c r="G78" s="211">
        <f>input_dollars</f>
        <v>45473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>Annualised capex - &lt; Enter description &gt;</v>
      </c>
      <c r="D79" s="38"/>
      <c r="G79" s="211">
        <f>input_dollars</f>
        <v>45473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3" t="s">
        <v>166</v>
      </c>
      <c r="D80" s="173"/>
      <c r="E80" s="174"/>
      <c r="F80" s="175"/>
      <c r="G80" s="216">
        <f>input_dollars</f>
        <v>45473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0</v>
      </c>
      <c r="L80" s="177">
        <f t="shared" si="11"/>
        <v>0</v>
      </c>
      <c r="M80" s="177">
        <f t="shared" si="11"/>
        <v>0</v>
      </c>
      <c r="N80" s="177">
        <f t="shared" si="11"/>
        <v>0</v>
      </c>
      <c r="O80" s="177">
        <f t="shared" si="11"/>
        <v>0</v>
      </c>
      <c r="P80" s="177">
        <f t="shared" si="11"/>
        <v>0</v>
      </c>
      <c r="Q80" s="177">
        <f t="shared" si="11"/>
        <v>0</v>
      </c>
      <c r="R80" s="177">
        <f t="shared" si="11"/>
        <v>0</v>
      </c>
      <c r="S80" s="177">
        <f t="shared" si="11"/>
        <v>0</v>
      </c>
      <c r="T80" s="177">
        <f t="shared" si="11"/>
        <v>0</v>
      </c>
      <c r="U80" s="177">
        <f t="shared" si="11"/>
        <v>0</v>
      </c>
      <c r="V80" s="177">
        <f t="shared" si="11"/>
        <v>0</v>
      </c>
      <c r="W80" s="177">
        <f t="shared" si="11"/>
        <v>0</v>
      </c>
      <c r="X80" s="177">
        <f t="shared" si="11"/>
        <v>0</v>
      </c>
      <c r="Y80" s="177">
        <f t="shared" si="11"/>
        <v>0</v>
      </c>
      <c r="Z80" s="177">
        <f t="shared" si="11"/>
        <v>0</v>
      </c>
      <c r="AA80" s="177">
        <f t="shared" si="11"/>
        <v>0</v>
      </c>
      <c r="AB80" s="177">
        <f t="shared" si="11"/>
        <v>0</v>
      </c>
      <c r="AC80" s="177">
        <f>SUM(AC77:AC79)</f>
        <v>0</v>
      </c>
      <c r="AD80" s="177">
        <f>SUM(AD77:AD79)</f>
        <v>0</v>
      </c>
      <c r="AE80" s="177">
        <f>SUM(AE77:AE79)</f>
        <v>0</v>
      </c>
      <c r="AF80" s="177">
        <f>SUM(AF77:AF79)</f>
        <v>0</v>
      </c>
      <c r="AG80" s="177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45473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1">
        <f t="shared" si="12"/>
        <v>45473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149</v>
      </c>
      <c r="D84" s="38"/>
      <c r="F84" s="97"/>
      <c r="G84" s="211">
        <f t="shared" si="12"/>
        <v>45473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 t="shared" si="15"/>
        <v>0</v>
      </c>
      <c r="AD84" s="31">
        <f t="shared" si="15"/>
        <v>0</v>
      </c>
      <c r="AE84" s="31">
        <f t="shared" si="15"/>
        <v>0</v>
      </c>
      <c r="AF84" s="31">
        <f t="shared" si="15"/>
        <v>0</v>
      </c>
      <c r="AG84" s="31">
        <f t="shared" si="15"/>
        <v>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1">
        <f t="shared" si="12"/>
        <v>45473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8" t="s">
        <v>196</v>
      </c>
      <c r="D87" s="179"/>
      <c r="E87" s="174"/>
      <c r="F87" s="180"/>
      <c r="G87" s="216">
        <f t="shared" si="12"/>
        <v>45473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0</v>
      </c>
      <c r="L87" s="180">
        <f t="shared" si="17"/>
        <v>0</v>
      </c>
      <c r="M87" s="180">
        <f t="shared" si="17"/>
        <v>0</v>
      </c>
      <c r="N87" s="180">
        <f t="shared" si="17"/>
        <v>0</v>
      </c>
      <c r="O87" s="180">
        <f t="shared" si="17"/>
        <v>0</v>
      </c>
      <c r="P87" s="180">
        <f t="shared" si="17"/>
        <v>0</v>
      </c>
      <c r="Q87" s="180">
        <f t="shared" si="17"/>
        <v>0</v>
      </c>
      <c r="R87" s="180">
        <f t="shared" si="17"/>
        <v>0</v>
      </c>
      <c r="S87" s="180">
        <f t="shared" si="17"/>
        <v>0</v>
      </c>
      <c r="T87" s="180">
        <f t="shared" si="17"/>
        <v>0</v>
      </c>
      <c r="U87" s="180">
        <f t="shared" si="17"/>
        <v>0</v>
      </c>
      <c r="V87" s="180">
        <f t="shared" si="17"/>
        <v>0</v>
      </c>
      <c r="W87" s="180">
        <f t="shared" si="17"/>
        <v>0</v>
      </c>
      <c r="X87" s="180">
        <f t="shared" si="17"/>
        <v>0</v>
      </c>
      <c r="Y87" s="180">
        <f t="shared" si="17"/>
        <v>0</v>
      </c>
      <c r="Z87" s="180">
        <f t="shared" si="17"/>
        <v>0</v>
      </c>
      <c r="AA87" s="180">
        <f t="shared" si="17"/>
        <v>0</v>
      </c>
      <c r="AB87" s="180">
        <f t="shared" si="17"/>
        <v>0</v>
      </c>
      <c r="AC87" s="180">
        <f>SUM(AC82:AC86)</f>
        <v>0</v>
      </c>
      <c r="AD87" s="180">
        <f>SUM(AD82:AD86)</f>
        <v>0</v>
      </c>
      <c r="AE87" s="180">
        <f>SUM(AE82:AE86)</f>
        <v>0</v>
      </c>
      <c r="AF87" s="180">
        <f>SUM(AF82:AF86)</f>
        <v>0</v>
      </c>
      <c r="AG87" s="180">
        <f>SUM(AG82:AG86)</f>
        <v>0</v>
      </c>
      <c r="AH87"/>
    </row>
    <row r="88" spans="1:34" x14ac:dyDescent="0.2">
      <c r="A88" s="8"/>
      <c r="B88" s="8"/>
      <c r="C88" s="75"/>
      <c r="D88" s="139"/>
      <c r="E88" s="64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9"/>
      <c r="E89" s="64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1" t="s">
        <v>206</v>
      </c>
      <c r="D90" s="82"/>
      <c r="E90" s="232"/>
      <c r="F90" s="233"/>
      <c r="G90" s="234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5"/>
      <c r="E91" s="232"/>
      <c r="F91" s="232"/>
      <c r="G91" s="234"/>
    </row>
    <row r="92" spans="1:34" x14ac:dyDescent="0.2">
      <c r="C92" s="236" t="s">
        <v>201</v>
      </c>
      <c r="D92" s="237"/>
      <c r="E92" s="237"/>
      <c r="F92" s="237"/>
      <c r="G92" s="238" t="str">
        <f>IF(_xlfn.MINIFS($G$90:$G$91, $G$90:$G$91, "&gt;"&amp;0)=0, $A$4, _xlfn.MINIFS($G$90:$G$91, $G$90:$G$91, "&gt;"&amp;0))</f>
        <v>Not used</v>
      </c>
    </row>
    <row r="94" spans="1:34" x14ac:dyDescent="0.2">
      <c r="G94" s="12"/>
    </row>
    <row r="102" spans="1:43" ht="15" x14ac:dyDescent="0.2">
      <c r="A102" s="89" t="s">
        <v>226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196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166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249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2" t="str">
        <f>Assumptions!G110</f>
        <v>Capex</v>
      </c>
      <c r="E109" s="302" t="str">
        <f>Assumptions!H110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"sens"&amp;Assumptions!B111</f>
        <v>sens1</v>
      </c>
      <c r="C110" s="301" t="str">
        <f>Assumptions!C111</f>
        <v>Capex 10% higher</v>
      </c>
      <c r="D110" s="302">
        <f>Assumptions!G111</f>
        <v>0.1</v>
      </c>
      <c r="E110" s="302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1" t="str">
        <f>Assumptions!C112</f>
        <v>Capex 10% lower</v>
      </c>
      <c r="D111" s="302">
        <f>Assumptions!G112</f>
        <v>-0.1</v>
      </c>
      <c r="E111" s="302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1" t="str">
        <f>Assumptions!C113</f>
        <v>Total benefits 10% higher</v>
      </c>
      <c r="D112" s="302">
        <f>Assumptions!G113</f>
        <v>0</v>
      </c>
      <c r="E112" s="302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1" t="str">
        <f>Assumptions!C114</f>
        <v>Total benefits 10% lower</v>
      </c>
      <c r="D113" s="302">
        <f>Assumptions!G114</f>
        <v>0</v>
      </c>
      <c r="E113" s="302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1" t="str">
        <f>Assumptions!C115</f>
        <v>Capex 10% higher &amp; Total benefits 10% lower</v>
      </c>
      <c r="D114" s="302">
        <f>Assumptions!G115</f>
        <v>0.1</v>
      </c>
      <c r="E114" s="302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1">
        <f>Assumptions!C116</f>
        <v>0</v>
      </c>
      <c r="D115" s="302">
        <f>Assumptions!G116</f>
        <v>0</v>
      </c>
      <c r="E115" s="302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1">
        <f>Assumptions!C117</f>
        <v>0</v>
      </c>
      <c r="D116" s="302">
        <f>Assumptions!G117</f>
        <v>0</v>
      </c>
      <c r="E116" s="302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1">
        <f>Assumptions!C118</f>
        <v>0</v>
      </c>
      <c r="D117" s="302">
        <f>Assumptions!G118</f>
        <v>0</v>
      </c>
      <c r="E117" s="302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8" priority="1">
      <formula>AND(SUM($I14:$AB14)&lt;&gt;0, E14=0)</formula>
    </cfRule>
  </conditionalFormatting>
  <conditionalFormatting sqref="E28">
    <cfRule type="expression" dxfId="7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Pole mounted transformer uplift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134</v>
      </c>
      <c r="B3" s="5"/>
      <c r="C3" s="201">
        <f>INDEX(Assumptions!$E$14:$E$18, MATCH(A3,_xlfn.ANCHORARRAY( Assumptions!$C$14),0))</f>
        <v>0</v>
      </c>
    </row>
    <row r="4" spans="1:43" x14ac:dyDescent="0.2">
      <c r="A4" s="202" t="str">
        <f>(INDEX(Data!$D$9:$D$13, MATCH(A3, options,0)))</f>
        <v>Not used</v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6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9">
        <v>0</v>
      </c>
      <c r="G14" s="208">
        <f>input_dollars</f>
        <v>45473</v>
      </c>
      <c r="H14" s="150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9">
        <v>0</v>
      </c>
      <c r="G15" s="208">
        <f>input_dollars</f>
        <v>45473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9">
        <v>0</v>
      </c>
      <c r="G16" s="208">
        <f>input_dollars</f>
        <v>45473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45473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45473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/>
      <c r="AI19"/>
      <c r="AJ19"/>
      <c r="AK19"/>
      <c r="AL19"/>
      <c r="AM19"/>
    </row>
    <row r="20" spans="1:43" x14ac:dyDescent="0.2">
      <c r="G20" s="206"/>
      <c r="AH20"/>
      <c r="AI20"/>
      <c r="AJ20"/>
      <c r="AK20"/>
      <c r="AL20"/>
      <c r="AM20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159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160</v>
      </c>
      <c r="D24" s="111"/>
      <c r="E24" s="111"/>
      <c r="F24" s="111"/>
      <c r="G24" s="209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161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45498.921992955387</v>
      </c>
      <c r="F28" s="239" t="str">
        <f>IF(AND(SUM(I27:AG27)&lt;&gt;0, E28=0), "!", "")</f>
        <v/>
      </c>
      <c r="G28" s="208">
        <f>input_dollars</f>
        <v>45473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216</v>
      </c>
      <c r="G30" s="208">
        <f>input_dollars</f>
        <v>45473</v>
      </c>
      <c r="H30" s="150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45473</v>
      </c>
      <c r="H31" s="150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216</v>
      </c>
      <c r="E32"/>
      <c r="G32" s="208">
        <f>input_dollars</f>
        <v>45473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  <c r="W32" s="137">
        <v>0</v>
      </c>
      <c r="X32" s="137">
        <v>0</v>
      </c>
      <c r="Y32" s="137">
        <v>0</v>
      </c>
      <c r="Z32" s="137">
        <v>0</v>
      </c>
      <c r="AA32" s="137">
        <v>0</v>
      </c>
      <c r="AB32" s="137">
        <v>0</v>
      </c>
      <c r="AC32" s="137">
        <v>0</v>
      </c>
      <c r="AD32" s="137">
        <v>0</v>
      </c>
      <c r="AE32" s="137">
        <v>0</v>
      </c>
      <c r="AF32" s="137">
        <v>0</v>
      </c>
      <c r="AG32" s="137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181</v>
      </c>
      <c r="D33" s="220"/>
      <c r="E33"/>
      <c r="G33" s="208">
        <f>input_dollars</f>
        <v>45473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181</v>
      </c>
      <c r="D34" s="207"/>
      <c r="E34"/>
      <c r="G34" s="208">
        <f>input_dollars</f>
        <v>45473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180</v>
      </c>
      <c r="D36" s="219"/>
      <c r="E36" s="107"/>
      <c r="F36" s="3"/>
      <c r="G36" s="210"/>
      <c r="H36" s="107"/>
      <c r="I36" s="171">
        <f>SUM(I28:I34)</f>
        <v>0</v>
      </c>
      <c r="J36" s="171">
        <f t="shared" ref="J36:AG36" si="3">SUM(J28:J34)</f>
        <v>0</v>
      </c>
      <c r="K36" s="171">
        <f t="shared" si="3"/>
        <v>0</v>
      </c>
      <c r="L36" s="171">
        <f t="shared" si="3"/>
        <v>0</v>
      </c>
      <c r="M36" s="171">
        <f t="shared" si="3"/>
        <v>0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 t="shared" si="3"/>
        <v>0</v>
      </c>
      <c r="AD36" s="171">
        <f t="shared" si="3"/>
        <v>0</v>
      </c>
      <c r="AE36" s="171">
        <f t="shared" si="3"/>
        <v>0</v>
      </c>
      <c r="AF36" s="171">
        <f t="shared" si="3"/>
        <v>0</v>
      </c>
      <c r="AG36" s="171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6" t="s">
        <v>63</v>
      </c>
      <c r="E45" s="113">
        <f>Assumptions!G94</f>
        <v>151432.81740793545</v>
      </c>
      <c r="G45" s="208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6" t="s">
        <v>63</v>
      </c>
      <c r="E46" s="113">
        <f>Assumptions!G95</f>
        <v>24590</v>
      </c>
      <c r="G46" s="208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6" t="s">
        <v>63</v>
      </c>
      <c r="E47" s="112">
        <f>Assumptions!G96</f>
        <v>88.357719508603083</v>
      </c>
      <c r="G47" s="208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6" t="s">
        <v>126</v>
      </c>
      <c r="E48" s="112">
        <f>Assumptions!G97</f>
        <v>0</v>
      </c>
      <c r="G48" s="208" t="s">
        <v>213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211</v>
      </c>
      <c r="D49" s="206" t="s">
        <v>214</v>
      </c>
      <c r="E49" s="112">
        <f>Assumptions!G98</f>
        <v>0.35181336539087127</v>
      </c>
      <c r="G49" s="208" t="s">
        <v>215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212</v>
      </c>
      <c r="D50" s="206" t="s">
        <v>214</v>
      </c>
      <c r="E50" s="112">
        <f>Assumptions!G99</f>
        <v>0.35181336539087127</v>
      </c>
      <c r="G50" s="208" t="s">
        <v>215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6" t="s">
        <v>126</v>
      </c>
      <c r="E51" s="112">
        <f>Assumptions!G100</f>
        <v>0</v>
      </c>
      <c r="G51" s="208" t="s">
        <v>213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6" t="s">
        <v>126</v>
      </c>
      <c r="E52" s="112">
        <f>Assumptions!G101</f>
        <v>0</v>
      </c>
      <c r="G52" s="208" t="s">
        <v>213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45473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45473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08">
        <f>input_dollars</f>
        <v>45473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0</v>
      </c>
      <c r="L57" s="171" cm="1">
        <f t="array" ref="L57">SUMPRODUCT((L$45:L$52)*($E$45:$E$52))+SUM(L54:L55)+L42</f>
        <v>0</v>
      </c>
      <c r="M57" s="171" cm="1">
        <f t="array" ref="M57">SUMPRODUCT((M$45:M$52)*($E$45:$E$52))+SUM(M54:M55)+M42</f>
        <v>0</v>
      </c>
      <c r="N57" s="171" cm="1">
        <f t="array" ref="N57">SUMPRODUCT((N$45:N$52)*($E$45:$E$52))+SUM(N54:N55)+N42</f>
        <v>0</v>
      </c>
      <c r="O57" s="171" cm="1">
        <f t="array" ref="O57">SUMPRODUCT((O$45:O$52)*($E$45:$E$52))+SUM(O54:O55)+O42</f>
        <v>0</v>
      </c>
      <c r="P57" s="171" cm="1">
        <f t="array" ref="P57">SUMPRODUCT((P$45:P$52)*($E$45:$E$52))+SUM(P54:P55)+P42</f>
        <v>0</v>
      </c>
      <c r="Q57" s="171" cm="1">
        <f t="array" ref="Q57">SUMPRODUCT((Q$45:Q$52)*($E$45:$E$52))+SUM(Q54:Q55)+Q42</f>
        <v>0</v>
      </c>
      <c r="R57" s="171" cm="1">
        <f t="array" ref="R57">SUMPRODUCT((R$45:R$52)*($E$45:$E$52))+SUM(R54:R55)+R42</f>
        <v>0</v>
      </c>
      <c r="S57" s="171" cm="1">
        <f t="array" ref="S57">SUMPRODUCT((S$45:S$52)*($E$45:$E$52))+SUM(S54:S55)+S42</f>
        <v>0</v>
      </c>
      <c r="T57" s="171" cm="1">
        <f t="array" ref="T57">SUMPRODUCT((T$45:T$52)*($E$45:$E$52))+SUM(T54:T55)+T42</f>
        <v>0</v>
      </c>
      <c r="U57" s="171" cm="1">
        <f t="array" ref="U57">SUMPRODUCT((U$45:U$52)*($E$45:$E$52))+SUM(U54:U55)+U42</f>
        <v>0</v>
      </c>
      <c r="V57" s="171" cm="1">
        <f t="array" ref="V57">SUMPRODUCT((V$45:V$52)*($E$45:$E$52))+SUM(V54:V55)+V42</f>
        <v>0</v>
      </c>
      <c r="W57" s="171" cm="1">
        <f t="array" ref="W57">SUMPRODUCT((W$45:W$52)*($E$45:$E$52))+SUM(W54:W55)+W42</f>
        <v>0</v>
      </c>
      <c r="X57" s="171" cm="1">
        <f t="array" ref="X57">SUMPRODUCT((X$45:X$52)*($E$45:$E$52))+SUM(X54:X55)+X42</f>
        <v>0</v>
      </c>
      <c r="Y57" s="171" cm="1">
        <f t="array" ref="Y57">SUMPRODUCT((Y$45:Y$52)*($E$45:$E$52))+SUM(Y54:Y55)+Y42</f>
        <v>0</v>
      </c>
      <c r="Z57" s="171" cm="1">
        <f t="array" ref="Z57">SUMPRODUCT((Z$45:Z$52)*($E$45:$E$52))+SUM(Z54:Z55)+Z42</f>
        <v>0</v>
      </c>
      <c r="AA57" s="171" cm="1">
        <f t="array" ref="AA57">SUMPRODUCT((AA$45:AA$52)*($E$45:$E$52))+SUM(AA54:AA55)+AA42</f>
        <v>0</v>
      </c>
      <c r="AB57" s="171" cm="1">
        <f t="array" ref="AB57">SUMPRODUCT((AB$45:AB$52)*($E$45:$E$52))+SUM(AB54:AB55)+AB42</f>
        <v>0</v>
      </c>
      <c r="AC57" s="171" cm="1">
        <f t="array" ref="AC57">SUMPRODUCT((AC$45:AC$52)*($E$45:$E$52))+SUM(AC54:AC55)+AC42</f>
        <v>0</v>
      </c>
      <c r="AD57" s="171" cm="1">
        <f t="array" ref="AD57">SUMPRODUCT((AD$45:AD$52)*($E$45:$E$52))+SUM(AD54:AD55)+AD42</f>
        <v>0</v>
      </c>
      <c r="AE57" s="171" cm="1">
        <f t="array" ref="AE57">SUMPRODUCT((AE$45:AE$52)*($E$45:$E$52))+SUM(AE54:AE55)+AE42</f>
        <v>0</v>
      </c>
      <c r="AF57" s="171" cm="1">
        <f t="array" ref="AF57">SUMPRODUCT((AF$45:AF$52)*($E$45:$E$52))+SUM(AF54:AF55)+AF42</f>
        <v>0</v>
      </c>
      <c r="AG57" s="171" cm="1">
        <f t="array" ref="AG57">SUMPRODUCT((AG$45:AG$52)*($E$45:$E$52))+SUM(AG54:AG55)+AG42</f>
        <v>0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3"/>
    </row>
    <row r="64" spans="1:43" x14ac:dyDescent="0.2">
      <c r="C64" s="4" t="str">
        <f>'Option1 (base case)'!C64</f>
        <v>Risks mitigated vs base case</v>
      </c>
      <c r="G64" s="211">
        <f>input_dollars</f>
        <v>45473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0</v>
      </c>
      <c r="L64" s="133">
        <f>(1-INDEX(Data!$C$9:$C$13, MATCH($A$3, options,0)))*('Option1 (base case)'!L36-L36)</f>
        <v>0</v>
      </c>
      <c r="M64" s="133">
        <f>(1-INDEX(Data!$C$9:$C$13, MATCH($A$3, options,0)))*('Option1 (base case)'!M36-M36)</f>
        <v>0</v>
      </c>
      <c r="N64" s="133">
        <f>(1-INDEX(Data!$C$9:$C$13, MATCH($A$3, options,0)))*('Option1 (base case)'!N36-N36)</f>
        <v>0</v>
      </c>
      <c r="O64" s="133">
        <f>(1-INDEX(Data!$C$9:$C$13, MATCH($A$3, options,0)))*('Option1 (base case)'!O36-O36)</f>
        <v>0</v>
      </c>
      <c r="P64" s="133">
        <f>(1-INDEX(Data!$C$9:$C$13, MATCH($A$3, options,0)))*('Option1 (base case)'!P36-P36)</f>
        <v>0</v>
      </c>
      <c r="Q64" s="133">
        <f>(1-INDEX(Data!$C$9:$C$13, MATCH($A$3, options,0)))*('Option1 (base case)'!Q36-Q36)</f>
        <v>0</v>
      </c>
      <c r="R64" s="133">
        <f>(1-INDEX(Data!$C$9:$C$13, MATCH($A$3, options,0)))*('Option1 (base case)'!R36-R36)</f>
        <v>0</v>
      </c>
      <c r="S64" s="133">
        <f>(1-INDEX(Data!$C$9:$C$13, MATCH($A$3, options,0)))*('Option1 (base case)'!S36-S36)</f>
        <v>0</v>
      </c>
      <c r="T64" s="133">
        <f>(1-INDEX(Data!$C$9:$C$13, MATCH($A$3, options,0)))*('Option1 (base case)'!T36-T36)</f>
        <v>0</v>
      </c>
      <c r="U64" s="133">
        <f>(1-INDEX(Data!$C$9:$C$13, MATCH($A$3, options,0)))*('Option1 (base case)'!U36-U36)</f>
        <v>0</v>
      </c>
      <c r="V64" s="133">
        <f>(1-INDEX(Data!$C$9:$C$13, MATCH($A$3, options,0)))*('Option1 (base case)'!V36-V36)</f>
        <v>0</v>
      </c>
      <c r="W64" s="133">
        <f>(1-INDEX(Data!$C$9:$C$13, MATCH($A$3, options,0)))*('Option1 (base case)'!W36-W36)</f>
        <v>0</v>
      </c>
      <c r="X64" s="133">
        <f>(1-INDEX(Data!$C$9:$C$13, MATCH($A$3, options,0)))*('Option1 (base case)'!X36-X36)</f>
        <v>0</v>
      </c>
      <c r="Y64" s="133">
        <f>(1-INDEX(Data!$C$9:$C$13, MATCH($A$3, options,0)))*('Option1 (base case)'!Y36-Y36)</f>
        <v>0</v>
      </c>
      <c r="Z64" s="133">
        <f>(1-INDEX(Data!$C$9:$C$13, MATCH($A$3, options,0)))*('Option1 (base case)'!Z36-Z36)</f>
        <v>0</v>
      </c>
      <c r="AA64" s="133">
        <f>(1-INDEX(Data!$C$9:$C$13, MATCH($A$3, options,0)))*('Option1 (base case)'!AA36-AA36)</f>
        <v>0</v>
      </c>
      <c r="AB64" s="133">
        <f>(1-INDEX(Data!$C$9:$C$13, MATCH($A$3, options,0)))*('Option1 (base case)'!AB36-AB36)</f>
        <v>0</v>
      </c>
      <c r="AC64" s="133">
        <f>(1-INDEX(Data!$C$9:$C$13, MATCH($A$3, options,0)))*('Option1 (base case)'!AC36-AC36)</f>
        <v>0</v>
      </c>
      <c r="AD64" s="133">
        <f>(1-INDEX(Data!$C$9:$C$13, MATCH($A$3, options,0)))*('Option1 (base case)'!AD36-AD36)</f>
        <v>0</v>
      </c>
      <c r="AE64" s="133">
        <f>(1-INDEX(Data!$C$9:$C$13, MATCH($A$3, options,0)))*('Option1 (base case)'!AE36-AE36)</f>
        <v>0</v>
      </c>
      <c r="AF64" s="133">
        <f>(1-INDEX(Data!$C$9:$C$13, MATCH($A$3, options,0)))*('Option1 (base case)'!AF36-AF36)</f>
        <v>0</v>
      </c>
      <c r="AG64" s="133">
        <f>(1-INDEX(Data!$C$9:$C$13, MATCH($A$3, options,0)))*('Option1 (base case)'!AG36-AG36)</f>
        <v>0</v>
      </c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1">
        <f>input_dollars</f>
        <v>45473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1">
        <f>input_dollars</f>
        <v>45473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1">
        <f>input_dollars</f>
        <v>45473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165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1">
        <f>input_dollars</f>
        <v>45473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1">
        <f>input_dollars</f>
        <v>45473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1">
        <f>input_dollars</f>
        <v>45473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1">
        <f>input_dollars</f>
        <v>45473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1">
        <f>input_dollars</f>
        <v>45473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1">
        <f>input_dollars</f>
        <v>45473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3" t="s">
        <v>166</v>
      </c>
      <c r="D80" s="173"/>
      <c r="E80" s="174"/>
      <c r="F80" s="175"/>
      <c r="G80" s="216">
        <f>input_dollars</f>
        <v>45473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0</v>
      </c>
      <c r="L80" s="177">
        <f t="shared" si="11"/>
        <v>0</v>
      </c>
      <c r="M80" s="177">
        <f t="shared" si="11"/>
        <v>0</v>
      </c>
      <c r="N80" s="177">
        <f t="shared" si="11"/>
        <v>0</v>
      </c>
      <c r="O80" s="177">
        <f t="shared" si="11"/>
        <v>0</v>
      </c>
      <c r="P80" s="177">
        <f t="shared" si="11"/>
        <v>0</v>
      </c>
      <c r="Q80" s="177">
        <f t="shared" si="11"/>
        <v>0</v>
      </c>
      <c r="R80" s="177">
        <f t="shared" si="11"/>
        <v>0</v>
      </c>
      <c r="S80" s="177">
        <f t="shared" si="11"/>
        <v>0</v>
      </c>
      <c r="T80" s="177">
        <f t="shared" si="11"/>
        <v>0</v>
      </c>
      <c r="U80" s="177">
        <f t="shared" si="11"/>
        <v>0</v>
      </c>
      <c r="V80" s="177">
        <f t="shared" si="11"/>
        <v>0</v>
      </c>
      <c r="W80" s="177">
        <f t="shared" si="11"/>
        <v>0</v>
      </c>
      <c r="X80" s="177">
        <f t="shared" si="11"/>
        <v>0</v>
      </c>
      <c r="Y80" s="177">
        <f t="shared" si="11"/>
        <v>0</v>
      </c>
      <c r="Z80" s="177">
        <f t="shared" si="11"/>
        <v>0</v>
      </c>
      <c r="AA80" s="177">
        <f t="shared" si="11"/>
        <v>0</v>
      </c>
      <c r="AB80" s="177">
        <f t="shared" si="11"/>
        <v>0</v>
      </c>
      <c r="AC80" s="177">
        <f>SUM(AC77:AC79)</f>
        <v>0</v>
      </c>
      <c r="AD80" s="177">
        <f>SUM(AD77:AD79)</f>
        <v>0</v>
      </c>
      <c r="AE80" s="177">
        <f>SUM(AE77:AE79)</f>
        <v>0</v>
      </c>
      <c r="AF80" s="177">
        <f>SUM(AF77:AF79)</f>
        <v>0</v>
      </c>
      <c r="AG80" s="177">
        <f>SUM(AG77:AG79)</f>
        <v>0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45473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2"/>
        <v>45473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149</v>
      </c>
      <c r="D84" s="38"/>
      <c r="F84" s="97"/>
      <c r="G84" s="211">
        <f t="shared" si="12"/>
        <v>45473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2"/>
        <v>45473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8" t="s">
        <v>196</v>
      </c>
      <c r="D87" s="179"/>
      <c r="E87" s="174"/>
      <c r="F87" s="180"/>
      <c r="G87" s="216">
        <f t="shared" si="12"/>
        <v>45473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0</v>
      </c>
      <c r="L87" s="180">
        <f t="shared" si="17"/>
        <v>0</v>
      </c>
      <c r="M87" s="180">
        <f t="shared" si="17"/>
        <v>0</v>
      </c>
      <c r="N87" s="180">
        <f t="shared" si="17"/>
        <v>0</v>
      </c>
      <c r="O87" s="180">
        <f t="shared" si="17"/>
        <v>0</v>
      </c>
      <c r="P87" s="180">
        <f t="shared" si="17"/>
        <v>0</v>
      </c>
      <c r="Q87" s="180">
        <f t="shared" si="17"/>
        <v>0</v>
      </c>
      <c r="R87" s="180">
        <f t="shared" si="17"/>
        <v>0</v>
      </c>
      <c r="S87" s="180">
        <f t="shared" si="17"/>
        <v>0</v>
      </c>
      <c r="T87" s="180">
        <f t="shared" si="17"/>
        <v>0</v>
      </c>
      <c r="U87" s="180">
        <f t="shared" si="17"/>
        <v>0</v>
      </c>
      <c r="V87" s="180">
        <f t="shared" si="17"/>
        <v>0</v>
      </c>
      <c r="W87" s="180">
        <f t="shared" si="17"/>
        <v>0</v>
      </c>
      <c r="X87" s="180">
        <f t="shared" si="17"/>
        <v>0</v>
      </c>
      <c r="Y87" s="180">
        <f t="shared" si="17"/>
        <v>0</v>
      </c>
      <c r="Z87" s="180">
        <f t="shared" si="17"/>
        <v>0</v>
      </c>
      <c r="AA87" s="180">
        <f t="shared" si="17"/>
        <v>0</v>
      </c>
      <c r="AB87" s="180">
        <f t="shared" si="17"/>
        <v>0</v>
      </c>
      <c r="AC87" s="180">
        <f>SUM(AC82:AC86)</f>
        <v>0</v>
      </c>
      <c r="AD87" s="180">
        <f>SUM(AD82:AD86)</f>
        <v>0</v>
      </c>
      <c r="AE87" s="180">
        <f>SUM(AE82:AE86)</f>
        <v>0</v>
      </c>
      <c r="AF87" s="180">
        <f>SUM(AF82:AF86)</f>
        <v>0</v>
      </c>
      <c r="AG87" s="180">
        <f>SUM(AG82:AG86)</f>
        <v>0</v>
      </c>
    </row>
    <row r="88" spans="1:33" x14ac:dyDescent="0.2">
      <c r="A88" s="8"/>
      <c r="B88" s="8"/>
      <c r="C88" s="75"/>
      <c r="D88" s="139"/>
      <c r="E88" s="64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E89" s="64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 t="s">
        <v>206</v>
      </c>
      <c r="D90" s="82"/>
      <c r="E90" s="232"/>
      <c r="F90" s="233"/>
      <c r="G90" s="234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5"/>
      <c r="E91" s="232"/>
      <c r="F91" s="232"/>
      <c r="G91" s="234"/>
    </row>
    <row r="92" spans="1:33" x14ac:dyDescent="0.2">
      <c r="C92" s="236" t="s">
        <v>201</v>
      </c>
      <c r="D92" s="237"/>
      <c r="E92" s="237"/>
      <c r="F92" s="237"/>
      <c r="G92" s="238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226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196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166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249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2" t="str">
        <f>Assumptions!G110</f>
        <v>Capex</v>
      </c>
      <c r="E109" s="302" t="str">
        <f>Assumptions!H110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"sens"&amp;Assumptions!B111</f>
        <v>sens1</v>
      </c>
      <c r="C110" s="301" t="str">
        <f>Assumptions!C111</f>
        <v>Capex 10% higher</v>
      </c>
      <c r="D110" s="302">
        <f>Assumptions!G111</f>
        <v>0.1</v>
      </c>
      <c r="E110" s="302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1" t="str">
        <f>Assumptions!C112</f>
        <v>Capex 10% lower</v>
      </c>
      <c r="D111" s="302">
        <f>Assumptions!G112</f>
        <v>-0.1</v>
      </c>
      <c r="E111" s="302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1" t="str">
        <f>Assumptions!C113</f>
        <v>Total benefits 10% higher</v>
      </c>
      <c r="D112" s="302">
        <f>Assumptions!G113</f>
        <v>0</v>
      </c>
      <c r="E112" s="302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1" t="str">
        <f>Assumptions!C114</f>
        <v>Total benefits 10% lower</v>
      </c>
      <c r="D113" s="302">
        <f>Assumptions!G114</f>
        <v>0</v>
      </c>
      <c r="E113" s="302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1" t="str">
        <f>Assumptions!C115</f>
        <v>Capex 10% higher &amp; Total benefits 10% lower</v>
      </c>
      <c r="D114" s="302">
        <f>Assumptions!G115</f>
        <v>0.1</v>
      </c>
      <c r="E114" s="302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1">
        <f>Assumptions!C116</f>
        <v>0</v>
      </c>
      <c r="D115" s="302">
        <f>Assumptions!G116</f>
        <v>0</v>
      </c>
      <c r="E115" s="302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1">
        <f>Assumptions!C117</f>
        <v>0</v>
      </c>
      <c r="D116" s="302">
        <f>Assumptions!G117</f>
        <v>0</v>
      </c>
      <c r="E116" s="302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1">
        <f>Assumptions!C118</f>
        <v>0</v>
      </c>
      <c r="D117" s="302">
        <f>Assumptions!G118</f>
        <v>0</v>
      </c>
      <c r="E117" s="302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Pole mounted transformer uplift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193</v>
      </c>
      <c r="B3" s="5"/>
      <c r="C3" s="201">
        <f>INDEX(Assumptions!$E$14:$E$18, MATCH(A3,_xlfn.ANCHORARRAY( Assumptions!$C$14),0))</f>
        <v>0</v>
      </c>
    </row>
    <row r="4" spans="1:43" x14ac:dyDescent="0.2">
      <c r="A4" s="202" t="str">
        <f>(INDEX(Data!$D$9:$D$13, MATCH(A3, options,0)))</f>
        <v>Not used</v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9">
        <v>0</v>
      </c>
      <c r="G14" s="208">
        <f>input_dollars</f>
        <v>45473</v>
      </c>
      <c r="H14" s="150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9">
        <v>0</v>
      </c>
      <c r="G15" s="208">
        <f>input_dollars</f>
        <v>45473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9">
        <v>0</v>
      </c>
      <c r="G16" s="208">
        <f>input_dollars</f>
        <v>45473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45473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45473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/>
      <c r="AI19"/>
      <c r="AJ19"/>
      <c r="AK19"/>
    </row>
    <row r="20" spans="1:43" x14ac:dyDescent="0.2">
      <c r="G20" s="206"/>
      <c r="AH20"/>
      <c r="AI20"/>
      <c r="AJ20"/>
      <c r="AK20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159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160</v>
      </c>
      <c r="D24" s="111"/>
      <c r="E24" s="111"/>
      <c r="F24" s="111"/>
      <c r="G24" s="209"/>
      <c r="H24" s="111"/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161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45498.921992955387</v>
      </c>
      <c r="F28" s="239" t="str">
        <f>IF(AND(SUM(I27:AG27)&lt;&gt;0, E28=0), "!", "")</f>
        <v/>
      </c>
      <c r="G28" s="208">
        <f>input_dollars</f>
        <v>45473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216</v>
      </c>
      <c r="G30" s="208">
        <f>input_dollars</f>
        <v>45473</v>
      </c>
      <c r="H30" s="150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45473</v>
      </c>
      <c r="H31" s="150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216</v>
      </c>
      <c r="E32"/>
      <c r="G32" s="208">
        <f>input_dollars</f>
        <v>45473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  <c r="W32" s="137">
        <v>0</v>
      </c>
      <c r="X32" s="137">
        <v>0</v>
      </c>
      <c r="Y32" s="137">
        <v>0</v>
      </c>
      <c r="Z32" s="137">
        <v>0</v>
      </c>
      <c r="AA32" s="137">
        <v>0</v>
      </c>
      <c r="AB32" s="137">
        <v>0</v>
      </c>
      <c r="AC32" s="137">
        <v>0</v>
      </c>
      <c r="AD32" s="137">
        <v>0</v>
      </c>
      <c r="AE32" s="137">
        <v>0</v>
      </c>
      <c r="AF32" s="137">
        <v>0</v>
      </c>
      <c r="AG32" s="137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181</v>
      </c>
      <c r="D33" s="220"/>
      <c r="E33"/>
      <c r="G33" s="208">
        <f>input_dollars</f>
        <v>45473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181</v>
      </c>
      <c r="D34" s="207"/>
      <c r="E34"/>
      <c r="G34" s="208">
        <f>input_dollars</f>
        <v>45473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180</v>
      </c>
      <c r="D36" s="219"/>
      <c r="E36" s="107"/>
      <c r="F36" s="3"/>
      <c r="G36" s="210"/>
      <c r="H36" s="107"/>
      <c r="I36" s="171">
        <f>SUM(I28:I34)</f>
        <v>0</v>
      </c>
      <c r="J36" s="171">
        <f t="shared" ref="J36:AG36" si="3">SUM(J28:J34)</f>
        <v>0</v>
      </c>
      <c r="K36" s="171">
        <f t="shared" si="3"/>
        <v>0</v>
      </c>
      <c r="L36" s="171">
        <f t="shared" si="3"/>
        <v>0</v>
      </c>
      <c r="M36" s="171">
        <f t="shared" si="3"/>
        <v>0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 t="shared" si="3"/>
        <v>0</v>
      </c>
      <c r="AD36" s="171">
        <f t="shared" si="3"/>
        <v>0</v>
      </c>
      <c r="AE36" s="171">
        <f t="shared" si="3"/>
        <v>0</v>
      </c>
      <c r="AF36" s="171">
        <f t="shared" si="3"/>
        <v>0</v>
      </c>
      <c r="AG36" s="171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6" t="s">
        <v>63</v>
      </c>
      <c r="E45" s="113">
        <f>Assumptions!G94</f>
        <v>151432.81740793545</v>
      </c>
      <c r="G45" s="208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6" t="s">
        <v>63</v>
      </c>
      <c r="E46" s="113">
        <f>Assumptions!G95</f>
        <v>24590</v>
      </c>
      <c r="G46" s="208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6" t="s">
        <v>63</v>
      </c>
      <c r="E47" s="112">
        <f>Assumptions!G96</f>
        <v>88.357719508603083</v>
      </c>
      <c r="G47" s="208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6" t="s">
        <v>126</v>
      </c>
      <c r="E48" s="112">
        <f>Assumptions!G97</f>
        <v>0</v>
      </c>
      <c r="G48" s="208" t="s">
        <v>213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211</v>
      </c>
      <c r="D49" s="206" t="s">
        <v>214</v>
      </c>
      <c r="E49" s="112">
        <f>Assumptions!G98</f>
        <v>0.35181336539087127</v>
      </c>
      <c r="G49" s="208" t="s">
        <v>215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212</v>
      </c>
      <c r="D50" s="206" t="s">
        <v>214</v>
      </c>
      <c r="E50" s="112">
        <f>Assumptions!G99</f>
        <v>0.35181336539087127</v>
      </c>
      <c r="G50" s="208" t="s">
        <v>215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6" t="s">
        <v>126</v>
      </c>
      <c r="E51" s="112">
        <f>Assumptions!G100</f>
        <v>0</v>
      </c>
      <c r="G51" s="208" t="s">
        <v>213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6" t="s">
        <v>126</v>
      </c>
      <c r="E52" s="112">
        <f>Assumptions!G101</f>
        <v>0</v>
      </c>
      <c r="G52" s="208" t="s">
        <v>213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45473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45473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11">
        <f>input_dollars</f>
        <v>45473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0</v>
      </c>
      <c r="L57" s="171" cm="1">
        <f t="array" ref="L57">SUMPRODUCT((L$45:L$52)*($E$45:$E$52))+SUM(L54:L55)+L42</f>
        <v>0</v>
      </c>
      <c r="M57" s="171" cm="1">
        <f t="array" ref="M57">SUMPRODUCT((M$45:M$52)*($E$45:$E$52))+SUM(M54:M55)+M42</f>
        <v>0</v>
      </c>
      <c r="N57" s="171" cm="1">
        <f t="array" ref="N57">SUMPRODUCT((N$45:N$52)*($E$45:$E$52))+SUM(N54:N55)+N42</f>
        <v>0</v>
      </c>
      <c r="O57" s="171" cm="1">
        <f t="array" ref="O57">SUMPRODUCT((O$45:O$52)*($E$45:$E$52))+SUM(O54:O55)+O42</f>
        <v>0</v>
      </c>
      <c r="P57" s="171" cm="1">
        <f t="array" ref="P57">SUMPRODUCT((P$45:P$52)*($E$45:$E$52))+SUM(P54:P55)+P42</f>
        <v>0</v>
      </c>
      <c r="Q57" s="171" cm="1">
        <f t="array" ref="Q57">SUMPRODUCT((Q$45:Q$52)*($E$45:$E$52))+SUM(Q54:Q55)+Q42</f>
        <v>0</v>
      </c>
      <c r="R57" s="171" cm="1">
        <f t="array" ref="R57">SUMPRODUCT((R$45:R$52)*($E$45:$E$52))+SUM(R54:R55)+R42</f>
        <v>0</v>
      </c>
      <c r="S57" s="171" cm="1">
        <f t="array" ref="S57">SUMPRODUCT((S$45:S$52)*($E$45:$E$52))+SUM(S54:S55)+S42</f>
        <v>0</v>
      </c>
      <c r="T57" s="171" cm="1">
        <f t="array" ref="T57">SUMPRODUCT((T$45:T$52)*($E$45:$E$52))+SUM(T54:T55)+T42</f>
        <v>0</v>
      </c>
      <c r="U57" s="171" cm="1">
        <f t="array" ref="U57">SUMPRODUCT((U$45:U$52)*($E$45:$E$52))+SUM(U54:U55)+U42</f>
        <v>0</v>
      </c>
      <c r="V57" s="171" cm="1">
        <f t="array" ref="V57">SUMPRODUCT((V$45:V$52)*($E$45:$E$52))+SUM(V54:V55)+V42</f>
        <v>0</v>
      </c>
      <c r="W57" s="171" cm="1">
        <f t="array" ref="W57">SUMPRODUCT((W$45:W$52)*($E$45:$E$52))+SUM(W54:W55)+W42</f>
        <v>0</v>
      </c>
      <c r="X57" s="171" cm="1">
        <f t="array" ref="X57">SUMPRODUCT((X$45:X$52)*($E$45:$E$52))+SUM(X54:X55)+X42</f>
        <v>0</v>
      </c>
      <c r="Y57" s="171" cm="1">
        <f t="array" ref="Y57">SUMPRODUCT((Y$45:Y$52)*($E$45:$E$52))+SUM(Y54:Y55)+Y42</f>
        <v>0</v>
      </c>
      <c r="Z57" s="171" cm="1">
        <f t="array" ref="Z57">SUMPRODUCT((Z$45:Z$52)*($E$45:$E$52))+SUM(Z54:Z55)+Z42</f>
        <v>0</v>
      </c>
      <c r="AA57" s="171" cm="1">
        <f t="array" ref="AA57">SUMPRODUCT((AA$45:AA$52)*($E$45:$E$52))+SUM(AA54:AA55)+AA42</f>
        <v>0</v>
      </c>
      <c r="AB57" s="171" cm="1">
        <f t="array" ref="AB57">SUMPRODUCT((AB$45:AB$52)*($E$45:$E$52))+SUM(AB54:AB55)+AB42</f>
        <v>0</v>
      </c>
      <c r="AC57" s="171" cm="1">
        <f t="array" ref="AC57">SUMPRODUCT((AC$45:AC$52)*($E$45:$E$52))+SUM(AC54:AC55)+AC42</f>
        <v>0</v>
      </c>
      <c r="AD57" s="171" cm="1">
        <f t="array" ref="AD57">SUMPRODUCT((AD$45:AD$52)*($E$45:$E$52))+SUM(AD54:AD55)+AD42</f>
        <v>0</v>
      </c>
      <c r="AE57" s="171" cm="1">
        <f t="array" ref="AE57">SUMPRODUCT((AE$45:AE$52)*($E$45:$E$52))+SUM(AE54:AE55)+AE42</f>
        <v>0</v>
      </c>
      <c r="AF57" s="171" cm="1">
        <f t="array" ref="AF57">SUMPRODUCT((AF$45:AF$52)*($E$45:$E$52))+SUM(AF54:AF55)+AF42</f>
        <v>0</v>
      </c>
      <c r="AG57" s="171" cm="1">
        <f t="array" ref="AG57">SUMPRODUCT((AG$45:AG$52)*($E$45:$E$52))+SUM(AG54:AG55)+AG42</f>
        <v>0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3"/>
    </row>
    <row r="64" spans="1:43" x14ac:dyDescent="0.2">
      <c r="C64" s="4" t="str">
        <f>'Option1 (base case)'!C64</f>
        <v>Risks mitigated vs base case</v>
      </c>
      <c r="G64" s="211">
        <f>input_dollars</f>
        <v>45473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0</v>
      </c>
      <c r="L64" s="133">
        <f>(1-INDEX(Data!$C$9:$C$13, MATCH($A$3, options,0)))*('Option1 (base case)'!L36-L36)</f>
        <v>0</v>
      </c>
      <c r="M64" s="133">
        <f>(1-INDEX(Data!$C$9:$C$13, MATCH($A$3, options,0)))*('Option1 (base case)'!M36-M36)</f>
        <v>0</v>
      </c>
      <c r="N64" s="133">
        <f>(1-INDEX(Data!$C$9:$C$13, MATCH($A$3, options,0)))*('Option1 (base case)'!N36-N36)</f>
        <v>0</v>
      </c>
      <c r="O64" s="133">
        <f>(1-INDEX(Data!$C$9:$C$13, MATCH($A$3, options,0)))*('Option1 (base case)'!O36-O36)</f>
        <v>0</v>
      </c>
      <c r="P64" s="133">
        <f>(1-INDEX(Data!$C$9:$C$13, MATCH($A$3, options,0)))*('Option1 (base case)'!P36-P36)</f>
        <v>0</v>
      </c>
      <c r="Q64" s="133">
        <f>(1-INDEX(Data!$C$9:$C$13, MATCH($A$3, options,0)))*('Option1 (base case)'!Q36-Q36)</f>
        <v>0</v>
      </c>
      <c r="R64" s="133">
        <f>(1-INDEX(Data!$C$9:$C$13, MATCH($A$3, options,0)))*('Option1 (base case)'!R36-R36)</f>
        <v>0</v>
      </c>
      <c r="S64" s="133">
        <f>(1-INDEX(Data!$C$9:$C$13, MATCH($A$3, options,0)))*('Option1 (base case)'!S36-S36)</f>
        <v>0</v>
      </c>
      <c r="T64" s="133">
        <f>(1-INDEX(Data!$C$9:$C$13, MATCH($A$3, options,0)))*('Option1 (base case)'!T36-T36)</f>
        <v>0</v>
      </c>
      <c r="U64" s="133">
        <f>(1-INDEX(Data!$C$9:$C$13, MATCH($A$3, options,0)))*('Option1 (base case)'!U36-U36)</f>
        <v>0</v>
      </c>
      <c r="V64" s="133">
        <f>(1-INDEX(Data!$C$9:$C$13, MATCH($A$3, options,0)))*('Option1 (base case)'!V36-V36)</f>
        <v>0</v>
      </c>
      <c r="W64" s="133">
        <f>(1-INDEX(Data!$C$9:$C$13, MATCH($A$3, options,0)))*('Option1 (base case)'!W36-W36)</f>
        <v>0</v>
      </c>
      <c r="X64" s="133">
        <f>(1-INDEX(Data!$C$9:$C$13, MATCH($A$3, options,0)))*('Option1 (base case)'!X36-X36)</f>
        <v>0</v>
      </c>
      <c r="Y64" s="133">
        <f>(1-INDEX(Data!$C$9:$C$13, MATCH($A$3, options,0)))*('Option1 (base case)'!Y36-Y36)</f>
        <v>0</v>
      </c>
      <c r="Z64" s="133">
        <f>(1-INDEX(Data!$C$9:$C$13, MATCH($A$3, options,0)))*('Option1 (base case)'!Z36-Z36)</f>
        <v>0</v>
      </c>
      <c r="AA64" s="133">
        <f>(1-INDEX(Data!$C$9:$C$13, MATCH($A$3, options,0)))*('Option1 (base case)'!AA36-AA36)</f>
        <v>0</v>
      </c>
      <c r="AB64" s="133">
        <f>(1-INDEX(Data!$C$9:$C$13, MATCH($A$3, options,0)))*('Option1 (base case)'!AB36-AB36)</f>
        <v>0</v>
      </c>
      <c r="AC64" s="133">
        <f>(1-INDEX(Data!$C$9:$C$13, MATCH($A$3, options,0)))*('Option1 (base case)'!AC36-AC36)</f>
        <v>0</v>
      </c>
      <c r="AD64" s="133">
        <f>(1-INDEX(Data!$C$9:$C$13, MATCH($A$3, options,0)))*('Option1 (base case)'!AD36-AD36)</f>
        <v>0</v>
      </c>
      <c r="AE64" s="133">
        <f>(1-INDEX(Data!$C$9:$C$13, MATCH($A$3, options,0)))*('Option1 (base case)'!AE36-AE36)</f>
        <v>0</v>
      </c>
      <c r="AF64" s="133">
        <f>(1-INDEX(Data!$C$9:$C$13, MATCH($A$3, options,0)))*('Option1 (base case)'!AF36-AF36)</f>
        <v>0</v>
      </c>
      <c r="AG64" s="133">
        <f>(1-INDEX(Data!$C$9:$C$13, MATCH($A$3, options,0)))*('Option1 (base case)'!AG36-AG36)</f>
        <v>0</v>
      </c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1">
        <f>input_dollars</f>
        <v>45473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1">
        <f>input_dollars</f>
        <v>45473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1">
        <f>input_dollars</f>
        <v>45473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165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1">
        <f>input_dollars</f>
        <v>45473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1">
        <f>input_dollars</f>
        <v>45473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1">
        <f>input_dollars</f>
        <v>45473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1">
        <f>input_dollars</f>
        <v>45473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1">
        <f>input_dollars</f>
        <v>45473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1">
        <f>input_dollars</f>
        <v>45473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3" t="s">
        <v>166</v>
      </c>
      <c r="D80" s="173"/>
      <c r="E80" s="174"/>
      <c r="F80" s="175"/>
      <c r="G80" s="216">
        <f>input_dollars</f>
        <v>45473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0</v>
      </c>
      <c r="L80" s="177">
        <f t="shared" si="11"/>
        <v>0</v>
      </c>
      <c r="M80" s="177">
        <f t="shared" si="11"/>
        <v>0</v>
      </c>
      <c r="N80" s="177">
        <f t="shared" si="11"/>
        <v>0</v>
      </c>
      <c r="O80" s="177">
        <f t="shared" si="11"/>
        <v>0</v>
      </c>
      <c r="P80" s="177">
        <f t="shared" si="11"/>
        <v>0</v>
      </c>
      <c r="Q80" s="177">
        <f t="shared" si="11"/>
        <v>0</v>
      </c>
      <c r="R80" s="177">
        <f t="shared" si="11"/>
        <v>0</v>
      </c>
      <c r="S80" s="177">
        <f t="shared" si="11"/>
        <v>0</v>
      </c>
      <c r="T80" s="177">
        <f t="shared" si="11"/>
        <v>0</v>
      </c>
      <c r="U80" s="177">
        <f t="shared" si="11"/>
        <v>0</v>
      </c>
      <c r="V80" s="177">
        <f t="shared" si="11"/>
        <v>0</v>
      </c>
      <c r="W80" s="177">
        <f t="shared" si="11"/>
        <v>0</v>
      </c>
      <c r="X80" s="177">
        <f t="shared" si="11"/>
        <v>0</v>
      </c>
      <c r="Y80" s="177">
        <f t="shared" si="11"/>
        <v>0</v>
      </c>
      <c r="Z80" s="177">
        <f t="shared" si="11"/>
        <v>0</v>
      </c>
      <c r="AA80" s="177">
        <f t="shared" si="11"/>
        <v>0</v>
      </c>
      <c r="AB80" s="177">
        <f t="shared" si="11"/>
        <v>0</v>
      </c>
      <c r="AC80" s="177">
        <f>SUM(AC77:AC79)</f>
        <v>0</v>
      </c>
      <c r="AD80" s="177">
        <f>SUM(AD77:AD79)</f>
        <v>0</v>
      </c>
      <c r="AE80" s="177">
        <f>SUM(AE77:AE79)</f>
        <v>0</v>
      </c>
      <c r="AF80" s="177">
        <f>SUM(AF77:AF79)</f>
        <v>0</v>
      </c>
      <c r="AG80" s="177">
        <f>SUM(AG77:AG79)</f>
        <v>0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45473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2"/>
        <v>45473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149</v>
      </c>
      <c r="D84" s="38"/>
      <c r="F84" s="97"/>
      <c r="G84" s="211">
        <f t="shared" si="12"/>
        <v>45473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2"/>
        <v>45473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8" t="s">
        <v>196</v>
      </c>
      <c r="D87" s="179"/>
      <c r="E87" s="174"/>
      <c r="F87" s="180"/>
      <c r="G87" s="216">
        <f t="shared" si="12"/>
        <v>45473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0</v>
      </c>
      <c r="L87" s="180">
        <f t="shared" si="17"/>
        <v>0</v>
      </c>
      <c r="M87" s="180">
        <f t="shared" si="17"/>
        <v>0</v>
      </c>
      <c r="N87" s="180">
        <f t="shared" si="17"/>
        <v>0</v>
      </c>
      <c r="O87" s="180">
        <f t="shared" si="17"/>
        <v>0</v>
      </c>
      <c r="P87" s="180">
        <f t="shared" si="17"/>
        <v>0</v>
      </c>
      <c r="Q87" s="180">
        <f t="shared" si="17"/>
        <v>0</v>
      </c>
      <c r="R87" s="180">
        <f t="shared" si="17"/>
        <v>0</v>
      </c>
      <c r="S87" s="180">
        <f t="shared" si="17"/>
        <v>0</v>
      </c>
      <c r="T87" s="180">
        <f t="shared" si="17"/>
        <v>0</v>
      </c>
      <c r="U87" s="180">
        <f t="shared" si="17"/>
        <v>0</v>
      </c>
      <c r="V87" s="180">
        <f t="shared" si="17"/>
        <v>0</v>
      </c>
      <c r="W87" s="180">
        <f t="shared" si="17"/>
        <v>0</v>
      </c>
      <c r="X87" s="180">
        <f t="shared" si="17"/>
        <v>0</v>
      </c>
      <c r="Y87" s="180">
        <f t="shared" si="17"/>
        <v>0</v>
      </c>
      <c r="Z87" s="180">
        <f t="shared" si="17"/>
        <v>0</v>
      </c>
      <c r="AA87" s="180">
        <f t="shared" si="17"/>
        <v>0</v>
      </c>
      <c r="AB87" s="180">
        <f t="shared" si="17"/>
        <v>0</v>
      </c>
      <c r="AC87" s="180">
        <f>SUM(AC82:AC86)</f>
        <v>0</v>
      </c>
      <c r="AD87" s="180">
        <f>SUM(AD82:AD86)</f>
        <v>0</v>
      </c>
      <c r="AE87" s="180">
        <f>SUM(AE82:AE86)</f>
        <v>0</v>
      </c>
      <c r="AF87" s="180">
        <f>SUM(AF82:AF86)</f>
        <v>0</v>
      </c>
      <c r="AG87" s="180">
        <f>SUM(AG82:AG86)</f>
        <v>0</v>
      </c>
    </row>
    <row r="88" spans="1:33" x14ac:dyDescent="0.2">
      <c r="A88" s="8"/>
      <c r="B88" s="8"/>
      <c r="C88" s="75"/>
      <c r="D88" s="139"/>
      <c r="E88" s="64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E89" s="64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 t="s">
        <v>206</v>
      </c>
      <c r="D90" s="82"/>
      <c r="E90" s="232"/>
      <c r="F90" s="233"/>
      <c r="G90" s="234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5"/>
      <c r="E91" s="232"/>
      <c r="F91" s="232"/>
      <c r="G91" s="234"/>
    </row>
    <row r="92" spans="1:33" x14ac:dyDescent="0.2">
      <c r="C92" s="236" t="s">
        <v>201</v>
      </c>
      <c r="D92" s="237"/>
      <c r="E92" s="237"/>
      <c r="F92" s="237"/>
      <c r="G92" s="238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226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196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166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249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2" t="str">
        <f>Assumptions!G110</f>
        <v>Capex</v>
      </c>
      <c r="E109" s="302" t="str">
        <f>Assumptions!H110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"sens"&amp;Assumptions!B111</f>
        <v>sens1</v>
      </c>
      <c r="C110" s="301" t="str">
        <f>Assumptions!C111</f>
        <v>Capex 10% higher</v>
      </c>
      <c r="D110" s="302">
        <f>Assumptions!G111</f>
        <v>0.1</v>
      </c>
      <c r="E110" s="302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1" t="str">
        <f>Assumptions!C112</f>
        <v>Capex 10% lower</v>
      </c>
      <c r="D111" s="302">
        <f>Assumptions!G112</f>
        <v>-0.1</v>
      </c>
      <c r="E111" s="302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1" t="str">
        <f>Assumptions!C113</f>
        <v>Total benefits 10% higher</v>
      </c>
      <c r="D112" s="302">
        <f>Assumptions!G113</f>
        <v>0</v>
      </c>
      <c r="E112" s="302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1" t="str">
        <f>Assumptions!C114</f>
        <v>Total benefits 10% lower</v>
      </c>
      <c r="D113" s="302">
        <f>Assumptions!G114</f>
        <v>0</v>
      </c>
      <c r="E113" s="302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1" t="str">
        <f>Assumptions!C115</f>
        <v>Capex 10% higher &amp; Total benefits 10% lower</v>
      </c>
      <c r="D114" s="302">
        <f>Assumptions!G115</f>
        <v>0.1</v>
      </c>
      <c r="E114" s="302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1">
        <f>Assumptions!C116</f>
        <v>0</v>
      </c>
      <c r="D115" s="302">
        <f>Assumptions!G116</f>
        <v>0</v>
      </c>
      <c r="E115" s="302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1">
        <f>Assumptions!C117</f>
        <v>0</v>
      </c>
      <c r="D116" s="302">
        <f>Assumptions!G117</f>
        <v>0</v>
      </c>
      <c r="E116" s="302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1">
        <f>Assumptions!C118</f>
        <v>0</v>
      </c>
      <c r="D117" s="302">
        <f>Assumptions!G118</f>
        <v>0</v>
      </c>
      <c r="E117" s="302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Pole mounted transformer uplift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4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202</v>
      </c>
      <c r="B5" s="116"/>
      <c r="C5" s="117"/>
      <c r="D5" s="116"/>
      <c r="E5" s="116"/>
      <c r="F5" s="116"/>
      <c r="G5" s="101"/>
      <c r="H5" s="189">
        <f t="shared" ref="H5:AG5" si="0">IF(H9=start,1/((1+real_disc)^(1/2)),G5/(1+real_disc))</f>
        <v>0</v>
      </c>
      <c r="I5" s="189">
        <f t="shared" si="0"/>
        <v>0.98294637436598087</v>
      </c>
      <c r="J5" s="189">
        <f t="shared" si="0"/>
        <v>0.94970664189949849</v>
      </c>
      <c r="K5" s="189">
        <f t="shared" si="0"/>
        <v>0.91759095835700344</v>
      </c>
      <c r="L5" s="189">
        <f t="shared" si="0"/>
        <v>0.88656131242222558</v>
      </c>
      <c r="M5" s="189">
        <f t="shared" si="0"/>
        <v>0.85658097818572532</v>
      </c>
      <c r="N5" s="189">
        <f t="shared" si="0"/>
        <v>0.8276144716770294</v>
      </c>
      <c r="O5" s="189">
        <f t="shared" si="0"/>
        <v>0.79962750886669509</v>
      </c>
      <c r="P5" s="189">
        <f t="shared" si="0"/>
        <v>0.77258696508859437</v>
      </c>
      <c r="Q5" s="189">
        <f t="shared" si="0"/>
        <v>0.74646083583439071</v>
      </c>
      <c r="R5" s="189">
        <f t="shared" si="0"/>
        <v>0.72121819887380756</v>
      </c>
      <c r="S5" s="189">
        <f t="shared" si="0"/>
        <v>0.69682917765585273</v>
      </c>
      <c r="T5" s="189">
        <f t="shared" si="0"/>
        <v>0.67326490594768384</v>
      </c>
      <c r="U5" s="189">
        <f t="shared" si="0"/>
        <v>0.6504974936692598</v>
      </c>
      <c r="V5" s="189">
        <f t="shared" si="0"/>
        <v>0.62849999388334288</v>
      </c>
      <c r="W5" s="189">
        <f t="shared" si="0"/>
        <v>0.60724637090178057</v>
      </c>
      <c r="X5" s="189">
        <f t="shared" si="0"/>
        <v>0.58671146947031949</v>
      </c>
      <c r="Y5" s="189">
        <f t="shared" si="0"/>
        <v>0.56687098499547783</v>
      </c>
      <c r="Z5" s="189">
        <f t="shared" si="0"/>
        <v>0.54770143477823952</v>
      </c>
      <c r="AA5" s="189">
        <f t="shared" si="0"/>
        <v>0.52918013022052135</v>
      </c>
      <c r="AB5" s="189">
        <f t="shared" si="0"/>
        <v>0.5112851499715183</v>
      </c>
      <c r="AC5" s="189">
        <f t="shared" si="0"/>
        <v>0.4939953139821433</v>
      </c>
      <c r="AD5" s="189">
        <f t="shared" si="0"/>
        <v>0.47729015843685346</v>
      </c>
      <c r="AE5" s="189">
        <f t="shared" si="0"/>
        <v>0.46114991153319179</v>
      </c>
      <c r="AF5" s="189">
        <f t="shared" si="0"/>
        <v>0.4455554700803786</v>
      </c>
      <c r="AG5" s="189">
        <f t="shared" si="0"/>
        <v>0.43048837688925473</v>
      </c>
    </row>
    <row r="6" spans="1:34" s="2" customFormat="1" hidden="1" outlineLevel="1" x14ac:dyDescent="0.2">
      <c r="A6" s="190" t="str">
        <f>'Option1 (base case)'!A6</f>
        <v>Count</v>
      </c>
      <c r="B6" s="116"/>
      <c r="C6" s="117"/>
      <c r="D6" s="116"/>
      <c r="E6" s="116"/>
      <c r="F6" s="116"/>
      <c r="G6" s="101"/>
      <c r="H6" s="190">
        <f>'Option1 (base case)'!H6</f>
        <v>0</v>
      </c>
      <c r="I6" s="190">
        <f>'Option1 (base case)'!I6</f>
        <v>1</v>
      </c>
      <c r="J6" s="190">
        <f>'Option1 (base case)'!J6</f>
        <v>2</v>
      </c>
      <c r="K6" s="190">
        <f>'Option1 (base case)'!K6</f>
        <v>3</v>
      </c>
      <c r="L6" s="190">
        <f>'Option1 (base case)'!L6</f>
        <v>4</v>
      </c>
      <c r="M6" s="190">
        <f>'Option1 (base case)'!M6</f>
        <v>5</v>
      </c>
      <c r="N6" s="190">
        <f>'Option1 (base case)'!N6</f>
        <v>6</v>
      </c>
      <c r="O6" s="190">
        <f>'Option1 (base case)'!O6</f>
        <v>7</v>
      </c>
      <c r="P6" s="190">
        <f>'Option1 (base case)'!P6</f>
        <v>8</v>
      </c>
      <c r="Q6" s="190">
        <f>'Option1 (base case)'!Q6</f>
        <v>9</v>
      </c>
      <c r="R6" s="190">
        <f>'Option1 (base case)'!R6</f>
        <v>10</v>
      </c>
      <c r="S6" s="190">
        <f>'Option1 (base case)'!S6</f>
        <v>11</v>
      </c>
      <c r="T6" s="190">
        <f>'Option1 (base case)'!T6</f>
        <v>12</v>
      </c>
      <c r="U6" s="190">
        <f>'Option1 (base case)'!U6</f>
        <v>13</v>
      </c>
      <c r="V6" s="190">
        <f>'Option1 (base case)'!V6</f>
        <v>14</v>
      </c>
      <c r="W6" s="190">
        <f>'Option1 (base case)'!W6</f>
        <v>15</v>
      </c>
      <c r="X6" s="190">
        <f>'Option1 (base case)'!X6</f>
        <v>16</v>
      </c>
      <c r="Y6" s="190">
        <f>'Option1 (base case)'!Y6</f>
        <v>17</v>
      </c>
      <c r="Z6" s="190">
        <f>'Option1 (base case)'!Z6</f>
        <v>18</v>
      </c>
      <c r="AA6" s="190">
        <f>'Option1 (base case)'!AA6</f>
        <v>19</v>
      </c>
      <c r="AB6" s="190">
        <f>'Option1 (base case)'!AB6</f>
        <v>20</v>
      </c>
      <c r="AC6" s="190">
        <f>'Option1 (base case)'!AC6</f>
        <v>21</v>
      </c>
      <c r="AD6" s="190">
        <f>'Option1 (base case)'!AD6</f>
        <v>22</v>
      </c>
      <c r="AE6" s="190">
        <f>'Option1 (base case)'!AE6</f>
        <v>23</v>
      </c>
      <c r="AF6" s="190">
        <f>'Option1 (base case)'!AF6</f>
        <v>24</v>
      </c>
      <c r="AG6" s="190">
        <f>'Option1 (base case)'!AG6</f>
        <v>25</v>
      </c>
    </row>
    <row r="7" spans="1:34" s="2" customFormat="1" hidden="1" outlineLevel="1" x14ac:dyDescent="0.2">
      <c r="A7" s="116" t="s">
        <v>203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20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2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162</v>
      </c>
      <c r="G11" s="223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5"/>
      <c r="H12" s="118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</row>
    <row r="13" spans="1:34" s="2" customFormat="1" x14ac:dyDescent="0.2">
      <c r="A13" s="123"/>
      <c r="B13" s="123"/>
      <c r="C13" s="123"/>
      <c r="D13" s="118"/>
      <c r="F13" s="118"/>
      <c r="G13" s="222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1" customFormat="1" x14ac:dyDescent="0.2">
      <c r="A14" s="269" t="str">
        <f>A15</f>
        <v>Option 1 (base case)</v>
      </c>
      <c r="B14" s="269"/>
      <c r="C14" s="269" t="s">
        <v>124</v>
      </c>
      <c r="D14" s="270" t="str">
        <f t="shared" ref="D14:D25" si="2">A14&amp;C14</f>
        <v>Option 1 (base case)Energy at risk value</v>
      </c>
      <c r="F14" s="97">
        <f>SUMPRODUCT($H14:$AG14, $H$5:$AG$5)</f>
        <v>0</v>
      </c>
      <c r="G14" s="272">
        <f>output_dollars</f>
        <v>46203</v>
      </c>
      <c r="H14" s="273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6" t="str">
        <f>Data!B9</f>
        <v>Option 1 (base case)</v>
      </c>
      <c r="B15" s="136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6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6" t="str">
        <f t="shared" ref="A16:A25" si="3">A15</f>
        <v>Option 1 (base case)</v>
      </c>
      <c r="B16" s="136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23710296.319130015</v>
      </c>
      <c r="G16" s="226">
        <f>output_dollars</f>
        <v>46203</v>
      </c>
      <c r="H16" s="31"/>
      <c r="I16" s="31">
        <f>'Option1 (base case)'!I$36*conv_2026</f>
        <v>0</v>
      </c>
      <c r="J16" s="31">
        <f>'Option1 (base case)'!J$36*conv_2026</f>
        <v>0</v>
      </c>
      <c r="K16" s="31">
        <f>'Option1 (base case)'!K$36*conv_2026</f>
        <v>0</v>
      </c>
      <c r="L16" s="31">
        <f>'Option1 (base case)'!L$36*conv_2026</f>
        <v>0</v>
      </c>
      <c r="M16" s="31">
        <f>'Option1 (base case)'!M$36*conv_2026</f>
        <v>0</v>
      </c>
      <c r="N16" s="31">
        <f>'Option1 (base case)'!N$36*conv_2026</f>
        <v>17576389.687492374</v>
      </c>
      <c r="O16" s="31">
        <f>'Option1 (base case)'!O$36*conv_2026</f>
        <v>7030555.874996949</v>
      </c>
      <c r="P16" s="31">
        <f>'Option1 (base case)'!P$36*conv_2026</f>
        <v>2812222.3499987796</v>
      </c>
      <c r="Q16" s="31">
        <f>'Option1 (base case)'!Q$36*conv_2026</f>
        <v>1124888.9399995119</v>
      </c>
      <c r="R16" s="31">
        <f>'Option1 (base case)'!R$36*conv_2026</f>
        <v>449955.57599980477</v>
      </c>
      <c r="S16" s="31">
        <f>'Option1 (base case)'!S$36*conv_2026</f>
        <v>179982.23039992194</v>
      </c>
      <c r="T16" s="31">
        <f>'Option1 (base case)'!T$36*conv_2026</f>
        <v>71992.892159968775</v>
      </c>
      <c r="U16" s="31">
        <f>'Option1 (base case)'!U$36*conv_2026</f>
        <v>47995.261439979186</v>
      </c>
      <c r="V16" s="31">
        <f>'Option1 (base case)'!V$36*conv_2026</f>
        <v>0</v>
      </c>
      <c r="W16" s="31">
        <f>'Option1 (base case)'!W$36*conv_2026</f>
        <v>0</v>
      </c>
      <c r="X16" s="31">
        <f>'Option1 (base case)'!X$36*conv_2026</f>
        <v>0</v>
      </c>
      <c r="Y16" s="31">
        <f>'Option1 (base case)'!Y$36*conv_2026</f>
        <v>0</v>
      </c>
      <c r="Z16" s="31">
        <f>'Option1 (base case)'!Z$36*conv_2026</f>
        <v>0</v>
      </c>
      <c r="AA16" s="31">
        <f>'Option1 (base case)'!AA$36*conv_2026</f>
        <v>0</v>
      </c>
      <c r="AB16" s="31">
        <f>'Option1 (base case)'!AB$36*conv_2026</f>
        <v>0</v>
      </c>
      <c r="AC16" s="31">
        <f>'Option1 (base case)'!AC$36*conv_2026</f>
        <v>0</v>
      </c>
      <c r="AD16" s="31">
        <f>'Option1 (base case)'!AD$36*conv_2026</f>
        <v>0</v>
      </c>
      <c r="AE16" s="31">
        <f>'Option1 (base case)'!AE$36*conv_2026</f>
        <v>0</v>
      </c>
      <c r="AF16" s="31">
        <f>'Option1 (base case)'!AF$36*conv_2026</f>
        <v>0</v>
      </c>
      <c r="AG16" s="31">
        <f>'Option1 (base case)'!AG$36*conv_2026</f>
        <v>0</v>
      </c>
    </row>
    <row r="17" spans="1:33" s="1" customFormat="1" x14ac:dyDescent="0.2">
      <c r="A17" s="136" t="str">
        <f t="shared" si="3"/>
        <v>Option 1 (base case)</v>
      </c>
      <c r="B17" s="136"/>
      <c r="C17" s="75"/>
      <c r="D17" s="38" t="str">
        <f t="shared" si="2"/>
        <v>Option 1 (base case)</v>
      </c>
      <c r="F17"/>
      <c r="G17" s="22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6" t="str">
        <f t="shared" si="3"/>
        <v>Option 1 (base case)</v>
      </c>
      <c r="B18" s="136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6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6" t="str">
        <f t="shared" si="3"/>
        <v>Option 1 (base case)</v>
      </c>
      <c r="B19" s="136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6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6" t="str">
        <f t="shared" si="3"/>
        <v>Option 1 (base case)</v>
      </c>
      <c r="B20" s="136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6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6" t="str">
        <f t="shared" si="3"/>
        <v>Option 1 (base case)</v>
      </c>
      <c r="B21" s="136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6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6" t="str">
        <f t="shared" si="3"/>
        <v>Option 1 (base case)</v>
      </c>
      <c r="B22" s="136"/>
      <c r="C22" s="145" t="str">
        <f>'Option1 (base case)'!C$87</f>
        <v>Net benefits</v>
      </c>
      <c r="D22" s="109" t="str">
        <f t="shared" si="2"/>
        <v>Option 1 (base case)Net benefits</v>
      </c>
      <c r="E22" s="110"/>
      <c r="F22" s="144"/>
      <c r="G22" s="228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6" t="str">
        <f t="shared" si="3"/>
        <v>Option 1 (base case)</v>
      </c>
      <c r="B23" s="136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6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6" t="str">
        <f t="shared" si="3"/>
        <v>Option 1 (base case)</v>
      </c>
      <c r="B24" s="136"/>
      <c r="C24" s="8" t="s">
        <v>197</v>
      </c>
      <c r="D24" s="38" t="str">
        <f t="shared" si="2"/>
        <v>Option 1 (base case)PV of costs</v>
      </c>
      <c r="F24" s="108">
        <f>SUM(F18:F19)</f>
        <v>0</v>
      </c>
      <c r="G24" s="226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6" t="str">
        <f t="shared" si="3"/>
        <v>Option 1 (base case)</v>
      </c>
      <c r="B25" s="136"/>
      <c r="C25" s="8" t="s">
        <v>198</v>
      </c>
      <c r="D25" s="38" t="str">
        <f t="shared" si="2"/>
        <v>Option 1 (base case)PV of benefits</v>
      </c>
      <c r="F25" s="108">
        <f>SUM(F20:F21)</f>
        <v>0</v>
      </c>
      <c r="G25" s="226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9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2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1" customFormat="1" x14ac:dyDescent="0.2">
      <c r="A28" s="269" t="str">
        <f>A29</f>
        <v>Option 2</v>
      </c>
      <c r="B28" s="269"/>
      <c r="C28" s="269" t="s">
        <v>124</v>
      </c>
      <c r="D28" s="270" t="str">
        <f t="shared" si="6"/>
        <v>Option 2Energy at risk value</v>
      </c>
      <c r="F28" s="97">
        <f>SUMPRODUCT($H28:$AG28, $H$5:$AG$5)</f>
        <v>0</v>
      </c>
      <c r="G28" s="272">
        <f>output_dollars</f>
        <v>46203</v>
      </c>
      <c r="H28" s="273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6" t="str">
        <f>Data!B10</f>
        <v>Option 2</v>
      </c>
      <c r="B29" s="136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-9953449.2114673574</v>
      </c>
      <c r="G29" s="226">
        <f>output_dollars</f>
        <v>46203</v>
      </c>
      <c r="H29" s="31"/>
      <c r="I29" s="31">
        <f>SUM(Option2!I$67:I$69)*conv_2026*I$7</f>
        <v>-1910628.9141360854</v>
      </c>
      <c r="J29" s="31">
        <f>SUM(Option2!J$67:J$69)*conv_2026*J$7</f>
        <v>-1910628.9141360854</v>
      </c>
      <c r="K29" s="31">
        <f>SUM(Option2!K$67:K$69)*conv_2026*K$7</f>
        <v>-1713775.7574770644</v>
      </c>
      <c r="L29" s="31">
        <f>SUM(Option2!L$67:L$69)*conv_2026*L$7</f>
        <v>-1215854.9584021408</v>
      </c>
      <c r="M29" s="31">
        <f>SUM(Option2!M$67:M$69)*conv_2026*M$7</f>
        <v>-764251.35130733938</v>
      </c>
      <c r="N29" s="31">
        <f>SUM(Option2!N$67:N$69)*conv_2026*N$7</f>
        <v>-764251.35130733938</v>
      </c>
      <c r="O29" s="31">
        <f>SUM(Option2!O$67:O$69)*conv_2026*O$7</f>
        <v>-764251.35130733938</v>
      </c>
      <c r="P29" s="31">
        <f>SUM(Option2!P$67:P$69)*conv_2026*P$7</f>
        <v>-764251.35130733938</v>
      </c>
      <c r="Q29" s="31">
        <f>SUM(Option2!Q$67:Q$69)*conv_2026*Q$7</f>
        <v>-764251.35130733938</v>
      </c>
      <c r="R29" s="31">
        <f>SUM(Option2!R$67:R$69)*conv_2026*R$7</f>
        <v>-764251.35130733938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6" t="str">
        <f t="shared" ref="A30:A39" si="7">A29</f>
        <v>Option 2</v>
      </c>
      <c r="B30" s="136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6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6" t="str">
        <f t="shared" si="7"/>
        <v>Option 2</v>
      </c>
      <c r="B31" s="136"/>
      <c r="C31" s="75"/>
      <c r="D31" s="38" t="str">
        <f t="shared" si="6"/>
        <v>Option 2</v>
      </c>
      <c r="E31" s="1"/>
      <c r="F31" s="97"/>
      <c r="G31" s="22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6" t="str">
        <f t="shared" si="7"/>
        <v>Option 2</v>
      </c>
      <c r="B32" s="136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-5064053.8862393592</v>
      </c>
      <c r="G32" s="226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-81457.198214726799</v>
      </c>
      <c r="K32" s="31">
        <f>Option2!K$82*conv_2026*K$7</f>
        <v>-162914.3964294536</v>
      </c>
      <c r="L32" s="31">
        <f>Option2!L$82*conv_2026*L$7</f>
        <v>-235979.01433592156</v>
      </c>
      <c r="M32" s="31">
        <f>Option2!M$82*conv_2026*M$7</f>
        <v>-287815.42150748573</v>
      </c>
      <c r="N32" s="31">
        <f>Option2!N$82*conv_2026*N$7</f>
        <v>-320398.29165496462</v>
      </c>
      <c r="O32" s="31">
        <f>Option2!O$82*conv_2026*O$7</f>
        <v>-352981.16180244356</v>
      </c>
      <c r="P32" s="31">
        <f>Option2!P$82*conv_2026*P$7</f>
        <v>-385564.0319499225</v>
      </c>
      <c r="Q32" s="31">
        <f>Option2!Q$82*conv_2026*Q$7</f>
        <v>-418146.90209740144</v>
      </c>
      <c r="R32" s="31">
        <f>Option2!R$82*conv_2026*R$7</f>
        <v>-450729.77224488038</v>
      </c>
      <c r="S32" s="31">
        <f>Option2!S$82*conv_2026*S$7</f>
        <v>-483312.64239235932</v>
      </c>
      <c r="T32" s="31">
        <f>Option2!T$82*conv_2026*T$7</f>
        <v>-483312.64239235932</v>
      </c>
      <c r="U32" s="31">
        <f>Option2!U$82*conv_2026*U$7</f>
        <v>-483312.64239235932</v>
      </c>
      <c r="V32" s="31">
        <f>Option2!V$82*conv_2026*V$7</f>
        <v>-483312.64239235932</v>
      </c>
      <c r="W32" s="31">
        <f>Option2!W$82*conv_2026*W$7</f>
        <v>-483312.64239235932</v>
      </c>
      <c r="X32" s="31">
        <f>Option2!X$82*conv_2026*X$7</f>
        <v>-483312.64239235932</v>
      </c>
      <c r="Y32" s="31">
        <f>Option2!Y$82*conv_2026*Y$7</f>
        <v>-483312.64239235932</v>
      </c>
      <c r="Z32" s="31">
        <f>Option2!Z$82*conv_2026*Z$7</f>
        <v>-483312.64239235932</v>
      </c>
      <c r="AA32" s="31">
        <f>Option2!AA$82*conv_2026*AA$7</f>
        <v>-483312.64239235932</v>
      </c>
      <c r="AB32" s="31">
        <f>Option2!AB$82*conv_2026*AB$7</f>
        <v>-483312.64239235932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6" t="str">
        <f t="shared" si="7"/>
        <v>Option 2</v>
      </c>
      <c r="B33" s="136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6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6" t="str">
        <f t="shared" si="7"/>
        <v>Option 2</v>
      </c>
      <c r="B34" s="136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23710296.319130015</v>
      </c>
      <c r="G34" s="226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0</v>
      </c>
      <c r="M34" s="31">
        <f>Option2!M$84*conv_2026*M$7</f>
        <v>0</v>
      </c>
      <c r="N34" s="31">
        <f>Option2!N$84*conv_2026*N$7</f>
        <v>17576389.687492374</v>
      </c>
      <c r="O34" s="31">
        <f>Option2!O$84*conv_2026*O$7</f>
        <v>7030555.874996949</v>
      </c>
      <c r="P34" s="31">
        <f>Option2!P$84*conv_2026*P$7</f>
        <v>2812222.3499987796</v>
      </c>
      <c r="Q34" s="31">
        <f>Option2!Q$84*conv_2026*Q$7</f>
        <v>1124888.9399995119</v>
      </c>
      <c r="R34" s="31">
        <f>Option2!R$84*conv_2026*R$7</f>
        <v>449955.57599980477</v>
      </c>
      <c r="S34" s="31">
        <f>Option2!S$84*conv_2026*S$7</f>
        <v>179982.23039992194</v>
      </c>
      <c r="T34" s="31">
        <f>Option2!T$84*conv_2026*T$7</f>
        <v>71992.892159968775</v>
      </c>
      <c r="U34" s="31">
        <f>Option2!U$84*conv_2026*U$7</f>
        <v>47995.261439979186</v>
      </c>
      <c r="V34" s="31">
        <f>Option2!V$84*conv_2026*V$7</f>
        <v>0</v>
      </c>
      <c r="W34" s="31">
        <f>Option2!W$84*conv_2026*W$7</f>
        <v>0</v>
      </c>
      <c r="X34" s="31">
        <f>Option2!X$84*conv_2026*X$7</f>
        <v>0</v>
      </c>
      <c r="Y34" s="31">
        <f>Option2!Y$84*conv_2026*Y$7</f>
        <v>0</v>
      </c>
      <c r="Z34" s="31">
        <f>Option2!Z$84*conv_2026*Z$7</f>
        <v>0</v>
      </c>
      <c r="AA34" s="31">
        <f>Option2!AA$84*conv_2026*AA$7</f>
        <v>0</v>
      </c>
      <c r="AB34" s="31">
        <f>Option2!AB$84*conv_2026*AB$7</f>
        <v>0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6" t="str">
        <f t="shared" si="7"/>
        <v>Option 2</v>
      </c>
      <c r="B35" s="136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6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6" t="str">
        <f t="shared" si="7"/>
        <v>Option 2</v>
      </c>
      <c r="B36" s="136"/>
      <c r="C36" s="125" t="str">
        <f>Option2!C87</f>
        <v>Net benefits</v>
      </c>
      <c r="D36" s="109" t="str">
        <f t="shared" si="6"/>
        <v>Option 2Net benefits</v>
      </c>
      <c r="E36" s="110"/>
      <c r="F36" s="144"/>
      <c r="G36" s="228">
        <f t="shared" si="8"/>
        <v>46203</v>
      </c>
      <c r="H36" s="52"/>
      <c r="I36" s="52">
        <f>SUM(I32:I35)</f>
        <v>0</v>
      </c>
      <c r="J36" s="52">
        <f t="shared" ref="J36:AG36" si="9">SUM(J32:J35)</f>
        <v>-81457.198214726799</v>
      </c>
      <c r="K36" s="52">
        <f t="shared" si="9"/>
        <v>-162914.3964294536</v>
      </c>
      <c r="L36" s="52">
        <f t="shared" si="9"/>
        <v>-235979.01433592156</v>
      </c>
      <c r="M36" s="52">
        <f t="shared" si="9"/>
        <v>-287815.42150748573</v>
      </c>
      <c r="N36" s="52">
        <f t="shared" si="9"/>
        <v>17255991.395837411</v>
      </c>
      <c r="O36" s="52">
        <f t="shared" si="9"/>
        <v>6677574.7131945053</v>
      </c>
      <c r="P36" s="52">
        <f t="shared" si="9"/>
        <v>2426658.3180488572</v>
      </c>
      <c r="Q36" s="52">
        <f t="shared" si="9"/>
        <v>706742.03790211049</v>
      </c>
      <c r="R36" s="52">
        <f t="shared" si="9"/>
        <v>-774.19624507561093</v>
      </c>
      <c r="S36" s="52">
        <f t="shared" si="9"/>
        <v>-303330.41199243738</v>
      </c>
      <c r="T36" s="52">
        <f t="shared" si="9"/>
        <v>-411319.75023239054</v>
      </c>
      <c r="U36" s="52">
        <f t="shared" si="9"/>
        <v>-435317.38095238013</v>
      </c>
      <c r="V36" s="52">
        <f t="shared" si="9"/>
        <v>-483312.64239235932</v>
      </c>
      <c r="W36" s="52">
        <f t="shared" si="9"/>
        <v>-483312.64239235932</v>
      </c>
      <c r="X36" s="52">
        <f t="shared" si="9"/>
        <v>-483312.64239235932</v>
      </c>
      <c r="Y36" s="52">
        <f t="shared" si="9"/>
        <v>-483312.64239235932</v>
      </c>
      <c r="Z36" s="52">
        <f t="shared" si="9"/>
        <v>-483312.64239235932</v>
      </c>
      <c r="AA36" s="52">
        <f t="shared" si="9"/>
        <v>-483312.64239235932</v>
      </c>
      <c r="AB36" s="52">
        <f t="shared" si="9"/>
        <v>-483312.64239235932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6" t="str">
        <f t="shared" si="7"/>
        <v>Option 2</v>
      </c>
      <c r="B37" s="136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18646242.432890661</v>
      </c>
      <c r="G37" s="226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6" t="str">
        <f t="shared" si="7"/>
        <v>Option 2</v>
      </c>
      <c r="B38" s="136"/>
      <c r="C38" s="8" t="s">
        <v>197</v>
      </c>
      <c r="D38" s="38" t="str">
        <f t="shared" si="6"/>
        <v>Option 2PV of costs</v>
      </c>
      <c r="E38" s="1"/>
      <c r="F38" s="108">
        <f>SUM(F32:F33)</f>
        <v>-5064053.8862393592</v>
      </c>
      <c r="G38" s="226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6" t="str">
        <f t="shared" si="7"/>
        <v>Option 2</v>
      </c>
      <c r="B39" s="136"/>
      <c r="C39" s="8" t="s">
        <v>198</v>
      </c>
      <c r="D39" s="38" t="str">
        <f t="shared" si="6"/>
        <v>Option 2PV of benefits</v>
      </c>
      <c r="E39" s="1"/>
      <c r="F39" s="108">
        <f>SUM(F34:F35)</f>
        <v>23710296.319130015</v>
      </c>
      <c r="G39" s="226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6"/>
      <c r="B40" s="136"/>
      <c r="C40" s="1"/>
      <c r="D40" s="38"/>
      <c r="E40" s="1"/>
      <c r="F40" s="108"/>
      <c r="G40" s="229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2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1" customFormat="1" x14ac:dyDescent="0.2">
      <c r="A42" s="269" t="str">
        <f>A43</f>
        <v>Option 3</v>
      </c>
      <c r="B42" s="269"/>
      <c r="C42" s="269" t="s">
        <v>124</v>
      </c>
      <c r="D42" s="270" t="str">
        <f>A42&amp;C42</f>
        <v>Option 3Energy at risk value</v>
      </c>
      <c r="F42" s="97">
        <f>SUMPRODUCT($H42:$AG42, $H$5:$AG$5)</f>
        <v>0</v>
      </c>
      <c r="G42" s="272">
        <f>output_dollars</f>
        <v>46203</v>
      </c>
      <c r="H42" s="273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6" t="str">
        <f>Data!B11</f>
        <v>Option 3</v>
      </c>
      <c r="B43" s="136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0</v>
      </c>
      <c r="G43" s="226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6" t="str">
        <f t="shared" ref="A44:A53" si="10">A43</f>
        <v>Option 3</v>
      </c>
      <c r="B44" s="136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6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6" t="str">
        <f t="shared" si="10"/>
        <v>Option 3</v>
      </c>
      <c r="B45" s="136"/>
      <c r="C45" s="58"/>
      <c r="D45" s="38"/>
      <c r="E45" s="1"/>
      <c r="F45" s="97"/>
      <c r="G45" s="226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6" t="str">
        <f t="shared" si="10"/>
        <v>Option 3</v>
      </c>
      <c r="B46" s="136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0</v>
      </c>
      <c r="G46" s="226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0</v>
      </c>
      <c r="M46" s="31">
        <f>Option3!M$82*conv_2026*M$7</f>
        <v>0</v>
      </c>
      <c r="N46" s="31">
        <f>Option3!N$82*conv_2026*N$7</f>
        <v>0</v>
      </c>
      <c r="O46" s="31">
        <f>Option3!O$82*conv_2026*O$7</f>
        <v>0</v>
      </c>
      <c r="P46" s="31">
        <f>Option3!P$82*conv_2026*P$7</f>
        <v>0</v>
      </c>
      <c r="Q46" s="31">
        <f>Option3!Q$82*conv_2026*Q$7</f>
        <v>0</v>
      </c>
      <c r="R46" s="31">
        <f>Option3!R$82*conv_2026*R$7</f>
        <v>0</v>
      </c>
      <c r="S46" s="31">
        <f>Option3!S$82*conv_2026*S$7</f>
        <v>0</v>
      </c>
      <c r="T46" s="31">
        <f>Option3!T$82*conv_2026*T$7</f>
        <v>0</v>
      </c>
      <c r="U46" s="31">
        <f>Option3!U$82*conv_2026*U$7</f>
        <v>0</v>
      </c>
      <c r="V46" s="31">
        <f>Option3!V$82*conv_2026*V$7</f>
        <v>0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6" t="str">
        <f t="shared" si="10"/>
        <v>Option 3</v>
      </c>
      <c r="B47" s="136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6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6" t="str">
        <f t="shared" si="10"/>
        <v>Option 3</v>
      </c>
      <c r="B48" s="136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0</v>
      </c>
      <c r="G48" s="226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0</v>
      </c>
      <c r="N48" s="31">
        <f>Option3!N$84*conv_2026*N$7</f>
        <v>0</v>
      </c>
      <c r="O48" s="31">
        <f>Option3!O$84*conv_2026*O$7</f>
        <v>0</v>
      </c>
      <c r="P48" s="31">
        <f>Option3!P$84*conv_2026*P$7</f>
        <v>0</v>
      </c>
      <c r="Q48" s="31">
        <f>Option3!Q$84*conv_2026*Q$7</f>
        <v>0</v>
      </c>
      <c r="R48" s="31">
        <f>Option3!R$84*conv_2026*R$7</f>
        <v>0</v>
      </c>
      <c r="S48" s="31">
        <f>Option3!S$84*conv_2026*S$7</f>
        <v>0</v>
      </c>
      <c r="T48" s="31">
        <f>Option3!T$84*conv_2026*T$7</f>
        <v>0</v>
      </c>
      <c r="U48" s="31">
        <f>Option3!U$84*conv_2026*U$7</f>
        <v>0</v>
      </c>
      <c r="V48" s="31">
        <f>Option3!V$84*conv_2026*V$7</f>
        <v>0</v>
      </c>
      <c r="W48" s="31">
        <f>Option3!W$84*conv_2026*W$7</f>
        <v>0</v>
      </c>
      <c r="X48" s="31">
        <f>Option3!X$84*conv_2026*X$7</f>
        <v>0</v>
      </c>
      <c r="Y48" s="31">
        <f>Option3!Y$84*conv_2026*Y$7</f>
        <v>0</v>
      </c>
      <c r="Z48" s="31">
        <f>Option3!Z$84*conv_2026*Z$7</f>
        <v>0</v>
      </c>
      <c r="AA48" s="31">
        <f>Option3!AA$84*conv_2026*AA$7</f>
        <v>0</v>
      </c>
      <c r="AB48" s="31">
        <f>Option3!AB$84*conv_2026*AB$7</f>
        <v>0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6" t="str">
        <f t="shared" si="10"/>
        <v>Option 3</v>
      </c>
      <c r="B49" s="136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6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6" t="str">
        <f t="shared" si="10"/>
        <v>Option 3</v>
      </c>
      <c r="B50" s="136"/>
      <c r="C50" s="125" t="str">
        <f>Option3!C87</f>
        <v>Net benefits</v>
      </c>
      <c r="D50" s="109" t="str">
        <f t="shared" si="11"/>
        <v>Option 3Net benefits</v>
      </c>
      <c r="E50" s="110"/>
      <c r="F50" s="144"/>
      <c r="G50" s="228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0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0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6" t="str">
        <f t="shared" si="10"/>
        <v>Option 3</v>
      </c>
      <c r="B51" s="136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0</v>
      </c>
      <c r="G51" s="226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6" t="str">
        <f t="shared" si="10"/>
        <v>Option 3</v>
      </c>
      <c r="B52" s="136"/>
      <c r="C52" s="8" t="s">
        <v>197</v>
      </c>
      <c r="D52" s="38" t="str">
        <f t="shared" si="11"/>
        <v>Option 3PV of costs</v>
      </c>
      <c r="E52" s="1"/>
      <c r="F52" s="108">
        <f>SUM(F46:F47)</f>
        <v>0</v>
      </c>
      <c r="G52" s="226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6" t="str">
        <f t="shared" si="10"/>
        <v>Option 3</v>
      </c>
      <c r="B53" s="136"/>
      <c r="C53" s="8" t="s">
        <v>198</v>
      </c>
      <c r="D53" s="38" t="str">
        <f t="shared" si="11"/>
        <v>Option 3PV of benefits</v>
      </c>
      <c r="E53" s="1"/>
      <c r="F53" s="108">
        <f>SUM(F48:F49)</f>
        <v>0</v>
      </c>
      <c r="G53" s="226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6"/>
      <c r="B54" s="136"/>
      <c r="C54" s="1"/>
      <c r="D54" s="38"/>
      <c r="E54" s="1"/>
      <c r="F54" s="108"/>
      <c r="G54" s="229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2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1" customFormat="1" x14ac:dyDescent="0.2">
      <c r="A56" s="269" t="str">
        <f>A57</f>
        <v>Option 4</v>
      </c>
      <c r="B56" s="269"/>
      <c r="C56" s="269" t="s">
        <v>124</v>
      </c>
      <c r="D56" s="270" t="str">
        <f>A56&amp;C56</f>
        <v>Option 4Energy at risk value</v>
      </c>
      <c r="F56" s="97">
        <f>SUMPRODUCT($H56:$AG56, $H$5:$AG$5)</f>
        <v>0</v>
      </c>
      <c r="G56" s="272">
        <f>output_dollars</f>
        <v>46203</v>
      </c>
      <c r="H56" s="273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6" t="str">
        <f>Data!B12</f>
        <v>Option 4</v>
      </c>
      <c r="B57" s="136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6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6" t="str">
        <f t="shared" ref="A58:A67" si="15">A57</f>
        <v>Option 4</v>
      </c>
      <c r="B58" s="136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6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6" t="str">
        <f t="shared" si="15"/>
        <v>Option 4</v>
      </c>
      <c r="B59" s="136"/>
      <c r="C59" s="75"/>
      <c r="D59" s="38" t="str">
        <f t="shared" si="14"/>
        <v>Option 4</v>
      </c>
      <c r="E59" s="1"/>
      <c r="F59"/>
      <c r="G59" s="227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6" t="str">
        <f t="shared" si="15"/>
        <v>Option 4</v>
      </c>
      <c r="B60" s="136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6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6" t="str">
        <f t="shared" si="15"/>
        <v>Option 4</v>
      </c>
      <c r="B61" s="136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6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6" t="str">
        <f t="shared" si="15"/>
        <v>Option 4</v>
      </c>
      <c r="B62" s="136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6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6" t="str">
        <f t="shared" si="15"/>
        <v>Option 4</v>
      </c>
      <c r="B63" s="136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6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6" t="str">
        <f t="shared" si="15"/>
        <v>Option 4</v>
      </c>
      <c r="B64" s="136"/>
      <c r="C64" s="125" t="str">
        <f>Option4!C87</f>
        <v>Net benefits</v>
      </c>
      <c r="D64" s="109" t="str">
        <f t="shared" si="14"/>
        <v>Option 4Net benefits</v>
      </c>
      <c r="E64" s="110"/>
      <c r="F64" s="144"/>
      <c r="G64" s="228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6" t="str">
        <f t="shared" si="15"/>
        <v>Option 4</v>
      </c>
      <c r="B65" s="136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6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6" t="str">
        <f t="shared" si="15"/>
        <v>Option 4</v>
      </c>
      <c r="B66" s="136"/>
      <c r="C66" s="8" t="s">
        <v>197</v>
      </c>
      <c r="D66" s="38" t="str">
        <f t="shared" si="14"/>
        <v>Option 4PV of costs</v>
      </c>
      <c r="E66" s="1"/>
      <c r="F66" s="108">
        <f>SUM(F60:F61)</f>
        <v>0</v>
      </c>
      <c r="G66" s="226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6" t="str">
        <f t="shared" si="15"/>
        <v>Option 4</v>
      </c>
      <c r="B67" s="136"/>
      <c r="C67" s="8" t="s">
        <v>198</v>
      </c>
      <c r="D67" s="38" t="str">
        <f t="shared" si="14"/>
        <v>Option 4PV of benefits</v>
      </c>
      <c r="E67" s="1"/>
      <c r="F67" s="108">
        <f>SUM(F62:F63)</f>
        <v>0</v>
      </c>
      <c r="G67" s="226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6"/>
      <c r="B68" s="136"/>
      <c r="C68" s="1"/>
      <c r="D68" s="38"/>
      <c r="E68" s="1"/>
      <c r="F68" s="108"/>
      <c r="G68" s="229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2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1" customFormat="1" x14ac:dyDescent="0.2">
      <c r="A70" s="269" t="str">
        <f>A71</f>
        <v>Option 5</v>
      </c>
      <c r="B70" s="269"/>
      <c r="C70" s="269" t="s">
        <v>124</v>
      </c>
      <c r="D70" s="270" t="str">
        <f t="shared" si="18"/>
        <v>Option 5Energy at risk value</v>
      </c>
      <c r="F70" s="97">
        <f>SUMPRODUCT($H70:$AG70, $H$5:$AG$5)</f>
        <v>0</v>
      </c>
      <c r="G70" s="272">
        <f>output_dollars</f>
        <v>46203</v>
      </c>
      <c r="H70" s="273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6" t="str">
        <f>Data!B13</f>
        <v>Option 5</v>
      </c>
      <c r="B71" s="136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6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6" t="str">
        <f t="shared" ref="A72:A81" si="19">A71</f>
        <v>Option 5</v>
      </c>
      <c r="B72" s="136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6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6" t="str">
        <f t="shared" si="19"/>
        <v>Option 5</v>
      </c>
      <c r="B73" s="136"/>
      <c r="C73" s="75"/>
      <c r="D73" s="38" t="str">
        <f t="shared" si="18"/>
        <v>Option 5</v>
      </c>
      <c r="E73" s="1"/>
      <c r="F73"/>
      <c r="G73" s="227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6" t="str">
        <f t="shared" si="19"/>
        <v>Option 5</v>
      </c>
      <c r="B74" s="136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6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6" t="str">
        <f t="shared" si="19"/>
        <v>Option 5</v>
      </c>
      <c r="B75" s="136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6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6" t="str">
        <f t="shared" si="19"/>
        <v>Option 5</v>
      </c>
      <c r="B76" s="136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6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6" t="str">
        <f t="shared" si="19"/>
        <v>Option 5</v>
      </c>
      <c r="B77" s="136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6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6" t="str">
        <f t="shared" si="19"/>
        <v>Option 5</v>
      </c>
      <c r="B78" s="136"/>
      <c r="C78" s="125" t="str">
        <f>Option5!C87</f>
        <v>Net benefits</v>
      </c>
      <c r="D78" s="109" t="str">
        <f t="shared" si="18"/>
        <v>Option 5Net benefits</v>
      </c>
      <c r="E78" s="110"/>
      <c r="F78" s="144"/>
      <c r="G78" s="228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6" t="str">
        <f t="shared" si="19"/>
        <v>Option 5</v>
      </c>
      <c r="B79" s="136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6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6" t="str">
        <f t="shared" si="19"/>
        <v>Option 5</v>
      </c>
      <c r="B80" s="136"/>
      <c r="C80" s="8" t="s">
        <v>197</v>
      </c>
      <c r="D80" s="38" t="str">
        <f t="shared" si="18"/>
        <v>Option 5PV of costs</v>
      </c>
      <c r="E80" s="1"/>
      <c r="F80" s="108">
        <f>SUM(F74:F75)</f>
        <v>0</v>
      </c>
      <c r="G80" s="226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6" t="str">
        <f t="shared" si="19"/>
        <v>Option 5</v>
      </c>
      <c r="B81" s="136"/>
      <c r="C81" s="8" t="s">
        <v>198</v>
      </c>
      <c r="D81" s="38" t="str">
        <f t="shared" si="18"/>
        <v>Option 5PV of benefits</v>
      </c>
      <c r="E81" s="1"/>
      <c r="F81" s="108">
        <f>SUM(F76:F77)</f>
        <v>0</v>
      </c>
      <c r="G81" s="226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2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0"/>
    </row>
    <row r="84" spans="1:33" ht="12" x14ac:dyDescent="0.2">
      <c r="E84" s="84"/>
      <c r="G84" s="230"/>
    </row>
    <row r="85" spans="1:33" ht="12" x14ac:dyDescent="0.2">
      <c r="E85" s="84"/>
      <c r="G85" s="230"/>
    </row>
    <row r="86" spans="1:33" ht="12" x14ac:dyDescent="0.2">
      <c r="E86" s="84"/>
      <c r="G86" s="230"/>
    </row>
    <row r="87" spans="1:33" ht="12" x14ac:dyDescent="0.2">
      <c r="E87" s="10"/>
      <c r="G87" s="230"/>
    </row>
    <row r="88" spans="1:33" ht="15" x14ac:dyDescent="0.25">
      <c r="A88" s="203" t="s">
        <v>210</v>
      </c>
      <c r="B88" s="54"/>
      <c r="C88" s="19"/>
      <c r="D88" s="19"/>
      <c r="E88" s="83"/>
      <c r="F88" s="19"/>
      <c r="G88" s="224"/>
      <c r="H88" s="224"/>
      <c r="I88" s="200" t="str">
        <f>"FY"&amp;RIGHT(I$9,2)</f>
        <v>FY27</v>
      </c>
      <c r="J88" s="200" t="str">
        <f t="shared" ref="J88:AG88" si="22">"FY"&amp;RIGHT(J$9,2)</f>
        <v>FY28</v>
      </c>
      <c r="K88" s="200" t="str">
        <f t="shared" si="22"/>
        <v>FY29</v>
      </c>
      <c r="L88" s="200" t="str">
        <f t="shared" si="22"/>
        <v>FY30</v>
      </c>
      <c r="M88" s="200" t="str">
        <f t="shared" si="22"/>
        <v>FY31</v>
      </c>
      <c r="N88" s="200" t="str">
        <f t="shared" si="22"/>
        <v>FY32</v>
      </c>
      <c r="O88" s="200" t="str">
        <f t="shared" si="22"/>
        <v>FY33</v>
      </c>
      <c r="P88" s="200" t="str">
        <f t="shared" si="22"/>
        <v>FY34</v>
      </c>
      <c r="Q88" s="200" t="str">
        <f t="shared" si="22"/>
        <v>FY35</v>
      </c>
      <c r="R88" s="200" t="str">
        <f t="shared" si="22"/>
        <v>FY36</v>
      </c>
      <c r="S88" s="200" t="str">
        <f t="shared" si="22"/>
        <v>FY37</v>
      </c>
      <c r="T88" s="200" t="str">
        <f t="shared" si="22"/>
        <v>FY38</v>
      </c>
      <c r="U88" s="200" t="str">
        <f t="shared" si="22"/>
        <v>FY39</v>
      </c>
      <c r="V88" s="200" t="str">
        <f t="shared" si="22"/>
        <v>FY40</v>
      </c>
      <c r="W88" s="200" t="str">
        <f t="shared" si="22"/>
        <v>FY41</v>
      </c>
      <c r="X88" s="200" t="str">
        <f t="shared" si="22"/>
        <v>FY42</v>
      </c>
      <c r="Y88" s="200" t="str">
        <f t="shared" si="22"/>
        <v>FY43</v>
      </c>
      <c r="Z88" s="200" t="str">
        <f t="shared" si="22"/>
        <v>FY44</v>
      </c>
      <c r="AA88" s="200" t="str">
        <f t="shared" si="22"/>
        <v>FY45</v>
      </c>
      <c r="AB88" s="200" t="str">
        <f t="shared" si="22"/>
        <v>FY46</v>
      </c>
      <c r="AC88" s="200" t="str">
        <f t="shared" si="22"/>
        <v>FY47</v>
      </c>
      <c r="AD88" s="200" t="str">
        <f t="shared" si="22"/>
        <v>FY48</v>
      </c>
      <c r="AE88" s="200" t="str">
        <f t="shared" si="22"/>
        <v>FY49</v>
      </c>
      <c r="AF88" s="200" t="str">
        <f t="shared" si="22"/>
        <v>FY50</v>
      </c>
      <c r="AG88" s="200" t="str">
        <f t="shared" si="22"/>
        <v>FY51</v>
      </c>
    </row>
    <row r="89" spans="1:33" ht="12" x14ac:dyDescent="0.2">
      <c r="E89" s="84"/>
      <c r="G89" s="230"/>
    </row>
    <row r="90" spans="1:33" ht="12" x14ac:dyDescent="0.2">
      <c r="E90" s="84"/>
    </row>
    <row r="91" spans="1:33" x14ac:dyDescent="0.2">
      <c r="A91" s="199" t="str">
        <f>Summary!$C$26</f>
        <v>Option 2</v>
      </c>
      <c r="B91" s="140"/>
      <c r="C91" s="197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8" cm="1">
        <f t="array" ref="I91">MAX($D91*INDEX(I$15:W$81, MATCH($A91&amp;$C91, $D$15:$D$81,0),))/mill_conv</f>
        <v>0.48331264239235933</v>
      </c>
      <c r="J91" s="298" cm="1">
        <f t="array" ref="J91">MAX($D91*INDEX(J$15:X$81, MATCH($A91&amp;$C91, $D$15:$D$81,0),))/mill_conv</f>
        <v>0.48331264239235933</v>
      </c>
      <c r="K91" s="298" cm="1">
        <f t="array" ref="K91">MAX($D91*INDEX(K$15:Y$81, MATCH($A91&amp;$C91, $D$15:$D$81,0),))/mill_conv</f>
        <v>0.48331264239235933</v>
      </c>
      <c r="L91" s="298" cm="1">
        <f t="array" ref="L91">MAX($D91*INDEX(L$15:Z$81, MATCH($A91&amp;$C91, $D$15:$D$81,0),))/mill_conv</f>
        <v>0.48331264239235933</v>
      </c>
      <c r="M91" s="298" cm="1">
        <f t="array" ref="M91">MAX($D91*INDEX(M$15:AA$81, MATCH($A91&amp;$C91, $D$15:$D$81,0),))/mill_conv</f>
        <v>0.48331264239235933</v>
      </c>
      <c r="N91" s="298" cm="1">
        <f t="array" ref="N91">MAX($D91*INDEX(N$15:AB$81, MATCH($A91&amp;$C91, $D$15:$D$81,0),))/mill_conv</f>
        <v>0.48331264239235933</v>
      </c>
      <c r="O91" s="298" cm="1">
        <f t="array" ref="O91">MAX($D91*INDEX(O$15:AC$81, MATCH($A91&amp;$C91, $D$15:$D$81,0),))/mill_conv</f>
        <v>0.48331264239235933</v>
      </c>
      <c r="P91" s="298" cm="1">
        <f t="array" ref="P91">MAX($D91*INDEX(P$15:AD$81, MATCH($A91&amp;$C91, $D$15:$D$81,0),))/mill_conv</f>
        <v>0.48331264239235933</v>
      </c>
      <c r="Q91" s="298" cm="1">
        <f t="array" ref="Q91">MAX($D91*INDEX(Q$15:AE$81, MATCH($A91&amp;$C91, $D$15:$D$81,0),))/mill_conv</f>
        <v>0.48331264239235933</v>
      </c>
      <c r="R91" s="298" cm="1">
        <f t="array" ref="R91">MAX($D91*INDEX(R$15:AF$81, MATCH($A91&amp;$C91, $D$15:$D$81,0),))/mill_conv</f>
        <v>0.48331264239235933</v>
      </c>
      <c r="S91" s="298" cm="1">
        <f t="array" ref="S91">MAX($D91*INDEX(S$15:AG$81, MATCH($A91&amp;$C91, $D$15:$D$81,0),))/mill_conv</f>
        <v>0.48331264239235933</v>
      </c>
      <c r="T91" s="298" cm="1">
        <f t="array" ref="T91">MAX($D91*INDEX(T$15:AH$81, MATCH($A91&amp;$C91, $D$15:$D$81,0),))/mill_conv</f>
        <v>0.48331264239235933</v>
      </c>
      <c r="U91" s="298" cm="1">
        <f t="array" ref="U91">MAX($D91*INDEX(U$15:AI$81, MATCH($A91&amp;$C91, $D$15:$D$81,0),))/mill_conv</f>
        <v>0.48331264239235933</v>
      </c>
      <c r="V91" s="298" cm="1">
        <f t="array" ref="V91">MAX($D91*INDEX(V$15:AJ$81, MATCH($A91&amp;$C91, $D$15:$D$81,0),))/mill_conv</f>
        <v>0.48331264239235933</v>
      </c>
      <c r="W91" s="298" cm="1">
        <f t="array" ref="W91">MAX($D91*INDEX(W$15:AK$81, MATCH($A91&amp;$C91, $D$15:$D$81,0),))/mill_conv</f>
        <v>0.48331264239235933</v>
      </c>
      <c r="X91" s="298" cm="1">
        <f t="array" ref="X91">MAX($D91*INDEX(X$15:AL$81, MATCH($A91&amp;$C91, $D$15:$D$81,0),))/mill_conv</f>
        <v>0.48331264239235933</v>
      </c>
      <c r="Y91" s="298" cm="1">
        <f t="array" ref="Y91">MAX($D91*INDEX(Y$15:AM$81, MATCH($A91&amp;$C91, $D$15:$D$81,0),))/mill_conv</f>
        <v>0.48331264239235933</v>
      </c>
      <c r="Z91" s="298" cm="1">
        <f t="array" ref="Z91">MAX($D91*INDEX(Z$15:AN$81, MATCH($A91&amp;$C91, $D$15:$D$81,0),))/mill_conv</f>
        <v>0.48331264239235933</v>
      </c>
      <c r="AA91" s="298" cm="1">
        <f t="array" ref="AA91">MAX($D91*INDEX(AA$15:AO$81, MATCH($A91&amp;$C91, $D$15:$D$81,0),))/mill_conv</f>
        <v>0.48331264239235933</v>
      </c>
      <c r="AB91" s="298" cm="1">
        <f t="array" ref="AB91">MAX($D91*INDEX(AB$15:AP$81, MATCH($A91&amp;$C91, $D$15:$D$81,0),))/mill_conv</f>
        <v>0.48331264239235933</v>
      </c>
      <c r="AC91" s="298" cm="1">
        <f t="array" ref="AC91">MAX($D91*INDEX(AC$15:AQ$81, MATCH($A91&amp;$C91, $D$15:$D$81,0),))/mill_conv</f>
        <v>0</v>
      </c>
      <c r="AD91" s="298" cm="1">
        <f t="array" ref="AD91">MAX($D91*INDEX(AD$15:AR$81, MATCH($A91&amp;$C91, $D$15:$D$81,0),))/mill_conv</f>
        <v>0</v>
      </c>
      <c r="AE91" s="298" cm="1">
        <f t="array" ref="AE91">MAX($D91*INDEX(AE$15:AS$81, MATCH($A91&amp;$C91, $D$15:$D$81,0),))/mill_conv</f>
        <v>0</v>
      </c>
      <c r="AF91" s="298" cm="1">
        <f t="array" ref="AF91">MAX($D91*INDEX(AF$15:AT$81, MATCH($A91&amp;$C91, $D$15:$D$81,0),))/mill_conv</f>
        <v>0</v>
      </c>
      <c r="AG91" s="298" cm="1">
        <f t="array" ref="AG91">MAX($D91*INDEX(AG$15:AU$81, MATCH($A91&amp;$C91, $D$15:$D$81,0),))/mill_conv</f>
        <v>0</v>
      </c>
    </row>
    <row r="92" spans="1:33" x14ac:dyDescent="0.2">
      <c r="A92" s="198" t="str">
        <f>A16</f>
        <v>Option 1 (base case)</v>
      </c>
      <c r="B92" s="140"/>
      <c r="C92" s="198" t="s">
        <v>180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8">
        <f t="shared" ref="I92:R92" si="23">$D92*INDEX(I$15:I$81, MATCH($A92&amp;$C92, $D$15:$D$81,0))/mill_conv</f>
        <v>0</v>
      </c>
      <c r="J92" s="298">
        <f t="shared" si="23"/>
        <v>0</v>
      </c>
      <c r="K92" s="298">
        <f t="shared" si="23"/>
        <v>0</v>
      </c>
      <c r="L92" s="298">
        <f t="shared" si="23"/>
        <v>0</v>
      </c>
      <c r="M92" s="298">
        <f t="shared" si="23"/>
        <v>0</v>
      </c>
      <c r="N92" s="298">
        <f t="shared" si="23"/>
        <v>17.576389687492373</v>
      </c>
      <c r="O92" s="298">
        <f t="shared" si="23"/>
        <v>7.0305558749969492</v>
      </c>
      <c r="P92" s="298">
        <f t="shared" si="23"/>
        <v>2.8122223499987795</v>
      </c>
      <c r="Q92" s="298">
        <f t="shared" si="23"/>
        <v>1.1248889399995119</v>
      </c>
      <c r="R92" s="298">
        <f t="shared" si="23"/>
        <v>0.44995557599980479</v>
      </c>
      <c r="S92" s="298">
        <f t="shared" ref="S92:AG92" si="24">$D92*INDEX(S$15:S$81, MATCH($A92&amp;$C92, $D$15:$D$81,0))/mill_conv</f>
        <v>0.17998223039992195</v>
      </c>
      <c r="T92" s="298">
        <f t="shared" si="24"/>
        <v>7.1992892159968777E-2</v>
      </c>
      <c r="U92" s="298">
        <f t="shared" si="24"/>
        <v>4.7995261439979182E-2</v>
      </c>
      <c r="V92" s="298">
        <f t="shared" si="24"/>
        <v>0</v>
      </c>
      <c r="W92" s="298">
        <f t="shared" si="24"/>
        <v>0</v>
      </c>
      <c r="X92" s="298">
        <f t="shared" si="24"/>
        <v>0</v>
      </c>
      <c r="Y92" s="298">
        <f t="shared" si="24"/>
        <v>0</v>
      </c>
      <c r="Z92" s="298">
        <f t="shared" si="24"/>
        <v>0</v>
      </c>
      <c r="AA92" s="298">
        <f t="shared" si="24"/>
        <v>0</v>
      </c>
      <c r="AB92" s="298">
        <f t="shared" si="24"/>
        <v>0</v>
      </c>
      <c r="AC92" s="298">
        <f t="shared" si="24"/>
        <v>0</v>
      </c>
      <c r="AD92" s="298">
        <f t="shared" si="24"/>
        <v>0</v>
      </c>
      <c r="AE92" s="298">
        <f t="shared" si="24"/>
        <v>0</v>
      </c>
      <c r="AF92" s="298">
        <f t="shared" si="24"/>
        <v>0</v>
      </c>
      <c r="AG92" s="298">
        <f t="shared" si="24"/>
        <v>0</v>
      </c>
    </row>
    <row r="93" spans="1:33" ht="12" x14ac:dyDescent="0.2">
      <c r="E93" s="84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5" t="str">
        <f>I88</f>
        <v>FY27</v>
      </c>
      <c r="J97" s="295" t="str">
        <f t="shared" ref="J97:AG97" si="25">J88</f>
        <v>FY28</v>
      </c>
      <c r="K97" s="295" t="str">
        <f t="shared" si="25"/>
        <v>FY29</v>
      </c>
      <c r="L97" s="295" t="str">
        <f t="shared" si="25"/>
        <v>FY30</v>
      </c>
      <c r="M97" s="295" t="str">
        <f t="shared" si="25"/>
        <v>FY31</v>
      </c>
      <c r="N97" s="295" t="str">
        <f t="shared" si="25"/>
        <v>FY32</v>
      </c>
      <c r="O97" s="295" t="str">
        <f t="shared" si="25"/>
        <v>FY33</v>
      </c>
      <c r="P97" s="295" t="str">
        <f t="shared" si="25"/>
        <v>FY34</v>
      </c>
      <c r="Q97" s="295" t="str">
        <f t="shared" si="25"/>
        <v>FY35</v>
      </c>
      <c r="R97" s="295" t="str">
        <f t="shared" si="25"/>
        <v>FY36</v>
      </c>
      <c r="S97" s="295" t="str">
        <f t="shared" si="25"/>
        <v>FY37</v>
      </c>
      <c r="T97" s="295" t="str">
        <f t="shared" si="25"/>
        <v>FY38</v>
      </c>
      <c r="U97" s="295" t="str">
        <f t="shared" si="25"/>
        <v>FY39</v>
      </c>
      <c r="V97" s="295" t="str">
        <f t="shared" si="25"/>
        <v>FY40</v>
      </c>
      <c r="W97" s="295" t="str">
        <f t="shared" si="25"/>
        <v>FY41</v>
      </c>
      <c r="X97" s="295" t="str">
        <f t="shared" si="25"/>
        <v>FY42</v>
      </c>
      <c r="Y97" s="295" t="str">
        <f t="shared" si="25"/>
        <v>FY43</v>
      </c>
      <c r="Z97" s="295" t="str">
        <f t="shared" si="25"/>
        <v>FY44</v>
      </c>
      <c r="AA97" s="295" t="str">
        <f t="shared" si="25"/>
        <v>FY45</v>
      </c>
      <c r="AB97" s="295" t="str">
        <f t="shared" si="25"/>
        <v>FY46</v>
      </c>
      <c r="AC97" s="295" t="str">
        <f t="shared" si="25"/>
        <v>FY47</v>
      </c>
      <c r="AD97" s="295" t="str">
        <f t="shared" si="25"/>
        <v>FY48</v>
      </c>
      <c r="AE97" s="295" t="str">
        <f t="shared" si="25"/>
        <v>FY49</v>
      </c>
      <c r="AF97" s="295" t="str">
        <f t="shared" si="25"/>
        <v>FY50</v>
      </c>
      <c r="AG97" s="295" t="str">
        <f t="shared" si="25"/>
        <v>FY51</v>
      </c>
    </row>
    <row r="98" spans="1:33" x14ac:dyDescent="0.2">
      <c r="A98" s="199" t="s">
        <v>243</v>
      </c>
      <c r="B98" s="140"/>
      <c r="C98" s="197" t="s">
        <v>123</v>
      </c>
      <c r="D98" s="191">
        <f>MAX(H98:AG98)</f>
        <v>0</v>
      </c>
      <c r="E98" s="294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8" t="str">
        <f>A23</f>
        <v>Option 1 (base case)</v>
      </c>
      <c r="B99" s="140"/>
      <c r="C99" s="198" t="s">
        <v>124</v>
      </c>
      <c r="D99" s="191">
        <f>MAX(H99:AG99)</f>
        <v>0</v>
      </c>
      <c r="E99" s="294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6" customFormat="1" ht="12" x14ac:dyDescent="0.2"/>
    <row r="102" spans="1:33" ht="12" x14ac:dyDescent="0.2">
      <c r="E102" s="10"/>
    </row>
    <row r="103" spans="1:33" ht="12" x14ac:dyDescent="0.2">
      <c r="E103" s="10"/>
      <c r="I103" s="296"/>
    </row>
    <row r="104" spans="1:33" ht="12" x14ac:dyDescent="0.2">
      <c r="E104" s="10"/>
      <c r="H104" s="151"/>
    </row>
    <row r="105" spans="1:33" ht="12" x14ac:dyDescent="0.2">
      <c r="E105" s="10"/>
      <c r="H105" s="151"/>
    </row>
    <row r="106" spans="1:33" ht="12" x14ac:dyDescent="0.2">
      <c r="D106" s="191"/>
      <c r="E106" s="10"/>
    </row>
    <row r="107" spans="1:33" ht="12" x14ac:dyDescent="0.2">
      <c r="D107" s="191"/>
      <c r="E107" s="10"/>
    </row>
    <row r="108" spans="1:33" ht="12" x14ac:dyDescent="0.2">
      <c r="D108" s="191"/>
      <c r="E108" s="84"/>
    </row>
    <row r="109" spans="1:33" ht="12" x14ac:dyDescent="0.2">
      <c r="C109" s="124"/>
      <c r="D109" s="191"/>
      <c r="E109" s="191"/>
    </row>
    <row r="110" spans="1:33" ht="12" x14ac:dyDescent="0.2">
      <c r="D110" s="191"/>
      <c r="E110" s="84"/>
    </row>
    <row r="111" spans="1:33" ht="12" x14ac:dyDescent="0.2">
      <c r="D111" s="191"/>
      <c r="E111" s="84"/>
    </row>
    <row r="112" spans="1:33" ht="12" x14ac:dyDescent="0.2">
      <c r="D112" s="191"/>
      <c r="E112" s="84"/>
    </row>
    <row r="113" spans="4:5" ht="12" x14ac:dyDescent="0.2">
      <c r="D113" s="191"/>
      <c r="E113" s="84"/>
    </row>
    <row r="114" spans="4:5" ht="12" x14ac:dyDescent="0.2">
      <c r="D114" s="191"/>
      <c r="E114" s="84"/>
    </row>
    <row r="115" spans="4:5" ht="12" x14ac:dyDescent="0.2">
      <c r="D115" s="191"/>
      <c r="E115" s="84"/>
    </row>
    <row r="116" spans="4:5" ht="12" x14ac:dyDescent="0.2">
      <c r="D116" s="191"/>
      <c r="E116" s="84"/>
    </row>
    <row r="117" spans="4:5" ht="12" x14ac:dyDescent="0.2">
      <c r="D117" s="191"/>
      <c r="E117" s="84"/>
    </row>
    <row r="118" spans="4:5" ht="12" x14ac:dyDescent="0.2">
      <c r="D118" s="191"/>
      <c r="E118" s="84"/>
    </row>
    <row r="119" spans="4:5" ht="12" x14ac:dyDescent="0.2">
      <c r="D119" s="191"/>
      <c r="E119" s="84"/>
    </row>
    <row r="120" spans="4:5" ht="12" x14ac:dyDescent="0.2">
      <c r="D120" s="191"/>
      <c r="E120" s="84"/>
    </row>
    <row r="121" spans="4:5" ht="12" x14ac:dyDescent="0.2">
      <c r="D121" s="191"/>
      <c r="E121" s="84"/>
    </row>
    <row r="122" spans="4:5" ht="12" x14ac:dyDescent="0.2">
      <c r="D122" s="191"/>
      <c r="E122" s="84"/>
    </row>
    <row r="123" spans="4:5" ht="12" x14ac:dyDescent="0.2">
      <c r="D123" s="191"/>
      <c r="E123" s="84"/>
    </row>
    <row r="124" spans="4:5" ht="12" x14ac:dyDescent="0.2">
      <c r="D124" s="191"/>
      <c r="E124" s="84"/>
    </row>
    <row r="125" spans="4:5" ht="12" x14ac:dyDescent="0.2">
      <c r="D125" s="191"/>
      <c r="E125" s="84"/>
    </row>
    <row r="126" spans="4:5" ht="12" x14ac:dyDescent="0.2">
      <c r="D126" s="191"/>
      <c r="E126" s="84"/>
    </row>
    <row r="127" spans="4:5" ht="12" x14ac:dyDescent="0.2">
      <c r="D127" s="191"/>
      <c r="E127" s="84"/>
    </row>
    <row r="128" spans="4:5" ht="12" x14ac:dyDescent="0.2">
      <c r="D128" s="191"/>
      <c r="E128" s="84"/>
    </row>
    <row r="129" spans="4:5" ht="12" x14ac:dyDescent="0.2">
      <c r="D129" s="191"/>
      <c r="E129" s="84"/>
    </row>
    <row r="130" spans="4:5" ht="12" x14ac:dyDescent="0.2">
      <c r="D130" s="191"/>
      <c r="E130" s="84"/>
    </row>
    <row r="131" spans="4:5" ht="12" x14ac:dyDescent="0.2">
      <c r="D131" s="191"/>
      <c r="E131" s="84"/>
    </row>
    <row r="132" spans="4:5" ht="12" x14ac:dyDescent="0.2">
      <c r="D132" s="191"/>
      <c r="E132" s="84"/>
    </row>
    <row r="133" spans="4:5" ht="12" x14ac:dyDescent="0.2">
      <c r="D133" s="191"/>
      <c r="E133" s="84"/>
    </row>
    <row r="134" spans="4:5" ht="12" x14ac:dyDescent="0.2">
      <c r="D134" s="191"/>
      <c r="E134" s="84"/>
    </row>
    <row r="135" spans="4:5" ht="12" x14ac:dyDescent="0.2">
      <c r="D135" s="191"/>
      <c r="E135" s="84"/>
    </row>
    <row r="136" spans="4:5" ht="12" x14ac:dyDescent="0.2">
      <c r="D136" s="191"/>
      <c r="E136" s="84"/>
    </row>
    <row r="137" spans="4:5" ht="12" x14ac:dyDescent="0.2">
      <c r="D137" s="191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Pole mounted transformer uplift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4" t="s">
        <v>232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202</v>
      </c>
      <c r="B5" s="116"/>
      <c r="D5" s="117"/>
      <c r="E5" s="116"/>
      <c r="F5" s="116"/>
      <c r="G5" s="101"/>
      <c r="H5" s="189">
        <f>Consol!H5</f>
        <v>0</v>
      </c>
      <c r="I5" s="189">
        <f>Consol!I5</f>
        <v>0.98294637436598087</v>
      </c>
      <c r="J5" s="189">
        <f>Consol!J5</f>
        <v>0.94970664189949849</v>
      </c>
      <c r="K5" s="189">
        <f>Consol!K5</f>
        <v>0.91759095835700344</v>
      </c>
      <c r="L5" s="189">
        <f>Consol!L5</f>
        <v>0.88656131242222558</v>
      </c>
      <c r="M5" s="189">
        <f>Consol!M5</f>
        <v>0.85658097818572532</v>
      </c>
      <c r="N5" s="189">
        <f>Consol!N5</f>
        <v>0.8276144716770294</v>
      </c>
      <c r="O5" s="189">
        <f>Consol!O5</f>
        <v>0.79962750886669509</v>
      </c>
      <c r="P5" s="189">
        <f>Consol!P5</f>
        <v>0.77258696508859437</v>
      </c>
      <c r="Q5" s="189">
        <f>Consol!Q5</f>
        <v>0.74646083583439071</v>
      </c>
      <c r="R5" s="189">
        <f>Consol!R5</f>
        <v>0.72121819887380756</v>
      </c>
      <c r="S5" s="189">
        <f>Consol!S5</f>
        <v>0.69682917765585273</v>
      </c>
      <c r="T5" s="189">
        <f>Consol!T5</f>
        <v>0.67326490594768384</v>
      </c>
      <c r="U5" s="189">
        <f>Consol!U5</f>
        <v>0.6504974936692598</v>
      </c>
      <c r="V5" s="189">
        <f>Consol!V5</f>
        <v>0.62849999388334288</v>
      </c>
      <c r="W5" s="189">
        <f>Consol!W5</f>
        <v>0.60724637090178057</v>
      </c>
      <c r="X5" s="189">
        <f>Consol!X5</f>
        <v>0.58671146947031949</v>
      </c>
      <c r="Y5" s="189">
        <f>Consol!Y5</f>
        <v>0.56687098499547783</v>
      </c>
      <c r="Z5" s="189">
        <f>Consol!Z5</f>
        <v>0.54770143477823952</v>
      </c>
      <c r="AA5" s="189">
        <f>Consol!AA5</f>
        <v>0.52918013022052135</v>
      </c>
      <c r="AB5" s="189">
        <f>Consol!AB5</f>
        <v>0.5112851499715183</v>
      </c>
      <c r="AC5" s="189">
        <f>Consol!AC5</f>
        <v>0.4939953139821433</v>
      </c>
      <c r="AD5" s="189">
        <f>Consol!AD5</f>
        <v>0.47729015843685346</v>
      </c>
      <c r="AE5" s="189">
        <f>Consol!AE5</f>
        <v>0.46114991153319179</v>
      </c>
      <c r="AF5" s="189">
        <f>Consol!AF5</f>
        <v>0.4455554700803786</v>
      </c>
      <c r="AG5" s="189">
        <f>Consol!AG5</f>
        <v>0.43048837688925473</v>
      </c>
    </row>
    <row r="6" spans="1:33" s="2" customFormat="1" hidden="1" outlineLevel="1" x14ac:dyDescent="0.2">
      <c r="A6" s="190" t="str">
        <f>'Option1 (base case)'!A6</f>
        <v>Count</v>
      </c>
      <c r="B6" s="116"/>
      <c r="D6" s="117"/>
      <c r="E6" s="116"/>
      <c r="F6" s="116"/>
      <c r="G6" s="101"/>
      <c r="H6" s="190">
        <f>Consol!H6</f>
        <v>0</v>
      </c>
      <c r="I6" s="190">
        <f>Consol!I6</f>
        <v>1</v>
      </c>
      <c r="J6" s="190">
        <f>Consol!J6</f>
        <v>2</v>
      </c>
      <c r="K6" s="190">
        <f>Consol!K6</f>
        <v>3</v>
      </c>
      <c r="L6" s="190">
        <f>Consol!L6</f>
        <v>4</v>
      </c>
      <c r="M6" s="190">
        <f>Consol!M6</f>
        <v>5</v>
      </c>
      <c r="N6" s="190">
        <f>Consol!N6</f>
        <v>6</v>
      </c>
      <c r="O6" s="190">
        <f>Consol!O6</f>
        <v>7</v>
      </c>
      <c r="P6" s="190">
        <f>Consol!P6</f>
        <v>8</v>
      </c>
      <c r="Q6" s="190">
        <f>Consol!Q6</f>
        <v>9</v>
      </c>
      <c r="R6" s="190">
        <f>Consol!R6</f>
        <v>10</v>
      </c>
      <c r="S6" s="190">
        <f>Consol!S6</f>
        <v>11</v>
      </c>
      <c r="T6" s="190">
        <f>Consol!T6</f>
        <v>12</v>
      </c>
      <c r="U6" s="190">
        <f>Consol!U6</f>
        <v>13</v>
      </c>
      <c r="V6" s="190">
        <f>Consol!V6</f>
        <v>14</v>
      </c>
      <c r="W6" s="190">
        <f>Consol!W6</f>
        <v>15</v>
      </c>
      <c r="X6" s="190">
        <f>Consol!X6</f>
        <v>16</v>
      </c>
      <c r="Y6" s="190">
        <f>Consol!Y6</f>
        <v>17</v>
      </c>
      <c r="Z6" s="190">
        <f>Consol!Z6</f>
        <v>18</v>
      </c>
      <c r="AA6" s="190">
        <f>Consol!AA6</f>
        <v>19</v>
      </c>
      <c r="AB6" s="190">
        <f>Consol!AB6</f>
        <v>20</v>
      </c>
      <c r="AC6" s="190">
        <f>Consol!AC6</f>
        <v>21</v>
      </c>
      <c r="AD6" s="190">
        <f>Consol!AD6</f>
        <v>22</v>
      </c>
      <c r="AE6" s="190">
        <f>Consol!AE6</f>
        <v>23</v>
      </c>
      <c r="AF6" s="190">
        <f>Consol!AF6</f>
        <v>24</v>
      </c>
      <c r="AG6" s="190">
        <f>Consol!AG6</f>
        <v>25</v>
      </c>
    </row>
    <row r="7" spans="1:33" s="2" customFormat="1" hidden="1" outlineLevel="1" x14ac:dyDescent="0.2">
      <c r="A7" s="116" t="s">
        <v>203</v>
      </c>
      <c r="B7" s="116"/>
      <c r="D7" s="117"/>
      <c r="E7" s="116"/>
      <c r="F7" s="116"/>
      <c r="G7" s="101"/>
      <c r="H7" s="256" t="b">
        <f>Consol!H7</f>
        <v>1</v>
      </c>
      <c r="I7" s="256" t="b">
        <f>Consol!I7</f>
        <v>1</v>
      </c>
      <c r="J7" s="256" t="b">
        <f>Consol!J7</f>
        <v>1</v>
      </c>
      <c r="K7" s="256" t="b">
        <f>Consol!K7</f>
        <v>1</v>
      </c>
      <c r="L7" s="256" t="b">
        <f>Consol!L7</f>
        <v>1</v>
      </c>
      <c r="M7" s="256" t="b">
        <f>Consol!M7</f>
        <v>1</v>
      </c>
      <c r="N7" s="256" t="b">
        <f>Consol!N7</f>
        <v>1</v>
      </c>
      <c r="O7" s="256" t="b">
        <f>Consol!O7</f>
        <v>1</v>
      </c>
      <c r="P7" s="256" t="b">
        <f>Consol!P7</f>
        <v>1</v>
      </c>
      <c r="Q7" s="256" t="b">
        <f>Consol!Q7</f>
        <v>1</v>
      </c>
      <c r="R7" s="256" t="b">
        <f>Consol!R7</f>
        <v>1</v>
      </c>
      <c r="S7" s="256" t="b">
        <f>Consol!S7</f>
        <v>1</v>
      </c>
      <c r="T7" s="256" t="b">
        <f>Consol!T7</f>
        <v>1</v>
      </c>
      <c r="U7" s="256" t="b">
        <f>Consol!U7</f>
        <v>1</v>
      </c>
      <c r="V7" s="256" t="b">
        <f>Consol!V7</f>
        <v>1</v>
      </c>
      <c r="W7" s="256" t="b">
        <f>Consol!W7</f>
        <v>1</v>
      </c>
      <c r="X7" s="256" t="b">
        <f>Consol!X7</f>
        <v>1</v>
      </c>
      <c r="Y7" s="256" t="b">
        <f>Consol!Y7</f>
        <v>1</v>
      </c>
      <c r="Z7" s="256" t="b">
        <f>Consol!Z7</f>
        <v>1</v>
      </c>
      <c r="AA7" s="256" t="b">
        <f>Consol!AA7</f>
        <v>1</v>
      </c>
      <c r="AB7" s="256" t="b">
        <f>Consol!AB7</f>
        <v>1</v>
      </c>
      <c r="AC7" s="256" t="b">
        <f>Consol!AC7</f>
        <v>0</v>
      </c>
      <c r="AD7" s="256" t="b">
        <f>Consol!AD7</f>
        <v>0</v>
      </c>
      <c r="AE7" s="256" t="b">
        <f>Consol!AE7</f>
        <v>0</v>
      </c>
      <c r="AF7" s="256" t="b">
        <f>Consol!AF7</f>
        <v>0</v>
      </c>
      <c r="AG7" s="256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20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2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162</v>
      </c>
      <c r="G11" s="223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6"/>
      <c r="B12" s="246"/>
      <c r="C12" s="246"/>
      <c r="D12" s="246"/>
      <c r="E12" s="246"/>
      <c r="F12" s="246"/>
      <c r="G12" s="247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-483312.64239235932</v>
      </c>
      <c r="AA12" s="31">
        <f>Consol!AB36</f>
        <v>-483312.64239235932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7"/>
    </row>
    <row r="13" spans="1:33" s="7" customFormat="1" x14ac:dyDescent="0.2">
      <c r="A13" s="246"/>
      <c r="B13" s="246"/>
      <c r="C13" s="246"/>
      <c r="D13" s="246"/>
      <c r="E13" s="246"/>
      <c r="F13" s="246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</row>
    <row r="14" spans="1:33" s="7" customFormat="1" x14ac:dyDescent="0.2">
      <c r="A14" s="254" t="s">
        <v>151</v>
      </c>
      <c r="B14" s="254" t="s">
        <v>119</v>
      </c>
      <c r="C14" s="254" t="s">
        <v>196</v>
      </c>
      <c r="D14" s="254" t="str">
        <f>A14&amp;B14</f>
        <v>OPTION 1 (base case)NPV</v>
      </c>
      <c r="E14" s="255"/>
      <c r="F14" s="31">
        <f>SUMPRODUCT($H14:$AG14, $H$5:$AG$5)</f>
        <v>0</v>
      </c>
      <c r="G14" s="247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6"/>
      <c r="B15" s="246"/>
      <c r="C15" s="246"/>
      <c r="D15" s="246"/>
      <c r="E15" s="246"/>
      <c r="F15" s="246"/>
      <c r="G15" s="24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4" t="s">
        <v>151</v>
      </c>
      <c r="B16" s="254" t="str">
        <f>'Option1 (base case)'!A110</f>
        <v>sens1</v>
      </c>
      <c r="C16" s="254" t="str">
        <f>'Option1 (base case)'!C110</f>
        <v>Capex 10% higher</v>
      </c>
      <c r="D16" s="254" t="str">
        <f t="shared" ref="D16:D23" si="0">A16&amp;B16</f>
        <v>OPTION 1 (base case)sens1</v>
      </c>
      <c r="E16" s="255"/>
      <c r="F16" s="31">
        <f>SUMPRODUCT($H16:$AG16, $H$5:$AG$5)</f>
        <v>0</v>
      </c>
      <c r="G16" s="247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4" t="s">
        <v>151</v>
      </c>
      <c r="B17" s="254" t="str">
        <f>'Option1 (base case)'!A111</f>
        <v>sens2</v>
      </c>
      <c r="C17" s="254" t="str">
        <f>'Option1 (base case)'!C111</f>
        <v>Capex 10% lower</v>
      </c>
      <c r="D17" s="254" t="str">
        <f t="shared" si="0"/>
        <v>OPTION 1 (base case)sens2</v>
      </c>
      <c r="E17" s="255"/>
      <c r="F17" s="31">
        <f t="shared" ref="F17:F23" si="1">SUMPRODUCT($H17:$AG17, $H$5:$AG$5)</f>
        <v>0</v>
      </c>
      <c r="G17" s="254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4" t="s">
        <v>151</v>
      </c>
      <c r="B18" s="254" t="str">
        <f>'Option1 (base case)'!A112</f>
        <v>sens3</v>
      </c>
      <c r="C18" s="254" t="str">
        <f>'Option1 (base case)'!C112</f>
        <v>Total benefits 10% higher</v>
      </c>
      <c r="D18" s="254" t="str">
        <f t="shared" si="0"/>
        <v>OPTION 1 (base case)sens3</v>
      </c>
      <c r="E18" s="255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4" t="s">
        <v>151</v>
      </c>
      <c r="B19" s="254" t="str">
        <f>'Option1 (base case)'!A113</f>
        <v>sens4</v>
      </c>
      <c r="C19" s="254" t="str">
        <f>'Option1 (base case)'!C113</f>
        <v>Total benefits 10% lower</v>
      </c>
      <c r="D19" s="254" t="str">
        <f t="shared" si="0"/>
        <v>OPTION 1 (base case)sens4</v>
      </c>
      <c r="E19" s="255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4" t="s">
        <v>151</v>
      </c>
      <c r="B20" s="254" t="str">
        <f>'Option1 (base case)'!A114</f>
        <v>sens5</v>
      </c>
      <c r="C20" s="254" t="str">
        <f>'Option1 (base case)'!C114</f>
        <v>Capex 10% higher &amp; Total benefits 10% lower</v>
      </c>
      <c r="D20" s="254" t="str">
        <f t="shared" si="0"/>
        <v>OPTION 1 (base case)sens5</v>
      </c>
      <c r="E20" s="255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4" t="s">
        <v>151</v>
      </c>
      <c r="B21" s="254" t="str">
        <f>'Option1 (base case)'!A115</f>
        <v>sens</v>
      </c>
      <c r="C21" s="254">
        <f>'Option1 (base case)'!C115</f>
        <v>0</v>
      </c>
      <c r="D21" s="254" t="str">
        <f t="shared" si="0"/>
        <v>OPTION 1 (base case)sens</v>
      </c>
      <c r="E21" s="255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4" t="s">
        <v>151</v>
      </c>
      <c r="B22" s="254" t="str">
        <f>'Option1 (base case)'!A116</f>
        <v>sens</v>
      </c>
      <c r="C22" s="254">
        <f>'Option1 (base case)'!C116</f>
        <v>0</v>
      </c>
      <c r="D22" s="254" t="str">
        <f t="shared" si="0"/>
        <v>OPTION 1 (base case)sens</v>
      </c>
      <c r="E22" s="255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4" t="s">
        <v>151</v>
      </c>
      <c r="B23" s="254" t="str">
        <f>'Option1 (base case)'!A117</f>
        <v>sens</v>
      </c>
      <c r="C23" s="254">
        <f>'Option1 (base case)'!C117</f>
        <v>0</v>
      </c>
      <c r="D23" s="254" t="str">
        <f t="shared" si="0"/>
        <v>OPTION 1 (base case)sens</v>
      </c>
      <c r="E23" s="255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6"/>
      <c r="B24" s="246"/>
      <c r="C24" s="246"/>
      <c r="D24" s="246"/>
      <c r="E24" s="246"/>
      <c r="F24" s="246"/>
      <c r="G24" s="247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6"/>
      <c r="B25" s="246"/>
      <c r="C25" s="246"/>
      <c r="D25" s="246"/>
      <c r="E25" s="246"/>
      <c r="F25" s="246"/>
      <c r="G25" s="247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6"/>
      <c r="B26" s="246"/>
      <c r="C26" s="246"/>
      <c r="D26" s="246"/>
      <c r="E26" s="246"/>
      <c r="F26" s="246"/>
      <c r="G26" s="24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6"/>
      <c r="B27" s="246"/>
      <c r="C27" s="246"/>
      <c r="D27" s="246"/>
      <c r="E27" s="246"/>
      <c r="F27" s="246"/>
      <c r="G27" s="247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4" t="s">
        <v>131</v>
      </c>
      <c r="B28" s="254" t="s">
        <v>119</v>
      </c>
      <c r="C28" s="254" t="s">
        <v>196</v>
      </c>
      <c r="D28" s="254" t="str">
        <f>A28&amp;B28</f>
        <v>Option 2NPV</v>
      </c>
      <c r="E28" s="255"/>
      <c r="F28" s="31">
        <f>SUMPRODUCT($H28:$AG28, $H$5:$AG$5)</f>
        <v>18646242.432890661</v>
      </c>
      <c r="G28" s="247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-81457.198214726799</v>
      </c>
      <c r="K28" s="31">
        <f>(INDEX(Option2!K$106:K$117, MATCH($D28, Option2!$G$106:$G$117,0)))*conv_2026*K$7</f>
        <v>-162914.3964294536</v>
      </c>
      <c r="L28" s="31">
        <f>(INDEX(Option2!L$106:L$117, MATCH($D28, Option2!$G$106:$G$117,0)))*conv_2026*L$7</f>
        <v>-235979.01433592156</v>
      </c>
      <c r="M28" s="31">
        <f>(INDEX(Option2!M$106:M$117, MATCH($D28, Option2!$G$106:$G$117,0)))*conv_2026*M$7</f>
        <v>-287815.42150748573</v>
      </c>
      <c r="N28" s="31">
        <f>(INDEX(Option2!N$106:N$117, MATCH($D28, Option2!$G$106:$G$117,0)))*conv_2026*N$7</f>
        <v>17255991.395837411</v>
      </c>
      <c r="O28" s="31">
        <f>(INDEX(Option2!O$106:O$117, MATCH($D28, Option2!$G$106:$G$117,0)))*conv_2026*O$7</f>
        <v>6677574.7131945062</v>
      </c>
      <c r="P28" s="31">
        <f>(INDEX(Option2!P$106:P$117, MATCH($D28, Option2!$G$106:$G$117,0)))*conv_2026*P$7</f>
        <v>2426658.3180488567</v>
      </c>
      <c r="Q28" s="31">
        <f>(INDEX(Option2!Q$106:Q$117, MATCH($D28, Option2!$G$106:$G$117,0)))*conv_2026*Q$7</f>
        <v>706742.03790211049</v>
      </c>
      <c r="R28" s="31">
        <f>(INDEX(Option2!R$106:R$117, MATCH($D28, Option2!$G$106:$G$117,0)))*conv_2026*R$7</f>
        <v>-774.19624507563742</v>
      </c>
      <c r="S28" s="31">
        <f>(INDEX(Option2!S$106:S$117, MATCH($D28, Option2!$G$106:$G$117,0)))*conv_2026*S$7</f>
        <v>-303330.41199243738</v>
      </c>
      <c r="T28" s="31">
        <f>(INDEX(Option2!T$106:T$117, MATCH($D28, Option2!$G$106:$G$117,0)))*conv_2026*T$7</f>
        <v>-411319.75023239054</v>
      </c>
      <c r="U28" s="31">
        <f>(INDEX(Option2!U$106:U$117, MATCH($D28, Option2!$G$106:$G$117,0)))*conv_2026*U$7</f>
        <v>-435317.38095238013</v>
      </c>
      <c r="V28" s="31">
        <f>(INDEX(Option2!V$106:V$117, MATCH($D28, Option2!$G$106:$G$117,0)))*conv_2026*V$7</f>
        <v>-483312.64239235932</v>
      </c>
      <c r="W28" s="31">
        <f>(INDEX(Option2!W$106:W$117, MATCH($D28, Option2!$G$106:$G$117,0)))*conv_2026*W$7</f>
        <v>-483312.64239235932</v>
      </c>
      <c r="X28" s="31">
        <f>(INDEX(Option2!X$106:X$117, MATCH($D28, Option2!$G$106:$G$117,0)))*conv_2026*X$7</f>
        <v>-483312.64239235932</v>
      </c>
      <c r="Y28" s="31">
        <f>(INDEX(Option2!Y$106:Y$117, MATCH($D28, Option2!$G$106:$G$117,0)))*conv_2026*Y$7</f>
        <v>-483312.64239235932</v>
      </c>
      <c r="Z28" s="31">
        <f>(INDEX(Option2!Z$106:Z$117, MATCH($D28, Option2!$G$106:$G$117,0)))*conv_2026*Z$7</f>
        <v>-483312.64239235932</v>
      </c>
      <c r="AA28" s="31">
        <f>(INDEX(Option2!AA$106:AA$117, MATCH($D28, Option2!$G$106:$G$117,0)))*conv_2026*AA$7</f>
        <v>-483312.64239235932</v>
      </c>
      <c r="AB28" s="31">
        <f>(INDEX(Option2!AB$106:AB$117, MATCH($D28, Option2!$G$106:$G$117,0)))*conv_2026*AB$7</f>
        <v>-483312.64239235932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6"/>
      <c r="B29" s="246"/>
      <c r="C29" s="246"/>
      <c r="D29" s="246"/>
      <c r="E29" s="246"/>
      <c r="F29" s="246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</row>
    <row r="30" spans="1:35" s="7" customFormat="1" x14ac:dyDescent="0.2">
      <c r="A30" s="254" t="s">
        <v>131</v>
      </c>
      <c r="B30" s="254" t="str">
        <f>Option2!A110</f>
        <v>sens1</v>
      </c>
      <c r="C30" s="254" t="str">
        <f>Option2!C110</f>
        <v>Capex 10% higher</v>
      </c>
      <c r="D30" s="254" t="str">
        <f t="shared" ref="D30:D37" si="2">A30&amp;B30</f>
        <v>Option 2sens1</v>
      </c>
      <c r="E30" s="255"/>
      <c r="F30" s="31">
        <f>SUMPRODUCT($H30:$AG30, $H$5:$AG$5)</f>
        <v>18139837.044266723</v>
      </c>
      <c r="G30" s="247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-89602.91803619948</v>
      </c>
      <c r="K30" s="31">
        <f>IF($B30=0,0, (INDEX(Option2!K$106:K$117, MATCH($D30, Option2!$G$106:$G$117,0)))*conv_2026*K$7)</f>
        <v>-179205.83607239896</v>
      </c>
      <c r="L30" s="31">
        <f>IF($B30=0,0, (INDEX(Option2!L$106:L$117, MATCH($D30, Option2!$G$106:$G$117,0)))*conv_2026*L$7)</f>
        <v>-259576.91576951373</v>
      </c>
      <c r="M30" s="31">
        <f>IF($B30=0,0, (INDEX(Option2!M$106:M$117, MATCH($D30, Option2!$G$106:$G$117,0)))*conv_2026*M$7)</f>
        <v>-316596.96365823428</v>
      </c>
      <c r="N30" s="31">
        <f>IF($B30=0,0, (INDEX(Option2!N$106:N$117, MATCH($D30, Option2!$G$106:$G$117,0)))*conv_2026*N$7)</f>
        <v>17223951.566671915</v>
      </c>
      <c r="O30" s="31">
        <f>IF($B30=0,0, (INDEX(Option2!O$106:O$117, MATCH($D30, Option2!$G$106:$G$117,0)))*conv_2026*O$7)</f>
        <v>6642276.5970142614</v>
      </c>
      <c r="P30" s="31">
        <f>IF($B30=0,0, (INDEX(Option2!P$106:P$117, MATCH($D30, Option2!$G$106:$G$117,0)))*conv_2026*P$7)</f>
        <v>2388101.9148538643</v>
      </c>
      <c r="Q30" s="31">
        <f>IF($B30=0,0, (INDEX(Option2!Q$106:Q$117, MATCH($D30, Option2!$G$106:$G$117,0)))*conv_2026*Q$7)</f>
        <v>664927.34769237041</v>
      </c>
      <c r="R30" s="31">
        <f>IF($B30=0,0, (INDEX(Option2!R$106:R$117, MATCH($D30, Option2!$G$106:$G$117,0)))*conv_2026*R$7)</f>
        <v>-45847.173469563677</v>
      </c>
      <c r="S30" s="31">
        <f>IF($B30=0,0, (INDEX(Option2!S$106:S$117, MATCH($D30, Option2!$G$106:$G$117,0)))*conv_2026*S$7)</f>
        <v>-351661.67623167334</v>
      </c>
      <c r="T30" s="31">
        <f>IF($B30=0,0, (INDEX(Option2!T$106:T$117, MATCH($D30, Option2!$G$106:$G$117,0)))*conv_2026*T$7)</f>
        <v>-459651.01447162643</v>
      </c>
      <c r="U30" s="31">
        <f>IF($B30=0,0, (INDEX(Option2!U$106:U$117, MATCH($D30, Option2!$G$106:$G$117,0)))*conv_2026*U$7)</f>
        <v>-483648.64519161609</v>
      </c>
      <c r="V30" s="31">
        <f>IF($B30=0,0, (INDEX(Option2!V$106:V$117, MATCH($D30, Option2!$G$106:$G$117,0)))*conv_2026*V$7)</f>
        <v>-531643.90663159522</v>
      </c>
      <c r="W30" s="31">
        <f>IF($B30=0,0, (INDEX(Option2!W$106:W$117, MATCH($D30, Option2!$G$106:$G$117,0)))*conv_2026*W$7)</f>
        <v>-531643.90663159522</v>
      </c>
      <c r="X30" s="31">
        <f>IF($B30=0,0, (INDEX(Option2!X$106:X$117, MATCH($D30, Option2!$G$106:$G$117,0)))*conv_2026*X$7)</f>
        <v>-531643.90663159522</v>
      </c>
      <c r="Y30" s="31">
        <f>IF($B30=0,0, (INDEX(Option2!Y$106:Y$117, MATCH($D30, Option2!$G$106:$G$117,0)))*conv_2026*Y$7)</f>
        <v>-531643.90663159522</v>
      </c>
      <c r="Z30" s="31">
        <f>IF($B30=0,0, (INDEX(Option2!Z$106:Z$117, MATCH($D30, Option2!$G$106:$G$117,0)))*conv_2026*Z$7)</f>
        <v>-531643.90663159522</v>
      </c>
      <c r="AA30" s="31">
        <f>IF($B30=0,0, (INDEX(Option2!AA$106:AA$117, MATCH($D30, Option2!$G$106:$G$117,0)))*conv_2026*AA$7)</f>
        <v>-531643.90663159522</v>
      </c>
      <c r="AB30" s="31">
        <f>IF($B30=0,0, (INDEX(Option2!AB$106:AB$117, MATCH($D30, Option2!$G$106:$G$117,0)))*conv_2026*AB$7)</f>
        <v>-531643.90663159522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4" t="s">
        <v>131</v>
      </c>
      <c r="B31" s="254" t="str">
        <f>Option2!A111</f>
        <v>sens2</v>
      </c>
      <c r="C31" s="254" t="str">
        <f>Option2!C111</f>
        <v>Capex 10% lower</v>
      </c>
      <c r="D31" s="254" t="str">
        <f t="shared" si="2"/>
        <v>Option 2sens2</v>
      </c>
      <c r="E31" s="255"/>
      <c r="F31" s="31">
        <f t="shared" ref="F31:F37" si="3">SUMPRODUCT($H31:$AG31, $H$5:$AG$5)</f>
        <v>19152647.821514595</v>
      </c>
      <c r="G31" s="254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-73311.478393254118</v>
      </c>
      <c r="K31" s="31">
        <f>IF($B31=0,0, (INDEX(Option2!K$106:K$117, MATCH($D31, Option2!$G$106:$G$117,0)))*conv_2026*K$7)</f>
        <v>-146622.95678650824</v>
      </c>
      <c r="L31" s="31">
        <f>IF($B31=0,0, (INDEX(Option2!L$106:L$117, MATCH($D31, Option2!$G$106:$G$117,0)))*conv_2026*L$7)</f>
        <v>-212381.11290232939</v>
      </c>
      <c r="M31" s="31">
        <f>IF($B31=0,0, (INDEX(Option2!M$106:M$117, MATCH($D31, Option2!$G$106:$G$117,0)))*conv_2026*M$7)</f>
        <v>-259033.87935673713</v>
      </c>
      <c r="N31" s="31">
        <f>IF($B31=0,0, (INDEX(Option2!N$106:N$117, MATCH($D31, Option2!$G$106:$G$117,0)))*conv_2026*N$7)</f>
        <v>17288031.225002907</v>
      </c>
      <c r="O31" s="31">
        <f>IF($B31=0,0, (INDEX(Option2!O$106:O$117, MATCH($D31, Option2!$G$106:$G$117,0)))*conv_2026*O$7)</f>
        <v>6712872.8293747511</v>
      </c>
      <c r="P31" s="31">
        <f>IF($B31=0,0, (INDEX(Option2!P$106:P$117, MATCH($D31, Option2!$G$106:$G$117,0)))*conv_2026*P$7)</f>
        <v>2465214.7212438495</v>
      </c>
      <c r="Q31" s="31">
        <f>IF($B31=0,0, (INDEX(Option2!Q$106:Q$117, MATCH($D31, Option2!$G$106:$G$117,0)))*conv_2026*Q$7)</f>
        <v>748556.72811185056</v>
      </c>
      <c r="R31" s="31">
        <f>IF($B31=0,0, (INDEX(Option2!R$106:R$117, MATCH($D31, Option2!$G$106:$G$117,0)))*conv_2026*R$7)</f>
        <v>44298.780979412404</v>
      </c>
      <c r="S31" s="31">
        <f>IF($B31=0,0, (INDEX(Option2!S$106:S$117, MATCH($D31, Option2!$G$106:$G$117,0)))*conv_2026*S$7)</f>
        <v>-254999.14775320145</v>
      </c>
      <c r="T31" s="31">
        <f>IF($B31=0,0, (INDEX(Option2!T$106:T$117, MATCH($D31, Option2!$G$106:$G$117,0)))*conv_2026*T$7)</f>
        <v>-362988.48599315458</v>
      </c>
      <c r="U31" s="31">
        <f>IF($B31=0,0, (INDEX(Option2!U$106:U$117, MATCH($D31, Option2!$G$106:$G$117,0)))*conv_2026*U$7)</f>
        <v>-386986.11671314423</v>
      </c>
      <c r="V31" s="31">
        <f>IF($B31=0,0, (INDEX(Option2!V$106:V$117, MATCH($D31, Option2!$G$106:$G$117,0)))*conv_2026*V$7)</f>
        <v>-434981.37815312337</v>
      </c>
      <c r="W31" s="31">
        <f>IF($B31=0,0, (INDEX(Option2!W$106:W$117, MATCH($D31, Option2!$G$106:$G$117,0)))*conv_2026*W$7)</f>
        <v>-434981.37815312337</v>
      </c>
      <c r="X31" s="31">
        <f>IF($B31=0,0, (INDEX(Option2!X$106:X$117, MATCH($D31, Option2!$G$106:$G$117,0)))*conv_2026*X$7)</f>
        <v>-434981.37815312337</v>
      </c>
      <c r="Y31" s="31">
        <f>IF($B31=0,0, (INDEX(Option2!Y$106:Y$117, MATCH($D31, Option2!$G$106:$G$117,0)))*conv_2026*Y$7)</f>
        <v>-434981.37815312337</v>
      </c>
      <c r="Z31" s="31">
        <f>IF($B31=0,0, (INDEX(Option2!Z$106:Z$117, MATCH($D31, Option2!$G$106:$G$117,0)))*conv_2026*Z$7)</f>
        <v>-434981.37815312337</v>
      </c>
      <c r="AA31" s="31">
        <f>IF($B31=0,0, (INDEX(Option2!AA$106:AA$117, MATCH($D31, Option2!$G$106:$G$117,0)))*conv_2026*AA$7)</f>
        <v>-434981.37815312337</v>
      </c>
      <c r="AB31" s="31">
        <f>IF($B31=0,0, (INDEX(Option2!AB$106:AB$117, MATCH($D31, Option2!$G$106:$G$117,0)))*conv_2026*AB$7)</f>
        <v>-434981.37815312337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4" t="s">
        <v>131</v>
      </c>
      <c r="B32" s="254" t="str">
        <f>Option2!A112</f>
        <v>sens3</v>
      </c>
      <c r="C32" s="254" t="str">
        <f>Option2!C112</f>
        <v>Total benefits 10% higher</v>
      </c>
      <c r="D32" s="254" t="str">
        <f t="shared" si="2"/>
        <v>Option 2sens3</v>
      </c>
      <c r="E32" s="255"/>
      <c r="F32" s="31">
        <f t="shared" si="3"/>
        <v>21017272.064803667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-81457.198214726799</v>
      </c>
      <c r="K32" s="31">
        <f>IF($B32=0,0, (INDEX(Option2!K$106:K$117, MATCH($D32, Option2!$G$106:$G$117,0)))*conv_2026*K$7)</f>
        <v>-162914.3964294536</v>
      </c>
      <c r="L32" s="31">
        <f>IF($B32=0,0, (INDEX(Option2!L$106:L$117, MATCH($D32, Option2!$G$106:$G$117,0)))*conv_2026*L$7)</f>
        <v>-235979.01433592156</v>
      </c>
      <c r="M32" s="31">
        <f>IF($B32=0,0, (INDEX(Option2!M$106:M$117, MATCH($D32, Option2!$G$106:$G$117,0)))*conv_2026*M$7)</f>
        <v>-287815.42150748573</v>
      </c>
      <c r="N32" s="31">
        <f>IF($B32=0,0, (INDEX(Option2!N$106:N$117, MATCH($D32, Option2!$G$106:$G$117,0)))*conv_2026*N$7)</f>
        <v>19013630.364586648</v>
      </c>
      <c r="O32" s="31">
        <f>IF($B32=0,0, (INDEX(Option2!O$106:O$117, MATCH($D32, Option2!$G$106:$G$117,0)))*conv_2026*O$7)</f>
        <v>7380630.3006942011</v>
      </c>
      <c r="P32" s="31">
        <f>IF($B32=0,0, (INDEX(Option2!P$106:P$117, MATCH($D32, Option2!$G$106:$G$117,0)))*conv_2026*P$7)</f>
        <v>2707880.5530487346</v>
      </c>
      <c r="Q32" s="31">
        <f>IF($B32=0,0, (INDEX(Option2!Q$106:Q$117, MATCH($D32, Option2!$G$106:$G$117,0)))*conv_2026*Q$7)</f>
        <v>819230.93190206168</v>
      </c>
      <c r="R32" s="31">
        <f>IF($B32=0,0, (INDEX(Option2!R$106:R$117, MATCH($D32, Option2!$G$106:$G$117,0)))*conv_2026*R$7)</f>
        <v>44221.361354904846</v>
      </c>
      <c r="S32" s="31">
        <f>IF($B32=0,0, (INDEX(Option2!S$106:S$117, MATCH($D32, Option2!$G$106:$G$117,0)))*conv_2026*S$7)</f>
        <v>-285332.18895244523</v>
      </c>
      <c r="T32" s="31">
        <f>IF($B32=0,0, (INDEX(Option2!T$106:T$117, MATCH($D32, Option2!$G$106:$G$117,0)))*conv_2026*T$7)</f>
        <v>-404120.46101639362</v>
      </c>
      <c r="U32" s="31">
        <f>IF($B32=0,0, (INDEX(Option2!U$106:U$117, MATCH($D32, Option2!$G$106:$G$117,0)))*conv_2026*U$7)</f>
        <v>-430517.85480838228</v>
      </c>
      <c r="V32" s="31">
        <f>IF($B32=0,0, (INDEX(Option2!V$106:V$117, MATCH($D32, Option2!$G$106:$G$117,0)))*conv_2026*V$7)</f>
        <v>-483312.64239235932</v>
      </c>
      <c r="W32" s="31">
        <f>IF($B32=0,0, (INDEX(Option2!W$106:W$117, MATCH($D32, Option2!$G$106:$G$117,0)))*conv_2026*W$7)</f>
        <v>-483312.64239235932</v>
      </c>
      <c r="X32" s="31">
        <f>IF($B32=0,0, (INDEX(Option2!X$106:X$117, MATCH($D32, Option2!$G$106:$G$117,0)))*conv_2026*X$7)</f>
        <v>-483312.64239235932</v>
      </c>
      <c r="Y32" s="31">
        <f>IF($B32=0,0, (INDEX(Option2!Y$106:Y$117, MATCH($D32, Option2!$G$106:$G$117,0)))*conv_2026*Y$7)</f>
        <v>-483312.64239235932</v>
      </c>
      <c r="Z32" s="31">
        <f>IF($B32=0,0, (INDEX(Option2!Z$106:Z$117, MATCH($D32, Option2!$G$106:$G$117,0)))*conv_2026*Z$7)</f>
        <v>-483312.64239235932</v>
      </c>
      <c r="AA32" s="31">
        <f>IF($B32=0,0, (INDEX(Option2!AA$106:AA$117, MATCH($D32, Option2!$G$106:$G$117,0)))*conv_2026*AA$7)</f>
        <v>-483312.64239235932</v>
      </c>
      <c r="AB32" s="31">
        <f>IF($B32=0,0, (INDEX(Option2!AB$106:AB$117, MATCH($D32, Option2!$G$106:$G$117,0)))*conv_2026*AB$7)</f>
        <v>-483312.64239235932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4" t="s">
        <v>131</v>
      </c>
      <c r="B33" s="254" t="str">
        <f>Option2!A113</f>
        <v>sens4</v>
      </c>
      <c r="C33" s="254" t="str">
        <f>Option2!C113</f>
        <v>Total benefits 10% lower</v>
      </c>
      <c r="D33" s="254" t="str">
        <f t="shared" si="2"/>
        <v>Option 2sens4</v>
      </c>
      <c r="E33" s="255"/>
      <c r="F33" s="31">
        <f t="shared" si="3"/>
        <v>16275212.800977655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-81457.198214726799</v>
      </c>
      <c r="K33" s="31">
        <f>IF($B33=0,0, (INDEX(Option2!K$106:K$117, MATCH($D33, Option2!$G$106:$G$117,0)))*conv_2026*K$7)</f>
        <v>-162914.3964294536</v>
      </c>
      <c r="L33" s="31">
        <f>IF($B33=0,0, (INDEX(Option2!L$106:L$117, MATCH($D33, Option2!$G$106:$G$117,0)))*conv_2026*L$7)</f>
        <v>-235979.01433592156</v>
      </c>
      <c r="M33" s="31">
        <f>IF($B33=0,0, (INDEX(Option2!M$106:M$117, MATCH($D33, Option2!$G$106:$G$117,0)))*conv_2026*M$7)</f>
        <v>-287815.42150748573</v>
      </c>
      <c r="N33" s="31">
        <f>IF($B33=0,0, (INDEX(Option2!N$106:N$117, MATCH($D33, Option2!$G$106:$G$117,0)))*conv_2026*N$7)</f>
        <v>15498352.427088171</v>
      </c>
      <c r="O33" s="31">
        <f>IF($B33=0,0, (INDEX(Option2!O$106:O$117, MATCH($D33, Option2!$G$106:$G$117,0)))*conv_2026*O$7)</f>
        <v>5974519.1256948104</v>
      </c>
      <c r="P33" s="31">
        <f>IF($B33=0,0, (INDEX(Option2!P$106:P$117, MATCH($D33, Option2!$G$106:$G$117,0)))*conv_2026*P$7)</f>
        <v>2145436.0830489788</v>
      </c>
      <c r="Q33" s="31">
        <f>IF($B33=0,0, (INDEX(Option2!Q$106:Q$117, MATCH($D33, Option2!$G$106:$G$117,0)))*conv_2026*Q$7)</f>
        <v>594253.14390215918</v>
      </c>
      <c r="R33" s="31">
        <f>IF($B33=0,0, (INDEX(Option2!R$106:R$117, MATCH($D33, Option2!$G$106:$G$117,0)))*conv_2026*R$7)</f>
        <v>-45769.753845056119</v>
      </c>
      <c r="S33" s="31">
        <f>IF($B33=0,0, (INDEX(Option2!S$106:S$117, MATCH($D33, Option2!$G$106:$G$117,0)))*conv_2026*S$7)</f>
        <v>-321328.63503242959</v>
      </c>
      <c r="T33" s="31">
        <f>IF($B33=0,0, (INDEX(Option2!T$106:T$117, MATCH($D33, Option2!$G$106:$G$117,0)))*conv_2026*T$7)</f>
        <v>-418519.0394483874</v>
      </c>
      <c r="U33" s="31">
        <f>IF($B33=0,0, (INDEX(Option2!U$106:U$117, MATCH($D33, Option2!$G$106:$G$117,0)))*conv_2026*U$7)</f>
        <v>-440116.90709637804</v>
      </c>
      <c r="V33" s="31">
        <f>IF($B33=0,0, (INDEX(Option2!V$106:V$117, MATCH($D33, Option2!$G$106:$G$117,0)))*conv_2026*V$7)</f>
        <v>-483312.64239235932</v>
      </c>
      <c r="W33" s="31">
        <f>IF($B33=0,0, (INDEX(Option2!W$106:W$117, MATCH($D33, Option2!$G$106:$G$117,0)))*conv_2026*W$7)</f>
        <v>-483312.64239235932</v>
      </c>
      <c r="X33" s="31">
        <f>IF($B33=0,0, (INDEX(Option2!X$106:X$117, MATCH($D33, Option2!$G$106:$G$117,0)))*conv_2026*X$7)</f>
        <v>-483312.64239235932</v>
      </c>
      <c r="Y33" s="31">
        <f>IF($B33=0,0, (INDEX(Option2!Y$106:Y$117, MATCH($D33, Option2!$G$106:$G$117,0)))*conv_2026*Y$7)</f>
        <v>-483312.64239235932</v>
      </c>
      <c r="Z33" s="31">
        <f>IF($B33=0,0, (INDEX(Option2!Z$106:Z$117, MATCH($D33, Option2!$G$106:$G$117,0)))*conv_2026*Z$7)</f>
        <v>-483312.64239235932</v>
      </c>
      <c r="AA33" s="31">
        <f>IF($B33=0,0, (INDEX(Option2!AA$106:AA$117, MATCH($D33, Option2!$G$106:$G$117,0)))*conv_2026*AA$7)</f>
        <v>-483312.64239235932</v>
      </c>
      <c r="AB33" s="31">
        <f>IF($B33=0,0, (INDEX(Option2!AB$106:AB$117, MATCH($D33, Option2!$G$106:$G$117,0)))*conv_2026*AB$7)</f>
        <v>-483312.64239235932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4" t="s">
        <v>131</v>
      </c>
      <c r="B34" s="254" t="str">
        <f>Option2!A114</f>
        <v>sens5</v>
      </c>
      <c r="C34" s="254" t="str">
        <f>Option2!C114</f>
        <v>Capex 10% higher &amp; Total benefits 10% lower</v>
      </c>
      <c r="D34" s="254" t="str">
        <f t="shared" si="2"/>
        <v>Option 2sens5</v>
      </c>
      <c r="E34" s="255"/>
      <c r="F34" s="31">
        <f t="shared" si="3"/>
        <v>15768807.412353722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-89602.91803619948</v>
      </c>
      <c r="K34" s="31">
        <f>IF($B34=0,0, (INDEX(Option2!K$106:K$117, MATCH($D34, Option2!$G$106:$G$117,0)))*conv_2026*K$7)</f>
        <v>-179205.83607239896</v>
      </c>
      <c r="L34" s="31">
        <f>IF($B34=0,0, (INDEX(Option2!L$106:L$117, MATCH($D34, Option2!$G$106:$G$117,0)))*conv_2026*L$7)</f>
        <v>-259576.91576951373</v>
      </c>
      <c r="M34" s="31">
        <f>IF($B34=0,0, (INDEX(Option2!M$106:M$117, MATCH($D34, Option2!$G$106:$G$117,0)))*conv_2026*M$7)</f>
        <v>-316596.96365823428</v>
      </c>
      <c r="N34" s="31">
        <f>IF($B34=0,0, (INDEX(Option2!N$106:N$117, MATCH($D34, Option2!$G$106:$G$117,0)))*conv_2026*N$7)</f>
        <v>15466312.597922677</v>
      </c>
      <c r="O34" s="31">
        <f>IF($B34=0,0, (INDEX(Option2!O$106:O$117, MATCH($D34, Option2!$G$106:$G$117,0)))*conv_2026*O$7)</f>
        <v>5939221.0095145674</v>
      </c>
      <c r="P34" s="31">
        <f>IF($B34=0,0, (INDEX(Option2!P$106:P$117, MATCH($D34, Option2!$G$106:$G$117,0)))*conv_2026*P$7)</f>
        <v>2106879.6798539865</v>
      </c>
      <c r="Q34" s="31">
        <f>IF($B34=0,0, (INDEX(Option2!Q$106:Q$117, MATCH($D34, Option2!$G$106:$G$117,0)))*conv_2026*Q$7)</f>
        <v>552438.45369241911</v>
      </c>
      <c r="R34" s="31">
        <f>IF($B34=0,0, (INDEX(Option2!R$106:R$117, MATCH($D34, Option2!$G$106:$G$117,0)))*conv_2026*R$7)</f>
        <v>-90842.731069544156</v>
      </c>
      <c r="S34" s="31">
        <f>IF($B34=0,0, (INDEX(Option2!S$106:S$117, MATCH($D34, Option2!$G$106:$G$117,0)))*conv_2026*S$7)</f>
        <v>-369659.89927166555</v>
      </c>
      <c r="T34" s="31">
        <f>IF($B34=0,0, (INDEX(Option2!T$106:T$117, MATCH($D34, Option2!$G$106:$G$117,0)))*conv_2026*T$7)</f>
        <v>-466850.30368762335</v>
      </c>
      <c r="U34" s="31">
        <f>IF($B34=0,0, (INDEX(Option2!U$106:U$117, MATCH($D34, Option2!$G$106:$G$117,0)))*conv_2026*U$7)</f>
        <v>-488448.17133561405</v>
      </c>
      <c r="V34" s="31">
        <f>IF($B34=0,0, (INDEX(Option2!V$106:V$117, MATCH($D34, Option2!$G$106:$G$117,0)))*conv_2026*V$7)</f>
        <v>-531643.90663159522</v>
      </c>
      <c r="W34" s="31">
        <f>IF($B34=0,0, (INDEX(Option2!W$106:W$117, MATCH($D34, Option2!$G$106:$G$117,0)))*conv_2026*W$7)</f>
        <v>-531643.90663159522</v>
      </c>
      <c r="X34" s="31">
        <f>IF($B34=0,0, (INDEX(Option2!X$106:X$117, MATCH($D34, Option2!$G$106:$G$117,0)))*conv_2026*X$7)</f>
        <v>-531643.90663159522</v>
      </c>
      <c r="Y34" s="31">
        <f>IF($B34=0,0, (INDEX(Option2!Y$106:Y$117, MATCH($D34, Option2!$G$106:$G$117,0)))*conv_2026*Y$7)</f>
        <v>-531643.90663159522</v>
      </c>
      <c r="Z34" s="31">
        <f>IF($B34=0,0, (INDEX(Option2!Z$106:Z$117, MATCH($D34, Option2!$G$106:$G$117,0)))*conv_2026*Z$7)</f>
        <v>-531643.90663159522</v>
      </c>
      <c r="AA34" s="31">
        <f>IF($B34=0,0, (INDEX(Option2!AA$106:AA$117, MATCH($D34, Option2!$G$106:$G$117,0)))*conv_2026*AA$7)</f>
        <v>-531643.90663159522</v>
      </c>
      <c r="AB34" s="31">
        <f>IF($B34=0,0, (INDEX(Option2!AB$106:AB$117, MATCH($D34, Option2!$G$106:$G$117,0)))*conv_2026*AB$7)</f>
        <v>-531643.90663159522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4" t="s">
        <v>131</v>
      </c>
      <c r="B35" s="254" t="str">
        <f>Option2!A115</f>
        <v>sens</v>
      </c>
      <c r="C35" s="254">
        <f>Option2!C115</f>
        <v>0</v>
      </c>
      <c r="D35" s="254" t="str">
        <f t="shared" si="2"/>
        <v>Option 2sens</v>
      </c>
      <c r="E35" s="255"/>
      <c r="F35" s="31">
        <f t="shared" si="3"/>
        <v>18646242.432890661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-81457.198214726799</v>
      </c>
      <c r="K35" s="31">
        <f>IF($B35=0,0, (INDEX(Option2!K$106:K$117, MATCH($D35, Option2!$G$106:$G$117,0)))*conv_2026*K$7)</f>
        <v>-162914.3964294536</v>
      </c>
      <c r="L35" s="31">
        <f>IF($B35=0,0, (INDEX(Option2!L$106:L$117, MATCH($D35, Option2!$G$106:$G$117,0)))*conv_2026*L$7)</f>
        <v>-235979.01433592156</v>
      </c>
      <c r="M35" s="31">
        <f>IF($B35=0,0, (INDEX(Option2!M$106:M$117, MATCH($D35, Option2!$G$106:$G$117,0)))*conv_2026*M$7)</f>
        <v>-287815.42150748573</v>
      </c>
      <c r="N35" s="31">
        <f>IF($B35=0,0, (INDEX(Option2!N$106:N$117, MATCH($D35, Option2!$G$106:$G$117,0)))*conv_2026*N$7)</f>
        <v>17255991.395837411</v>
      </c>
      <c r="O35" s="31">
        <f>IF($B35=0,0, (INDEX(Option2!O$106:O$117, MATCH($D35, Option2!$G$106:$G$117,0)))*conv_2026*O$7)</f>
        <v>6677574.7131945062</v>
      </c>
      <c r="P35" s="31">
        <f>IF($B35=0,0, (INDEX(Option2!P$106:P$117, MATCH($D35, Option2!$G$106:$G$117,0)))*conv_2026*P$7)</f>
        <v>2426658.3180488567</v>
      </c>
      <c r="Q35" s="31">
        <f>IF($B35=0,0, (INDEX(Option2!Q$106:Q$117, MATCH($D35, Option2!$G$106:$G$117,0)))*conv_2026*Q$7)</f>
        <v>706742.03790211049</v>
      </c>
      <c r="R35" s="31">
        <f>IF($B35=0,0, (INDEX(Option2!R$106:R$117, MATCH($D35, Option2!$G$106:$G$117,0)))*conv_2026*R$7)</f>
        <v>-774.19624507563742</v>
      </c>
      <c r="S35" s="31">
        <f>IF($B35=0,0, (INDEX(Option2!S$106:S$117, MATCH($D35, Option2!$G$106:$G$117,0)))*conv_2026*S$7)</f>
        <v>-303330.41199243738</v>
      </c>
      <c r="T35" s="31">
        <f>IF($B35=0,0, (INDEX(Option2!T$106:T$117, MATCH($D35, Option2!$G$106:$G$117,0)))*conv_2026*T$7)</f>
        <v>-411319.75023239054</v>
      </c>
      <c r="U35" s="31">
        <f>IF($B35=0,0, (INDEX(Option2!U$106:U$117, MATCH($D35, Option2!$G$106:$G$117,0)))*conv_2026*U$7)</f>
        <v>-435317.38095238013</v>
      </c>
      <c r="V35" s="31">
        <f>IF($B35=0,0, (INDEX(Option2!V$106:V$117, MATCH($D35, Option2!$G$106:$G$117,0)))*conv_2026*V$7)</f>
        <v>-483312.64239235932</v>
      </c>
      <c r="W35" s="31">
        <f>IF($B35=0,0, (INDEX(Option2!W$106:W$117, MATCH($D35, Option2!$G$106:$G$117,0)))*conv_2026*W$7)</f>
        <v>-483312.64239235932</v>
      </c>
      <c r="X35" s="31">
        <f>IF($B35=0,0, (INDEX(Option2!X$106:X$117, MATCH($D35, Option2!$G$106:$G$117,0)))*conv_2026*X$7)</f>
        <v>-483312.64239235932</v>
      </c>
      <c r="Y35" s="31">
        <f>IF($B35=0,0, (INDEX(Option2!Y$106:Y$117, MATCH($D35, Option2!$G$106:$G$117,0)))*conv_2026*Y$7)</f>
        <v>-483312.64239235932</v>
      </c>
      <c r="Z35" s="31">
        <f>IF($B35=0,0, (INDEX(Option2!Z$106:Z$117, MATCH($D35, Option2!$G$106:$G$117,0)))*conv_2026*Z$7)</f>
        <v>-483312.64239235932</v>
      </c>
      <c r="AA35" s="31">
        <f>IF($B35=0,0, (INDEX(Option2!AA$106:AA$117, MATCH($D35, Option2!$G$106:$G$117,0)))*conv_2026*AA$7)</f>
        <v>-483312.64239235932</v>
      </c>
      <c r="AB35" s="31">
        <f>IF($B35=0,0, (INDEX(Option2!AB$106:AB$117, MATCH($D35, Option2!$G$106:$G$117,0)))*conv_2026*AB$7)</f>
        <v>-483312.64239235932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4" t="s">
        <v>131</v>
      </c>
      <c r="B36" s="254" t="str">
        <f>Option2!A116</f>
        <v>sens</v>
      </c>
      <c r="C36" s="254">
        <f>Option2!C116</f>
        <v>0</v>
      </c>
      <c r="D36" s="254" t="str">
        <f t="shared" si="2"/>
        <v>Option 2sens</v>
      </c>
      <c r="E36" s="255"/>
      <c r="F36" s="31">
        <f t="shared" si="3"/>
        <v>18646242.432890661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-81457.198214726799</v>
      </c>
      <c r="K36" s="31">
        <f>IF($B36=0,0, (INDEX(Option2!K$106:K$117, MATCH($D36, Option2!$G$106:$G$117,0)))*conv_2026*K$7)</f>
        <v>-162914.3964294536</v>
      </c>
      <c r="L36" s="31">
        <f>IF($B36=0,0, (INDEX(Option2!L$106:L$117, MATCH($D36, Option2!$G$106:$G$117,0)))*conv_2026*L$7)</f>
        <v>-235979.01433592156</v>
      </c>
      <c r="M36" s="31">
        <f>IF($B36=0,0, (INDEX(Option2!M$106:M$117, MATCH($D36, Option2!$G$106:$G$117,0)))*conv_2026*M$7)</f>
        <v>-287815.42150748573</v>
      </c>
      <c r="N36" s="31">
        <f>IF($B36=0,0, (INDEX(Option2!N$106:N$117, MATCH($D36, Option2!$G$106:$G$117,0)))*conv_2026*N$7)</f>
        <v>17255991.395837411</v>
      </c>
      <c r="O36" s="31">
        <f>IF($B36=0,0, (INDEX(Option2!O$106:O$117, MATCH($D36, Option2!$G$106:$G$117,0)))*conv_2026*O$7)</f>
        <v>6677574.7131945062</v>
      </c>
      <c r="P36" s="31">
        <f>IF($B36=0,0, (INDEX(Option2!P$106:P$117, MATCH($D36, Option2!$G$106:$G$117,0)))*conv_2026*P$7)</f>
        <v>2426658.3180488567</v>
      </c>
      <c r="Q36" s="31">
        <f>IF($B36=0,0, (INDEX(Option2!Q$106:Q$117, MATCH($D36, Option2!$G$106:$G$117,0)))*conv_2026*Q$7)</f>
        <v>706742.03790211049</v>
      </c>
      <c r="R36" s="31">
        <f>IF($B36=0,0, (INDEX(Option2!R$106:R$117, MATCH($D36, Option2!$G$106:$G$117,0)))*conv_2026*R$7)</f>
        <v>-774.19624507563742</v>
      </c>
      <c r="S36" s="31">
        <f>IF($B36=0,0, (INDEX(Option2!S$106:S$117, MATCH($D36, Option2!$G$106:$G$117,0)))*conv_2026*S$7)</f>
        <v>-303330.41199243738</v>
      </c>
      <c r="T36" s="31">
        <f>IF($B36=0,0, (INDEX(Option2!T$106:T$117, MATCH($D36, Option2!$G$106:$G$117,0)))*conv_2026*T$7)</f>
        <v>-411319.75023239054</v>
      </c>
      <c r="U36" s="31">
        <f>IF($B36=0,0, (INDEX(Option2!U$106:U$117, MATCH($D36, Option2!$G$106:$G$117,0)))*conv_2026*U$7)</f>
        <v>-435317.38095238013</v>
      </c>
      <c r="V36" s="31">
        <f>IF($B36=0,0, (INDEX(Option2!V$106:V$117, MATCH($D36, Option2!$G$106:$G$117,0)))*conv_2026*V$7)</f>
        <v>-483312.64239235932</v>
      </c>
      <c r="W36" s="31">
        <f>IF($B36=0,0, (INDEX(Option2!W$106:W$117, MATCH($D36, Option2!$G$106:$G$117,0)))*conv_2026*W$7)</f>
        <v>-483312.64239235932</v>
      </c>
      <c r="X36" s="31">
        <f>IF($B36=0,0, (INDEX(Option2!X$106:X$117, MATCH($D36, Option2!$G$106:$G$117,0)))*conv_2026*X$7)</f>
        <v>-483312.64239235932</v>
      </c>
      <c r="Y36" s="31">
        <f>IF($B36=0,0, (INDEX(Option2!Y$106:Y$117, MATCH($D36, Option2!$G$106:$G$117,0)))*conv_2026*Y$7)</f>
        <v>-483312.64239235932</v>
      </c>
      <c r="Z36" s="31">
        <f>IF($B36=0,0, (INDEX(Option2!Z$106:Z$117, MATCH($D36, Option2!$G$106:$G$117,0)))*conv_2026*Z$7)</f>
        <v>-483312.64239235932</v>
      </c>
      <c r="AA36" s="31">
        <f>IF($B36=0,0, (INDEX(Option2!AA$106:AA$117, MATCH($D36, Option2!$G$106:$G$117,0)))*conv_2026*AA$7)</f>
        <v>-483312.64239235932</v>
      </c>
      <c r="AB36" s="31">
        <f>IF($B36=0,0, (INDEX(Option2!AB$106:AB$117, MATCH($D36, Option2!$G$106:$G$117,0)))*conv_2026*AB$7)</f>
        <v>-483312.64239235932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4" t="s">
        <v>131</v>
      </c>
      <c r="B37" s="254" t="str">
        <f>Option2!A117</f>
        <v>sens</v>
      </c>
      <c r="C37" s="254">
        <f>Option2!C117</f>
        <v>0</v>
      </c>
      <c r="D37" s="254" t="str">
        <f t="shared" si="2"/>
        <v>Option 2sens</v>
      </c>
      <c r="E37" s="255"/>
      <c r="F37" s="31">
        <f t="shared" si="3"/>
        <v>18646242.432890661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-81457.198214726799</v>
      </c>
      <c r="K37" s="31">
        <f>IF($B37=0,0, (INDEX(Option2!K$106:K$117, MATCH($D37, Option2!$G$106:$G$117,0)))*conv_2026*K$7)</f>
        <v>-162914.3964294536</v>
      </c>
      <c r="L37" s="31">
        <f>IF($B37=0,0, (INDEX(Option2!L$106:L$117, MATCH($D37, Option2!$G$106:$G$117,0)))*conv_2026*L$7)</f>
        <v>-235979.01433592156</v>
      </c>
      <c r="M37" s="31">
        <f>IF($B37=0,0, (INDEX(Option2!M$106:M$117, MATCH($D37, Option2!$G$106:$G$117,0)))*conv_2026*M$7)</f>
        <v>-287815.42150748573</v>
      </c>
      <c r="N37" s="31">
        <f>IF($B37=0,0, (INDEX(Option2!N$106:N$117, MATCH($D37, Option2!$G$106:$G$117,0)))*conv_2026*N$7)</f>
        <v>17255991.395837411</v>
      </c>
      <c r="O37" s="31">
        <f>IF($B37=0,0, (INDEX(Option2!O$106:O$117, MATCH($D37, Option2!$G$106:$G$117,0)))*conv_2026*O$7)</f>
        <v>6677574.7131945062</v>
      </c>
      <c r="P37" s="31">
        <f>IF($B37=0,0, (INDEX(Option2!P$106:P$117, MATCH($D37, Option2!$G$106:$G$117,0)))*conv_2026*P$7)</f>
        <v>2426658.3180488567</v>
      </c>
      <c r="Q37" s="31">
        <f>IF($B37=0,0, (INDEX(Option2!Q$106:Q$117, MATCH($D37, Option2!$G$106:$G$117,0)))*conv_2026*Q$7)</f>
        <v>706742.03790211049</v>
      </c>
      <c r="R37" s="31">
        <f>IF($B37=0,0, (INDEX(Option2!R$106:R$117, MATCH($D37, Option2!$G$106:$G$117,0)))*conv_2026*R$7)</f>
        <v>-774.19624507563742</v>
      </c>
      <c r="S37" s="31">
        <f>IF($B37=0,0, (INDEX(Option2!S$106:S$117, MATCH($D37, Option2!$G$106:$G$117,0)))*conv_2026*S$7)</f>
        <v>-303330.41199243738</v>
      </c>
      <c r="T37" s="31">
        <f>IF($B37=0,0, (INDEX(Option2!T$106:T$117, MATCH($D37, Option2!$G$106:$G$117,0)))*conv_2026*T$7)</f>
        <v>-411319.75023239054</v>
      </c>
      <c r="U37" s="31">
        <f>IF($B37=0,0, (INDEX(Option2!U$106:U$117, MATCH($D37, Option2!$G$106:$G$117,0)))*conv_2026*U$7)</f>
        <v>-435317.38095238013</v>
      </c>
      <c r="V37" s="31">
        <f>IF($B37=0,0, (INDEX(Option2!V$106:V$117, MATCH($D37, Option2!$G$106:$G$117,0)))*conv_2026*V$7)</f>
        <v>-483312.64239235932</v>
      </c>
      <c r="W37" s="31">
        <f>IF($B37=0,0, (INDEX(Option2!W$106:W$117, MATCH($D37, Option2!$G$106:$G$117,0)))*conv_2026*W$7)</f>
        <v>-483312.64239235932</v>
      </c>
      <c r="X37" s="31">
        <f>IF($B37=0,0, (INDEX(Option2!X$106:X$117, MATCH($D37, Option2!$G$106:$G$117,0)))*conv_2026*X$7)</f>
        <v>-483312.64239235932</v>
      </c>
      <c r="Y37" s="31">
        <f>IF($B37=0,0, (INDEX(Option2!Y$106:Y$117, MATCH($D37, Option2!$G$106:$G$117,0)))*conv_2026*Y$7)</f>
        <v>-483312.64239235932</v>
      </c>
      <c r="Z37" s="31">
        <f>IF($B37=0,0, (INDEX(Option2!Z$106:Z$117, MATCH($D37, Option2!$G$106:$G$117,0)))*conv_2026*Z$7)</f>
        <v>-483312.64239235932</v>
      </c>
      <c r="AA37" s="31">
        <f>IF($B37=0,0, (INDEX(Option2!AA$106:AA$117, MATCH($D37, Option2!$G$106:$G$117,0)))*conv_2026*AA$7)</f>
        <v>-483312.64239235932</v>
      </c>
      <c r="AB37" s="31">
        <f>IF($B37=0,0, (INDEX(Option2!AB$106:AB$117, MATCH($D37, Option2!$G$106:$G$117,0)))*conv_2026*AB$7)</f>
        <v>-483312.64239235932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4"/>
      <c r="B38" s="254"/>
      <c r="C38" s="254"/>
      <c r="D38" s="254"/>
      <c r="E38" s="254"/>
      <c r="F38" s="31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</row>
    <row r="39" spans="1:35" s="8" customFormat="1" x14ac:dyDescent="0.2">
      <c r="A39" s="254"/>
      <c r="B39" s="254"/>
      <c r="C39" s="254"/>
      <c r="D39" s="254"/>
      <c r="E39" s="254"/>
      <c r="F39" s="31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</row>
    <row r="40" spans="1:35" s="8" customFormat="1" x14ac:dyDescent="0.2">
      <c r="A40" s="254"/>
      <c r="B40" s="254"/>
      <c r="C40" s="254"/>
      <c r="D40" s="254"/>
      <c r="E40" s="254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0</v>
      </c>
      <c r="M40" s="31">
        <f>Consol!M50</f>
        <v>0</v>
      </c>
      <c r="N40" s="31">
        <f>Consol!N50</f>
        <v>0</v>
      </c>
      <c r="O40" s="31">
        <f>Consol!O50</f>
        <v>0</v>
      </c>
      <c r="P40" s="31">
        <f>Consol!P50</f>
        <v>0</v>
      </c>
      <c r="Q40" s="31">
        <f>Consol!Q50</f>
        <v>0</v>
      </c>
      <c r="R40" s="31">
        <f>Consol!R50</f>
        <v>0</v>
      </c>
      <c r="S40" s="31">
        <f>Consol!S50</f>
        <v>0</v>
      </c>
      <c r="T40" s="31">
        <f>Consol!T50</f>
        <v>0</v>
      </c>
      <c r="U40" s="31">
        <f>Consol!U50</f>
        <v>0</v>
      </c>
      <c r="V40" s="31">
        <f>Consol!V50</f>
        <v>0</v>
      </c>
      <c r="W40" s="31">
        <f>Consol!W50</f>
        <v>0</v>
      </c>
      <c r="X40" s="31">
        <f>Consol!X50</f>
        <v>0</v>
      </c>
      <c r="Y40" s="31">
        <f>Consol!Y50</f>
        <v>0</v>
      </c>
      <c r="Z40" s="31">
        <f>Consol!Z50</f>
        <v>0</v>
      </c>
      <c r="AA40" s="31">
        <f>Consol!AA50</f>
        <v>0</v>
      </c>
      <c r="AB40" s="31">
        <f>Consol!AB50</f>
        <v>0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4"/>
      <c r="B41" s="254"/>
      <c r="C41" s="254"/>
      <c r="D41" s="254"/>
      <c r="E41" s="254"/>
      <c r="F41" s="31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</row>
    <row r="42" spans="1:35" s="8" customFormat="1" x14ac:dyDescent="0.2">
      <c r="A42" s="254" t="s">
        <v>132</v>
      </c>
      <c r="B42" s="254" t="s">
        <v>119</v>
      </c>
      <c r="C42" s="254" t="s">
        <v>196</v>
      </c>
      <c r="D42" s="254" t="str">
        <f>A42&amp;B42</f>
        <v>Option 3NPV</v>
      </c>
      <c r="E42" s="255"/>
      <c r="F42" s="31">
        <f t="shared" ref="F42:F51" si="4">SUMPRODUCT($H42:$AG42, $H$5:$AG$5)</f>
        <v>0</v>
      </c>
      <c r="G42" s="247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0</v>
      </c>
      <c r="M42" s="31">
        <f>(INDEX(Option3!M$106:M$117, MATCH($D42, Option3!$G$106:$G$117,0)))*conv_2026*M$7</f>
        <v>0</v>
      </c>
      <c r="N42" s="31">
        <f>(INDEX(Option3!N$106:N$117, MATCH($D42, Option3!$G$106:$G$117,0)))*conv_2026*N$7</f>
        <v>0</v>
      </c>
      <c r="O42" s="31">
        <f>(INDEX(Option3!O$106:O$117, MATCH($D42, Option3!$G$106:$G$117,0)))*conv_2026*O$7</f>
        <v>0</v>
      </c>
      <c r="P42" s="31">
        <f>(INDEX(Option3!P$106:P$117, MATCH($D42, Option3!$G$106:$G$117,0)))*conv_2026*P$7</f>
        <v>0</v>
      </c>
      <c r="Q42" s="31">
        <f>(INDEX(Option3!Q$106:Q$117, MATCH($D42, Option3!$G$106:$G$117,0)))*conv_2026*Q$7</f>
        <v>0</v>
      </c>
      <c r="R42" s="31">
        <f>(INDEX(Option3!R$106:R$117, MATCH($D42, Option3!$G$106:$G$117,0)))*conv_2026*R$7</f>
        <v>0</v>
      </c>
      <c r="S42" s="31">
        <f>(INDEX(Option3!S$106:S$117, MATCH($D42, Option3!$G$106:$G$117,0)))*conv_2026*S$7</f>
        <v>0</v>
      </c>
      <c r="T42" s="31">
        <f>(INDEX(Option3!T$106:T$117, MATCH($D42, Option3!$G$106:$G$117,0)))*conv_2026*T$7</f>
        <v>0</v>
      </c>
      <c r="U42" s="31">
        <f>(INDEX(Option3!U$106:U$117, MATCH($D42, Option3!$G$106:$G$117,0)))*conv_2026*U$7</f>
        <v>0</v>
      </c>
      <c r="V42" s="31">
        <f>(INDEX(Option3!V$106:V$117, MATCH($D42, Option3!$G$106:$G$117,0)))*conv_2026*V$7</f>
        <v>0</v>
      </c>
      <c r="W42" s="31">
        <f>(INDEX(Option3!W$106:W$117, MATCH($D42, Option3!$G$106:$G$117,0)))*conv_2026*W$7</f>
        <v>0</v>
      </c>
      <c r="X42" s="31">
        <f>(INDEX(Option3!X$106:X$117, MATCH($D42, Option3!$G$106:$G$117,0)))*conv_2026*X$7</f>
        <v>0</v>
      </c>
      <c r="Y42" s="31">
        <f>(INDEX(Option3!Y$106:Y$117, MATCH($D42, Option3!$G$106:$G$117,0)))*conv_2026*Y$7</f>
        <v>0</v>
      </c>
      <c r="Z42" s="31">
        <f>(INDEX(Option3!Z$106:Z$117, MATCH($D42, Option3!$G$106:$G$117,0)))*conv_2026*Z$7</f>
        <v>0</v>
      </c>
      <c r="AA42" s="31">
        <f>(INDEX(Option3!AA$106:AA$117, MATCH($D42, Option3!$G$106:$G$117,0)))*conv_2026*AA$7</f>
        <v>0</v>
      </c>
      <c r="AB42" s="31">
        <f>(INDEX(Option3!AB$106:AB$117, MATCH($D42, Option3!$G$106:$G$117,0)))*conv_2026*AB$7</f>
        <v>0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6"/>
      <c r="B43" s="246"/>
      <c r="C43" s="246"/>
      <c r="D43" s="246"/>
      <c r="E43" s="246"/>
      <c r="F43" s="246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7"/>
      <c r="AI43" s="7"/>
    </row>
    <row r="44" spans="1:35" s="8" customFormat="1" x14ac:dyDescent="0.2">
      <c r="A44" s="254" t="s">
        <v>132</v>
      </c>
      <c r="B44" s="254" t="str">
        <f>Option3!A110</f>
        <v>sens1</v>
      </c>
      <c r="C44" s="254" t="str">
        <f>Option3!C110</f>
        <v>Capex 10% higher</v>
      </c>
      <c r="D44" s="254" t="str">
        <f t="shared" ref="D44:D51" si="5">A44&amp;B44</f>
        <v>Option 3sens1</v>
      </c>
      <c r="E44" s="255"/>
      <c r="F44" s="31">
        <f t="shared" si="4"/>
        <v>0</v>
      </c>
      <c r="G44" s="247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0</v>
      </c>
      <c r="M44" s="31">
        <f>(INDEX(Option3!M$106:M$117, MATCH($D44, Option3!$G$106:$G$117,0)))*conv_2026*M$7</f>
        <v>0</v>
      </c>
      <c r="N44" s="31">
        <f>(INDEX(Option3!N$106:N$117, MATCH($D44, Option3!$G$106:$G$117,0)))*conv_2026*N$7</f>
        <v>0</v>
      </c>
      <c r="O44" s="31">
        <f>(INDEX(Option3!O$106:O$117, MATCH($D44, Option3!$G$106:$G$117,0)))*conv_2026*O$7</f>
        <v>0</v>
      </c>
      <c r="P44" s="31">
        <f>(INDEX(Option3!P$106:P$117, MATCH($D44, Option3!$G$106:$G$117,0)))*conv_2026*P$7</f>
        <v>0</v>
      </c>
      <c r="Q44" s="31">
        <f>(INDEX(Option3!Q$106:Q$117, MATCH($D44, Option3!$G$106:$G$117,0)))*conv_2026*Q$7</f>
        <v>0</v>
      </c>
      <c r="R44" s="31">
        <f>(INDEX(Option3!R$106:R$117, MATCH($D44, Option3!$G$106:$G$117,0)))*conv_2026*R$7</f>
        <v>0</v>
      </c>
      <c r="S44" s="31">
        <f>(INDEX(Option3!S$106:S$117, MATCH($D44, Option3!$G$106:$G$117,0)))*conv_2026*S$7</f>
        <v>0</v>
      </c>
      <c r="T44" s="31">
        <f>(INDEX(Option3!T$106:T$117, MATCH($D44, Option3!$G$106:$G$117,0)))*conv_2026*T$7</f>
        <v>0</v>
      </c>
      <c r="U44" s="31">
        <f>(INDEX(Option3!U$106:U$117, MATCH($D44, Option3!$G$106:$G$117,0)))*conv_2026*U$7</f>
        <v>0</v>
      </c>
      <c r="V44" s="31">
        <f>(INDEX(Option3!V$106:V$117, MATCH($D44, Option3!$G$106:$G$117,0)))*conv_2026*V$7</f>
        <v>0</v>
      </c>
      <c r="W44" s="31">
        <f>(INDEX(Option3!W$106:W$117, MATCH($D44, Option3!$G$106:$G$117,0)))*conv_2026*W$7</f>
        <v>0</v>
      </c>
      <c r="X44" s="31">
        <f>(INDEX(Option3!X$106:X$117, MATCH($D44, Option3!$G$106:$G$117,0)))*conv_2026*X$7</f>
        <v>0</v>
      </c>
      <c r="Y44" s="31">
        <f>(INDEX(Option3!Y$106:Y$117, MATCH($D44, Option3!$G$106:$G$117,0)))*conv_2026*Y$7</f>
        <v>0</v>
      </c>
      <c r="Z44" s="31">
        <f>(INDEX(Option3!Z$106:Z$117, MATCH($D44, Option3!$G$106:$G$117,0)))*conv_2026*Z$7</f>
        <v>0</v>
      </c>
      <c r="AA44" s="31">
        <f>(INDEX(Option3!AA$106:AA$117, MATCH($D44, Option3!$G$106:$G$117,0)))*conv_2026*AA$7</f>
        <v>0</v>
      </c>
      <c r="AB44" s="31">
        <f>(INDEX(Option3!AB$106:AB$117, MATCH($D44, Option3!$G$106:$G$117,0)))*conv_2026*AB$7</f>
        <v>0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4" t="s">
        <v>132</v>
      </c>
      <c r="B45" s="254" t="str">
        <f>Option3!A111</f>
        <v>sens2</v>
      </c>
      <c r="C45" s="254" t="str">
        <f>Option3!C111</f>
        <v>Capex 10% lower</v>
      </c>
      <c r="D45" s="254" t="str">
        <f t="shared" si="5"/>
        <v>Option 3sens2</v>
      </c>
      <c r="E45" s="255"/>
      <c r="F45" s="31">
        <f t="shared" si="4"/>
        <v>0</v>
      </c>
      <c r="G45" s="254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0</v>
      </c>
      <c r="M45" s="31">
        <f>(INDEX(Option3!M$106:M$117, MATCH($D45, Option3!$G$106:$G$117,0)))*conv_2026*M$7</f>
        <v>0</v>
      </c>
      <c r="N45" s="31">
        <f>(INDEX(Option3!N$106:N$117, MATCH($D45, Option3!$G$106:$G$117,0)))*conv_2026*N$7</f>
        <v>0</v>
      </c>
      <c r="O45" s="31">
        <f>(INDEX(Option3!O$106:O$117, MATCH($D45, Option3!$G$106:$G$117,0)))*conv_2026*O$7</f>
        <v>0</v>
      </c>
      <c r="P45" s="31">
        <f>(INDEX(Option3!P$106:P$117, MATCH($D45, Option3!$G$106:$G$117,0)))*conv_2026*P$7</f>
        <v>0</v>
      </c>
      <c r="Q45" s="31">
        <f>(INDEX(Option3!Q$106:Q$117, MATCH($D45, Option3!$G$106:$G$117,0)))*conv_2026*Q$7</f>
        <v>0</v>
      </c>
      <c r="R45" s="31">
        <f>(INDEX(Option3!R$106:R$117, MATCH($D45, Option3!$G$106:$G$117,0)))*conv_2026*R$7</f>
        <v>0</v>
      </c>
      <c r="S45" s="31">
        <f>(INDEX(Option3!S$106:S$117, MATCH($D45, Option3!$G$106:$G$117,0)))*conv_2026*S$7</f>
        <v>0</v>
      </c>
      <c r="T45" s="31">
        <f>(INDEX(Option3!T$106:T$117, MATCH($D45, Option3!$G$106:$G$117,0)))*conv_2026*T$7</f>
        <v>0</v>
      </c>
      <c r="U45" s="31">
        <f>(INDEX(Option3!U$106:U$117, MATCH($D45, Option3!$G$106:$G$117,0)))*conv_2026*U$7</f>
        <v>0</v>
      </c>
      <c r="V45" s="31">
        <f>(INDEX(Option3!V$106:V$117, MATCH($D45, Option3!$G$106:$G$117,0)))*conv_2026*V$7</f>
        <v>0</v>
      </c>
      <c r="W45" s="31">
        <f>(INDEX(Option3!W$106:W$117, MATCH($D45, Option3!$G$106:$G$117,0)))*conv_2026*W$7</f>
        <v>0</v>
      </c>
      <c r="X45" s="31">
        <f>(INDEX(Option3!X$106:X$117, MATCH($D45, Option3!$G$106:$G$117,0)))*conv_2026*X$7</f>
        <v>0</v>
      </c>
      <c r="Y45" s="31">
        <f>(INDEX(Option3!Y$106:Y$117, MATCH($D45, Option3!$G$106:$G$117,0)))*conv_2026*Y$7</f>
        <v>0</v>
      </c>
      <c r="Z45" s="31">
        <f>(INDEX(Option3!Z$106:Z$117, MATCH($D45, Option3!$G$106:$G$117,0)))*conv_2026*Z$7</f>
        <v>0</v>
      </c>
      <c r="AA45" s="31">
        <f>(INDEX(Option3!AA$106:AA$117, MATCH($D45, Option3!$G$106:$G$117,0)))*conv_2026*AA$7</f>
        <v>0</v>
      </c>
      <c r="AB45" s="31">
        <f>(INDEX(Option3!AB$106:AB$117, MATCH($D45, Option3!$G$106:$G$117,0)))*conv_2026*AB$7</f>
        <v>0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4" t="s">
        <v>132</v>
      </c>
      <c r="B46" s="254" t="str">
        <f>Option3!A112</f>
        <v>sens3</v>
      </c>
      <c r="C46" s="254" t="str">
        <f>Option3!C112</f>
        <v>Total benefits 10% higher</v>
      </c>
      <c r="D46" s="254" t="str">
        <f t="shared" si="5"/>
        <v>Option 3sens3</v>
      </c>
      <c r="E46" s="255"/>
      <c r="F46" s="31">
        <f t="shared" si="4"/>
        <v>0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0</v>
      </c>
      <c r="M46" s="31">
        <f>(INDEX(Option3!M$106:M$117, MATCH($D46, Option3!$G$106:$G$117,0)))*conv_2026*M$7</f>
        <v>0</v>
      </c>
      <c r="N46" s="31">
        <f>(INDEX(Option3!N$106:N$117, MATCH($D46, Option3!$G$106:$G$117,0)))*conv_2026*N$7</f>
        <v>0</v>
      </c>
      <c r="O46" s="31">
        <f>(INDEX(Option3!O$106:O$117, MATCH($D46, Option3!$G$106:$G$117,0)))*conv_2026*O$7</f>
        <v>0</v>
      </c>
      <c r="P46" s="31">
        <f>(INDEX(Option3!P$106:P$117, MATCH($D46, Option3!$G$106:$G$117,0)))*conv_2026*P$7</f>
        <v>0</v>
      </c>
      <c r="Q46" s="31">
        <f>(INDEX(Option3!Q$106:Q$117, MATCH($D46, Option3!$G$106:$G$117,0)))*conv_2026*Q$7</f>
        <v>0</v>
      </c>
      <c r="R46" s="31">
        <f>(INDEX(Option3!R$106:R$117, MATCH($D46, Option3!$G$106:$G$117,0)))*conv_2026*R$7</f>
        <v>0</v>
      </c>
      <c r="S46" s="31">
        <f>(INDEX(Option3!S$106:S$117, MATCH($D46, Option3!$G$106:$G$117,0)))*conv_2026*S$7</f>
        <v>0</v>
      </c>
      <c r="T46" s="31">
        <f>(INDEX(Option3!T$106:T$117, MATCH($D46, Option3!$G$106:$G$117,0)))*conv_2026*T$7</f>
        <v>0</v>
      </c>
      <c r="U46" s="31">
        <f>(INDEX(Option3!U$106:U$117, MATCH($D46, Option3!$G$106:$G$117,0)))*conv_2026*U$7</f>
        <v>0</v>
      </c>
      <c r="V46" s="31">
        <f>(INDEX(Option3!V$106:V$117, MATCH($D46, Option3!$G$106:$G$117,0)))*conv_2026*V$7</f>
        <v>0</v>
      </c>
      <c r="W46" s="31">
        <f>(INDEX(Option3!W$106:W$117, MATCH($D46, Option3!$G$106:$G$117,0)))*conv_2026*W$7</f>
        <v>0</v>
      </c>
      <c r="X46" s="31">
        <f>(INDEX(Option3!X$106:X$117, MATCH($D46, Option3!$G$106:$G$117,0)))*conv_2026*X$7</f>
        <v>0</v>
      </c>
      <c r="Y46" s="31">
        <f>(INDEX(Option3!Y$106:Y$117, MATCH($D46, Option3!$G$106:$G$117,0)))*conv_2026*Y$7</f>
        <v>0</v>
      </c>
      <c r="Z46" s="31">
        <f>(INDEX(Option3!Z$106:Z$117, MATCH($D46, Option3!$G$106:$G$117,0)))*conv_2026*Z$7</f>
        <v>0</v>
      </c>
      <c r="AA46" s="31">
        <f>(INDEX(Option3!AA$106:AA$117, MATCH($D46, Option3!$G$106:$G$117,0)))*conv_2026*AA$7</f>
        <v>0</v>
      </c>
      <c r="AB46" s="31">
        <f>(INDEX(Option3!AB$106:AB$117, MATCH($D46, Option3!$G$106:$G$117,0)))*conv_2026*AB$7</f>
        <v>0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4" t="s">
        <v>132</v>
      </c>
      <c r="B47" s="254" t="str">
        <f>Option3!A113</f>
        <v>sens4</v>
      </c>
      <c r="C47" s="254" t="str">
        <f>Option3!C113</f>
        <v>Total benefits 10% lower</v>
      </c>
      <c r="D47" s="254" t="str">
        <f t="shared" si="5"/>
        <v>Option 3sens4</v>
      </c>
      <c r="E47" s="255"/>
      <c r="F47" s="31">
        <f t="shared" si="4"/>
        <v>0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0</v>
      </c>
      <c r="M47" s="31">
        <f>(INDEX(Option3!M$106:M$117, MATCH($D47, Option3!$G$106:$G$117,0)))*conv_2026*M$7</f>
        <v>0</v>
      </c>
      <c r="N47" s="31">
        <f>(INDEX(Option3!N$106:N$117, MATCH($D47, Option3!$G$106:$G$117,0)))*conv_2026*N$7</f>
        <v>0</v>
      </c>
      <c r="O47" s="31">
        <f>(INDEX(Option3!O$106:O$117, MATCH($D47, Option3!$G$106:$G$117,0)))*conv_2026*O$7</f>
        <v>0</v>
      </c>
      <c r="P47" s="31">
        <f>(INDEX(Option3!P$106:P$117, MATCH($D47, Option3!$G$106:$G$117,0)))*conv_2026*P$7</f>
        <v>0</v>
      </c>
      <c r="Q47" s="31">
        <f>(INDEX(Option3!Q$106:Q$117, MATCH($D47, Option3!$G$106:$G$117,0)))*conv_2026*Q$7</f>
        <v>0</v>
      </c>
      <c r="R47" s="31">
        <f>(INDEX(Option3!R$106:R$117, MATCH($D47, Option3!$G$106:$G$117,0)))*conv_2026*R$7</f>
        <v>0</v>
      </c>
      <c r="S47" s="31">
        <f>(INDEX(Option3!S$106:S$117, MATCH($D47, Option3!$G$106:$G$117,0)))*conv_2026*S$7</f>
        <v>0</v>
      </c>
      <c r="T47" s="31">
        <f>(INDEX(Option3!T$106:T$117, MATCH($D47, Option3!$G$106:$G$117,0)))*conv_2026*T$7</f>
        <v>0</v>
      </c>
      <c r="U47" s="31">
        <f>(INDEX(Option3!U$106:U$117, MATCH($D47, Option3!$G$106:$G$117,0)))*conv_2026*U$7</f>
        <v>0</v>
      </c>
      <c r="V47" s="31">
        <f>(INDEX(Option3!V$106:V$117, MATCH($D47, Option3!$G$106:$G$117,0)))*conv_2026*V$7</f>
        <v>0</v>
      </c>
      <c r="W47" s="31">
        <f>(INDEX(Option3!W$106:W$117, MATCH($D47, Option3!$G$106:$G$117,0)))*conv_2026*W$7</f>
        <v>0</v>
      </c>
      <c r="X47" s="31">
        <f>(INDEX(Option3!X$106:X$117, MATCH($D47, Option3!$G$106:$G$117,0)))*conv_2026*X$7</f>
        <v>0</v>
      </c>
      <c r="Y47" s="31">
        <f>(INDEX(Option3!Y$106:Y$117, MATCH($D47, Option3!$G$106:$G$117,0)))*conv_2026*Y$7</f>
        <v>0</v>
      </c>
      <c r="Z47" s="31">
        <f>(INDEX(Option3!Z$106:Z$117, MATCH($D47, Option3!$G$106:$G$117,0)))*conv_2026*Z$7</f>
        <v>0</v>
      </c>
      <c r="AA47" s="31">
        <f>(INDEX(Option3!AA$106:AA$117, MATCH($D47, Option3!$G$106:$G$117,0)))*conv_2026*AA$7</f>
        <v>0</v>
      </c>
      <c r="AB47" s="31">
        <f>(INDEX(Option3!AB$106:AB$117, MATCH($D47, Option3!$G$106:$G$117,0)))*conv_2026*AB$7</f>
        <v>0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4" t="s">
        <v>132</v>
      </c>
      <c r="B48" s="254" t="str">
        <f>Option3!A114</f>
        <v>sens5</v>
      </c>
      <c r="C48" s="254" t="str">
        <f>Option3!C114</f>
        <v>Capex 10% higher &amp; Total benefits 10% lower</v>
      </c>
      <c r="D48" s="254" t="str">
        <f t="shared" si="5"/>
        <v>Option 3sens5</v>
      </c>
      <c r="E48" s="255"/>
      <c r="F48" s="31">
        <f t="shared" si="4"/>
        <v>0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0</v>
      </c>
      <c r="M48" s="31">
        <f>(INDEX(Option3!M$106:M$117, MATCH($D48, Option3!$G$106:$G$117,0)))*conv_2026*M$7</f>
        <v>0</v>
      </c>
      <c r="N48" s="31">
        <f>(INDEX(Option3!N$106:N$117, MATCH($D48, Option3!$G$106:$G$117,0)))*conv_2026*N$7</f>
        <v>0</v>
      </c>
      <c r="O48" s="31">
        <f>(INDEX(Option3!O$106:O$117, MATCH($D48, Option3!$G$106:$G$117,0)))*conv_2026*O$7</f>
        <v>0</v>
      </c>
      <c r="P48" s="31">
        <f>(INDEX(Option3!P$106:P$117, MATCH($D48, Option3!$G$106:$G$117,0)))*conv_2026*P$7</f>
        <v>0</v>
      </c>
      <c r="Q48" s="31">
        <f>(INDEX(Option3!Q$106:Q$117, MATCH($D48, Option3!$G$106:$G$117,0)))*conv_2026*Q$7</f>
        <v>0</v>
      </c>
      <c r="R48" s="31">
        <f>(INDEX(Option3!R$106:R$117, MATCH($D48, Option3!$G$106:$G$117,0)))*conv_2026*R$7</f>
        <v>0</v>
      </c>
      <c r="S48" s="31">
        <f>(INDEX(Option3!S$106:S$117, MATCH($D48, Option3!$G$106:$G$117,0)))*conv_2026*S$7</f>
        <v>0</v>
      </c>
      <c r="T48" s="31">
        <f>(INDEX(Option3!T$106:T$117, MATCH($D48, Option3!$G$106:$G$117,0)))*conv_2026*T$7</f>
        <v>0</v>
      </c>
      <c r="U48" s="31">
        <f>(INDEX(Option3!U$106:U$117, MATCH($D48, Option3!$G$106:$G$117,0)))*conv_2026*U$7</f>
        <v>0</v>
      </c>
      <c r="V48" s="31">
        <f>(INDEX(Option3!V$106:V$117, MATCH($D48, Option3!$G$106:$G$117,0)))*conv_2026*V$7</f>
        <v>0</v>
      </c>
      <c r="W48" s="31">
        <f>(INDEX(Option3!W$106:W$117, MATCH($D48, Option3!$G$106:$G$117,0)))*conv_2026*W$7</f>
        <v>0</v>
      </c>
      <c r="X48" s="31">
        <f>(INDEX(Option3!X$106:X$117, MATCH($D48, Option3!$G$106:$G$117,0)))*conv_2026*X$7</f>
        <v>0</v>
      </c>
      <c r="Y48" s="31">
        <f>(INDEX(Option3!Y$106:Y$117, MATCH($D48, Option3!$G$106:$G$117,0)))*conv_2026*Y$7</f>
        <v>0</v>
      </c>
      <c r="Z48" s="31">
        <f>(INDEX(Option3!Z$106:Z$117, MATCH($D48, Option3!$G$106:$G$117,0)))*conv_2026*Z$7</f>
        <v>0</v>
      </c>
      <c r="AA48" s="31">
        <f>(INDEX(Option3!AA$106:AA$117, MATCH($D48, Option3!$G$106:$G$117,0)))*conv_2026*AA$7</f>
        <v>0</v>
      </c>
      <c r="AB48" s="31">
        <f>(INDEX(Option3!AB$106:AB$117, MATCH($D48, Option3!$G$106:$G$117,0)))*conv_2026*AB$7</f>
        <v>0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4" t="s">
        <v>132</v>
      </c>
      <c r="B49" s="254" t="str">
        <f>Option3!A115</f>
        <v>sens</v>
      </c>
      <c r="C49" s="254">
        <f>Option3!C115</f>
        <v>0</v>
      </c>
      <c r="D49" s="254" t="str">
        <f t="shared" si="5"/>
        <v>Option 3sens</v>
      </c>
      <c r="E49" s="255"/>
      <c r="F49" s="31">
        <f t="shared" si="4"/>
        <v>0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0</v>
      </c>
      <c r="M49" s="31">
        <f>(INDEX(Option3!M$106:M$117, MATCH($D49, Option3!$G$106:$G$117,0)))*conv_2026*M$7</f>
        <v>0</v>
      </c>
      <c r="N49" s="31">
        <f>(INDEX(Option3!N$106:N$117, MATCH($D49, Option3!$G$106:$G$117,0)))*conv_2026*N$7</f>
        <v>0</v>
      </c>
      <c r="O49" s="31">
        <f>(INDEX(Option3!O$106:O$117, MATCH($D49, Option3!$G$106:$G$117,0)))*conv_2026*O$7</f>
        <v>0</v>
      </c>
      <c r="P49" s="31">
        <f>(INDEX(Option3!P$106:P$117, MATCH($D49, Option3!$G$106:$G$117,0)))*conv_2026*P$7</f>
        <v>0</v>
      </c>
      <c r="Q49" s="31">
        <f>(INDEX(Option3!Q$106:Q$117, MATCH($D49, Option3!$G$106:$G$117,0)))*conv_2026*Q$7</f>
        <v>0</v>
      </c>
      <c r="R49" s="31">
        <f>(INDEX(Option3!R$106:R$117, MATCH($D49, Option3!$G$106:$G$117,0)))*conv_2026*R$7</f>
        <v>0</v>
      </c>
      <c r="S49" s="31">
        <f>(INDEX(Option3!S$106:S$117, MATCH($D49, Option3!$G$106:$G$117,0)))*conv_2026*S$7</f>
        <v>0</v>
      </c>
      <c r="T49" s="31">
        <f>(INDEX(Option3!T$106:T$117, MATCH($D49, Option3!$G$106:$G$117,0)))*conv_2026*T$7</f>
        <v>0</v>
      </c>
      <c r="U49" s="31">
        <f>(INDEX(Option3!U$106:U$117, MATCH($D49, Option3!$G$106:$G$117,0)))*conv_2026*U$7</f>
        <v>0</v>
      </c>
      <c r="V49" s="31">
        <f>(INDEX(Option3!V$106:V$117, MATCH($D49, Option3!$G$106:$G$117,0)))*conv_2026*V$7</f>
        <v>0</v>
      </c>
      <c r="W49" s="31">
        <f>(INDEX(Option3!W$106:W$117, MATCH($D49, Option3!$G$106:$G$117,0)))*conv_2026*W$7</f>
        <v>0</v>
      </c>
      <c r="X49" s="31">
        <f>(INDEX(Option3!X$106:X$117, MATCH($D49, Option3!$G$106:$G$117,0)))*conv_2026*X$7</f>
        <v>0</v>
      </c>
      <c r="Y49" s="31">
        <f>(INDEX(Option3!Y$106:Y$117, MATCH($D49, Option3!$G$106:$G$117,0)))*conv_2026*Y$7</f>
        <v>0</v>
      </c>
      <c r="Z49" s="31">
        <f>(INDEX(Option3!Z$106:Z$117, MATCH($D49, Option3!$G$106:$G$117,0)))*conv_2026*Z$7</f>
        <v>0</v>
      </c>
      <c r="AA49" s="31">
        <f>(INDEX(Option3!AA$106:AA$117, MATCH($D49, Option3!$G$106:$G$117,0)))*conv_2026*AA$7</f>
        <v>0</v>
      </c>
      <c r="AB49" s="31">
        <f>(INDEX(Option3!AB$106:AB$117, MATCH($D49, Option3!$G$106:$G$117,0)))*conv_2026*AB$7</f>
        <v>0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4" t="s">
        <v>132</v>
      </c>
      <c r="B50" s="254" t="str">
        <f>Option3!A116</f>
        <v>sens</v>
      </c>
      <c r="C50" s="254">
        <f>Option3!C116</f>
        <v>0</v>
      </c>
      <c r="D50" s="254" t="str">
        <f t="shared" si="5"/>
        <v>Option 3sens</v>
      </c>
      <c r="E50" s="255"/>
      <c r="F50" s="31">
        <f t="shared" si="4"/>
        <v>0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0</v>
      </c>
      <c r="M50" s="31">
        <f>(INDEX(Option3!M$106:M$117, MATCH($D50, Option3!$G$106:$G$117,0)))*conv_2026*M$7</f>
        <v>0</v>
      </c>
      <c r="N50" s="31">
        <f>(INDEX(Option3!N$106:N$117, MATCH($D50, Option3!$G$106:$G$117,0)))*conv_2026*N$7</f>
        <v>0</v>
      </c>
      <c r="O50" s="31">
        <f>(INDEX(Option3!O$106:O$117, MATCH($D50, Option3!$G$106:$G$117,0)))*conv_2026*O$7</f>
        <v>0</v>
      </c>
      <c r="P50" s="31">
        <f>(INDEX(Option3!P$106:P$117, MATCH($D50, Option3!$G$106:$G$117,0)))*conv_2026*P$7</f>
        <v>0</v>
      </c>
      <c r="Q50" s="31">
        <f>(INDEX(Option3!Q$106:Q$117, MATCH($D50, Option3!$G$106:$G$117,0)))*conv_2026*Q$7</f>
        <v>0</v>
      </c>
      <c r="R50" s="31">
        <f>(INDEX(Option3!R$106:R$117, MATCH($D50, Option3!$G$106:$G$117,0)))*conv_2026*R$7</f>
        <v>0</v>
      </c>
      <c r="S50" s="31">
        <f>(INDEX(Option3!S$106:S$117, MATCH($D50, Option3!$G$106:$G$117,0)))*conv_2026*S$7</f>
        <v>0</v>
      </c>
      <c r="T50" s="31">
        <f>(INDEX(Option3!T$106:T$117, MATCH($D50, Option3!$G$106:$G$117,0)))*conv_2026*T$7</f>
        <v>0</v>
      </c>
      <c r="U50" s="31">
        <f>(INDEX(Option3!U$106:U$117, MATCH($D50, Option3!$G$106:$G$117,0)))*conv_2026*U$7</f>
        <v>0</v>
      </c>
      <c r="V50" s="31">
        <f>(INDEX(Option3!V$106:V$117, MATCH($D50, Option3!$G$106:$G$117,0)))*conv_2026*V$7</f>
        <v>0</v>
      </c>
      <c r="W50" s="31">
        <f>(INDEX(Option3!W$106:W$117, MATCH($D50, Option3!$G$106:$G$117,0)))*conv_2026*W$7</f>
        <v>0</v>
      </c>
      <c r="X50" s="31">
        <f>(INDEX(Option3!X$106:X$117, MATCH($D50, Option3!$G$106:$G$117,0)))*conv_2026*X$7</f>
        <v>0</v>
      </c>
      <c r="Y50" s="31">
        <f>(INDEX(Option3!Y$106:Y$117, MATCH($D50, Option3!$G$106:$G$117,0)))*conv_2026*Y$7</f>
        <v>0</v>
      </c>
      <c r="Z50" s="31">
        <f>(INDEX(Option3!Z$106:Z$117, MATCH($D50, Option3!$G$106:$G$117,0)))*conv_2026*Z$7</f>
        <v>0</v>
      </c>
      <c r="AA50" s="31">
        <f>(INDEX(Option3!AA$106:AA$117, MATCH($D50, Option3!$G$106:$G$117,0)))*conv_2026*AA$7</f>
        <v>0</v>
      </c>
      <c r="AB50" s="31">
        <f>(INDEX(Option3!AB$106:AB$117, MATCH($D50, Option3!$G$106:$G$117,0)))*conv_2026*AB$7</f>
        <v>0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4" t="s">
        <v>132</v>
      </c>
      <c r="B51" s="254" t="str">
        <f>Option3!A117</f>
        <v>sens</v>
      </c>
      <c r="C51" s="254">
        <f>Option3!C117</f>
        <v>0</v>
      </c>
      <c r="D51" s="254" t="str">
        <f t="shared" si="5"/>
        <v>Option 3sens</v>
      </c>
      <c r="E51" s="255"/>
      <c r="F51" s="31">
        <f t="shared" si="4"/>
        <v>0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0</v>
      </c>
      <c r="M51" s="31">
        <f>(INDEX(Option3!M$106:M$117, MATCH($D51, Option3!$G$106:$G$117,0)))*conv_2026*M$7</f>
        <v>0</v>
      </c>
      <c r="N51" s="31">
        <f>(INDEX(Option3!N$106:N$117, MATCH($D51, Option3!$G$106:$G$117,0)))*conv_2026*N$7</f>
        <v>0</v>
      </c>
      <c r="O51" s="31">
        <f>(INDEX(Option3!O$106:O$117, MATCH($D51, Option3!$G$106:$G$117,0)))*conv_2026*O$7</f>
        <v>0</v>
      </c>
      <c r="P51" s="31">
        <f>(INDEX(Option3!P$106:P$117, MATCH($D51, Option3!$G$106:$G$117,0)))*conv_2026*P$7</f>
        <v>0</v>
      </c>
      <c r="Q51" s="31">
        <f>(INDEX(Option3!Q$106:Q$117, MATCH($D51, Option3!$G$106:$G$117,0)))*conv_2026*Q$7</f>
        <v>0</v>
      </c>
      <c r="R51" s="31">
        <f>(INDEX(Option3!R$106:R$117, MATCH($D51, Option3!$G$106:$G$117,0)))*conv_2026*R$7</f>
        <v>0</v>
      </c>
      <c r="S51" s="31">
        <f>(INDEX(Option3!S$106:S$117, MATCH($D51, Option3!$G$106:$G$117,0)))*conv_2026*S$7</f>
        <v>0</v>
      </c>
      <c r="T51" s="31">
        <f>(INDEX(Option3!T$106:T$117, MATCH($D51, Option3!$G$106:$G$117,0)))*conv_2026*T$7</f>
        <v>0</v>
      </c>
      <c r="U51" s="31">
        <f>(INDEX(Option3!U$106:U$117, MATCH($D51, Option3!$G$106:$G$117,0)))*conv_2026*U$7</f>
        <v>0</v>
      </c>
      <c r="V51" s="31">
        <f>(INDEX(Option3!V$106:V$117, MATCH($D51, Option3!$G$106:$G$117,0)))*conv_2026*V$7</f>
        <v>0</v>
      </c>
      <c r="W51" s="31">
        <f>(INDEX(Option3!W$106:W$117, MATCH($D51, Option3!$G$106:$G$117,0)))*conv_2026*W$7</f>
        <v>0</v>
      </c>
      <c r="X51" s="31">
        <f>(INDEX(Option3!X$106:X$117, MATCH($D51, Option3!$G$106:$G$117,0)))*conv_2026*X$7</f>
        <v>0</v>
      </c>
      <c r="Y51" s="31">
        <f>(INDEX(Option3!Y$106:Y$117, MATCH($D51, Option3!$G$106:$G$117,0)))*conv_2026*Y$7</f>
        <v>0</v>
      </c>
      <c r="Z51" s="31">
        <f>(INDEX(Option3!Z$106:Z$117, MATCH($D51, Option3!$G$106:$G$117,0)))*conv_2026*Z$7</f>
        <v>0</v>
      </c>
      <c r="AA51" s="31">
        <f>(INDEX(Option3!AA$106:AA$117, MATCH($D51, Option3!$G$106:$G$117,0)))*conv_2026*AA$7</f>
        <v>0</v>
      </c>
      <c r="AB51" s="31">
        <f>(INDEX(Option3!AB$106:AB$117, MATCH($D51, Option3!$G$106:$G$117,0)))*conv_2026*AB$7</f>
        <v>0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4"/>
      <c r="B52" s="254"/>
      <c r="C52" s="254"/>
      <c r="D52" s="254"/>
      <c r="E52" s="254"/>
      <c r="F52" s="31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</row>
    <row r="53" spans="1:35" s="8" customFormat="1" x14ac:dyDescent="0.2">
      <c r="A53" s="254"/>
      <c r="B53" s="254"/>
      <c r="C53" s="254"/>
      <c r="D53" s="254"/>
      <c r="E53" s="254"/>
      <c r="F53" s="31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</row>
    <row r="54" spans="1:35" s="8" customFormat="1" x14ac:dyDescent="0.2">
      <c r="A54" s="254"/>
      <c r="B54" s="254"/>
      <c r="C54" s="254"/>
      <c r="D54" s="254"/>
      <c r="E54" s="254"/>
      <c r="F54" s="31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</row>
    <row r="55" spans="1:35" s="8" customFormat="1" x14ac:dyDescent="0.2">
      <c r="A55" s="254"/>
      <c r="B55" s="254"/>
      <c r="C55" s="254"/>
      <c r="D55" s="254"/>
      <c r="E55" s="254"/>
      <c r="F55" s="31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</row>
    <row r="56" spans="1:35" s="8" customFormat="1" x14ac:dyDescent="0.2">
      <c r="A56" s="254" t="s">
        <v>133</v>
      </c>
      <c r="B56" s="254" t="s">
        <v>119</v>
      </c>
      <c r="C56" s="254" t="s">
        <v>196</v>
      </c>
      <c r="D56" s="254" t="str">
        <f>A56&amp;B56</f>
        <v>Option 4NPV</v>
      </c>
      <c r="E56" s="255"/>
      <c r="F56" s="31">
        <f t="shared" ref="F56:F65" si="6">SUMPRODUCT($H56:$AG56, $H$5:$AG$5)</f>
        <v>0</v>
      </c>
      <c r="G56" s="247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6"/>
      <c r="B57" s="246"/>
      <c r="C57" s="246"/>
      <c r="D57" s="246"/>
      <c r="E57" s="246"/>
      <c r="F57" s="246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7"/>
      <c r="AI57" s="7"/>
    </row>
    <row r="58" spans="1:35" s="8" customFormat="1" x14ac:dyDescent="0.2">
      <c r="A58" s="254" t="s">
        <v>133</v>
      </c>
      <c r="B58" s="254" t="str">
        <f>Option4!A110</f>
        <v>sens1</v>
      </c>
      <c r="C58" s="254" t="str">
        <f>Option4!C110</f>
        <v>Capex 10% higher</v>
      </c>
      <c r="D58" s="254" t="str">
        <f t="shared" ref="D58:D65" si="7">A58&amp;B58</f>
        <v>Option 4sens1</v>
      </c>
      <c r="E58" s="255"/>
      <c r="F58" s="31">
        <f t="shared" si="6"/>
        <v>0</v>
      </c>
      <c r="G58" s="247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4" t="s">
        <v>133</v>
      </c>
      <c r="B59" s="254" t="str">
        <f>Option4!A111</f>
        <v>sens2</v>
      </c>
      <c r="C59" s="254" t="str">
        <f>Option4!C111</f>
        <v>Capex 10% lower</v>
      </c>
      <c r="D59" s="254" t="str">
        <f t="shared" si="7"/>
        <v>Option 4sens2</v>
      </c>
      <c r="E59" s="255"/>
      <c r="F59" s="31">
        <f t="shared" si="6"/>
        <v>0</v>
      </c>
      <c r="G59" s="254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4" t="s">
        <v>133</v>
      </c>
      <c r="B60" s="254" t="str">
        <f>Option4!A112</f>
        <v>sens3</v>
      </c>
      <c r="C60" s="254" t="str">
        <f>Option4!C112</f>
        <v>Total benefits 10% higher</v>
      </c>
      <c r="D60" s="254" t="str">
        <f t="shared" si="7"/>
        <v>Option 4sens3</v>
      </c>
      <c r="E60" s="255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4" t="s">
        <v>133</v>
      </c>
      <c r="B61" s="254" t="str">
        <f>Option4!A113</f>
        <v>sens4</v>
      </c>
      <c r="C61" s="254" t="str">
        <f>Option4!C113</f>
        <v>Total benefits 10% lower</v>
      </c>
      <c r="D61" s="254" t="str">
        <f t="shared" si="7"/>
        <v>Option 4sens4</v>
      </c>
      <c r="E61" s="255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4" t="s">
        <v>133</v>
      </c>
      <c r="B62" s="254" t="str">
        <f>Option4!A114</f>
        <v>sens5</v>
      </c>
      <c r="C62" s="254" t="str">
        <f>Option4!C114</f>
        <v>Capex 10% higher &amp; Total benefits 10% lower</v>
      </c>
      <c r="D62" s="254" t="str">
        <f t="shared" si="7"/>
        <v>Option 4sens5</v>
      </c>
      <c r="E62" s="255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4" t="s">
        <v>133</v>
      </c>
      <c r="B63" s="254" t="str">
        <f>Option4!A115</f>
        <v>sens</v>
      </c>
      <c r="C63" s="254">
        <f>Option4!C115</f>
        <v>0</v>
      </c>
      <c r="D63" s="254" t="str">
        <f t="shared" si="7"/>
        <v>Option 4sens</v>
      </c>
      <c r="E63" s="255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4" t="s">
        <v>133</v>
      </c>
      <c r="B64" s="254" t="str">
        <f>Option4!A116</f>
        <v>sens</v>
      </c>
      <c r="C64" s="254">
        <f>Option4!C116</f>
        <v>0</v>
      </c>
      <c r="D64" s="254" t="str">
        <f t="shared" si="7"/>
        <v>Option 4sens</v>
      </c>
      <c r="E64" s="255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4" t="s">
        <v>133</v>
      </c>
      <c r="B65" s="254" t="str">
        <f>Option4!A117</f>
        <v>sens</v>
      </c>
      <c r="C65" s="254">
        <f>Option4!C117</f>
        <v>0</v>
      </c>
      <c r="D65" s="254" t="str">
        <f t="shared" si="7"/>
        <v>Option 4sens</v>
      </c>
      <c r="E65" s="255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4"/>
      <c r="B66" s="254"/>
      <c r="C66" s="254"/>
      <c r="D66" s="254"/>
      <c r="E66" s="254"/>
      <c r="F66" s="31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</row>
    <row r="67" spans="1:35" s="8" customFormat="1" x14ac:dyDescent="0.2">
      <c r="A67" s="254"/>
      <c r="B67" s="254"/>
      <c r="C67" s="254"/>
      <c r="D67" s="254"/>
      <c r="E67" s="254"/>
      <c r="F67" s="31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</row>
    <row r="68" spans="1:35" s="8" customFormat="1" x14ac:dyDescent="0.2">
      <c r="A68" s="254"/>
      <c r="B68" s="254"/>
      <c r="C68" s="254"/>
      <c r="D68" s="254"/>
      <c r="E68" s="254"/>
      <c r="F68" s="31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</row>
    <row r="69" spans="1:35" s="8" customFormat="1" x14ac:dyDescent="0.2">
      <c r="A69" s="254"/>
      <c r="B69" s="254"/>
      <c r="C69" s="254"/>
      <c r="D69" s="254"/>
      <c r="E69" s="254"/>
      <c r="F69" s="31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</row>
    <row r="70" spans="1:35" s="8" customFormat="1" x14ac:dyDescent="0.2">
      <c r="A70" s="254" t="s">
        <v>163</v>
      </c>
      <c r="B70" s="254" t="s">
        <v>119</v>
      </c>
      <c r="C70" s="254" t="s">
        <v>196</v>
      </c>
      <c r="D70" s="254" t="str">
        <f>A70&amp;B70</f>
        <v>Option 5NPV</v>
      </c>
      <c r="E70" s="255"/>
      <c r="F70" s="31">
        <f t="shared" ref="F70:F79" si="8">SUMPRODUCT($H70:$AG70, $H$5:$AG$5)</f>
        <v>0</v>
      </c>
      <c r="G70" s="247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6"/>
      <c r="B71" s="246"/>
      <c r="C71" s="246"/>
      <c r="D71" s="246"/>
      <c r="E71" s="246"/>
      <c r="F71" s="246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7"/>
      <c r="AI71" s="7"/>
    </row>
    <row r="72" spans="1:35" s="8" customFormat="1" x14ac:dyDescent="0.2">
      <c r="A72" s="254" t="s">
        <v>163</v>
      </c>
      <c r="B72" s="254" t="str">
        <f>Option5!A110</f>
        <v>sens1</v>
      </c>
      <c r="C72" s="254" t="str">
        <f>Option5!C110</f>
        <v>Capex 10% higher</v>
      </c>
      <c r="D72" s="254" t="str">
        <f t="shared" ref="D72:D79" si="9">A72&amp;B72</f>
        <v>Option 5sens1</v>
      </c>
      <c r="E72" s="255"/>
      <c r="F72" s="31">
        <f t="shared" si="8"/>
        <v>0</v>
      </c>
      <c r="G72" s="247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4" t="s">
        <v>163</v>
      </c>
      <c r="B73" s="254" t="str">
        <f>Option5!A111</f>
        <v>sens2</v>
      </c>
      <c r="C73" s="254" t="str">
        <f>Option5!C111</f>
        <v>Capex 10% lower</v>
      </c>
      <c r="D73" s="254" t="str">
        <f t="shared" si="9"/>
        <v>Option 5sens2</v>
      </c>
      <c r="E73" s="255"/>
      <c r="F73" s="31">
        <f t="shared" si="8"/>
        <v>0</v>
      </c>
      <c r="G73" s="254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4" t="s">
        <v>163</v>
      </c>
      <c r="B74" s="254" t="str">
        <f>Option5!A112</f>
        <v>sens3</v>
      </c>
      <c r="C74" s="254" t="str">
        <f>Option5!C112</f>
        <v>Total benefits 10% higher</v>
      </c>
      <c r="D74" s="254" t="str">
        <f t="shared" si="9"/>
        <v>Option 5sens3</v>
      </c>
      <c r="E74" s="255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4" t="s">
        <v>163</v>
      </c>
      <c r="B75" s="254" t="str">
        <f>Option5!A113</f>
        <v>sens4</v>
      </c>
      <c r="C75" s="254" t="str">
        <f>Option5!C113</f>
        <v>Total benefits 10% lower</v>
      </c>
      <c r="D75" s="254" t="str">
        <f t="shared" si="9"/>
        <v>Option 5sens4</v>
      </c>
      <c r="E75" s="255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4" t="s">
        <v>163</v>
      </c>
      <c r="B76" s="254" t="str">
        <f>Option5!A114</f>
        <v>sens5</v>
      </c>
      <c r="C76" s="254" t="str">
        <f>Option5!C114</f>
        <v>Capex 10% higher &amp; Total benefits 10% lower</v>
      </c>
      <c r="D76" s="254" t="str">
        <f t="shared" si="9"/>
        <v>Option 5sens5</v>
      </c>
      <c r="E76" s="255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4" t="s">
        <v>163</v>
      </c>
      <c r="B77" s="254" t="str">
        <f>Option5!A115</f>
        <v>sens</v>
      </c>
      <c r="C77" s="254">
        <f>Option5!C115</f>
        <v>0</v>
      </c>
      <c r="D77" s="254" t="str">
        <f t="shared" si="9"/>
        <v>Option 5sens</v>
      </c>
      <c r="E77" s="255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4" t="s">
        <v>163</v>
      </c>
      <c r="B78" s="254" t="str">
        <f>Option5!A116</f>
        <v>sens</v>
      </c>
      <c r="C78" s="254">
        <f>Option5!C116</f>
        <v>0</v>
      </c>
      <c r="D78" s="254" t="str">
        <f t="shared" si="9"/>
        <v>Option 5sens</v>
      </c>
      <c r="E78" s="255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4" t="s">
        <v>163</v>
      </c>
      <c r="B79" s="254" t="str">
        <f>Option5!A117</f>
        <v>sens</v>
      </c>
      <c r="C79" s="254">
        <f>Option5!C117</f>
        <v>0</v>
      </c>
      <c r="D79" s="254" t="str">
        <f t="shared" si="9"/>
        <v>Option 5sens</v>
      </c>
      <c r="E79" s="255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50"/>
    </row>
    <row r="81" spans="1:34" s="8" customFormat="1" x14ac:dyDescent="0.2">
      <c r="F81" s="250"/>
    </row>
    <row r="82" spans="1:34" s="8" customFormat="1" x14ac:dyDescent="0.2">
      <c r="F82" s="250"/>
    </row>
    <row r="83" spans="1:34" s="8" customFormat="1" x14ac:dyDescent="0.2">
      <c r="F83" s="250"/>
    </row>
    <row r="84" spans="1:34" s="8" customFormat="1" ht="15" x14ac:dyDescent="0.25">
      <c r="A84" s="203" t="s">
        <v>167</v>
      </c>
      <c r="B84" s="54"/>
      <c r="C84" s="19"/>
      <c r="D84" s="19"/>
      <c r="E84" s="83"/>
      <c r="F84" s="19"/>
      <c r="G84" s="224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10"/>
      <c r="AH84" s="10"/>
    </row>
    <row r="85" spans="1:34" s="8" customFormat="1" x14ac:dyDescent="0.2">
      <c r="F85" s="250"/>
    </row>
    <row r="86" spans="1:34" s="8" customFormat="1" x14ac:dyDescent="0.2">
      <c r="F86" s="250"/>
    </row>
    <row r="87" spans="1:34" s="8" customFormat="1" x14ac:dyDescent="0.2">
      <c r="E87" s="250"/>
    </row>
    <row r="88" spans="1:34" s="8" customFormat="1" x14ac:dyDescent="0.2">
      <c r="C88" s="276" t="b" cm="1">
        <f t="array" ref="C88:G88">TRANSPOSE(Data!F9:F13)</f>
        <v>0</v>
      </c>
      <c r="D88" s="276" t="b">
        <v>0</v>
      </c>
      <c r="E88" s="277" t="b">
        <v>1</v>
      </c>
      <c r="F88" s="276" t="b">
        <v>1</v>
      </c>
      <c r="G88" s="276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8" t="str" cm="1">
        <f t="array" ref="C89:G89">TRANSPOSE(options)</f>
        <v>Option 1 (base case)</v>
      </c>
      <c r="D89" s="278" t="str">
        <v>Option 2</v>
      </c>
      <c r="E89" s="278" t="str">
        <v>Option 3</v>
      </c>
      <c r="F89" s="278" t="str">
        <v>Option 4</v>
      </c>
      <c r="G89" s="278" t="str">
        <v>Option 5</v>
      </c>
      <c r="I89" s="278" t="s">
        <v>238</v>
      </c>
      <c r="K89" s="284" t="s">
        <v>239</v>
      </c>
    </row>
    <row r="90" spans="1:34" s="8" customFormat="1" x14ac:dyDescent="0.2">
      <c r="A90" s="262" t="s">
        <v>119</v>
      </c>
      <c r="B90" s="262" t="s">
        <v>229</v>
      </c>
      <c r="C90" s="105">
        <f t="shared" ref="C90:G98" si="10">IF(OR($B90=0,C$88),"", INDEX($F$14:$F$81, MATCH(C$89&amp;$A90,$D$14:$D$81,0))/10^6)</f>
        <v>0</v>
      </c>
      <c r="D90" s="105">
        <f t="shared" si="10"/>
        <v>18.646242432890659</v>
      </c>
      <c r="E90" s="105" t="str">
        <f t="shared" si="10"/>
        <v/>
      </c>
      <c r="F90" s="105" t="str">
        <f t="shared" si="10"/>
        <v/>
      </c>
      <c r="G90" s="105" t="str">
        <f t="shared" si="10"/>
        <v/>
      </c>
      <c r="H90" s="187"/>
      <c r="I90" s="105">
        <f t="shared" ref="I90:I98" si="11">_xlfn.MAXIFS(C90:G90,_xlfn.ANCHORARRAY( C$88),FALSE)</f>
        <v>18.646242432890659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2" t="str">
        <f>"sens"&amp;Assumptions!B111</f>
        <v>sens1</v>
      </c>
      <c r="B91" s="262" t="str">
        <f>Assumptions!C111</f>
        <v>Capex 10% higher</v>
      </c>
      <c r="C91" s="105">
        <f t="shared" si="10"/>
        <v>0</v>
      </c>
      <c r="D91" s="105">
        <f t="shared" si="10"/>
        <v>18.139837044266724</v>
      </c>
      <c r="E91" s="105" t="str">
        <f t="shared" si="10"/>
        <v/>
      </c>
      <c r="F91" s="105" t="str">
        <f t="shared" si="10"/>
        <v/>
      </c>
      <c r="G91" s="105" t="str">
        <f t="shared" si="10"/>
        <v/>
      </c>
      <c r="H91" s="187"/>
      <c r="I91" s="105">
        <f t="shared" si="11"/>
        <v>18.139837044266724</v>
      </c>
      <c r="K91" s="8" t="str">
        <f t="shared" si="12"/>
        <v>Option 2</v>
      </c>
    </row>
    <row r="92" spans="1:34" s="8" customFormat="1" x14ac:dyDescent="0.2">
      <c r="A92" s="262" t="str">
        <f>"sens"&amp;Assumptions!B112</f>
        <v>sens2</v>
      </c>
      <c r="B92" s="262" t="str">
        <f>Assumptions!C112</f>
        <v>Capex 10% lower</v>
      </c>
      <c r="C92" s="105">
        <f t="shared" si="10"/>
        <v>0</v>
      </c>
      <c r="D92" s="105">
        <f t="shared" si="10"/>
        <v>19.152647821514595</v>
      </c>
      <c r="E92" s="105" t="str">
        <f t="shared" si="10"/>
        <v/>
      </c>
      <c r="F92" s="105" t="str">
        <f t="shared" si="10"/>
        <v/>
      </c>
      <c r="G92" s="105" t="str">
        <f t="shared" si="10"/>
        <v/>
      </c>
      <c r="H92" s="187"/>
      <c r="I92" s="105">
        <f t="shared" si="11"/>
        <v>19.152647821514595</v>
      </c>
      <c r="K92" s="8" t="str">
        <f t="shared" si="12"/>
        <v>Option 2</v>
      </c>
    </row>
    <row r="93" spans="1:34" s="8" customFormat="1" x14ac:dyDescent="0.2">
      <c r="A93" s="262" t="str">
        <f>"sens"&amp;Assumptions!B113</f>
        <v>sens3</v>
      </c>
      <c r="B93" s="262" t="str">
        <f>Assumptions!C113</f>
        <v>Total benefits 10% higher</v>
      </c>
      <c r="C93" s="105">
        <f t="shared" si="10"/>
        <v>0</v>
      </c>
      <c r="D93" s="105">
        <f t="shared" si="10"/>
        <v>21.017272064803667</v>
      </c>
      <c r="E93" s="105" t="str">
        <f t="shared" si="10"/>
        <v/>
      </c>
      <c r="F93" s="105" t="str">
        <f t="shared" si="10"/>
        <v/>
      </c>
      <c r="G93" s="105" t="str">
        <f t="shared" si="10"/>
        <v/>
      </c>
      <c r="H93" s="187"/>
      <c r="I93" s="105">
        <f t="shared" si="11"/>
        <v>21.017272064803667</v>
      </c>
      <c r="K93" s="8" t="str">
        <f t="shared" si="12"/>
        <v>Option 2</v>
      </c>
    </row>
    <row r="94" spans="1:34" s="8" customFormat="1" x14ac:dyDescent="0.2">
      <c r="A94" s="262" t="str">
        <f>"sens"&amp;Assumptions!B114</f>
        <v>sens4</v>
      </c>
      <c r="B94" s="262" t="str">
        <f>Assumptions!C114</f>
        <v>Total benefits 10% lower</v>
      </c>
      <c r="C94" s="105">
        <f t="shared" si="10"/>
        <v>0</v>
      </c>
      <c r="D94" s="105">
        <f t="shared" si="10"/>
        <v>16.275212800977656</v>
      </c>
      <c r="E94" s="105" t="str">
        <f t="shared" si="10"/>
        <v/>
      </c>
      <c r="F94" s="105" t="str">
        <f t="shared" si="10"/>
        <v/>
      </c>
      <c r="G94" s="105" t="str">
        <f t="shared" si="10"/>
        <v/>
      </c>
      <c r="H94" s="187"/>
      <c r="I94" s="105">
        <f t="shared" si="11"/>
        <v>16.275212800977656</v>
      </c>
      <c r="K94" s="8" t="str">
        <f t="shared" si="12"/>
        <v>Option 2</v>
      </c>
    </row>
    <row r="95" spans="1:34" s="8" customFormat="1" x14ac:dyDescent="0.2">
      <c r="A95" s="262" t="str">
        <f>"sens"&amp;Assumptions!B115</f>
        <v>sens5</v>
      </c>
      <c r="B95" s="262" t="str">
        <f>Assumptions!C115</f>
        <v>Capex 10% higher &amp; Total benefits 10% lower</v>
      </c>
      <c r="C95" s="105">
        <f t="shared" si="10"/>
        <v>0</v>
      </c>
      <c r="D95" s="105">
        <f t="shared" si="10"/>
        <v>15.768807412353722</v>
      </c>
      <c r="E95" s="105" t="str">
        <f t="shared" si="10"/>
        <v/>
      </c>
      <c r="F95" s="105" t="str">
        <f t="shared" si="10"/>
        <v/>
      </c>
      <c r="G95" s="105" t="str">
        <f t="shared" si="10"/>
        <v/>
      </c>
      <c r="H95" s="187"/>
      <c r="I95" s="105">
        <f t="shared" si="11"/>
        <v>15.768807412353722</v>
      </c>
      <c r="K95" s="8" t="str">
        <f t="shared" si="12"/>
        <v>Option 2</v>
      </c>
    </row>
    <row r="96" spans="1:34" s="8" customFormat="1" x14ac:dyDescent="0.2">
      <c r="A96" s="262" t="str">
        <f>"sens"&amp;Assumptions!B116</f>
        <v>sens</v>
      </c>
      <c r="B96" s="262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7"/>
      <c r="I96" s="105">
        <f t="shared" si="11"/>
        <v>0</v>
      </c>
      <c r="K96" s="8" t="str">
        <f t="shared" si="12"/>
        <v/>
      </c>
    </row>
    <row r="97" spans="1:11" x14ac:dyDescent="0.2">
      <c r="A97" s="262" t="str">
        <f>"sens"&amp;Assumptions!B117</f>
        <v>sens</v>
      </c>
      <c r="B97" s="262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3"/>
      <c r="I97" s="105">
        <f t="shared" si="11"/>
        <v>0</v>
      </c>
      <c r="K97" s="8" t="str">
        <f t="shared" si="12"/>
        <v/>
      </c>
    </row>
    <row r="98" spans="1:11" x14ac:dyDescent="0.2">
      <c r="A98" s="262" t="str">
        <f>"sens"&amp;Assumptions!B118</f>
        <v>sens</v>
      </c>
      <c r="B98" s="262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3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03F5-CD1A-4644-8DFC-D18E9CCB6E0E}">
  <sheetPr codeName="Sheet4">
    <tabColor rgb="FFFFFF00"/>
  </sheetPr>
  <dimension ref="A1:AB46"/>
  <sheetViews>
    <sheetView showGridLines="0" zoomScale="85" zoomScaleNormal="85" workbookViewId="0"/>
  </sheetViews>
  <sheetFormatPr defaultColWidth="8" defaultRowHeight="12.75" x14ac:dyDescent="0.2"/>
  <cols>
    <col min="1" max="1" width="2.625" style="1" customWidth="1"/>
    <col min="2" max="2" width="25.375" style="1" customWidth="1"/>
    <col min="3" max="3" width="12.25" style="1" customWidth="1"/>
    <col min="4" max="4" width="11.875" style="1" customWidth="1"/>
    <col min="5" max="5" width="12.75" style="1" customWidth="1"/>
    <col min="6" max="6" width="15.125" style="1" customWidth="1"/>
    <col min="7" max="8" width="10.5" style="1" customWidth="1"/>
    <col min="9" max="9" width="13.875" style="127" customWidth="1"/>
    <col min="10" max="10" width="9" style="127"/>
    <col min="11" max="11" width="12.375" style="127" customWidth="1"/>
    <col min="12" max="12" width="9" style="127"/>
    <col min="13" max="13" width="9.75" style="127" bestFit="1" customWidth="1"/>
    <col min="14" max="14" width="7.25" style="127" customWidth="1"/>
    <col min="15" max="15" width="13.375" style="127" customWidth="1"/>
    <col min="16" max="16" width="9" style="127"/>
    <col min="17" max="17" width="7.125" style="127" customWidth="1"/>
    <col min="18" max="19" width="9" style="127"/>
    <col min="20" max="28" width="8.625" style="1" customWidth="1"/>
    <col min="29" max="16384" width="8" style="1"/>
  </cols>
  <sheetData>
    <row r="1" spans="1:28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3">
      <c r="A2" s="56" t="str">
        <f>proj</f>
        <v>Pole mounted transformer uplift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 x14ac:dyDescent="0.3">
      <c r="A3" s="5" t="s">
        <v>256</v>
      </c>
      <c r="B3" s="323"/>
      <c r="C3" s="5"/>
      <c r="D3" s="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8" x14ac:dyDescent="0.2"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8" ht="1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</row>
    <row r="6" spans="1:28" x14ac:dyDescent="0.2">
      <c r="C6" s="3"/>
      <c r="D6" s="3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8" x14ac:dyDescent="0.2"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8" ht="15" x14ac:dyDescent="0.2">
      <c r="A8" s="18"/>
      <c r="B8" s="18" t="s">
        <v>257</v>
      </c>
      <c r="C8" s="18"/>
      <c r="D8" s="18"/>
      <c r="E8" s="18"/>
      <c r="F8" s="143"/>
      <c r="G8" s="18"/>
      <c r="H8" s="221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x14ac:dyDescent="0.2">
      <c r="B9" s="3"/>
      <c r="C9" s="3"/>
      <c r="E9" s="3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8" x14ac:dyDescent="0.2">
      <c r="B10" s="1" t="s">
        <v>269</v>
      </c>
      <c r="C10" s="369" t="s">
        <v>438</v>
      </c>
      <c r="E10" s="332">
        <v>11806.245033112582</v>
      </c>
      <c r="T10" s="127"/>
      <c r="U10" s="127"/>
      <c r="V10" s="127"/>
      <c r="W10" s="127"/>
      <c r="X10" s="127"/>
      <c r="Y10" s="127"/>
      <c r="Z10" s="127"/>
      <c r="AA10" s="127"/>
      <c r="AB10" s="127"/>
    </row>
    <row r="11" spans="1:28" x14ac:dyDescent="0.2">
      <c r="B11" s="1" t="s">
        <v>274</v>
      </c>
      <c r="C11" s="369" t="s">
        <v>438</v>
      </c>
      <c r="E11" s="31">
        <f>E10*(1+Assumptions!$G$81)</f>
        <v>14167.494039735098</v>
      </c>
      <c r="T11" s="127"/>
      <c r="U11" s="127"/>
      <c r="V11" s="127"/>
      <c r="W11" s="127"/>
      <c r="X11" s="127"/>
      <c r="Y11" s="127"/>
      <c r="Z11" s="127"/>
      <c r="AA11" s="127"/>
      <c r="AB11" s="127"/>
    </row>
    <row r="12" spans="1:28" x14ac:dyDescent="0.2">
      <c r="T12" s="127"/>
      <c r="U12" s="127"/>
      <c r="V12" s="127"/>
      <c r="W12" s="127"/>
      <c r="X12" s="127"/>
      <c r="Y12" s="127"/>
      <c r="Z12" s="127"/>
      <c r="AA12" s="127"/>
      <c r="AB12" s="127"/>
    </row>
    <row r="13" spans="1:28" x14ac:dyDescent="0.2">
      <c r="T13" s="127"/>
      <c r="U13" s="127"/>
      <c r="V13" s="127"/>
      <c r="W13" s="127"/>
      <c r="X13" s="127"/>
      <c r="Y13" s="127"/>
      <c r="Z13" s="127"/>
      <c r="AA13" s="127"/>
      <c r="AB13" s="127"/>
    </row>
    <row r="14" spans="1:28" x14ac:dyDescent="0.2">
      <c r="T14" s="127"/>
      <c r="U14" s="127"/>
      <c r="V14" s="127"/>
      <c r="W14" s="127"/>
      <c r="X14" s="127"/>
      <c r="Y14" s="127"/>
      <c r="Z14" s="127"/>
      <c r="AA14" s="127"/>
      <c r="AB14" s="127"/>
    </row>
    <row r="15" spans="1:28" ht="15" x14ac:dyDescent="0.2">
      <c r="A15" s="18"/>
      <c r="B15" s="18" t="s">
        <v>442</v>
      </c>
      <c r="C15" s="18"/>
      <c r="D15" s="18"/>
      <c r="E15" s="18"/>
      <c r="F15" s="143"/>
      <c r="G15" s="18"/>
      <c r="H15" s="221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x14ac:dyDescent="0.2">
      <c r="B16" s="127"/>
      <c r="C16" s="127"/>
      <c r="D16" s="127"/>
      <c r="E16" s="127"/>
      <c r="F16" s="127"/>
      <c r="G16" s="127"/>
      <c r="H16" s="127"/>
      <c r="T16" s="127"/>
      <c r="U16" s="127"/>
      <c r="V16" s="127"/>
      <c r="W16" s="127"/>
      <c r="X16" s="127"/>
      <c r="Y16" s="127"/>
      <c r="Z16" s="127"/>
      <c r="AA16" s="127"/>
      <c r="AB16" s="127"/>
    </row>
    <row r="17" spans="2:28" x14ac:dyDescent="0.2">
      <c r="B17" s="127"/>
      <c r="C17" s="127"/>
      <c r="D17" s="127"/>
      <c r="E17" s="127"/>
      <c r="F17" s="127"/>
      <c r="G17" s="127"/>
      <c r="H17" s="127"/>
      <c r="T17" s="127"/>
      <c r="U17" s="127"/>
      <c r="V17" s="127"/>
      <c r="W17" s="127"/>
      <c r="X17" s="127"/>
      <c r="Y17" s="127"/>
      <c r="Z17" s="127"/>
      <c r="AA17" s="127"/>
      <c r="AB17" s="127"/>
    </row>
    <row r="18" spans="2:28" x14ac:dyDescent="0.2">
      <c r="B18" s="127"/>
      <c r="C18" s="127"/>
      <c r="D18" s="127"/>
      <c r="E18" s="127"/>
      <c r="F18" s="127"/>
      <c r="G18" s="127"/>
      <c r="H18" s="127"/>
      <c r="T18" s="127"/>
      <c r="U18" s="127"/>
      <c r="V18" s="127"/>
      <c r="W18" s="127"/>
      <c r="X18" s="127"/>
      <c r="Y18" s="127"/>
      <c r="Z18" s="127"/>
      <c r="AA18" s="127"/>
      <c r="AB18" s="127"/>
    </row>
    <row r="19" spans="2:28" x14ac:dyDescent="0.2">
      <c r="B19" s="127"/>
      <c r="C19" s="127"/>
      <c r="D19" s="127"/>
      <c r="E19" s="371" t="s">
        <v>441</v>
      </c>
      <c r="F19" s="371"/>
      <c r="G19" s="127"/>
      <c r="H19" s="371" t="s">
        <v>441</v>
      </c>
      <c r="I19" s="371"/>
      <c r="K19" s="371" t="s">
        <v>441</v>
      </c>
      <c r="L19" s="371"/>
    </row>
    <row r="20" spans="2:28" x14ac:dyDescent="0.2">
      <c r="B20" s="127"/>
      <c r="C20" s="127"/>
      <c r="D20" s="127"/>
      <c r="E20" s="127"/>
      <c r="F20" s="127"/>
      <c r="G20" s="127"/>
      <c r="H20" s="127" t="s">
        <v>415</v>
      </c>
      <c r="I20" s="379">
        <v>10000</v>
      </c>
      <c r="K20" s="127" t="s">
        <v>416</v>
      </c>
      <c r="L20" s="379">
        <v>10000</v>
      </c>
    </row>
    <row r="21" spans="2:28" x14ac:dyDescent="0.2">
      <c r="B21" s="374" t="s">
        <v>189</v>
      </c>
      <c r="C21" s="374" t="s">
        <v>52</v>
      </c>
      <c r="D21" s="127"/>
      <c r="E21" s="375" t="s">
        <v>443</v>
      </c>
      <c r="F21" s="375" t="s">
        <v>439</v>
      </c>
      <c r="G21" s="127"/>
      <c r="H21" s="375" t="s">
        <v>443</v>
      </c>
      <c r="I21" s="375" t="s">
        <v>439</v>
      </c>
      <c r="K21" s="375" t="s">
        <v>443</v>
      </c>
      <c r="L21" s="375" t="s">
        <v>439</v>
      </c>
    </row>
    <row r="22" spans="2:28" x14ac:dyDescent="0.2">
      <c r="B22" s="385" t="str" cm="1">
        <f t="array" ref="B22:B28">_xlfn.UNIQUE(Remediation!D7:D97)</f>
        <v>Transformer leak</v>
      </c>
      <c r="C22" s="378" t="b">
        <v>1</v>
      </c>
      <c r="D22" s="127"/>
      <c r="E22" s="370">
        <f>COUNTIF(Remediation!$D$7:$D$97,Workings_costs!$B22)</f>
        <v>70</v>
      </c>
      <c r="F22" s="370" cm="1">
        <f t="array" ref="F22">SUMPRODUCT((Remediation!$H$7:$H$97)*(Remediation!$D$7:$D$97=$B22))</f>
        <v>478403.68000000005</v>
      </c>
      <c r="G22" s="127"/>
      <c r="H22" s="370">
        <f>$C22*COUNTIFS(Remediation!$D$7:$D$97,Workings_costs!$B22, Remediation!$H$7:$H$97, "&gt;="&amp;Workings_costs!$I$20)</f>
        <v>15</v>
      </c>
      <c r="I22" s="370" cm="1">
        <f t="array" ref="I22">$C22*SUMPRODUCT((Remediation!$H$7:$H$97)*(Remediation!$D$7:$D$97=$B22)*(Remediation!$H$7:$H$97&gt;=Workings_costs!$I$20))</f>
        <v>278678.96000000002</v>
      </c>
      <c r="K22" s="370">
        <f>$C22*COUNTIFS(Remediation!$D$7:$D$97,Workings_costs!$B22, Remediation!$H$7:$H$97, "&lt;"&amp;Workings_costs!$L$20)</f>
        <v>55</v>
      </c>
      <c r="L22" s="370" cm="1">
        <f t="array" ref="L22">$C22*SUMPRODUCT((Remediation!$H$7:$H$97)*(Remediation!$D$7:$D$97=$B22)*(Remediation!$H$7:$H$97&lt;Workings_costs!$L$20))</f>
        <v>199724.72000000003</v>
      </c>
    </row>
    <row r="23" spans="2:28" x14ac:dyDescent="0.2">
      <c r="B23" s="127" t="str">
        <v>Third party</v>
      </c>
      <c r="C23" s="131" t="b">
        <v>0</v>
      </c>
      <c r="D23" s="127"/>
      <c r="E23" s="370">
        <f>COUNTIF(Remediation!$D$7:$D$97,Workings_costs!$B23)</f>
        <v>5</v>
      </c>
      <c r="F23" s="370" cm="1">
        <f t="array" ref="F23">SUMPRODUCT((Remediation!$H$7:$H$97)*(Remediation!$D$7:$D$97=$B23))</f>
        <v>86344.08</v>
      </c>
      <c r="G23" s="127"/>
      <c r="H23" s="370">
        <f>$C23*COUNTIFS(Remediation!$D$7:$D$97,Workings_costs!$B23, Remediation!$H$7:$H$97, "&gt;="&amp;Workings_costs!$I$20)</f>
        <v>0</v>
      </c>
      <c r="I23" s="370" cm="1">
        <f t="array" ref="I23">$C23*SUMPRODUCT((Remediation!$H$7:$H$97)*(Remediation!$D$7:$D$97=$B23)*(Remediation!$H$7:$H$97&gt;=Workings_costs!$I$20))</f>
        <v>0</v>
      </c>
      <c r="K23" s="370">
        <f>$C23*COUNTIFS(Remediation!$D$7:$D$97,Workings_costs!$B23, Remediation!$H$7:$H$97, "&lt;"&amp;Workings_costs!$L$20)</f>
        <v>0</v>
      </c>
      <c r="L23" s="370" cm="1">
        <f t="array" ref="L23">$C23*SUMPRODUCT((Remediation!$H$7:$H$97)*(Remediation!$D$7:$D$97=$B23)*(Remediation!$H$7:$H$97&lt;Workings_costs!$L$20))</f>
        <v>0</v>
      </c>
    </row>
    <row r="24" spans="2:28" x14ac:dyDescent="0.2">
      <c r="B24" s="127" t="str">
        <v>Other equipment failure</v>
      </c>
      <c r="C24" s="131" t="b">
        <v>0</v>
      </c>
      <c r="D24" s="127"/>
      <c r="E24" s="370">
        <f>COUNTIF(Remediation!$D$7:$D$97,Workings_costs!$B24)</f>
        <v>8</v>
      </c>
      <c r="F24" s="370" cm="1">
        <f t="array" ref="F24">SUMPRODUCT((Remediation!$H$7:$H$97)*(Remediation!$D$7:$D$97=$B24))</f>
        <v>58306.98</v>
      </c>
      <c r="G24" s="127"/>
      <c r="H24" s="370">
        <f>$C24*COUNTIFS(Remediation!$D$7:$D$97,Workings_costs!$B24, Remediation!$H$7:$H$97, "&gt;="&amp;Workings_costs!$I$20)</f>
        <v>0</v>
      </c>
      <c r="I24" s="370" cm="1">
        <f t="array" ref="I24">$C24*SUMPRODUCT((Remediation!$H$7:$H$97)*(Remediation!$D$7:$D$97=$B24)*(Remediation!$H$7:$H$97&gt;=Workings_costs!$I$20))</f>
        <v>0</v>
      </c>
      <c r="K24" s="370">
        <f>$C24*COUNTIFS(Remediation!$D$7:$D$97,Workings_costs!$B24, Remediation!$H$7:$H$97, "&lt;"&amp;Workings_costs!$L$20)</f>
        <v>0</v>
      </c>
      <c r="L24" s="370" cm="1">
        <f t="array" ref="L24">$C24*SUMPRODUCT((Remediation!$H$7:$H$97)*(Remediation!$D$7:$D$97=$B24)*(Remediation!$H$7:$H$97&lt;Workings_costs!$L$20))</f>
        <v>0</v>
      </c>
    </row>
    <row r="25" spans="2:28" x14ac:dyDescent="0.2">
      <c r="B25" s="127" t="str">
        <v>Vehicle impact</v>
      </c>
      <c r="C25" s="131" t="b">
        <v>0</v>
      </c>
      <c r="D25" s="127"/>
      <c r="E25" s="370">
        <f>COUNTIF(Remediation!$D$7:$D$97,Workings_costs!$B25)</f>
        <v>5</v>
      </c>
      <c r="F25" s="370" cm="1">
        <f t="array" ref="F25">SUMPRODUCT((Remediation!$H$7:$H$97)*(Remediation!$D$7:$D$97=$B25))</f>
        <v>45366.61</v>
      </c>
      <c r="G25" s="127"/>
      <c r="H25" s="370">
        <f>$C25*COUNTIFS(Remediation!$D$7:$D$97,Workings_costs!$B25, Remediation!$H$7:$H$97, "&gt;="&amp;Workings_costs!$I$20)</f>
        <v>0</v>
      </c>
      <c r="I25" s="370" cm="1">
        <f t="array" ref="I25">$C25*SUMPRODUCT((Remediation!$H$7:$H$97)*(Remediation!$D$7:$D$97=$B25)*(Remediation!$H$7:$H$97&gt;=Workings_costs!$I$20))</f>
        <v>0</v>
      </c>
      <c r="K25" s="370">
        <f>$C25*COUNTIFS(Remediation!$D$7:$D$97,Workings_costs!$B25, Remediation!$H$7:$H$97, "&lt;"&amp;Workings_costs!$L$20)</f>
        <v>0</v>
      </c>
      <c r="L25" s="370" cm="1">
        <f t="array" ref="L25">$C25*SUMPRODUCT((Remediation!$H$7:$H$97)*(Remediation!$D$7:$D$97=$B25)*(Remediation!$H$7:$H$97&lt;Workings_costs!$L$20))</f>
        <v>0</v>
      </c>
    </row>
    <row r="26" spans="2:28" x14ac:dyDescent="0.2">
      <c r="B26" s="127" t="str">
        <v>Weather</v>
      </c>
      <c r="C26" s="131" t="b">
        <v>0</v>
      </c>
      <c r="D26" s="127"/>
      <c r="E26" s="370">
        <f>COUNTIF(Remediation!$D$7:$D$97,Workings_costs!$B26)</f>
        <v>1</v>
      </c>
      <c r="F26" s="370" cm="1">
        <f t="array" ref="F26">SUMPRODUCT((Remediation!$H$7:$H$97)*(Remediation!$D$7:$D$97=$B26))</f>
        <v>11717.86</v>
      </c>
      <c r="G26" s="127"/>
      <c r="H26" s="370">
        <f>$C26*COUNTIFS(Remediation!$D$7:$D$97,Workings_costs!$B26, Remediation!$H$7:$H$97, "&gt;="&amp;Workings_costs!$I$20)</f>
        <v>0</v>
      </c>
      <c r="I26" s="370" cm="1">
        <f t="array" ref="I26">$C26*SUMPRODUCT((Remediation!$H$7:$H$97)*(Remediation!$D$7:$D$97=$B26)*(Remediation!$H$7:$H$97&gt;=Workings_costs!$I$20))</f>
        <v>0</v>
      </c>
      <c r="K26" s="370">
        <f>$C26*COUNTIFS(Remediation!$D$7:$D$97,Workings_costs!$B26, Remediation!$H$7:$H$97, "&lt;"&amp;Workings_costs!$L$20)</f>
        <v>0</v>
      </c>
      <c r="L26" s="370" cm="1">
        <f t="array" ref="L26">$C26*SUMPRODUCT((Remediation!$H$7:$H$97)*(Remediation!$D$7:$D$97=$B26)*(Remediation!$H$7:$H$97&lt;Workings_costs!$L$20))</f>
        <v>0</v>
      </c>
    </row>
    <row r="27" spans="2:28" x14ac:dyDescent="0.2">
      <c r="B27" s="127" t="str">
        <v>Fire</v>
      </c>
      <c r="C27" s="131" t="b">
        <v>0</v>
      </c>
      <c r="D27" s="127"/>
      <c r="E27" s="370">
        <f>COUNTIF(Remediation!$D$7:$D$97,Workings_costs!$B27)</f>
        <v>1</v>
      </c>
      <c r="F27" s="370" cm="1">
        <f t="array" ref="F27">SUMPRODUCT((Remediation!$H$7:$H$97)*(Remediation!$D$7:$D$97=$B27))</f>
        <v>930.26</v>
      </c>
      <c r="G27" s="127"/>
      <c r="H27" s="370">
        <f>$C27*COUNTIFS(Remediation!$D$7:$D$97,Workings_costs!$B27, Remediation!$H$7:$H$97, "&gt;="&amp;Workings_costs!$I$20)</f>
        <v>0</v>
      </c>
      <c r="I27" s="370" cm="1">
        <f t="array" ref="I27">$C27*SUMPRODUCT((Remediation!$H$7:$H$97)*(Remediation!$D$7:$D$97=$B27)*(Remediation!$H$7:$H$97&gt;=Workings_costs!$I$20))</f>
        <v>0</v>
      </c>
      <c r="K27" s="370">
        <f>$C27*COUNTIFS(Remediation!$D$7:$D$97,Workings_costs!$B27, Remediation!$H$7:$H$97, "&lt;"&amp;Workings_costs!$L$20)</f>
        <v>0</v>
      </c>
      <c r="L27" s="370" cm="1">
        <f t="array" ref="L27">$C27*SUMPRODUCT((Remediation!$H$7:$H$97)*(Remediation!$D$7:$D$97=$B27)*(Remediation!$H$7:$H$97&lt;Workings_costs!$L$20))</f>
        <v>0</v>
      </c>
    </row>
    <row r="28" spans="2:28" x14ac:dyDescent="0.2">
      <c r="B28" s="127" t="str">
        <v>Vegetation</v>
      </c>
      <c r="C28" s="131" t="b">
        <v>0</v>
      </c>
      <c r="D28" s="127"/>
      <c r="E28" s="370">
        <f>COUNTIF(Remediation!$D$7:$D$97,Workings_costs!$B28)</f>
        <v>1</v>
      </c>
      <c r="F28" s="370" cm="1">
        <f t="array" ref="F28">SUMPRODUCT((Remediation!$H$7:$H$97)*(Remediation!$D$7:$D$97=$B28))</f>
        <v>9943</v>
      </c>
      <c r="G28" s="127"/>
      <c r="H28" s="370">
        <f>$C28*COUNTIFS(Remediation!$D$7:$D$97,Workings_costs!$B28, Remediation!$H$7:$H$97, "&gt;="&amp;Workings_costs!$I$20)</f>
        <v>0</v>
      </c>
      <c r="I28" s="370" cm="1">
        <f t="array" ref="I28">$C28*SUMPRODUCT((Remediation!$H$7:$H$97)*(Remediation!$D$7:$D$97=$B28)*(Remediation!$H$7:$H$97&gt;=Workings_costs!$I$20))</f>
        <v>0</v>
      </c>
      <c r="K28" s="370">
        <f>$C28*COUNTIFS(Remediation!$D$7:$D$97,Workings_costs!$B28, Remediation!$H$7:$H$97, "&lt;"&amp;Workings_costs!$L$20)</f>
        <v>0</v>
      </c>
      <c r="L28" s="370" cm="1">
        <f t="array" ref="L28">$C28*SUMPRODUCT((Remediation!$H$7:$H$97)*(Remediation!$D$7:$D$97=$B28)*(Remediation!$H$7:$H$97&lt;Workings_costs!$L$20))</f>
        <v>0</v>
      </c>
    </row>
    <row r="29" spans="2:28" x14ac:dyDescent="0.2">
      <c r="B29" s="127"/>
      <c r="C29" s="131"/>
      <c r="D29" s="127"/>
      <c r="E29" s="370"/>
      <c r="F29" s="370"/>
      <c r="G29" s="127"/>
      <c r="H29" s="370">
        <f>$C29*COUNTIFS(Remediation!$D$7:$D$97,Workings_costs!$B29, Remediation!$H$7:$H$97, "&gt;="&amp;Workings_costs!$I$20)</f>
        <v>0</v>
      </c>
      <c r="I29" s="370" cm="1">
        <f t="array" ref="I29">$C29*SUMPRODUCT((Remediation!$H$7:$H$97)*(Remediation!$D$7:$D$97=$B29)*(Remediation!$H$7:$H$97&gt;=Workings_costs!$I$20))</f>
        <v>0</v>
      </c>
      <c r="K29" s="370">
        <f>$C29*COUNTIFS(Remediation!$D$7:$D$97,Workings_costs!$B29, Remediation!$H$7:$H$97, "&lt;"&amp;Workings_costs!$L$20)</f>
        <v>0</v>
      </c>
      <c r="L29" s="370" cm="1">
        <f t="array" ref="L29">$C29*SUMPRODUCT((Remediation!$H$7:$H$97)*(Remediation!$D$7:$D$97=$B29)*(Remediation!$H$7:$H$97&lt;Workings_costs!$L$20))</f>
        <v>0</v>
      </c>
    </row>
    <row r="30" spans="2:28" x14ac:dyDescent="0.2">
      <c r="B30" s="127"/>
      <c r="C30" s="127"/>
      <c r="D30" s="127"/>
      <c r="E30" s="127"/>
      <c r="F30" s="370"/>
      <c r="G30" s="127"/>
      <c r="H30" s="127"/>
    </row>
    <row r="31" spans="2:28" x14ac:dyDescent="0.2">
      <c r="B31" s="372" t="s">
        <v>150</v>
      </c>
      <c r="C31" s="372"/>
      <c r="D31" s="127"/>
      <c r="E31" s="372" cm="1">
        <f t="array" ref="E31">SUMPRODUCT((E$22:E$29)*($C$22:$C$29))</f>
        <v>70</v>
      </c>
      <c r="F31" s="373" cm="1">
        <f t="array" ref="F31">SUMPRODUCT((F$22:F$29)*($C$22:$C$29))</f>
        <v>478403.68000000005</v>
      </c>
      <c r="G31" s="127"/>
      <c r="H31" s="372" cm="1">
        <f t="array" ref="H31">SUMPRODUCT((H$22:H$29)*($C$22:$C$29))</f>
        <v>15</v>
      </c>
      <c r="I31" s="373" cm="1">
        <f t="array" ref="I31">SUMPRODUCT((I$22:I$29)*($C$22:$C$29))</f>
        <v>278678.96000000002</v>
      </c>
      <c r="K31" s="372" cm="1">
        <f t="array" ref="K31">SUMPRODUCT((K$22:K$29)*($C$22:$C$29))</f>
        <v>55</v>
      </c>
      <c r="L31" s="373" cm="1">
        <f t="array" ref="L31">SUMPRODUCT((L$22:L$29)*($C$22:$C$29))</f>
        <v>199724.72000000003</v>
      </c>
    </row>
    <row r="32" spans="2:28" x14ac:dyDescent="0.2">
      <c r="B32" s="127" t="s">
        <v>277</v>
      </c>
      <c r="C32" s="127"/>
      <c r="D32" s="127"/>
      <c r="E32" s="127"/>
      <c r="F32" s="370">
        <f>F31/E31</f>
        <v>6834.338285714286</v>
      </c>
      <c r="G32" s="127"/>
      <c r="H32" s="127"/>
      <c r="I32" s="370">
        <f>I31/H31</f>
        <v>18578.597333333335</v>
      </c>
      <c r="L32" s="370">
        <f>L31/K31</f>
        <v>3631.3585454545459</v>
      </c>
    </row>
    <row r="33" spans="2:19" x14ac:dyDescent="0.2">
      <c r="B33" s="376" t="s">
        <v>440</v>
      </c>
      <c r="C33" s="376"/>
      <c r="D33" s="376"/>
      <c r="E33" s="376"/>
      <c r="F33" s="376"/>
      <c r="G33" s="376"/>
      <c r="H33" s="377">
        <f>H31/$E$31</f>
        <v>0.21428571428571427</v>
      </c>
      <c r="I33" s="376"/>
      <c r="J33" s="376"/>
      <c r="K33" s="377">
        <f>K31/$E$31</f>
        <v>0.7857142857142857</v>
      </c>
    </row>
    <row r="34" spans="2:19" x14ac:dyDescent="0.2">
      <c r="B34" s="127"/>
      <c r="C34" s="127"/>
      <c r="D34" s="127"/>
      <c r="E34" s="127"/>
      <c r="F34" s="127"/>
      <c r="G34" s="127"/>
      <c r="H34" s="127"/>
    </row>
    <row r="35" spans="2:19" x14ac:dyDescent="0.2">
      <c r="B35" s="127"/>
      <c r="C35" s="127"/>
      <c r="D35" s="127"/>
      <c r="E35" s="127"/>
      <c r="F35" s="127"/>
      <c r="G35" s="127"/>
      <c r="H35" s="127"/>
    </row>
    <row r="36" spans="2:19" x14ac:dyDescent="0.2">
      <c r="B36" s="129"/>
      <c r="C36" s="127"/>
      <c r="D36" s="127"/>
      <c r="E36" s="127"/>
      <c r="F36" s="127"/>
      <c r="G36" s="127"/>
      <c r="H36" s="127"/>
    </row>
    <row r="38" spans="2:19" x14ac:dyDescent="0.2">
      <c r="B38" s="127"/>
      <c r="C38" s="127"/>
      <c r="D38" s="127"/>
      <c r="E38" s="127"/>
      <c r="F38" s="127"/>
      <c r="G38" s="127"/>
      <c r="H38" s="127"/>
      <c r="S38" s="1"/>
    </row>
    <row r="39" spans="2:19" x14ac:dyDescent="0.2">
      <c r="B39" s="30" t="s">
        <v>428</v>
      </c>
      <c r="C39" s="30"/>
      <c r="D39" s="70" t="s">
        <v>279</v>
      </c>
      <c r="E39" s="70" t="s">
        <v>278</v>
      </c>
    </row>
    <row r="40" spans="2:19" x14ac:dyDescent="0.2">
      <c r="B40" s="1" t="s">
        <v>258</v>
      </c>
      <c r="D40" s="253">
        <f>1-SUM(D41:D42)</f>
        <v>0.7857142857142857</v>
      </c>
      <c r="E40" s="31">
        <f>Workings_costs!L32</f>
        <v>3631.3585454545459</v>
      </c>
    </row>
    <row r="41" spans="2:19" x14ac:dyDescent="0.2">
      <c r="B41" s="1" t="s">
        <v>259</v>
      </c>
      <c r="D41" s="253">
        <v>0.21428571428571427</v>
      </c>
      <c r="E41" s="31">
        <f>Workings_costs!I32</f>
        <v>18578.597333333335</v>
      </c>
    </row>
    <row r="42" spans="2:19" x14ac:dyDescent="0.2">
      <c r="B42" s="1" t="s">
        <v>260</v>
      </c>
      <c r="D42" s="331">
        <v>0</v>
      </c>
      <c r="E42" s="332">
        <v>1980000</v>
      </c>
    </row>
    <row r="43" spans="2:19" x14ac:dyDescent="0.2">
      <c r="B43" s="110" t="s">
        <v>261</v>
      </c>
      <c r="C43" s="228" t="s">
        <v>446</v>
      </c>
      <c r="D43" s="110"/>
      <c r="E43" s="144" cm="1">
        <f t="array" ref="E43">SUMPRODUCT(($E$40:$E$42)*($D$40:$D$42))</f>
        <v>6834.338285714286</v>
      </c>
    </row>
    <row r="44" spans="2:19" x14ac:dyDescent="0.2">
      <c r="B44" s="382" t="s">
        <v>261</v>
      </c>
      <c r="C44" s="383" t="s">
        <v>438</v>
      </c>
      <c r="D44" s="382"/>
      <c r="E44" s="384">
        <f>E43/(1+Misc_calcs!$N$13)^0.5</f>
        <v>6581.4714261197523</v>
      </c>
    </row>
    <row r="45" spans="2:19" x14ac:dyDescent="0.2">
      <c r="G45" s="127"/>
      <c r="H45" s="127"/>
      <c r="R45" s="1"/>
      <c r="S45" s="1"/>
    </row>
    <row r="46" spans="2:19" x14ac:dyDescent="0.2">
      <c r="H46" s="127"/>
      <c r="S46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94DF-4BA3-4282-8C08-1C9DB42D834F}">
  <sheetPr codeName="Sheet10">
    <tabColor rgb="FFFFFF00"/>
  </sheetPr>
  <dimension ref="A1:AC66"/>
  <sheetViews>
    <sheetView showGridLines="0" topLeftCell="C12" zoomScale="85" zoomScaleNormal="85" workbookViewId="0">
      <selection activeCell="E58" sqref="E58"/>
    </sheetView>
  </sheetViews>
  <sheetFormatPr defaultColWidth="8" defaultRowHeight="12.75" x14ac:dyDescent="0.2"/>
  <cols>
    <col min="1" max="1" width="2.625" style="1" customWidth="1"/>
    <col min="2" max="2" width="14.25" style="1" customWidth="1"/>
    <col min="3" max="4" width="14" style="1" customWidth="1"/>
    <col min="5" max="27" width="12.375" style="1" customWidth="1"/>
    <col min="28" max="29" width="8.625" style="1" customWidth="1"/>
    <col min="30" max="16384" width="8" style="1"/>
  </cols>
  <sheetData>
    <row r="1" spans="1:29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8.75" x14ac:dyDescent="0.3">
      <c r="A2" s="56" t="str">
        <f>proj</f>
        <v>Pole mounted transformer uplift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8.75" x14ac:dyDescent="0.3">
      <c r="A3" s="5" t="s">
        <v>253</v>
      </c>
      <c r="B3" s="323"/>
      <c r="C3" s="5"/>
      <c r="D3" s="5"/>
      <c r="E3" s="5"/>
    </row>
    <row r="5" spans="1:29" ht="1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</row>
    <row r="6" spans="1:29" x14ac:dyDescent="0.2">
      <c r="C6" s="3"/>
      <c r="D6" s="3"/>
      <c r="E6" s="3"/>
    </row>
    <row r="7" spans="1:29" ht="15" x14ac:dyDescent="0.2">
      <c r="A7" s="18" t="s">
        <v>444</v>
      </c>
      <c r="B7" s="18"/>
      <c r="C7" s="18"/>
      <c r="D7" s="18"/>
      <c r="E7" s="18"/>
      <c r="F7" s="18"/>
      <c r="G7" s="143"/>
      <c r="H7" s="18"/>
      <c r="I7" s="221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9" spans="1:29" x14ac:dyDescent="0.2">
      <c r="A9" s="3"/>
      <c r="B9" s="3" t="s">
        <v>430</v>
      </c>
    </row>
    <row r="10" spans="1:29" x14ac:dyDescent="0.2">
      <c r="A10" s="3"/>
      <c r="C10" s="1" t="s">
        <v>431</v>
      </c>
      <c r="F10" s="361">
        <v>30894</v>
      </c>
    </row>
    <row r="11" spans="1:29" x14ac:dyDescent="0.2">
      <c r="A11" s="3"/>
      <c r="C11" s="1" t="s">
        <v>429</v>
      </c>
      <c r="F11" s="361">
        <v>511</v>
      </c>
    </row>
    <row r="12" spans="1:29" x14ac:dyDescent="0.2">
      <c r="A12" s="3"/>
      <c r="C12" s="1" t="s">
        <v>434</v>
      </c>
      <c r="F12" s="361" t="s">
        <v>262</v>
      </c>
    </row>
    <row r="13" spans="1:29" x14ac:dyDescent="0.2">
      <c r="A13" s="3"/>
    </row>
    <row r="14" spans="1:29" x14ac:dyDescent="0.2">
      <c r="A14" s="3"/>
      <c r="C14" s="1" t="s">
        <v>432</v>
      </c>
      <c r="F14" s="361">
        <v>79643</v>
      </c>
      <c r="K14"/>
      <c r="L14"/>
    </row>
    <row r="15" spans="1:29" x14ac:dyDescent="0.2">
      <c r="C15" s="1" t="s">
        <v>433</v>
      </c>
      <c r="F15" s="362">
        <f>F11/F10*F14</f>
        <v>1317.3293519777301</v>
      </c>
      <c r="H15" s="343"/>
      <c r="K15"/>
      <c r="L15"/>
    </row>
    <row r="16" spans="1:29" x14ac:dyDescent="0.2">
      <c r="H16" s="343"/>
      <c r="K16"/>
      <c r="L16"/>
    </row>
    <row r="17" spans="1:29" x14ac:dyDescent="0.2">
      <c r="H17" s="343"/>
      <c r="K17"/>
      <c r="L17"/>
    </row>
    <row r="18" spans="1:29" x14ac:dyDescent="0.2"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</row>
    <row r="19" spans="1:29" ht="15" x14ac:dyDescent="0.2">
      <c r="A19" s="18" t="s">
        <v>152</v>
      </c>
      <c r="B19" s="18"/>
      <c r="C19" s="18"/>
      <c r="D19" s="18"/>
      <c r="E19" s="18"/>
      <c r="F19" s="18"/>
      <c r="G19" s="143"/>
      <c r="H19" s="18"/>
      <c r="I19" s="221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2">
      <c r="H20" s="343"/>
      <c r="K20"/>
      <c r="L20"/>
    </row>
    <row r="21" spans="1:29" x14ac:dyDescent="0.2">
      <c r="B21" s="3" t="s">
        <v>152</v>
      </c>
      <c r="C21" s="3"/>
      <c r="D21" s="3"/>
      <c r="K21"/>
      <c r="L21"/>
    </row>
    <row r="22" spans="1:29" x14ac:dyDescent="0.2">
      <c r="K22"/>
      <c r="L22"/>
    </row>
    <row r="23" spans="1:29" x14ac:dyDescent="0.2">
      <c r="C23" s="1" t="s">
        <v>268</v>
      </c>
      <c r="F23" s="364">
        <v>8</v>
      </c>
      <c r="G23" s="1" t="s">
        <v>267</v>
      </c>
      <c r="K23"/>
      <c r="L23"/>
    </row>
    <row r="24" spans="1:29" x14ac:dyDescent="0.2">
      <c r="C24" s="1" t="s">
        <v>437</v>
      </c>
      <c r="F24" s="363">
        <v>0.6</v>
      </c>
      <c r="K24"/>
      <c r="L24"/>
    </row>
    <row r="25" spans="1:29" x14ac:dyDescent="0.2">
      <c r="G25" s="31"/>
      <c r="K25"/>
      <c r="L25"/>
    </row>
    <row r="27" spans="1:29" x14ac:dyDescent="0.2">
      <c r="E27" s="249"/>
      <c r="M27" s="1" t="s">
        <v>96</v>
      </c>
    </row>
    <row r="28" spans="1:29" x14ac:dyDescent="0.2">
      <c r="B28" s="3" t="s">
        <v>275</v>
      </c>
    </row>
    <row r="29" spans="1:29" x14ac:dyDescent="0.2">
      <c r="C29" s="232" t="s">
        <v>273</v>
      </c>
      <c r="D29" s="232"/>
      <c r="E29" s="364">
        <v>0</v>
      </c>
      <c r="F29" s="365">
        <f t="shared" ref="F29:AA29" si="0">E29+1</f>
        <v>1</v>
      </c>
      <c r="G29" s="365">
        <f t="shared" si="0"/>
        <v>2</v>
      </c>
      <c r="H29" s="365">
        <f t="shared" si="0"/>
        <v>3</v>
      </c>
      <c r="I29" s="365">
        <f t="shared" si="0"/>
        <v>4</v>
      </c>
      <c r="J29" s="365">
        <f t="shared" si="0"/>
        <v>5</v>
      </c>
      <c r="K29" s="365">
        <f t="shared" si="0"/>
        <v>6</v>
      </c>
      <c r="L29" s="365">
        <f t="shared" si="0"/>
        <v>7</v>
      </c>
      <c r="M29" s="365">
        <f t="shared" si="0"/>
        <v>8</v>
      </c>
      <c r="N29" s="365">
        <f t="shared" si="0"/>
        <v>9</v>
      </c>
      <c r="O29" s="365">
        <f t="shared" si="0"/>
        <v>10</v>
      </c>
      <c r="P29" s="365">
        <f t="shared" si="0"/>
        <v>11</v>
      </c>
      <c r="Q29" s="365">
        <f t="shared" si="0"/>
        <v>12</v>
      </c>
      <c r="R29" s="365">
        <f t="shared" si="0"/>
        <v>13</v>
      </c>
      <c r="S29" s="365">
        <f t="shared" si="0"/>
        <v>14</v>
      </c>
      <c r="T29" s="365">
        <f t="shared" si="0"/>
        <v>15</v>
      </c>
      <c r="U29" s="365">
        <f t="shared" si="0"/>
        <v>16</v>
      </c>
      <c r="V29" s="365">
        <f t="shared" si="0"/>
        <v>17</v>
      </c>
      <c r="W29" s="365">
        <f t="shared" si="0"/>
        <v>18</v>
      </c>
      <c r="X29" s="365">
        <f t="shared" si="0"/>
        <v>19</v>
      </c>
      <c r="Y29" s="365">
        <f t="shared" si="0"/>
        <v>20</v>
      </c>
      <c r="Z29" s="365">
        <f t="shared" si="0"/>
        <v>21</v>
      </c>
      <c r="AA29" s="365">
        <f t="shared" si="0"/>
        <v>22</v>
      </c>
    </row>
    <row r="30" spans="1:29" x14ac:dyDescent="0.2">
      <c r="C30" s="30"/>
      <c r="D30" s="172"/>
      <c r="E30" s="366"/>
      <c r="F30" s="380" t="s">
        <v>262</v>
      </c>
      <c r="G30" s="380" t="s">
        <v>245</v>
      </c>
      <c r="H30" s="380" t="s">
        <v>47</v>
      </c>
      <c r="I30" s="380" t="str">
        <f>Sensitivity_calcs!I9</f>
        <v>2026-27</v>
      </c>
      <c r="J30" s="380" t="str">
        <f>Sensitivity_calcs!J9</f>
        <v>2027-28</v>
      </c>
      <c r="K30" s="380" t="str">
        <f>Sensitivity_calcs!K9</f>
        <v>2028-29</v>
      </c>
      <c r="L30" s="380" t="str">
        <f>Sensitivity_calcs!L9</f>
        <v>2029-30</v>
      </c>
      <c r="M30" s="380" t="str">
        <f>Sensitivity_calcs!M9</f>
        <v>2030-31</v>
      </c>
      <c r="N30" s="380" t="str">
        <f>Sensitivity_calcs!N9</f>
        <v>2031-32</v>
      </c>
      <c r="O30" s="380" t="str">
        <f>Sensitivity_calcs!O9</f>
        <v>2032-33</v>
      </c>
      <c r="P30" s="380" t="str">
        <f>Sensitivity_calcs!P9</f>
        <v>2033-34</v>
      </c>
      <c r="Q30" s="380" t="str">
        <f>Sensitivity_calcs!Q9</f>
        <v>2034-35</v>
      </c>
      <c r="R30" s="380" t="str">
        <f>Sensitivity_calcs!R9</f>
        <v>2035-36</v>
      </c>
      <c r="S30" s="380" t="str">
        <f>Sensitivity_calcs!S9</f>
        <v>2036-37</v>
      </c>
      <c r="T30" s="380" t="str">
        <f>Sensitivity_calcs!T9</f>
        <v>2037-38</v>
      </c>
      <c r="U30" s="380" t="str">
        <f>Sensitivity_calcs!U9</f>
        <v>2038-39</v>
      </c>
      <c r="V30" s="380" t="str">
        <f>Sensitivity_calcs!V9</f>
        <v>2039-40</v>
      </c>
      <c r="W30" s="380" t="str">
        <f>Sensitivity_calcs!W9</f>
        <v>2040-41</v>
      </c>
      <c r="X30" s="380" t="str">
        <f>Sensitivity_calcs!X9</f>
        <v>2041-42</v>
      </c>
      <c r="Y30" s="380" t="str">
        <f>Sensitivity_calcs!Y9</f>
        <v>2042-43</v>
      </c>
      <c r="Z30" s="380" t="str">
        <f>Sensitivity_calcs!Z9</f>
        <v>2043-44</v>
      </c>
      <c r="AA30" s="380" t="str">
        <f>Sensitivity_calcs!AA9</f>
        <v>2044-45</v>
      </c>
    </row>
    <row r="31" spans="1:29" x14ac:dyDescent="0.2">
      <c r="C31" s="333" t="s">
        <v>263</v>
      </c>
      <c r="D31" s="333"/>
      <c r="E31" s="333"/>
      <c r="F31" s="334">
        <f t="shared" ref="F31:AA31" si="1">IF(F$30=$F$12,$F$15,0)</f>
        <v>1317.3293519777301</v>
      </c>
      <c r="G31" s="334">
        <f t="shared" si="1"/>
        <v>0</v>
      </c>
      <c r="H31" s="334">
        <f t="shared" si="1"/>
        <v>0</v>
      </c>
      <c r="I31" s="334">
        <f t="shared" si="1"/>
        <v>0</v>
      </c>
      <c r="J31" s="334">
        <f t="shared" si="1"/>
        <v>0</v>
      </c>
      <c r="K31" s="334">
        <f t="shared" si="1"/>
        <v>0</v>
      </c>
      <c r="L31" s="334">
        <f t="shared" si="1"/>
        <v>0</v>
      </c>
      <c r="M31" s="334">
        <f t="shared" si="1"/>
        <v>0</v>
      </c>
      <c r="N31" s="334">
        <f t="shared" si="1"/>
        <v>0</v>
      </c>
      <c r="O31" s="334">
        <f t="shared" si="1"/>
        <v>0</v>
      </c>
      <c r="P31" s="334">
        <f t="shared" si="1"/>
        <v>0</v>
      </c>
      <c r="Q31" s="334">
        <f t="shared" si="1"/>
        <v>0</v>
      </c>
      <c r="R31" s="334">
        <f t="shared" si="1"/>
        <v>0</v>
      </c>
      <c r="S31" s="334">
        <f t="shared" si="1"/>
        <v>0</v>
      </c>
      <c r="T31" s="334">
        <f t="shared" si="1"/>
        <v>0</v>
      </c>
      <c r="U31" s="334">
        <f t="shared" si="1"/>
        <v>0</v>
      </c>
      <c r="V31" s="334">
        <f t="shared" si="1"/>
        <v>0</v>
      </c>
      <c r="W31" s="334">
        <f t="shared" si="1"/>
        <v>0</v>
      </c>
      <c r="X31" s="334">
        <f t="shared" si="1"/>
        <v>0</v>
      </c>
      <c r="Y31" s="334">
        <f t="shared" si="1"/>
        <v>0</v>
      </c>
      <c r="Z31" s="334">
        <f t="shared" si="1"/>
        <v>0</v>
      </c>
      <c r="AA31" s="334">
        <f t="shared" si="1"/>
        <v>0</v>
      </c>
    </row>
    <row r="32" spans="1:29" x14ac:dyDescent="0.2">
      <c r="C32" s="335" t="s">
        <v>271</v>
      </c>
      <c r="D32" s="335"/>
      <c r="E32" s="335"/>
      <c r="F32" s="336"/>
      <c r="G32" s="336">
        <f>IF(AND(F32&gt;0, F32&lt;0.005*$F$15),F$33,IF(G29&gt;Workings_risks!$F$23,$F$24*F$33,0))</f>
        <v>0</v>
      </c>
      <c r="H32" s="336">
        <f>IF(AND(G32&gt;0, G32&lt;0.005*$F$15),G$33,IF(H29&gt;Workings_risks!$F$23,$F$24*G$33,0))</f>
        <v>0</v>
      </c>
      <c r="I32" s="336">
        <f>IF(AND(H32&gt;0, H32&lt;0.005*$F$15),H$33,IF(I29&gt;Workings_risks!$F$23,$F$24*H$33,0))</f>
        <v>0</v>
      </c>
      <c r="J32" s="336">
        <f>IF(AND(I32&gt;0, I32&lt;0.005*$F$15),I$33,IF(J29&gt;Workings_risks!$F$23,$F$24*I$33,0))</f>
        <v>0</v>
      </c>
      <c r="K32" s="336">
        <f>IF(AND(J32&gt;0, J32&lt;0.005*$F$15),J$33,IF(K29&gt;Workings_risks!$F$23,$F$24*J$33,0))</f>
        <v>0</v>
      </c>
      <c r="L32" s="336">
        <f>IF(AND(K32&gt;0, K32&lt;0.005*$F$15),K$33,IF(L29&gt;Workings_risks!$F$23,$F$24*K$33,0))</f>
        <v>0</v>
      </c>
      <c r="M32" s="336">
        <f>IF(AND(L32&gt;0, L32&lt;0.005*$F$15),L$33,IF(M29&gt;Workings_risks!$F$23,$F$24*L$33,0))</f>
        <v>0</v>
      </c>
      <c r="N32" s="336">
        <f>IF(AND(M32&gt;0, M32&lt;0.005*$F$15),M$33,IF(N29&gt;Workings_risks!$F$23,$F$24*M$33,0))</f>
        <v>790.39761118663807</v>
      </c>
      <c r="O32" s="336">
        <f>IF(AND(N32&gt;0, N32&lt;0.005*$F$15),N$33,IF(O29&gt;Workings_risks!$F$23,$F$24*N$33,0))</f>
        <v>316.15904447465522</v>
      </c>
      <c r="P32" s="336">
        <f>IF(AND(O32&gt;0, O32&lt;0.005*$F$15),O$33,IF(P29&gt;Workings_risks!$F$23,$F$24*O$33,0))</f>
        <v>126.46361778986207</v>
      </c>
      <c r="Q32" s="336">
        <f>IF(AND(P32&gt;0, P32&lt;0.005*$F$15),P$33,IF(Q29&gt;Workings_risks!$F$23,$F$24*P$33,0))</f>
        <v>50.585447115944831</v>
      </c>
      <c r="R32" s="336">
        <f>IF(AND(Q32&gt;0, Q32&lt;0.005*$F$15),Q$33,IF(R29&gt;Workings_risks!$F$23,$F$24*Q$33,0))</f>
        <v>20.234178846377933</v>
      </c>
      <c r="S32" s="336">
        <f>IF(AND(R32&gt;0, R32&lt;0.005*$F$15),R$33,IF(S29&gt;Workings_risks!$F$23,$F$24*R$33,0))</f>
        <v>8.0936715385511757</v>
      </c>
      <c r="T32" s="336">
        <f>IF(AND(S32&gt;0, S32&lt;0.005*$F$15),S$33,IF(T29&gt;Workings_risks!$F$23,$F$24*S$33,0))</f>
        <v>3.2374686154204699</v>
      </c>
      <c r="U32" s="336">
        <f>IF(AND(T32&gt;0, T32&lt;0.005*$F$15),T$33,IF(U29&gt;Workings_risks!$F$23,$F$24*T$33,0))</f>
        <v>2.1583124102803133</v>
      </c>
      <c r="V32" s="336">
        <f>IF(AND(U32&gt;0, U32&lt;0.005*$F$15),U$33,IF(V29&gt;Workings_risks!$F$23,$F$24*U$33,0))</f>
        <v>0</v>
      </c>
      <c r="W32" s="336">
        <f>IF(AND(V32&gt;0, V32&lt;0.005*$F$15),V$33,IF(W29&gt;Workings_risks!$F$23,$F$24*V$33,0))</f>
        <v>0</v>
      </c>
      <c r="X32" s="336">
        <f>IF(AND(W32&gt;0, W32&lt;0.005*$F$15),W$33,IF(X29&gt;Workings_risks!$F$23,$F$24*W$33,0))</f>
        <v>0</v>
      </c>
      <c r="Y32" s="336">
        <f>IF(AND(X32&gt;0, X32&lt;0.005*$F$15),X$33,IF(Y29&gt;Workings_risks!$F$23,$F$24*X$33,0))</f>
        <v>0</v>
      </c>
      <c r="Z32" s="336">
        <f>IF(AND(Y32&gt;0, Y32&lt;0.005*$F$15),Y$33,IF(Z29&gt;Workings_risks!$F$23,$F$24*Y$33,0))</f>
        <v>0</v>
      </c>
      <c r="AA32" s="336">
        <f>IF(AND(Z32&gt;0, Z32&lt;0.005*$F$15),Z$33,IF(AA29&gt;Workings_risks!$F$23,$F$24*Z$33,0))</f>
        <v>0</v>
      </c>
    </row>
    <row r="33" spans="1:28" x14ac:dyDescent="0.2">
      <c r="C33" s="367" t="s">
        <v>270</v>
      </c>
      <c r="D33" s="367"/>
      <c r="E33" s="367"/>
      <c r="F33" s="368">
        <f t="shared" ref="F33:AA33" si="2">E33+F31-F32</f>
        <v>1317.3293519777301</v>
      </c>
      <c r="G33" s="368">
        <f t="shared" si="2"/>
        <v>1317.3293519777301</v>
      </c>
      <c r="H33" s="368">
        <f t="shared" si="2"/>
        <v>1317.3293519777301</v>
      </c>
      <c r="I33" s="368">
        <f t="shared" si="2"/>
        <v>1317.3293519777301</v>
      </c>
      <c r="J33" s="368">
        <f t="shared" si="2"/>
        <v>1317.3293519777301</v>
      </c>
      <c r="K33" s="368">
        <f t="shared" si="2"/>
        <v>1317.3293519777301</v>
      </c>
      <c r="L33" s="368">
        <f t="shared" si="2"/>
        <v>1317.3293519777301</v>
      </c>
      <c r="M33" s="368">
        <f t="shared" ref="M33:R33" si="3">L33+M31-M32</f>
        <v>1317.3293519777301</v>
      </c>
      <c r="N33" s="368">
        <f t="shared" si="3"/>
        <v>526.93174079109201</v>
      </c>
      <c r="O33" s="368">
        <f t="shared" si="3"/>
        <v>210.77269631643679</v>
      </c>
      <c r="P33" s="368">
        <f t="shared" si="3"/>
        <v>84.309078526574723</v>
      </c>
      <c r="Q33" s="368">
        <f t="shared" si="3"/>
        <v>33.723631410629892</v>
      </c>
      <c r="R33" s="368">
        <f t="shared" si="3"/>
        <v>13.489452564251959</v>
      </c>
      <c r="S33" s="368">
        <f t="shared" si="2"/>
        <v>5.3957810257007832</v>
      </c>
      <c r="T33" s="368">
        <f t="shared" si="2"/>
        <v>2.1583124102803133</v>
      </c>
      <c r="U33" s="368">
        <f t="shared" si="2"/>
        <v>0</v>
      </c>
      <c r="V33" s="368">
        <f t="shared" si="2"/>
        <v>0</v>
      </c>
      <c r="W33" s="368">
        <f t="shared" si="2"/>
        <v>0</v>
      </c>
      <c r="X33" s="368">
        <f t="shared" si="2"/>
        <v>0</v>
      </c>
      <c r="Y33" s="368">
        <f t="shared" si="2"/>
        <v>0</v>
      </c>
      <c r="Z33" s="368">
        <f t="shared" si="2"/>
        <v>0</v>
      </c>
      <c r="AA33" s="368">
        <f t="shared" si="2"/>
        <v>0</v>
      </c>
    </row>
    <row r="36" spans="1:28" x14ac:dyDescent="0.2">
      <c r="C36" s="335" t="s">
        <v>265</v>
      </c>
      <c r="D36" s="337"/>
      <c r="E36" s="335" t="s">
        <v>438</v>
      </c>
      <c r="F36" s="336">
        <f>Workings_costs!$E$11*F32</f>
        <v>0</v>
      </c>
      <c r="G36" s="336">
        <f>Workings_costs!$E$11*G32</f>
        <v>0</v>
      </c>
      <c r="H36" s="336">
        <f>Workings_costs!$E$11*H32</f>
        <v>0</v>
      </c>
      <c r="I36" s="336">
        <f>Workings_costs!$E$11*I32</f>
        <v>0</v>
      </c>
      <c r="J36" s="336">
        <f>Workings_costs!$E$11*J32</f>
        <v>0</v>
      </c>
      <c r="K36" s="336">
        <f>Workings_costs!$E$11*K32</f>
        <v>0</v>
      </c>
      <c r="L36" s="336">
        <f>Workings_costs!$E$11*L32</f>
        <v>0</v>
      </c>
      <c r="M36" s="336">
        <f>Workings_costs!$E$11*M32</f>
        <v>0</v>
      </c>
      <c r="N36" s="336">
        <f>Workings_costs!$E$11*N32</f>
        <v>11197953.445507554</v>
      </c>
      <c r="O36" s="336">
        <f>Workings_costs!$E$11*O32</f>
        <v>4479181.3782030214</v>
      </c>
      <c r="P36" s="336">
        <f>Workings_costs!$E$11*P32</f>
        <v>1791672.5512812084</v>
      </c>
      <c r="Q36" s="336">
        <f>Workings_costs!$E$11*Q32</f>
        <v>716669.02051248343</v>
      </c>
      <c r="R36" s="336">
        <f>Workings_costs!$E$11*R32</f>
        <v>286667.60820499336</v>
      </c>
      <c r="S36" s="336">
        <f>Workings_costs!$E$11*S32</f>
        <v>114667.04328199738</v>
      </c>
      <c r="T36" s="336">
        <f>Workings_costs!$E$11*T32</f>
        <v>45866.81731279895</v>
      </c>
      <c r="U36" s="336">
        <f>Workings_costs!$E$11*U32</f>
        <v>30577.878208532631</v>
      </c>
      <c r="V36" s="336">
        <f>Workings_costs!$E$11*V32</f>
        <v>0</v>
      </c>
      <c r="W36" s="336">
        <f>Workings_costs!$E$11*W32</f>
        <v>0</v>
      </c>
      <c r="X36" s="336">
        <f>Workings_costs!$E$11*X32</f>
        <v>0</v>
      </c>
      <c r="Y36" s="336">
        <f>Workings_costs!$E$11*Y32</f>
        <v>0</v>
      </c>
      <c r="Z36" s="336">
        <f>Workings_costs!$E$11*Z32</f>
        <v>0</v>
      </c>
      <c r="AA36" s="336">
        <f>Workings_costs!$E$11*AA32</f>
        <v>0</v>
      </c>
    </row>
    <row r="37" spans="1:28" x14ac:dyDescent="0.2">
      <c r="C37" s="335" t="s">
        <v>272</v>
      </c>
      <c r="D37" s="337"/>
      <c r="E37" s="335" t="s">
        <v>438</v>
      </c>
      <c r="F37" s="336">
        <f>Workings_costs!$E$44*F$32</f>
        <v>0</v>
      </c>
      <c r="G37" s="336">
        <f>Workings_costs!$E$44*G$32</f>
        <v>0</v>
      </c>
      <c r="H37" s="336">
        <f>Workings_costs!$E$44*H$32</f>
        <v>0</v>
      </c>
      <c r="I37" s="336">
        <f>Workings_costs!$E$44*I$32</f>
        <v>0</v>
      </c>
      <c r="J37" s="336">
        <f>Workings_costs!$E$44*J$32</f>
        <v>0</v>
      </c>
      <c r="K37" s="336">
        <f>Workings_costs!$E$44*K$32</f>
        <v>0</v>
      </c>
      <c r="L37" s="336">
        <f>Workings_costs!$E$44*L$32</f>
        <v>0</v>
      </c>
      <c r="M37" s="336">
        <f>Workings_costs!$E$44*M$32</f>
        <v>0</v>
      </c>
      <c r="N37" s="336">
        <f>Workings_costs!$E$44*N$32</f>
        <v>5201979.2932981681</v>
      </c>
      <c r="O37" s="336">
        <f>Workings_costs!$E$44*O$32</f>
        <v>2080791.7173192673</v>
      </c>
      <c r="P37" s="336">
        <f>Workings_costs!$E$44*P$32</f>
        <v>832316.68692770682</v>
      </c>
      <c r="Q37" s="336">
        <f>Workings_costs!$E$44*Q$32</f>
        <v>332926.67477108276</v>
      </c>
      <c r="R37" s="336">
        <f>Workings_costs!$E$44*R$32</f>
        <v>133170.6699084331</v>
      </c>
      <c r="S37" s="336">
        <f>Workings_costs!$E$44*S$32</f>
        <v>53268.267963373255</v>
      </c>
      <c r="T37" s="336">
        <f>Workings_costs!$E$44*T$32</f>
        <v>21307.307185349302</v>
      </c>
      <c r="U37" s="336">
        <f>Workings_costs!$E$44*U$32</f>
        <v>14204.871456899533</v>
      </c>
      <c r="V37" s="336">
        <f>Workings_costs!$E$44*V$32</f>
        <v>0</v>
      </c>
      <c r="W37" s="336">
        <f>Workings_costs!$E$44*W$32</f>
        <v>0</v>
      </c>
      <c r="X37" s="336">
        <f>Workings_costs!$E$44*X$32</f>
        <v>0</v>
      </c>
      <c r="Y37" s="336">
        <f>Workings_costs!$E$44*Y$32</f>
        <v>0</v>
      </c>
      <c r="Z37" s="336">
        <f>Workings_costs!$E$44*Z$32</f>
        <v>0</v>
      </c>
      <c r="AA37" s="336">
        <f>Workings_costs!$E$44*AA$32</f>
        <v>0</v>
      </c>
    </row>
    <row r="38" spans="1:28" x14ac:dyDescent="0.2"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8" x14ac:dyDescent="0.2"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8" x14ac:dyDescent="0.2"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ht="15" x14ac:dyDescent="0.2">
      <c r="A41" s="18" t="s">
        <v>131</v>
      </c>
      <c r="B41" s="18"/>
      <c r="C41" s="18"/>
      <c r="D41" s="18"/>
      <c r="E41" s="18"/>
      <c r="F41" s="18"/>
      <c r="G41" s="221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8" x14ac:dyDescent="0.2"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spans="1:28" x14ac:dyDescent="0.2"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spans="1:28" x14ac:dyDescent="0.2">
      <c r="B44" s="3" t="s">
        <v>131</v>
      </c>
      <c r="C44" s="3" t="s">
        <v>264</v>
      </c>
      <c r="I44"/>
      <c r="J44"/>
    </row>
    <row r="45" spans="1:28" x14ac:dyDescent="0.2">
      <c r="C45" s="1" t="s">
        <v>435</v>
      </c>
      <c r="E45" s="364">
        <v>151</v>
      </c>
      <c r="I45"/>
      <c r="J45"/>
    </row>
    <row r="46" spans="1:28" x14ac:dyDescent="0.2">
      <c r="E46" s="31"/>
    </row>
    <row r="47" spans="1:28" x14ac:dyDescent="0.2">
      <c r="E47" s="31"/>
    </row>
    <row r="48" spans="1:28" x14ac:dyDescent="0.2">
      <c r="E48" s="31"/>
    </row>
    <row r="49" spans="2:29" x14ac:dyDescent="0.2">
      <c r="B49" s="3" t="s">
        <v>276</v>
      </c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2:29" x14ac:dyDescent="0.2">
      <c r="B50" s="3"/>
      <c r="C50" s="30"/>
      <c r="D50" s="172"/>
      <c r="E50" s="172"/>
      <c r="F50" s="380" t="str">
        <f t="shared" ref="F50:AA50" si="4">F30</f>
        <v>2023-24</v>
      </c>
      <c r="G50" s="380" t="str">
        <f t="shared" si="4"/>
        <v>2024-25</v>
      </c>
      <c r="H50" s="380" t="str">
        <f t="shared" si="4"/>
        <v>2025-26</v>
      </c>
      <c r="I50" s="380" t="str">
        <f t="shared" si="4"/>
        <v>2026-27</v>
      </c>
      <c r="J50" s="380" t="str">
        <f t="shared" si="4"/>
        <v>2027-28</v>
      </c>
      <c r="K50" s="380" t="str">
        <f t="shared" si="4"/>
        <v>2028-29</v>
      </c>
      <c r="L50" s="380" t="str">
        <f t="shared" si="4"/>
        <v>2029-30</v>
      </c>
      <c r="M50" s="380" t="str">
        <f t="shared" si="4"/>
        <v>2030-31</v>
      </c>
      <c r="N50" s="380" t="str">
        <f t="shared" si="4"/>
        <v>2031-32</v>
      </c>
      <c r="O50" s="380" t="str">
        <f t="shared" si="4"/>
        <v>2032-33</v>
      </c>
      <c r="P50" s="380" t="str">
        <f t="shared" si="4"/>
        <v>2033-34</v>
      </c>
      <c r="Q50" s="380" t="str">
        <f t="shared" si="4"/>
        <v>2034-35</v>
      </c>
      <c r="R50" s="380" t="str">
        <f t="shared" si="4"/>
        <v>2035-36</v>
      </c>
      <c r="S50" s="380" t="str">
        <f t="shared" si="4"/>
        <v>2036-37</v>
      </c>
      <c r="T50" s="380" t="str">
        <f t="shared" si="4"/>
        <v>2037-38</v>
      </c>
      <c r="U50" s="380" t="str">
        <f t="shared" si="4"/>
        <v>2038-39</v>
      </c>
      <c r="V50" s="380" t="str">
        <f t="shared" si="4"/>
        <v>2039-40</v>
      </c>
      <c r="W50" s="380" t="str">
        <f t="shared" si="4"/>
        <v>2040-41</v>
      </c>
      <c r="X50" s="380" t="str">
        <f t="shared" si="4"/>
        <v>2041-42</v>
      </c>
      <c r="Y50" s="380" t="str">
        <f t="shared" si="4"/>
        <v>2042-43</v>
      </c>
      <c r="Z50" s="380" t="str">
        <f t="shared" si="4"/>
        <v>2043-44</v>
      </c>
      <c r="AA50" s="380" t="str">
        <f t="shared" si="4"/>
        <v>2044-45</v>
      </c>
    </row>
    <row r="51" spans="2:29" x14ac:dyDescent="0.2">
      <c r="C51" s="333" t="s">
        <v>263</v>
      </c>
      <c r="D51" s="333"/>
      <c r="E51" s="333"/>
      <c r="F51" s="334">
        <f t="shared" ref="F51:AA51" si="5">F31</f>
        <v>1317.3293519777301</v>
      </c>
      <c r="G51" s="334">
        <f t="shared" si="5"/>
        <v>0</v>
      </c>
      <c r="H51" s="334">
        <f t="shared" si="5"/>
        <v>0</v>
      </c>
      <c r="I51" s="334">
        <f t="shared" si="5"/>
        <v>0</v>
      </c>
      <c r="J51" s="334">
        <f t="shared" si="5"/>
        <v>0</v>
      </c>
      <c r="K51" s="334">
        <f t="shared" si="5"/>
        <v>0</v>
      </c>
      <c r="L51" s="334">
        <f t="shared" si="5"/>
        <v>0</v>
      </c>
      <c r="M51" s="334">
        <f t="shared" si="5"/>
        <v>0</v>
      </c>
      <c r="N51" s="334">
        <f t="shared" si="5"/>
        <v>0</v>
      </c>
      <c r="O51" s="334">
        <f t="shared" si="5"/>
        <v>0</v>
      </c>
      <c r="P51" s="334">
        <f t="shared" si="5"/>
        <v>0</v>
      </c>
      <c r="Q51" s="334">
        <f t="shared" si="5"/>
        <v>0</v>
      </c>
      <c r="R51" s="334">
        <f t="shared" si="5"/>
        <v>0</v>
      </c>
      <c r="S51" s="334">
        <f t="shared" si="5"/>
        <v>0</v>
      </c>
      <c r="T51" s="334">
        <f t="shared" si="5"/>
        <v>0</v>
      </c>
      <c r="U51" s="334">
        <f t="shared" si="5"/>
        <v>0</v>
      </c>
      <c r="V51" s="334">
        <f t="shared" si="5"/>
        <v>0</v>
      </c>
      <c r="W51" s="334">
        <f t="shared" si="5"/>
        <v>0</v>
      </c>
      <c r="X51" s="334">
        <f t="shared" si="5"/>
        <v>0</v>
      </c>
      <c r="Y51" s="334">
        <f t="shared" si="5"/>
        <v>0</v>
      </c>
      <c r="Z51" s="334">
        <f t="shared" si="5"/>
        <v>0</v>
      </c>
      <c r="AA51" s="334">
        <f t="shared" si="5"/>
        <v>0</v>
      </c>
    </row>
    <row r="52" spans="2:29" x14ac:dyDescent="0.2">
      <c r="C52" s="335" t="s">
        <v>264</v>
      </c>
      <c r="D52" s="335"/>
      <c r="E52" s="335"/>
      <c r="F52" s="342">
        <f>E45/2</f>
        <v>75.5</v>
      </c>
      <c r="G52" s="342">
        <f t="shared" ref="G52:Q52" si="6">$E$45</f>
        <v>151</v>
      </c>
      <c r="H52" s="342">
        <f t="shared" si="6"/>
        <v>151</v>
      </c>
      <c r="I52" s="342">
        <f t="shared" si="6"/>
        <v>151</v>
      </c>
      <c r="J52" s="342">
        <f t="shared" si="6"/>
        <v>151</v>
      </c>
      <c r="K52" s="342">
        <f t="shared" si="6"/>
        <v>151</v>
      </c>
      <c r="L52" s="342">
        <f t="shared" si="6"/>
        <v>151</v>
      </c>
      <c r="M52" s="342">
        <f t="shared" si="6"/>
        <v>151</v>
      </c>
      <c r="N52" s="342">
        <f t="shared" si="6"/>
        <v>151</v>
      </c>
      <c r="O52" s="342">
        <f t="shared" si="6"/>
        <v>151</v>
      </c>
      <c r="P52" s="342">
        <f t="shared" si="6"/>
        <v>151</v>
      </c>
      <c r="Q52" s="342">
        <f t="shared" si="6"/>
        <v>151</v>
      </c>
      <c r="R52" s="342">
        <f>MIN(Q52+Q53,Q55,$E$45)</f>
        <v>60.399983059812882</v>
      </c>
      <c r="S52" s="342">
        <v>0</v>
      </c>
      <c r="T52" s="336">
        <v>0</v>
      </c>
      <c r="U52" s="336">
        <v>0</v>
      </c>
      <c r="V52" s="336">
        <v>0</v>
      </c>
      <c r="W52" s="336">
        <v>0</v>
      </c>
      <c r="X52" s="336">
        <v>0</v>
      </c>
      <c r="Y52" s="336">
        <v>0</v>
      </c>
      <c r="Z52" s="336">
        <v>0</v>
      </c>
      <c r="AA52" s="336">
        <v>0</v>
      </c>
    </row>
    <row r="53" spans="2:29" x14ac:dyDescent="0.2">
      <c r="C53" s="335" t="s">
        <v>436</v>
      </c>
      <c r="D53" s="335"/>
      <c r="E53" s="335"/>
      <c r="F53" s="342">
        <v>0</v>
      </c>
      <c r="G53" s="342">
        <v>0</v>
      </c>
      <c r="H53" s="342">
        <v>0</v>
      </c>
      <c r="I53" s="342">
        <v>0</v>
      </c>
      <c r="J53" s="342">
        <v>0</v>
      </c>
      <c r="K53" s="342">
        <v>-15.557613744662007</v>
      </c>
      <c r="L53" s="342">
        <v>-54.909075508920793</v>
      </c>
      <c r="M53" s="342">
        <v>-90.600016940187118</v>
      </c>
      <c r="N53" s="342">
        <f>M53</f>
        <v>-90.600016940187118</v>
      </c>
      <c r="O53" s="342">
        <f>N53</f>
        <v>-90.600016940187118</v>
      </c>
      <c r="P53" s="342">
        <f>O53</f>
        <v>-90.600016940187118</v>
      </c>
      <c r="Q53" s="342">
        <f>P53</f>
        <v>-90.600016940187118</v>
      </c>
      <c r="R53" s="342">
        <v>0</v>
      </c>
      <c r="S53" s="342"/>
      <c r="T53" s="336"/>
      <c r="U53" s="336"/>
      <c r="V53" s="336"/>
      <c r="W53" s="336"/>
      <c r="X53" s="336"/>
      <c r="Y53" s="336"/>
      <c r="Z53" s="336"/>
      <c r="AA53" s="336"/>
    </row>
    <row r="54" spans="2:29" x14ac:dyDescent="0.2">
      <c r="C54" s="340" t="s">
        <v>447</v>
      </c>
      <c r="D54" s="340"/>
      <c r="E54" s="340"/>
      <c r="F54" s="341">
        <f>SUM(F52:F53)</f>
        <v>75.5</v>
      </c>
      <c r="G54" s="341">
        <f t="shared" ref="G54:U54" si="7">SUM(G52:G53)</f>
        <v>151</v>
      </c>
      <c r="H54" s="341">
        <f t="shared" si="7"/>
        <v>151</v>
      </c>
      <c r="I54" s="341">
        <f t="shared" si="7"/>
        <v>151</v>
      </c>
      <c r="J54" s="341">
        <f t="shared" si="7"/>
        <v>151</v>
      </c>
      <c r="K54" s="341">
        <f t="shared" si="7"/>
        <v>135.44238625533799</v>
      </c>
      <c r="L54" s="341">
        <f t="shared" si="7"/>
        <v>96.090924491079207</v>
      </c>
      <c r="M54" s="341">
        <f t="shared" si="7"/>
        <v>60.399983059812882</v>
      </c>
      <c r="N54" s="341">
        <f t="shared" si="7"/>
        <v>60.399983059812882</v>
      </c>
      <c r="O54" s="341">
        <f t="shared" si="7"/>
        <v>60.399983059812882</v>
      </c>
      <c r="P54" s="341">
        <f t="shared" si="7"/>
        <v>60.399983059812882</v>
      </c>
      <c r="Q54" s="341">
        <f t="shared" si="7"/>
        <v>60.399983059812882</v>
      </c>
      <c r="R54" s="341">
        <f t="shared" si="7"/>
        <v>60.399983059812882</v>
      </c>
      <c r="S54" s="341">
        <f t="shared" si="7"/>
        <v>0</v>
      </c>
      <c r="T54" s="341">
        <f t="shared" si="7"/>
        <v>0</v>
      </c>
      <c r="U54" s="341">
        <f t="shared" si="7"/>
        <v>0</v>
      </c>
      <c r="V54" s="336"/>
      <c r="W54" s="336"/>
      <c r="X54" s="336"/>
      <c r="Y54" s="336"/>
      <c r="Z54" s="336"/>
      <c r="AA54" s="336"/>
    </row>
    <row r="55" spans="2:29" x14ac:dyDescent="0.2">
      <c r="C55" s="381" t="s">
        <v>270</v>
      </c>
      <c r="D55" s="381"/>
      <c r="E55" s="381"/>
      <c r="F55" s="336">
        <f>MAX(E55+F51-SUM(F52:F53),0)</f>
        <v>1241.8293519777301</v>
      </c>
      <c r="G55" s="336">
        <f t="shared" ref="G55:R55" si="8">MAX(F55+G51-SUM(G52:G53),0)</f>
        <v>1090.8293519777301</v>
      </c>
      <c r="H55" s="336">
        <f t="shared" si="8"/>
        <v>939.82935197773008</v>
      </c>
      <c r="I55" s="336">
        <f t="shared" si="8"/>
        <v>788.82935197773008</v>
      </c>
      <c r="J55" s="336">
        <f t="shared" si="8"/>
        <v>637.82935197773008</v>
      </c>
      <c r="K55" s="336">
        <f t="shared" si="8"/>
        <v>502.38696572239212</v>
      </c>
      <c r="L55" s="336">
        <f t="shared" si="8"/>
        <v>406.29604123131293</v>
      </c>
      <c r="M55" s="336">
        <f t="shared" si="8"/>
        <v>345.89605817150004</v>
      </c>
      <c r="N55" s="336">
        <f t="shared" si="8"/>
        <v>285.49607511168716</v>
      </c>
      <c r="O55" s="336">
        <f t="shared" si="8"/>
        <v>225.09609205187428</v>
      </c>
      <c r="P55" s="336">
        <f t="shared" si="8"/>
        <v>164.6961089920614</v>
      </c>
      <c r="Q55" s="336">
        <f t="shared" si="8"/>
        <v>104.29612593224851</v>
      </c>
      <c r="R55" s="336">
        <f t="shared" si="8"/>
        <v>43.896142872435632</v>
      </c>
      <c r="S55" s="336">
        <f t="shared" ref="S55:AA55" si="9">R55+S51-S52</f>
        <v>43.896142872435632</v>
      </c>
      <c r="T55" s="336">
        <f t="shared" si="9"/>
        <v>43.896142872435632</v>
      </c>
      <c r="U55" s="336">
        <f t="shared" si="9"/>
        <v>43.896142872435632</v>
      </c>
      <c r="V55" s="336">
        <f t="shared" si="9"/>
        <v>43.896142872435632</v>
      </c>
      <c r="W55" s="336">
        <f t="shared" si="9"/>
        <v>43.896142872435632</v>
      </c>
      <c r="X55" s="336">
        <f t="shared" si="9"/>
        <v>43.896142872435632</v>
      </c>
      <c r="Y55" s="336">
        <f t="shared" si="9"/>
        <v>43.896142872435632</v>
      </c>
      <c r="Z55" s="336">
        <f t="shared" si="9"/>
        <v>43.896142872435632</v>
      </c>
      <c r="AA55" s="336">
        <f t="shared" si="9"/>
        <v>43.896142872435632</v>
      </c>
    </row>
    <row r="56" spans="2:29" x14ac:dyDescent="0.2">
      <c r="C56" s="64"/>
      <c r="D56" s="64"/>
      <c r="E56" s="64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2:29" x14ac:dyDescent="0.2">
      <c r="C57" s="64"/>
      <c r="D57" s="64"/>
      <c r="E57" s="64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2:29" x14ac:dyDescent="0.2">
      <c r="C58" s="335" t="s">
        <v>266</v>
      </c>
      <c r="D58" s="335"/>
      <c r="E58" s="335" t="s">
        <v>438</v>
      </c>
      <c r="F58" s="336">
        <f>SUM(F52:F53)*Workings_costs!$E$10</f>
        <v>891371.49999999988</v>
      </c>
      <c r="G58" s="336">
        <f>SUM(G52:G53)*Workings_costs!$E$10</f>
        <v>1782742.9999999998</v>
      </c>
      <c r="H58" s="336">
        <f>SUM(H52:H53)*Workings_costs!$E$10</f>
        <v>1782742.9999999998</v>
      </c>
      <c r="I58" s="336">
        <f>SUM(I52:I53)*Workings_costs!$E$10</f>
        <v>1782742.9999999998</v>
      </c>
      <c r="J58" s="336">
        <f>SUM(J52:J53)*Workings_costs!$E$10</f>
        <v>1782742.9999999998</v>
      </c>
      <c r="K58" s="336">
        <f>SUM(K52:K53)*Workings_costs!$E$10</f>
        <v>1599066</v>
      </c>
      <c r="L58" s="336">
        <f>SUM(L52:L53)*Workings_costs!$E$10</f>
        <v>1134473</v>
      </c>
      <c r="M58" s="336">
        <f>SUM(M52:M53)*Workings_costs!$E$10</f>
        <v>713096.99999999988</v>
      </c>
      <c r="N58" s="336">
        <f>SUM(N52:N53)*Workings_costs!$E$10</f>
        <v>713096.99999999988</v>
      </c>
      <c r="O58" s="336">
        <f>SUM(O52:O53)*Workings_costs!$E$10</f>
        <v>713096.99999999988</v>
      </c>
      <c r="P58" s="336">
        <f>SUM(P52:P53)*Workings_costs!$E$10</f>
        <v>713096.99999999988</v>
      </c>
      <c r="Q58" s="336">
        <f>SUM(Q52:Q53)*Workings_costs!$E$10</f>
        <v>713096.99999999988</v>
      </c>
      <c r="R58" s="336">
        <f>SUM(R52:R53)*Workings_costs!$E$10</f>
        <v>713096.99999999988</v>
      </c>
      <c r="S58" s="336">
        <f>S52*Workings_costs!$E$10</f>
        <v>0</v>
      </c>
      <c r="T58" s="336">
        <f>T52*Workings_costs!$E$10</f>
        <v>0</v>
      </c>
      <c r="U58" s="336">
        <f>U52*Workings_costs!$E$10</f>
        <v>0</v>
      </c>
      <c r="V58" s="336">
        <f>V52*Workings_costs!$E$10</f>
        <v>0</v>
      </c>
      <c r="W58" s="336">
        <f>W52*Workings_costs!$E$10</f>
        <v>0</v>
      </c>
      <c r="X58" s="336">
        <f>X52*Workings_costs!$E$10</f>
        <v>0</v>
      </c>
      <c r="Y58" s="336">
        <f>Y52*Workings_costs!$E$10</f>
        <v>0</v>
      </c>
      <c r="Z58" s="336">
        <f>Z52*Workings_costs!$E$10</f>
        <v>0</v>
      </c>
      <c r="AA58" s="336">
        <f>AA52*Workings_costs!$E$10</f>
        <v>0</v>
      </c>
      <c r="AB58" s="31"/>
      <c r="AC58" s="31"/>
    </row>
    <row r="59" spans="2:29" x14ac:dyDescent="0.2"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6" spans="10:14" x14ac:dyDescent="0.2">
      <c r="J66" s="249"/>
      <c r="K66" s="249"/>
      <c r="L66" s="249"/>
      <c r="M66" s="249"/>
      <c r="N66" s="249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14587-C5E1-4557-947A-B7E160CF7595}">
  <sheetPr codeName="Sheet12">
    <tabColor rgb="FFFFFF00"/>
  </sheetPr>
  <dimension ref="A1:AD142"/>
  <sheetViews>
    <sheetView showGridLines="0" zoomScale="85" zoomScaleNormal="85" workbookViewId="0">
      <pane ySplit="6" topLeftCell="A7" activePane="bottomLeft" state="frozen"/>
      <selection activeCell="H97" sqref="H97"/>
      <selection pane="bottomLeft" activeCell="A7" sqref="A7"/>
    </sheetView>
  </sheetViews>
  <sheetFormatPr defaultColWidth="7.75" defaultRowHeight="15" x14ac:dyDescent="0.25"/>
  <cols>
    <col min="1" max="1" width="15.5" style="339" customWidth="1"/>
    <col min="2" max="2" width="15.25" style="339" customWidth="1"/>
    <col min="3" max="3" width="15.125" style="339" customWidth="1"/>
    <col min="4" max="4" width="19.375" style="339" customWidth="1"/>
    <col min="5" max="5" width="28.875" style="339" customWidth="1"/>
    <col min="6" max="6" width="21.75" style="339" customWidth="1"/>
    <col min="7" max="7" width="5.75" style="339" bestFit="1" customWidth="1"/>
    <col min="8" max="8" width="16.875" style="339" customWidth="1"/>
    <col min="9" max="10" width="7.75" style="339"/>
    <col min="22" max="16384" width="7.75" style="339"/>
  </cols>
  <sheetData>
    <row r="1" spans="1:30" customFormat="1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30" customFormat="1" ht="18.75" x14ac:dyDescent="0.3">
      <c r="A2" s="56" t="str">
        <f>proj</f>
        <v>Pole mounted transformer uplift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4" spans="1:30" ht="15.75" x14ac:dyDescent="0.25">
      <c r="A4" s="386" t="s">
        <v>445</v>
      </c>
      <c r="V4" s="338"/>
      <c r="W4" s="338"/>
      <c r="X4" s="338"/>
      <c r="Y4" s="338"/>
      <c r="Z4" s="338"/>
    </row>
    <row r="5" spans="1:30" ht="15.75" x14ac:dyDescent="0.25">
      <c r="V5" s="351"/>
      <c r="W5" s="351"/>
      <c r="X5" s="351"/>
      <c r="Y5" s="351"/>
      <c r="Z5" s="351"/>
      <c r="AA5" s="338"/>
      <c r="AB5" s="338"/>
    </row>
    <row r="6" spans="1:30" s="338" customFormat="1" ht="15.75" x14ac:dyDescent="0.25">
      <c r="A6" s="344" t="s">
        <v>424</v>
      </c>
      <c r="B6" s="344" t="s">
        <v>425</v>
      </c>
      <c r="C6" s="344" t="s">
        <v>280</v>
      </c>
      <c r="D6" s="344" t="s">
        <v>281</v>
      </c>
      <c r="E6" s="344" t="s">
        <v>282</v>
      </c>
      <c r="F6" s="344" t="s">
        <v>283</v>
      </c>
      <c r="G6" s="344" t="s">
        <v>426</v>
      </c>
      <c r="H6" s="344" t="s">
        <v>284</v>
      </c>
      <c r="V6" s="351"/>
      <c r="W6" s="351"/>
      <c r="X6" s="351"/>
      <c r="Y6" s="351"/>
      <c r="Z6" s="351"/>
      <c r="AA6" s="351"/>
      <c r="AB6" s="351"/>
    </row>
    <row r="7" spans="1:30" s="351" customFormat="1" x14ac:dyDescent="0.25">
      <c r="A7" s="347">
        <v>45295</v>
      </c>
      <c r="B7" s="348" t="s">
        <v>289</v>
      </c>
      <c r="C7" s="349" t="s">
        <v>285</v>
      </c>
      <c r="D7" s="348" t="s">
        <v>316</v>
      </c>
      <c r="E7" s="349" t="s">
        <v>290</v>
      </c>
      <c r="F7" s="357" t="s">
        <v>291</v>
      </c>
      <c r="G7" s="349" t="s">
        <v>427</v>
      </c>
      <c r="H7" s="359">
        <v>4167.93</v>
      </c>
      <c r="I7" s="350"/>
    </row>
    <row r="8" spans="1:30" s="351" customFormat="1" x14ac:dyDescent="0.25">
      <c r="A8" s="347">
        <v>45303</v>
      </c>
      <c r="B8" s="348" t="s">
        <v>292</v>
      </c>
      <c r="C8" s="349" t="s">
        <v>148</v>
      </c>
      <c r="D8" s="348" t="s">
        <v>316</v>
      </c>
      <c r="E8" s="349" t="s">
        <v>290</v>
      </c>
      <c r="F8" s="357" t="s">
        <v>291</v>
      </c>
      <c r="G8" s="349" t="s">
        <v>427</v>
      </c>
      <c r="H8" s="359">
        <v>17959.47</v>
      </c>
      <c r="I8" s="350"/>
    </row>
    <row r="9" spans="1:30" s="351" customFormat="1" x14ac:dyDescent="0.25">
      <c r="A9" s="347">
        <v>45299</v>
      </c>
      <c r="B9" s="348" t="s">
        <v>293</v>
      </c>
      <c r="C9" s="349" t="s">
        <v>144</v>
      </c>
      <c r="D9" s="348" t="s">
        <v>422</v>
      </c>
      <c r="E9" s="349" t="s">
        <v>286</v>
      </c>
      <c r="F9" s="357" t="s">
        <v>287</v>
      </c>
      <c r="G9" s="349" t="s">
        <v>427</v>
      </c>
      <c r="H9" s="359">
        <v>3326.94</v>
      </c>
      <c r="I9" s="350"/>
    </row>
    <row r="10" spans="1:30" s="351" customFormat="1" x14ac:dyDescent="0.25">
      <c r="A10" s="347">
        <v>45308</v>
      </c>
      <c r="B10" s="348" t="s">
        <v>295</v>
      </c>
      <c r="C10" s="349" t="s">
        <v>144</v>
      </c>
      <c r="D10" s="348" t="s">
        <v>422</v>
      </c>
      <c r="E10" s="349" t="s">
        <v>286</v>
      </c>
      <c r="F10" s="357" t="s">
        <v>288</v>
      </c>
      <c r="G10" s="349" t="s">
        <v>427</v>
      </c>
      <c r="H10" s="359">
        <v>3312.54</v>
      </c>
      <c r="I10" s="350"/>
    </row>
    <row r="11" spans="1:30" s="351" customFormat="1" x14ac:dyDescent="0.25">
      <c r="A11" s="347">
        <v>45129</v>
      </c>
      <c r="B11" s="348" t="s">
        <v>296</v>
      </c>
      <c r="C11" s="349" t="s">
        <v>146</v>
      </c>
      <c r="D11" s="348" t="s">
        <v>316</v>
      </c>
      <c r="E11" s="349" t="s">
        <v>286</v>
      </c>
      <c r="F11" s="357" t="s">
        <v>288</v>
      </c>
      <c r="G11" s="349" t="s">
        <v>427</v>
      </c>
      <c r="H11" s="359">
        <v>5668.05</v>
      </c>
      <c r="I11" s="350"/>
    </row>
    <row r="12" spans="1:30" s="351" customFormat="1" x14ac:dyDescent="0.25">
      <c r="A12" s="347">
        <v>45146</v>
      </c>
      <c r="B12" s="348" t="s">
        <v>297</v>
      </c>
      <c r="C12" s="349" t="s">
        <v>140</v>
      </c>
      <c r="D12" s="348" t="s">
        <v>316</v>
      </c>
      <c r="E12" s="349" t="s">
        <v>286</v>
      </c>
      <c r="F12" s="357" t="s">
        <v>287</v>
      </c>
      <c r="G12" s="349" t="s">
        <v>427</v>
      </c>
      <c r="H12" s="360">
        <v>10061.67</v>
      </c>
      <c r="I12" s="350"/>
    </row>
    <row r="13" spans="1:30" s="351" customFormat="1" x14ac:dyDescent="0.25">
      <c r="A13" s="347">
        <v>45321</v>
      </c>
      <c r="B13" s="348" t="s">
        <v>298</v>
      </c>
      <c r="C13" s="349" t="s">
        <v>285</v>
      </c>
      <c r="D13" s="348" t="s">
        <v>421</v>
      </c>
      <c r="E13" s="349" t="s">
        <v>286</v>
      </c>
      <c r="F13" s="357" t="s">
        <v>288</v>
      </c>
      <c r="G13" s="349" t="s">
        <v>427</v>
      </c>
      <c r="H13" s="359">
        <v>9255.0400000000009</v>
      </c>
      <c r="I13" s="350"/>
      <c r="V13" s="354"/>
      <c r="W13" s="354"/>
      <c r="X13" s="354"/>
      <c r="Y13" s="354"/>
      <c r="Z13" s="354"/>
    </row>
    <row r="14" spans="1:30" s="351" customFormat="1" x14ac:dyDescent="0.25">
      <c r="A14" s="347">
        <v>45313</v>
      </c>
      <c r="B14" s="348" t="s">
        <v>299</v>
      </c>
      <c r="C14" s="349" t="s">
        <v>147</v>
      </c>
      <c r="D14" s="348" t="s">
        <v>316</v>
      </c>
      <c r="E14" s="349" t="s">
        <v>300</v>
      </c>
      <c r="F14" s="357" t="s">
        <v>294</v>
      </c>
      <c r="G14" s="349" t="s">
        <v>427</v>
      </c>
      <c r="H14" s="359">
        <v>1046.82</v>
      </c>
      <c r="I14" s="350"/>
      <c r="V14" s="354"/>
      <c r="W14" s="354"/>
      <c r="X14" s="354"/>
      <c r="Y14" s="354"/>
      <c r="Z14" s="354"/>
    </row>
    <row r="15" spans="1:30" s="351" customFormat="1" x14ac:dyDescent="0.25">
      <c r="A15" s="347">
        <v>45189</v>
      </c>
      <c r="B15" s="348" t="s">
        <v>301</v>
      </c>
      <c r="C15" s="349" t="s">
        <v>302</v>
      </c>
      <c r="D15" s="348" t="s">
        <v>316</v>
      </c>
      <c r="E15" s="349" t="s">
        <v>286</v>
      </c>
      <c r="F15" s="357" t="s">
        <v>288</v>
      </c>
      <c r="G15" s="349" t="s">
        <v>427</v>
      </c>
      <c r="H15" s="359">
        <v>4564.6000000000004</v>
      </c>
      <c r="I15" s="350"/>
      <c r="V15" s="354"/>
      <c r="W15" s="354"/>
      <c r="X15" s="354"/>
      <c r="Y15" s="354"/>
      <c r="Z15" s="354"/>
      <c r="AA15" s="354"/>
      <c r="AB15" s="354"/>
      <c r="AC15" s="354"/>
      <c r="AD15" s="354"/>
    </row>
    <row r="16" spans="1:30" s="351" customFormat="1" x14ac:dyDescent="0.25">
      <c r="A16" s="347">
        <v>44817</v>
      </c>
      <c r="B16" s="348" t="s">
        <v>303</v>
      </c>
      <c r="C16" s="349" t="s">
        <v>141</v>
      </c>
      <c r="D16" s="348" t="s">
        <v>422</v>
      </c>
      <c r="E16" s="349" t="s">
        <v>290</v>
      </c>
      <c r="F16" s="358" t="s">
        <v>291</v>
      </c>
      <c r="G16" s="349" t="s">
        <v>427</v>
      </c>
      <c r="H16" s="359">
        <v>68181.600000000006</v>
      </c>
      <c r="I16" s="350"/>
      <c r="V16" s="354"/>
      <c r="W16" s="354"/>
      <c r="X16" s="354"/>
      <c r="Y16" s="354"/>
      <c r="Z16" s="354"/>
      <c r="AA16" s="354"/>
      <c r="AB16" s="354"/>
      <c r="AC16" s="354"/>
      <c r="AD16" s="354"/>
    </row>
    <row r="17" spans="1:30" s="354" customFormat="1" x14ac:dyDescent="0.25">
      <c r="A17" s="347" t="s">
        <v>294</v>
      </c>
      <c r="B17" s="348" t="s">
        <v>294</v>
      </c>
      <c r="C17" s="349" t="s">
        <v>148</v>
      </c>
      <c r="D17" s="348" t="s">
        <v>419</v>
      </c>
      <c r="E17" s="349" t="s">
        <v>290</v>
      </c>
      <c r="F17" s="357" t="s">
        <v>291</v>
      </c>
      <c r="G17" s="349" t="s">
        <v>427</v>
      </c>
      <c r="H17" s="359">
        <v>2560.14</v>
      </c>
      <c r="I17" s="328"/>
      <c r="J17" s="351"/>
    </row>
    <row r="18" spans="1:30" s="354" customFormat="1" x14ac:dyDescent="0.25">
      <c r="A18" s="347">
        <v>45296</v>
      </c>
      <c r="B18" s="348" t="s">
        <v>304</v>
      </c>
      <c r="C18" s="349" t="s">
        <v>146</v>
      </c>
      <c r="D18" s="348" t="s">
        <v>316</v>
      </c>
      <c r="E18" s="349" t="s">
        <v>286</v>
      </c>
      <c r="F18" s="357" t="s">
        <v>287</v>
      </c>
      <c r="G18" s="349" t="s">
        <v>427</v>
      </c>
      <c r="H18" s="359">
        <v>8182.63</v>
      </c>
      <c r="I18" s="328"/>
      <c r="J18" s="351"/>
    </row>
    <row r="19" spans="1:30" s="354" customFormat="1" x14ac:dyDescent="0.25">
      <c r="A19" s="347">
        <v>45300</v>
      </c>
      <c r="B19" s="348" t="s">
        <v>305</v>
      </c>
      <c r="C19" s="349" t="s">
        <v>146</v>
      </c>
      <c r="D19" s="348" t="s">
        <v>316</v>
      </c>
      <c r="E19" s="349" t="s">
        <v>286</v>
      </c>
      <c r="F19" s="357" t="s">
        <v>287</v>
      </c>
      <c r="G19" s="349" t="s">
        <v>427</v>
      </c>
      <c r="H19" s="359">
        <v>3488.88</v>
      </c>
      <c r="I19" s="328"/>
      <c r="J19" s="351"/>
    </row>
    <row r="20" spans="1:30" s="354" customFormat="1" x14ac:dyDescent="0.25">
      <c r="A20" s="347">
        <v>45336</v>
      </c>
      <c r="B20" s="348" t="s">
        <v>306</v>
      </c>
      <c r="C20" s="349" t="s">
        <v>285</v>
      </c>
      <c r="D20" s="348" t="s">
        <v>423</v>
      </c>
      <c r="E20" s="349" t="s">
        <v>290</v>
      </c>
      <c r="F20" s="357" t="s">
        <v>291</v>
      </c>
      <c r="G20" s="349" t="s">
        <v>427</v>
      </c>
      <c r="H20" s="359">
        <v>11717.86</v>
      </c>
      <c r="I20" s="328"/>
      <c r="J20" s="351"/>
    </row>
    <row r="21" spans="1:30" s="354" customFormat="1" x14ac:dyDescent="0.25">
      <c r="A21" s="347">
        <v>45343</v>
      </c>
      <c r="B21" s="348" t="s">
        <v>307</v>
      </c>
      <c r="C21" s="349" t="s">
        <v>143</v>
      </c>
      <c r="D21" s="348" t="s">
        <v>421</v>
      </c>
      <c r="E21" s="349" t="s">
        <v>286</v>
      </c>
      <c r="F21" s="357" t="s">
        <v>288</v>
      </c>
      <c r="G21" s="349" t="s">
        <v>427</v>
      </c>
      <c r="H21" s="359">
        <v>9659.94</v>
      </c>
      <c r="I21" s="328"/>
      <c r="J21" s="351"/>
      <c r="V21" s="351"/>
      <c r="W21" s="351"/>
      <c r="X21" s="351"/>
      <c r="Y21" s="351"/>
      <c r="Z21" s="351"/>
    </row>
    <row r="22" spans="1:30" s="354" customFormat="1" x14ac:dyDescent="0.25">
      <c r="A22" s="347" t="s">
        <v>294</v>
      </c>
      <c r="B22" s="348" t="s">
        <v>294</v>
      </c>
      <c r="C22" s="349" t="s">
        <v>143</v>
      </c>
      <c r="D22" s="348" t="s">
        <v>421</v>
      </c>
      <c r="E22" s="349" t="s">
        <v>308</v>
      </c>
      <c r="F22" s="357" t="s">
        <v>287</v>
      </c>
      <c r="G22" s="349" t="s">
        <v>427</v>
      </c>
      <c r="H22" s="359">
        <v>3011.8</v>
      </c>
      <c r="I22" s="328"/>
      <c r="J22" s="351"/>
      <c r="V22" s="351"/>
      <c r="W22" s="351"/>
      <c r="X22" s="351"/>
      <c r="Y22" s="351"/>
      <c r="Z22" s="351"/>
    </row>
    <row r="23" spans="1:30" s="354" customFormat="1" x14ac:dyDescent="0.25">
      <c r="A23" s="347">
        <v>45329</v>
      </c>
      <c r="B23" s="348" t="s">
        <v>309</v>
      </c>
      <c r="C23" s="349" t="s">
        <v>285</v>
      </c>
      <c r="D23" s="348" t="s">
        <v>316</v>
      </c>
      <c r="E23" s="349" t="s">
        <v>300</v>
      </c>
      <c r="F23" s="357" t="s">
        <v>294</v>
      </c>
      <c r="G23" s="349" t="s">
        <v>427</v>
      </c>
      <c r="H23" s="359">
        <v>586.92999999999995</v>
      </c>
      <c r="I23" s="328"/>
      <c r="J23" s="351"/>
      <c r="V23" s="351"/>
      <c r="W23" s="351"/>
      <c r="X23" s="351"/>
      <c r="Y23" s="351"/>
      <c r="Z23" s="351"/>
    </row>
    <row r="24" spans="1:30" s="354" customFormat="1" x14ac:dyDescent="0.25">
      <c r="A24" s="347">
        <v>45330</v>
      </c>
      <c r="B24" s="348" t="s">
        <v>310</v>
      </c>
      <c r="C24" s="349" t="s">
        <v>148</v>
      </c>
      <c r="D24" s="348" t="s">
        <v>316</v>
      </c>
      <c r="E24" s="349" t="s">
        <v>300</v>
      </c>
      <c r="F24" s="357" t="s">
        <v>294</v>
      </c>
      <c r="G24" s="349" t="s">
        <v>427</v>
      </c>
      <c r="H24" s="359">
        <v>643.22</v>
      </c>
      <c r="I24" s="328"/>
      <c r="J24" s="351"/>
      <c r="V24" s="351"/>
      <c r="W24" s="351"/>
      <c r="X24" s="351"/>
      <c r="Y24" s="351"/>
      <c r="Z24" s="351"/>
      <c r="AA24" s="351"/>
      <c r="AB24" s="351"/>
    </row>
    <row r="25" spans="1:30" s="354" customFormat="1" x14ac:dyDescent="0.25">
      <c r="A25" s="347">
        <v>45329</v>
      </c>
      <c r="B25" s="348" t="s">
        <v>311</v>
      </c>
      <c r="C25" s="349" t="s">
        <v>148</v>
      </c>
      <c r="D25" s="348" t="s">
        <v>316</v>
      </c>
      <c r="E25" s="349" t="s">
        <v>300</v>
      </c>
      <c r="F25" s="357" t="s">
        <v>294</v>
      </c>
      <c r="G25" s="349" t="s">
        <v>427</v>
      </c>
      <c r="H25" s="359">
        <v>303.57</v>
      </c>
      <c r="I25" s="328"/>
      <c r="J25" s="351"/>
      <c r="V25" s="351"/>
      <c r="W25" s="351"/>
      <c r="X25" s="351"/>
      <c r="Y25" s="351"/>
      <c r="Z25" s="351"/>
      <c r="AA25" s="351"/>
      <c r="AB25" s="351"/>
      <c r="AC25" s="351"/>
      <c r="AD25" s="351"/>
    </row>
    <row r="26" spans="1:30" s="354" customFormat="1" x14ac:dyDescent="0.25">
      <c r="A26" s="347">
        <v>45330</v>
      </c>
      <c r="B26" s="348" t="s">
        <v>312</v>
      </c>
      <c r="C26" s="349" t="s">
        <v>148</v>
      </c>
      <c r="D26" s="348" t="s">
        <v>316</v>
      </c>
      <c r="E26" s="349" t="s">
        <v>300</v>
      </c>
      <c r="F26" s="357" t="s">
        <v>294</v>
      </c>
      <c r="G26" s="349" t="s">
        <v>427</v>
      </c>
      <c r="H26" s="359">
        <v>633.57000000000005</v>
      </c>
      <c r="I26" s="328"/>
      <c r="J26" s="351"/>
      <c r="V26" s="351"/>
      <c r="W26" s="351"/>
      <c r="X26" s="351"/>
      <c r="Y26" s="351"/>
      <c r="Z26" s="351"/>
      <c r="AA26" s="351"/>
      <c r="AB26" s="351"/>
      <c r="AC26" s="351"/>
      <c r="AD26" s="351"/>
    </row>
    <row r="27" spans="1:30" s="351" customFormat="1" x14ac:dyDescent="0.25">
      <c r="A27" s="347">
        <v>45345</v>
      </c>
      <c r="B27" s="348" t="s">
        <v>313</v>
      </c>
      <c r="C27" s="349" t="s">
        <v>146</v>
      </c>
      <c r="D27" s="348" t="s">
        <v>316</v>
      </c>
      <c r="E27" s="349" t="s">
        <v>300</v>
      </c>
      <c r="F27" s="357" t="s">
        <v>294</v>
      </c>
      <c r="G27" s="349" t="s">
        <v>427</v>
      </c>
      <c r="H27" s="359">
        <v>594.73</v>
      </c>
      <c r="I27" s="350"/>
    </row>
    <row r="28" spans="1:30" s="351" customFormat="1" x14ac:dyDescent="0.25">
      <c r="A28" s="347">
        <v>45346</v>
      </c>
      <c r="B28" s="348" t="s">
        <v>314</v>
      </c>
      <c r="C28" s="349" t="s">
        <v>144</v>
      </c>
      <c r="D28" s="348" t="s">
        <v>419</v>
      </c>
      <c r="E28" s="349" t="s">
        <v>290</v>
      </c>
      <c r="F28" s="358" t="s">
        <v>291</v>
      </c>
      <c r="G28" s="349" t="s">
        <v>427</v>
      </c>
      <c r="H28" s="359">
        <v>13423.34</v>
      </c>
      <c r="I28" s="350"/>
    </row>
    <row r="29" spans="1:30" s="351" customFormat="1" x14ac:dyDescent="0.25">
      <c r="A29" s="347">
        <v>45351</v>
      </c>
      <c r="B29" s="348" t="s">
        <v>315</v>
      </c>
      <c r="C29" s="349" t="s">
        <v>142</v>
      </c>
      <c r="D29" s="349" t="s">
        <v>316</v>
      </c>
      <c r="E29" s="349" t="s">
        <v>300</v>
      </c>
      <c r="F29" s="357" t="s">
        <v>294</v>
      </c>
      <c r="G29" s="349" t="s">
        <v>427</v>
      </c>
      <c r="H29" s="359">
        <v>423.57</v>
      </c>
      <c r="I29" s="350"/>
    </row>
    <row r="30" spans="1:30" s="351" customFormat="1" x14ac:dyDescent="0.25">
      <c r="A30" s="347">
        <v>45355</v>
      </c>
      <c r="B30" s="348" t="s">
        <v>317</v>
      </c>
      <c r="C30" s="349" t="s">
        <v>142</v>
      </c>
      <c r="D30" s="349" t="s">
        <v>316</v>
      </c>
      <c r="E30" s="349" t="s">
        <v>286</v>
      </c>
      <c r="F30" s="357" t="s">
        <v>318</v>
      </c>
      <c r="G30" s="349" t="s">
        <v>427</v>
      </c>
      <c r="H30" s="359">
        <v>7759.27</v>
      </c>
      <c r="I30" s="350"/>
    </row>
    <row r="31" spans="1:30" s="351" customFormat="1" x14ac:dyDescent="0.25">
      <c r="A31" s="347">
        <v>45335</v>
      </c>
      <c r="B31" s="348" t="s">
        <v>319</v>
      </c>
      <c r="C31" s="349" t="s">
        <v>144</v>
      </c>
      <c r="D31" s="348" t="s">
        <v>316</v>
      </c>
      <c r="E31" s="349" t="s">
        <v>286</v>
      </c>
      <c r="F31" s="357" t="s">
        <v>320</v>
      </c>
      <c r="G31" s="349" t="s">
        <v>427</v>
      </c>
      <c r="H31" s="359">
        <v>18703.04</v>
      </c>
      <c r="I31" s="350"/>
    </row>
    <row r="32" spans="1:30" s="351" customFormat="1" x14ac:dyDescent="0.25">
      <c r="A32" s="347">
        <v>45339</v>
      </c>
      <c r="B32" s="348" t="s">
        <v>321</v>
      </c>
      <c r="C32" s="349" t="s">
        <v>302</v>
      </c>
      <c r="D32" s="349" t="s">
        <v>316</v>
      </c>
      <c r="E32" s="349" t="s">
        <v>286</v>
      </c>
      <c r="F32" s="357" t="s">
        <v>320</v>
      </c>
      <c r="G32" s="349" t="s">
        <v>427</v>
      </c>
      <c r="H32" s="359">
        <v>6670.66</v>
      </c>
      <c r="I32" s="350"/>
    </row>
    <row r="33" spans="1:9" s="351" customFormat="1" x14ac:dyDescent="0.25">
      <c r="A33" s="347">
        <v>45336</v>
      </c>
      <c r="B33" s="348" t="s">
        <v>322</v>
      </c>
      <c r="C33" s="349" t="s">
        <v>143</v>
      </c>
      <c r="D33" s="349" t="s">
        <v>109</v>
      </c>
      <c r="E33" s="349" t="s">
        <v>323</v>
      </c>
      <c r="F33" s="348" t="s">
        <v>294</v>
      </c>
      <c r="G33" s="349" t="s">
        <v>427</v>
      </c>
      <c r="H33" s="359">
        <v>930.26</v>
      </c>
      <c r="I33" s="350"/>
    </row>
    <row r="34" spans="1:9" s="351" customFormat="1" x14ac:dyDescent="0.25">
      <c r="A34" s="347">
        <v>45328</v>
      </c>
      <c r="B34" s="348" t="s">
        <v>324</v>
      </c>
      <c r="C34" s="349" t="s">
        <v>147</v>
      </c>
      <c r="D34" s="349" t="s">
        <v>316</v>
      </c>
      <c r="E34" s="349" t="s">
        <v>300</v>
      </c>
      <c r="F34" s="357" t="s">
        <v>294</v>
      </c>
      <c r="G34" s="349" t="s">
        <v>427</v>
      </c>
      <c r="H34" s="359">
        <v>520.53</v>
      </c>
      <c r="I34" s="350"/>
    </row>
    <row r="35" spans="1:9" s="351" customFormat="1" x14ac:dyDescent="0.25">
      <c r="A35" s="347">
        <v>45362</v>
      </c>
      <c r="B35" s="348" t="s">
        <v>325</v>
      </c>
      <c r="C35" s="349" t="s">
        <v>148</v>
      </c>
      <c r="D35" s="349" t="s">
        <v>316</v>
      </c>
      <c r="E35" s="349" t="s">
        <v>286</v>
      </c>
      <c r="F35" s="357" t="s">
        <v>326</v>
      </c>
      <c r="G35" s="349" t="s">
        <v>427</v>
      </c>
      <c r="H35" s="360">
        <v>7133.99</v>
      </c>
      <c r="I35" s="350"/>
    </row>
    <row r="36" spans="1:9" s="351" customFormat="1" x14ac:dyDescent="0.25">
      <c r="A36" s="347">
        <v>45363</v>
      </c>
      <c r="B36" s="348" t="s">
        <v>327</v>
      </c>
      <c r="C36" s="349" t="s">
        <v>147</v>
      </c>
      <c r="D36" s="349" t="s">
        <v>316</v>
      </c>
      <c r="E36" s="349" t="s">
        <v>286</v>
      </c>
      <c r="F36" s="357" t="s">
        <v>328</v>
      </c>
      <c r="G36" s="349" t="s">
        <v>427</v>
      </c>
      <c r="H36" s="360">
        <v>5511.88</v>
      </c>
      <c r="I36" s="350"/>
    </row>
    <row r="37" spans="1:9" s="351" customFormat="1" x14ac:dyDescent="0.25">
      <c r="A37" s="347">
        <v>45307</v>
      </c>
      <c r="B37" s="348" t="s">
        <v>329</v>
      </c>
      <c r="C37" s="349" t="s">
        <v>142</v>
      </c>
      <c r="D37" s="349" t="s">
        <v>421</v>
      </c>
      <c r="E37" s="349" t="s">
        <v>330</v>
      </c>
      <c r="F37" s="358" t="s">
        <v>291</v>
      </c>
      <c r="G37" s="349" t="s">
        <v>427</v>
      </c>
      <c r="H37" s="359">
        <v>3549.48</v>
      </c>
      <c r="I37" s="350"/>
    </row>
    <row r="38" spans="1:9" s="351" customFormat="1" x14ac:dyDescent="0.25">
      <c r="A38" s="347">
        <v>45398</v>
      </c>
      <c r="B38" s="348" t="s">
        <v>331</v>
      </c>
      <c r="C38" s="349" t="s">
        <v>147</v>
      </c>
      <c r="D38" s="349" t="s">
        <v>419</v>
      </c>
      <c r="E38" s="349" t="s">
        <v>332</v>
      </c>
      <c r="F38" s="358" t="s">
        <v>291</v>
      </c>
      <c r="G38" s="349" t="s">
        <v>427</v>
      </c>
      <c r="H38" s="360">
        <v>3517.49</v>
      </c>
      <c r="I38" s="350"/>
    </row>
    <row r="39" spans="1:9" s="351" customFormat="1" x14ac:dyDescent="0.25">
      <c r="A39" s="347">
        <v>45379</v>
      </c>
      <c r="B39" s="348" t="s">
        <v>333</v>
      </c>
      <c r="C39" s="349" t="s">
        <v>142</v>
      </c>
      <c r="D39" s="349" t="s">
        <v>316</v>
      </c>
      <c r="E39" s="349" t="s">
        <v>286</v>
      </c>
      <c r="F39" s="357" t="s">
        <v>328</v>
      </c>
      <c r="G39" s="349" t="s">
        <v>427</v>
      </c>
      <c r="H39" s="359">
        <v>6943.43</v>
      </c>
      <c r="I39" s="350"/>
    </row>
    <row r="40" spans="1:9" s="351" customFormat="1" x14ac:dyDescent="0.25">
      <c r="A40" s="347">
        <v>45411</v>
      </c>
      <c r="B40" s="348" t="s">
        <v>334</v>
      </c>
      <c r="C40" s="349" t="s">
        <v>142</v>
      </c>
      <c r="D40" s="349" t="s">
        <v>316</v>
      </c>
      <c r="E40" s="349" t="s">
        <v>286</v>
      </c>
      <c r="F40" s="358" t="s">
        <v>291</v>
      </c>
      <c r="G40" s="349" t="s">
        <v>427</v>
      </c>
      <c r="H40" s="359">
        <v>6661.49</v>
      </c>
      <c r="I40" s="350"/>
    </row>
    <row r="41" spans="1:9" s="351" customFormat="1" x14ac:dyDescent="0.25">
      <c r="A41" s="347">
        <v>45399</v>
      </c>
      <c r="B41" s="348" t="s">
        <v>335</v>
      </c>
      <c r="C41" s="349" t="s">
        <v>143</v>
      </c>
      <c r="D41" s="349" t="s">
        <v>316</v>
      </c>
      <c r="E41" s="349" t="s">
        <v>300</v>
      </c>
      <c r="F41" s="357" t="s">
        <v>294</v>
      </c>
      <c r="G41" s="349" t="s">
        <v>427</v>
      </c>
      <c r="H41" s="359">
        <v>1006.82</v>
      </c>
      <c r="I41" s="350"/>
    </row>
    <row r="42" spans="1:9" s="351" customFormat="1" x14ac:dyDescent="0.25">
      <c r="A42" s="347">
        <v>45410</v>
      </c>
      <c r="B42" s="348" t="s">
        <v>336</v>
      </c>
      <c r="C42" s="349" t="s">
        <v>337</v>
      </c>
      <c r="D42" s="349" t="s">
        <v>316</v>
      </c>
      <c r="E42" s="349" t="s">
        <v>300</v>
      </c>
      <c r="F42" s="357" t="s">
        <v>294</v>
      </c>
      <c r="G42" s="349" t="s">
        <v>427</v>
      </c>
      <c r="H42" s="359">
        <v>778.07</v>
      </c>
      <c r="I42" s="350"/>
    </row>
    <row r="43" spans="1:9" s="351" customFormat="1" x14ac:dyDescent="0.25">
      <c r="A43" s="347">
        <v>45062</v>
      </c>
      <c r="B43" s="348" t="s">
        <v>338</v>
      </c>
      <c r="C43" s="349" t="s">
        <v>144</v>
      </c>
      <c r="D43" s="349" t="s">
        <v>316</v>
      </c>
      <c r="E43" s="349" t="s">
        <v>339</v>
      </c>
      <c r="F43" s="357" t="s">
        <v>328</v>
      </c>
      <c r="G43" s="349" t="s">
        <v>427</v>
      </c>
      <c r="H43" s="359">
        <v>4277.54</v>
      </c>
      <c r="I43" s="350"/>
    </row>
    <row r="44" spans="1:9" s="351" customFormat="1" x14ac:dyDescent="0.25">
      <c r="A44" s="347">
        <v>45422</v>
      </c>
      <c r="B44" s="348" t="s">
        <v>340</v>
      </c>
      <c r="C44" s="349" t="s">
        <v>285</v>
      </c>
      <c r="D44" s="349" t="s">
        <v>316</v>
      </c>
      <c r="E44" s="349" t="s">
        <v>300</v>
      </c>
      <c r="F44" s="357" t="s">
        <v>294</v>
      </c>
      <c r="G44" s="349" t="s">
        <v>427</v>
      </c>
      <c r="H44" s="359">
        <v>538.38</v>
      </c>
      <c r="I44" s="350"/>
    </row>
    <row r="45" spans="1:9" s="351" customFormat="1" x14ac:dyDescent="0.25">
      <c r="A45" s="347">
        <v>45441</v>
      </c>
      <c r="B45" s="348" t="s">
        <v>341</v>
      </c>
      <c r="C45" s="349" t="s">
        <v>140</v>
      </c>
      <c r="D45" s="349" t="s">
        <v>316</v>
      </c>
      <c r="E45" s="349" t="s">
        <v>308</v>
      </c>
      <c r="F45" s="357" t="s">
        <v>318</v>
      </c>
      <c r="G45" s="349" t="s">
        <v>427</v>
      </c>
      <c r="H45" s="359">
        <v>4732.74</v>
      </c>
      <c r="I45" s="350"/>
    </row>
    <row r="46" spans="1:9" s="351" customFormat="1" x14ac:dyDescent="0.25">
      <c r="A46" s="347">
        <v>45442</v>
      </c>
      <c r="B46" s="348" t="s">
        <v>342</v>
      </c>
      <c r="C46" s="349" t="s">
        <v>140</v>
      </c>
      <c r="D46" s="349" t="s">
        <v>316</v>
      </c>
      <c r="E46" s="349" t="s">
        <v>308</v>
      </c>
      <c r="F46" s="357" t="s">
        <v>328</v>
      </c>
      <c r="G46" s="349" t="s">
        <v>427</v>
      </c>
      <c r="H46" s="359">
        <v>3828.14</v>
      </c>
      <c r="I46" s="350"/>
    </row>
    <row r="47" spans="1:9" s="351" customFormat="1" x14ac:dyDescent="0.25">
      <c r="A47" s="347">
        <v>45445</v>
      </c>
      <c r="B47" s="348" t="s">
        <v>343</v>
      </c>
      <c r="C47" s="349" t="s">
        <v>147</v>
      </c>
      <c r="D47" s="349" t="s">
        <v>419</v>
      </c>
      <c r="E47" s="349" t="s">
        <v>286</v>
      </c>
      <c r="F47" s="357" t="s">
        <v>320</v>
      </c>
      <c r="G47" s="349" t="s">
        <v>427</v>
      </c>
      <c r="H47" s="359">
        <v>19857</v>
      </c>
      <c r="I47" s="350"/>
    </row>
    <row r="48" spans="1:9" s="351" customFormat="1" x14ac:dyDescent="0.25">
      <c r="A48" s="347">
        <v>45443</v>
      </c>
      <c r="B48" s="348" t="s">
        <v>344</v>
      </c>
      <c r="C48" s="349" t="s">
        <v>146</v>
      </c>
      <c r="D48" s="349" t="s">
        <v>316</v>
      </c>
      <c r="E48" s="349" t="s">
        <v>345</v>
      </c>
      <c r="F48" s="357" t="s">
        <v>294</v>
      </c>
      <c r="G48" s="349" t="s">
        <v>427</v>
      </c>
      <c r="H48" s="359">
        <v>926.34</v>
      </c>
      <c r="I48" s="350"/>
    </row>
    <row r="49" spans="1:9" s="351" customFormat="1" x14ac:dyDescent="0.25">
      <c r="A49" s="347">
        <v>45446</v>
      </c>
      <c r="B49" s="348" t="s">
        <v>346</v>
      </c>
      <c r="C49" s="349" t="s">
        <v>139</v>
      </c>
      <c r="D49" s="349" t="s">
        <v>421</v>
      </c>
      <c r="E49" s="349" t="s">
        <v>290</v>
      </c>
      <c r="F49" s="358" t="s">
        <v>291</v>
      </c>
      <c r="G49" s="349" t="s">
        <v>427</v>
      </c>
      <c r="H49" s="359">
        <v>5142.8999999999996</v>
      </c>
      <c r="I49" s="350"/>
    </row>
    <row r="50" spans="1:9" s="351" customFormat="1" x14ac:dyDescent="0.25">
      <c r="A50" s="347">
        <v>45446</v>
      </c>
      <c r="B50" s="348" t="s">
        <v>347</v>
      </c>
      <c r="C50" s="349" t="s">
        <v>142</v>
      </c>
      <c r="D50" s="349" t="s">
        <v>316</v>
      </c>
      <c r="E50" s="349" t="s">
        <v>345</v>
      </c>
      <c r="F50" s="357" t="s">
        <v>294</v>
      </c>
      <c r="G50" s="349" t="s">
        <v>427</v>
      </c>
      <c r="H50" s="359">
        <v>487.52</v>
      </c>
      <c r="I50" s="350"/>
    </row>
    <row r="51" spans="1:9" s="351" customFormat="1" x14ac:dyDescent="0.25">
      <c r="A51" s="347">
        <v>45457</v>
      </c>
      <c r="B51" s="348" t="s">
        <v>348</v>
      </c>
      <c r="C51" s="349" t="s">
        <v>141</v>
      </c>
      <c r="D51" s="349" t="s">
        <v>316</v>
      </c>
      <c r="E51" s="349" t="s">
        <v>290</v>
      </c>
      <c r="F51" s="358" t="s">
        <v>291</v>
      </c>
      <c r="G51" s="349" t="s">
        <v>427</v>
      </c>
      <c r="H51" s="359">
        <v>4870.8100000000004</v>
      </c>
      <c r="I51" s="350"/>
    </row>
    <row r="52" spans="1:9" s="351" customFormat="1" x14ac:dyDescent="0.25">
      <c r="A52" s="347">
        <v>45459</v>
      </c>
      <c r="B52" s="348" t="s">
        <v>349</v>
      </c>
      <c r="C52" s="349" t="s">
        <v>141</v>
      </c>
      <c r="D52" s="349" t="s">
        <v>316</v>
      </c>
      <c r="E52" s="349" t="s">
        <v>350</v>
      </c>
      <c r="F52" s="357" t="s">
        <v>294</v>
      </c>
      <c r="G52" s="349" t="s">
        <v>427</v>
      </c>
      <c r="H52" s="359">
        <v>369.07</v>
      </c>
      <c r="I52" s="350"/>
    </row>
    <row r="53" spans="1:9" s="351" customFormat="1" x14ac:dyDescent="0.25">
      <c r="A53" s="347">
        <v>45469</v>
      </c>
      <c r="B53" s="348" t="s">
        <v>351</v>
      </c>
      <c r="C53" s="349" t="s">
        <v>148</v>
      </c>
      <c r="D53" s="349" t="s">
        <v>316</v>
      </c>
      <c r="E53" s="349" t="s">
        <v>352</v>
      </c>
      <c r="F53" s="349"/>
      <c r="G53" s="349" t="s">
        <v>427</v>
      </c>
      <c r="H53" s="360">
        <v>10300.31</v>
      </c>
      <c r="I53" s="350"/>
    </row>
    <row r="54" spans="1:9" s="351" customFormat="1" x14ac:dyDescent="0.25">
      <c r="A54" s="347">
        <v>45481</v>
      </c>
      <c r="B54" s="348" t="s">
        <v>353</v>
      </c>
      <c r="C54" s="349" t="s">
        <v>142</v>
      </c>
      <c r="D54" s="349" t="s">
        <v>316</v>
      </c>
      <c r="E54" s="349" t="s">
        <v>286</v>
      </c>
      <c r="F54" s="349"/>
      <c r="G54" s="349" t="s">
        <v>427</v>
      </c>
      <c r="H54" s="360">
        <v>7435</v>
      </c>
      <c r="I54" s="350"/>
    </row>
    <row r="55" spans="1:9" s="351" customFormat="1" x14ac:dyDescent="0.25">
      <c r="A55" s="347">
        <v>45513</v>
      </c>
      <c r="B55" s="348" t="s">
        <v>354</v>
      </c>
      <c r="C55" s="349" t="s">
        <v>148</v>
      </c>
      <c r="D55" s="349" t="s">
        <v>316</v>
      </c>
      <c r="E55" s="349" t="s">
        <v>286</v>
      </c>
      <c r="F55" s="353" t="s">
        <v>291</v>
      </c>
      <c r="G55" s="349" t="s">
        <v>427</v>
      </c>
      <c r="H55" s="360">
        <v>13595</v>
      </c>
      <c r="I55" s="350"/>
    </row>
    <row r="56" spans="1:9" s="351" customFormat="1" x14ac:dyDescent="0.25">
      <c r="A56" s="347">
        <v>45485</v>
      </c>
      <c r="B56" s="348" t="s">
        <v>355</v>
      </c>
      <c r="C56" s="349" t="s">
        <v>148</v>
      </c>
      <c r="D56" s="349" t="s">
        <v>316</v>
      </c>
      <c r="E56" s="349" t="s">
        <v>350</v>
      </c>
      <c r="F56" s="346" t="s">
        <v>294</v>
      </c>
      <c r="G56" s="349" t="s">
        <v>427</v>
      </c>
      <c r="H56" s="360">
        <v>1495</v>
      </c>
      <c r="I56" s="350"/>
    </row>
    <row r="57" spans="1:9" s="351" customFormat="1" x14ac:dyDescent="0.25">
      <c r="A57" s="347">
        <v>45490</v>
      </c>
      <c r="B57" s="348" t="s">
        <v>356</v>
      </c>
      <c r="C57" s="349" t="s">
        <v>337</v>
      </c>
      <c r="D57" s="349" t="s">
        <v>316</v>
      </c>
      <c r="E57" s="349" t="s">
        <v>332</v>
      </c>
      <c r="F57" s="349"/>
      <c r="G57" s="349" t="s">
        <v>427</v>
      </c>
      <c r="H57" s="360">
        <v>6864.4</v>
      </c>
      <c r="I57" s="350"/>
    </row>
    <row r="58" spans="1:9" s="351" customFormat="1" x14ac:dyDescent="0.25">
      <c r="A58" s="347">
        <v>45496</v>
      </c>
      <c r="B58" s="348" t="s">
        <v>357</v>
      </c>
      <c r="C58" s="349" t="s">
        <v>302</v>
      </c>
      <c r="D58" s="349" t="s">
        <v>316</v>
      </c>
      <c r="E58" s="349" t="s">
        <v>358</v>
      </c>
      <c r="F58" s="346" t="s">
        <v>318</v>
      </c>
      <c r="G58" s="349" t="s">
        <v>427</v>
      </c>
      <c r="H58" s="360">
        <v>2545</v>
      </c>
      <c r="I58" s="350"/>
    </row>
    <row r="59" spans="1:9" s="351" customFormat="1" x14ac:dyDescent="0.25">
      <c r="A59" s="347">
        <v>45498</v>
      </c>
      <c r="B59" s="348" t="s">
        <v>359</v>
      </c>
      <c r="C59" s="349" t="s">
        <v>142</v>
      </c>
      <c r="D59" s="349" t="s">
        <v>316</v>
      </c>
      <c r="E59" s="349" t="s">
        <v>360</v>
      </c>
      <c r="F59" s="346" t="s">
        <v>294</v>
      </c>
      <c r="G59" s="349" t="s">
        <v>427</v>
      </c>
      <c r="H59" s="360">
        <v>8008.4</v>
      </c>
      <c r="I59" s="350"/>
    </row>
    <row r="60" spans="1:9" s="351" customFormat="1" x14ac:dyDescent="0.25">
      <c r="A60" s="347">
        <v>45508</v>
      </c>
      <c r="B60" s="348" t="s">
        <v>361</v>
      </c>
      <c r="C60" s="349" t="s">
        <v>148</v>
      </c>
      <c r="D60" s="349" t="s">
        <v>316</v>
      </c>
      <c r="E60" s="349" t="s">
        <v>362</v>
      </c>
      <c r="F60" s="353" t="s">
        <v>291</v>
      </c>
      <c r="G60" s="349" t="s">
        <v>427</v>
      </c>
      <c r="H60" s="360">
        <v>11831</v>
      </c>
      <c r="I60" s="350"/>
    </row>
    <row r="61" spans="1:9" s="351" customFormat="1" x14ac:dyDescent="0.25">
      <c r="A61" s="347">
        <v>45508</v>
      </c>
      <c r="B61" s="348" t="s">
        <v>363</v>
      </c>
      <c r="C61" s="349" t="s">
        <v>148</v>
      </c>
      <c r="D61" s="349" t="s">
        <v>316</v>
      </c>
      <c r="E61" s="349" t="s">
        <v>362</v>
      </c>
      <c r="F61" s="353" t="s">
        <v>291</v>
      </c>
      <c r="G61" s="349" t="s">
        <v>427</v>
      </c>
      <c r="H61" s="360">
        <v>11298</v>
      </c>
      <c r="I61" s="350"/>
    </row>
    <row r="62" spans="1:9" s="351" customFormat="1" x14ac:dyDescent="0.25">
      <c r="A62" s="347">
        <v>45463</v>
      </c>
      <c r="B62" s="348" t="s">
        <v>364</v>
      </c>
      <c r="C62" s="349" t="s">
        <v>139</v>
      </c>
      <c r="D62" s="349" t="s">
        <v>316</v>
      </c>
      <c r="E62" s="349" t="s">
        <v>365</v>
      </c>
      <c r="F62" s="353" t="s">
        <v>291</v>
      </c>
      <c r="G62" s="349" t="s">
        <v>427</v>
      </c>
      <c r="H62" s="360">
        <v>3148.57</v>
      </c>
      <c r="I62" s="350"/>
    </row>
    <row r="63" spans="1:9" s="351" customFormat="1" x14ac:dyDescent="0.25">
      <c r="A63" s="347">
        <v>45514</v>
      </c>
      <c r="B63" s="348" t="s">
        <v>366</v>
      </c>
      <c r="C63" s="349" t="s">
        <v>142</v>
      </c>
      <c r="D63" s="349" t="s">
        <v>316</v>
      </c>
      <c r="E63" s="349" t="s">
        <v>300</v>
      </c>
      <c r="F63" s="346" t="s">
        <v>294</v>
      </c>
      <c r="G63" s="349" t="s">
        <v>427</v>
      </c>
      <c r="H63" s="360">
        <v>700</v>
      </c>
      <c r="I63" s="350"/>
    </row>
    <row r="64" spans="1:9" s="351" customFormat="1" x14ac:dyDescent="0.25">
      <c r="A64" s="347">
        <v>45531</v>
      </c>
      <c r="B64" s="348" t="s">
        <v>367</v>
      </c>
      <c r="C64" s="349" t="s">
        <v>143</v>
      </c>
      <c r="D64" s="349" t="s">
        <v>419</v>
      </c>
      <c r="E64" s="349" t="s">
        <v>368</v>
      </c>
      <c r="F64" s="353" t="s">
        <v>291</v>
      </c>
      <c r="G64" s="349" t="s">
        <v>427</v>
      </c>
      <c r="H64" s="360">
        <v>6008.64</v>
      </c>
      <c r="I64" s="350"/>
    </row>
    <row r="65" spans="1:9" s="351" customFormat="1" x14ac:dyDescent="0.25">
      <c r="A65" s="347">
        <v>45537</v>
      </c>
      <c r="B65" s="348" t="s">
        <v>369</v>
      </c>
      <c r="C65" s="349" t="s">
        <v>142</v>
      </c>
      <c r="D65" s="349" t="s">
        <v>421</v>
      </c>
      <c r="E65" s="349" t="s">
        <v>370</v>
      </c>
      <c r="F65" s="353" t="s">
        <v>371</v>
      </c>
      <c r="G65" s="349" t="s">
        <v>427</v>
      </c>
      <c r="H65" s="360">
        <v>14096.82</v>
      </c>
      <c r="I65" s="350"/>
    </row>
    <row r="66" spans="1:9" s="351" customFormat="1" x14ac:dyDescent="0.25">
      <c r="A66" s="347">
        <v>45538</v>
      </c>
      <c r="B66" s="348" t="s">
        <v>372</v>
      </c>
      <c r="C66" s="349" t="s">
        <v>148</v>
      </c>
      <c r="D66" s="349" t="s">
        <v>316</v>
      </c>
      <c r="E66" s="349" t="s">
        <v>373</v>
      </c>
      <c r="F66" s="346" t="s">
        <v>287</v>
      </c>
      <c r="G66" s="349" t="s">
        <v>427</v>
      </c>
      <c r="H66" s="360">
        <v>30959</v>
      </c>
      <c r="I66" s="350"/>
    </row>
    <row r="67" spans="1:9" s="351" customFormat="1" x14ac:dyDescent="0.25">
      <c r="A67" s="347">
        <v>45555</v>
      </c>
      <c r="B67" s="348" t="s">
        <v>374</v>
      </c>
      <c r="C67" s="349" t="s">
        <v>142</v>
      </c>
      <c r="D67" s="349" t="s">
        <v>316</v>
      </c>
      <c r="E67" s="349" t="s">
        <v>375</v>
      </c>
      <c r="F67" s="346" t="s">
        <v>294</v>
      </c>
      <c r="G67" s="349" t="s">
        <v>427</v>
      </c>
      <c r="H67" s="360">
        <v>700</v>
      </c>
      <c r="I67" s="350"/>
    </row>
    <row r="68" spans="1:9" s="351" customFormat="1" x14ac:dyDescent="0.25">
      <c r="A68" s="347">
        <v>45557</v>
      </c>
      <c r="B68" s="348" t="s">
        <v>376</v>
      </c>
      <c r="C68" s="349" t="s">
        <v>285</v>
      </c>
      <c r="D68" s="349" t="s">
        <v>316</v>
      </c>
      <c r="E68" s="349" t="s">
        <v>377</v>
      </c>
      <c r="F68" s="349" t="s">
        <v>378</v>
      </c>
      <c r="G68" s="349" t="s">
        <v>427</v>
      </c>
      <c r="H68" s="360">
        <v>55154.57</v>
      </c>
      <c r="I68" s="350"/>
    </row>
    <row r="69" spans="1:9" s="351" customFormat="1" x14ac:dyDescent="0.25">
      <c r="A69" s="347">
        <v>45557</v>
      </c>
      <c r="B69" s="348" t="s">
        <v>379</v>
      </c>
      <c r="C69" s="349" t="s">
        <v>141</v>
      </c>
      <c r="D69" s="349" t="s">
        <v>316</v>
      </c>
      <c r="E69" s="349" t="s">
        <v>290</v>
      </c>
      <c r="F69" s="346" t="s">
        <v>294</v>
      </c>
      <c r="G69" s="349" t="s">
        <v>427</v>
      </c>
      <c r="H69" s="360">
        <v>8280</v>
      </c>
      <c r="I69" s="350"/>
    </row>
    <row r="70" spans="1:9" s="351" customFormat="1" x14ac:dyDescent="0.25">
      <c r="A70" s="347">
        <v>45558</v>
      </c>
      <c r="B70" s="348" t="s">
        <v>380</v>
      </c>
      <c r="C70" s="349" t="s">
        <v>302</v>
      </c>
      <c r="D70" s="349" t="s">
        <v>316</v>
      </c>
      <c r="E70" s="349" t="s">
        <v>300</v>
      </c>
      <c r="F70" s="346" t="s">
        <v>294</v>
      </c>
      <c r="G70" s="349" t="s">
        <v>427</v>
      </c>
      <c r="H70" s="360">
        <v>1030</v>
      </c>
      <c r="I70" s="350"/>
    </row>
    <row r="71" spans="1:9" s="351" customFormat="1" x14ac:dyDescent="0.25">
      <c r="A71" s="347">
        <v>45561</v>
      </c>
      <c r="B71" s="348" t="s">
        <v>381</v>
      </c>
      <c r="C71" s="349" t="s">
        <v>148</v>
      </c>
      <c r="D71" s="349" t="s">
        <v>316</v>
      </c>
      <c r="E71" s="349" t="s">
        <v>377</v>
      </c>
      <c r="F71" s="346" t="s">
        <v>287</v>
      </c>
      <c r="G71" s="349" t="s">
        <v>427</v>
      </c>
      <c r="H71" s="360">
        <v>24369</v>
      </c>
      <c r="I71" s="350"/>
    </row>
    <row r="72" spans="1:9" s="351" customFormat="1" x14ac:dyDescent="0.25">
      <c r="A72" s="347">
        <v>45575</v>
      </c>
      <c r="B72" s="348" t="s">
        <v>382</v>
      </c>
      <c r="C72" s="349" t="s">
        <v>148</v>
      </c>
      <c r="D72" s="349" t="s">
        <v>316</v>
      </c>
      <c r="E72" s="349" t="s">
        <v>300</v>
      </c>
      <c r="F72" s="346" t="s">
        <v>294</v>
      </c>
      <c r="G72" s="349" t="s">
        <v>427</v>
      </c>
      <c r="H72" s="360">
        <v>810</v>
      </c>
      <c r="I72" s="350"/>
    </row>
    <row r="73" spans="1:9" s="351" customFormat="1" x14ac:dyDescent="0.25">
      <c r="A73" s="347">
        <v>45580</v>
      </c>
      <c r="B73" s="348" t="s">
        <v>383</v>
      </c>
      <c r="C73" s="349" t="s">
        <v>146</v>
      </c>
      <c r="D73" s="349" t="s">
        <v>316</v>
      </c>
      <c r="E73" s="349" t="s">
        <v>377</v>
      </c>
      <c r="F73" s="353" t="s">
        <v>384</v>
      </c>
      <c r="G73" s="349" t="s">
        <v>427</v>
      </c>
      <c r="H73" s="360">
        <v>8105.57</v>
      </c>
      <c r="I73" s="350"/>
    </row>
    <row r="74" spans="1:9" s="351" customFormat="1" x14ac:dyDescent="0.25">
      <c r="A74" s="347">
        <v>45594</v>
      </c>
      <c r="B74" s="348" t="s">
        <v>385</v>
      </c>
      <c r="C74" s="349" t="s">
        <v>285</v>
      </c>
      <c r="D74" s="349" t="s">
        <v>316</v>
      </c>
      <c r="E74" s="349" t="s">
        <v>290</v>
      </c>
      <c r="F74" s="353" t="s">
        <v>384</v>
      </c>
      <c r="G74" s="349" t="s">
        <v>427</v>
      </c>
      <c r="H74" s="360">
        <v>20072.599999999999</v>
      </c>
      <c r="I74" s="350"/>
    </row>
    <row r="75" spans="1:9" s="351" customFormat="1" x14ac:dyDescent="0.25">
      <c r="A75" s="347">
        <v>45597</v>
      </c>
      <c r="B75" s="348" t="s">
        <v>386</v>
      </c>
      <c r="C75" s="349" t="s">
        <v>148</v>
      </c>
      <c r="D75" s="349" t="s">
        <v>316</v>
      </c>
      <c r="E75" s="349" t="s">
        <v>290</v>
      </c>
      <c r="F75" s="353" t="s">
        <v>384</v>
      </c>
      <c r="G75" s="349" t="s">
        <v>427</v>
      </c>
      <c r="H75" s="360">
        <v>8989.07</v>
      </c>
      <c r="I75" s="350"/>
    </row>
    <row r="76" spans="1:9" s="351" customFormat="1" x14ac:dyDescent="0.25">
      <c r="A76" s="347">
        <v>45589</v>
      </c>
      <c r="B76" s="348" t="s">
        <v>387</v>
      </c>
      <c r="C76" s="349" t="s">
        <v>148</v>
      </c>
      <c r="D76" s="349" t="s">
        <v>316</v>
      </c>
      <c r="E76" s="349" t="s">
        <v>300</v>
      </c>
      <c r="F76" s="346" t="s">
        <v>294</v>
      </c>
      <c r="G76" s="349" t="s">
        <v>427</v>
      </c>
      <c r="H76" s="360">
        <v>700</v>
      </c>
      <c r="I76" s="350"/>
    </row>
    <row r="77" spans="1:9" s="351" customFormat="1" x14ac:dyDescent="0.25">
      <c r="A77" s="347">
        <v>45601</v>
      </c>
      <c r="B77" s="348" t="s">
        <v>388</v>
      </c>
      <c r="C77" s="349" t="s">
        <v>148</v>
      </c>
      <c r="D77" s="349" t="s">
        <v>316</v>
      </c>
      <c r="E77" s="349" t="s">
        <v>286</v>
      </c>
      <c r="F77" s="353" t="s">
        <v>384</v>
      </c>
      <c r="G77" s="349" t="s">
        <v>427</v>
      </c>
      <c r="H77" s="360">
        <v>16773</v>
      </c>
      <c r="I77" s="350"/>
    </row>
    <row r="78" spans="1:9" s="351" customFormat="1" x14ac:dyDescent="0.25">
      <c r="A78" s="347">
        <v>45597</v>
      </c>
      <c r="B78" s="348" t="s">
        <v>389</v>
      </c>
      <c r="C78" s="349" t="s">
        <v>140</v>
      </c>
      <c r="D78" s="349" t="s">
        <v>316</v>
      </c>
      <c r="E78" s="349" t="s">
        <v>290</v>
      </c>
      <c r="F78" s="353" t="s">
        <v>384</v>
      </c>
      <c r="G78" s="349" t="s">
        <v>427</v>
      </c>
      <c r="H78" s="360">
        <v>10146</v>
      </c>
      <c r="I78" s="350"/>
    </row>
    <row r="79" spans="1:9" s="351" customFormat="1" x14ac:dyDescent="0.25">
      <c r="A79" s="347">
        <v>45602</v>
      </c>
      <c r="B79" s="348" t="s">
        <v>390</v>
      </c>
      <c r="C79" s="349" t="s">
        <v>148</v>
      </c>
      <c r="D79" s="349" t="s">
        <v>316</v>
      </c>
      <c r="E79" s="349" t="s">
        <v>300</v>
      </c>
      <c r="F79" s="346" t="s">
        <v>294</v>
      </c>
      <c r="G79" s="349" t="s">
        <v>427</v>
      </c>
      <c r="H79" s="360">
        <v>700</v>
      </c>
      <c r="I79" s="350"/>
    </row>
    <row r="80" spans="1:9" s="351" customFormat="1" x14ac:dyDescent="0.25">
      <c r="A80" s="347">
        <v>45602</v>
      </c>
      <c r="B80" s="348" t="s">
        <v>391</v>
      </c>
      <c r="C80" s="349" t="s">
        <v>148</v>
      </c>
      <c r="D80" s="349" t="s">
        <v>316</v>
      </c>
      <c r="E80" s="349" t="s">
        <v>290</v>
      </c>
      <c r="F80" s="353" t="s">
        <v>384</v>
      </c>
      <c r="G80" s="349" t="s">
        <v>427</v>
      </c>
      <c r="H80" s="360">
        <v>9140.86</v>
      </c>
      <c r="I80" s="350"/>
    </row>
    <row r="81" spans="1:26" s="351" customFormat="1" x14ac:dyDescent="0.25">
      <c r="A81" s="347">
        <v>45602</v>
      </c>
      <c r="B81" s="348" t="s">
        <v>392</v>
      </c>
      <c r="C81" s="349" t="s">
        <v>147</v>
      </c>
      <c r="D81" s="349" t="s">
        <v>316</v>
      </c>
      <c r="E81" s="349" t="s">
        <v>377</v>
      </c>
      <c r="F81" s="346" t="s">
        <v>318</v>
      </c>
      <c r="G81" s="349" t="s">
        <v>427</v>
      </c>
      <c r="H81" s="360">
        <v>16628.099999999999</v>
      </c>
      <c r="I81" s="350"/>
    </row>
    <row r="82" spans="1:26" s="351" customFormat="1" x14ac:dyDescent="0.25">
      <c r="A82" s="347">
        <v>45613</v>
      </c>
      <c r="B82" s="348" t="s">
        <v>393</v>
      </c>
      <c r="C82" s="349" t="s">
        <v>146</v>
      </c>
      <c r="D82" s="349" t="s">
        <v>420</v>
      </c>
      <c r="E82" s="349" t="s">
        <v>394</v>
      </c>
      <c r="F82" s="353" t="s">
        <v>384</v>
      </c>
      <c r="G82" s="349" t="s">
        <v>427</v>
      </c>
      <c r="H82" s="360">
        <v>9943</v>
      </c>
      <c r="I82" s="350"/>
    </row>
    <row r="83" spans="1:26" s="351" customFormat="1" x14ac:dyDescent="0.25">
      <c r="A83" s="347">
        <v>45614</v>
      </c>
      <c r="B83" s="348" t="s">
        <v>395</v>
      </c>
      <c r="C83" s="349" t="s">
        <v>142</v>
      </c>
      <c r="D83" s="349" t="s">
        <v>422</v>
      </c>
      <c r="E83" s="349" t="s">
        <v>396</v>
      </c>
      <c r="F83" s="353" t="s">
        <v>384</v>
      </c>
      <c r="G83" s="349" t="s">
        <v>427</v>
      </c>
      <c r="H83" s="360">
        <v>6357</v>
      </c>
      <c r="I83" s="350"/>
    </row>
    <row r="84" spans="1:26" s="351" customFormat="1" x14ac:dyDescent="0.25">
      <c r="A84" s="347">
        <v>45614</v>
      </c>
      <c r="B84" s="348" t="s">
        <v>397</v>
      </c>
      <c r="C84" s="349" t="s">
        <v>146</v>
      </c>
      <c r="D84" s="349" t="s">
        <v>316</v>
      </c>
      <c r="E84" s="349" t="s">
        <v>300</v>
      </c>
      <c r="F84" s="346" t="s">
        <v>294</v>
      </c>
      <c r="G84" s="349" t="s">
        <v>427</v>
      </c>
      <c r="H84" s="360">
        <v>1527.58</v>
      </c>
      <c r="I84" s="350"/>
    </row>
    <row r="85" spans="1:26" s="351" customFormat="1" x14ac:dyDescent="0.25">
      <c r="A85" s="347">
        <v>45583</v>
      </c>
      <c r="B85" s="348" t="s">
        <v>398</v>
      </c>
      <c r="C85" s="349" t="s">
        <v>140</v>
      </c>
      <c r="D85" s="349" t="s">
        <v>421</v>
      </c>
      <c r="E85" s="349" t="s">
        <v>290</v>
      </c>
      <c r="F85" s="353" t="s">
        <v>384</v>
      </c>
      <c r="G85" s="349" t="s">
        <v>427</v>
      </c>
      <c r="H85" s="360">
        <v>8437</v>
      </c>
      <c r="I85" s="350"/>
    </row>
    <row r="86" spans="1:26" s="351" customFormat="1" x14ac:dyDescent="0.25">
      <c r="A86" s="347">
        <v>45610</v>
      </c>
      <c r="B86" s="348" t="s">
        <v>399</v>
      </c>
      <c r="C86" s="349" t="s">
        <v>148</v>
      </c>
      <c r="D86" s="349" t="s">
        <v>316</v>
      </c>
      <c r="E86" s="349" t="s">
        <v>300</v>
      </c>
      <c r="F86" s="346" t="s">
        <v>294</v>
      </c>
      <c r="G86" s="349" t="s">
        <v>427</v>
      </c>
      <c r="H86" s="360">
        <v>1825</v>
      </c>
      <c r="I86" s="350"/>
    </row>
    <row r="87" spans="1:26" s="351" customFormat="1" x14ac:dyDescent="0.25">
      <c r="A87" s="347">
        <v>45622</v>
      </c>
      <c r="B87" s="348" t="s">
        <v>400</v>
      </c>
      <c r="C87" s="349" t="s">
        <v>142</v>
      </c>
      <c r="D87" s="349" t="s">
        <v>316</v>
      </c>
      <c r="E87" s="349" t="s">
        <v>332</v>
      </c>
      <c r="F87" s="353" t="s">
        <v>384</v>
      </c>
      <c r="G87" s="349" t="s">
        <v>427</v>
      </c>
      <c r="H87" s="360">
        <v>7534</v>
      </c>
      <c r="I87" s="350"/>
    </row>
    <row r="88" spans="1:26" s="351" customFormat="1" x14ac:dyDescent="0.25">
      <c r="A88" s="347">
        <v>45574</v>
      </c>
      <c r="B88" s="348" t="s">
        <v>401</v>
      </c>
      <c r="C88" s="349" t="s">
        <v>337</v>
      </c>
      <c r="D88" s="349" t="s">
        <v>316</v>
      </c>
      <c r="E88" s="349" t="s">
        <v>402</v>
      </c>
      <c r="F88" s="353" t="s">
        <v>384</v>
      </c>
      <c r="G88" s="349" t="s">
        <v>427</v>
      </c>
      <c r="H88" s="360">
        <v>2963.95</v>
      </c>
      <c r="I88" s="350"/>
    </row>
    <row r="89" spans="1:26" s="351" customFormat="1" x14ac:dyDescent="0.25">
      <c r="A89" s="347">
        <v>45628</v>
      </c>
      <c r="B89" s="348" t="s">
        <v>403</v>
      </c>
      <c r="C89" s="349" t="s">
        <v>142</v>
      </c>
      <c r="D89" s="349" t="s">
        <v>316</v>
      </c>
      <c r="E89" s="349" t="s">
        <v>332</v>
      </c>
      <c r="F89" s="353" t="s">
        <v>384</v>
      </c>
      <c r="G89" s="349" t="s">
        <v>427</v>
      </c>
      <c r="H89" s="360">
        <v>7364</v>
      </c>
      <c r="I89" s="350"/>
    </row>
    <row r="90" spans="1:26" s="351" customFormat="1" x14ac:dyDescent="0.25">
      <c r="A90" s="347">
        <v>45630</v>
      </c>
      <c r="B90" s="348" t="s">
        <v>404</v>
      </c>
      <c r="C90" s="349" t="s">
        <v>142</v>
      </c>
      <c r="D90" s="349" t="s">
        <v>316</v>
      </c>
      <c r="E90" s="349" t="s">
        <v>394</v>
      </c>
      <c r="F90" s="353" t="s">
        <v>384</v>
      </c>
      <c r="G90" s="349" t="s">
        <v>427</v>
      </c>
      <c r="H90" s="360">
        <v>4635</v>
      </c>
      <c r="I90" s="350"/>
    </row>
    <row r="91" spans="1:26" s="351" customFormat="1" x14ac:dyDescent="0.25">
      <c r="A91" s="347">
        <v>45631</v>
      </c>
      <c r="B91" s="348" t="s">
        <v>405</v>
      </c>
      <c r="C91" s="349" t="s">
        <v>142</v>
      </c>
      <c r="D91" s="349" t="s">
        <v>422</v>
      </c>
      <c r="E91" s="349" t="s">
        <v>394</v>
      </c>
      <c r="F91" s="353" t="s">
        <v>384</v>
      </c>
      <c r="G91" s="349" t="s">
        <v>427</v>
      </c>
      <c r="H91" s="360">
        <v>5166</v>
      </c>
      <c r="I91" s="350"/>
    </row>
    <row r="92" spans="1:26" s="351" customFormat="1" x14ac:dyDescent="0.25">
      <c r="A92" s="347">
        <v>45635</v>
      </c>
      <c r="B92" s="348" t="s">
        <v>406</v>
      </c>
      <c r="C92" s="349" t="s">
        <v>145</v>
      </c>
      <c r="D92" s="349" t="s">
        <v>316</v>
      </c>
      <c r="E92" s="349" t="s">
        <v>407</v>
      </c>
      <c r="F92" s="353" t="s">
        <v>384</v>
      </c>
      <c r="G92" s="349" t="s">
        <v>427</v>
      </c>
      <c r="H92" s="355">
        <v>0</v>
      </c>
      <c r="I92" s="350"/>
    </row>
    <row r="93" spans="1:26" s="351" customFormat="1" x14ac:dyDescent="0.25">
      <c r="A93" s="347">
        <v>45642</v>
      </c>
      <c r="B93" s="348" t="s">
        <v>408</v>
      </c>
      <c r="C93" s="349" t="s">
        <v>148</v>
      </c>
      <c r="D93" s="349" t="s">
        <v>316</v>
      </c>
      <c r="E93" s="349" t="s">
        <v>332</v>
      </c>
      <c r="F93" s="353" t="s">
        <v>384</v>
      </c>
      <c r="G93" s="349" t="s">
        <v>427</v>
      </c>
      <c r="H93" s="352">
        <v>9597.14</v>
      </c>
      <c r="I93" s="350"/>
    </row>
    <row r="94" spans="1:26" s="351" customFormat="1" x14ac:dyDescent="0.25">
      <c r="A94" s="347">
        <v>45645</v>
      </c>
      <c r="B94" s="348" t="s">
        <v>409</v>
      </c>
      <c r="C94" s="349" t="s">
        <v>145</v>
      </c>
      <c r="D94" s="349" t="s">
        <v>316</v>
      </c>
      <c r="E94" s="349" t="s">
        <v>410</v>
      </c>
      <c r="F94" s="346" t="s">
        <v>294</v>
      </c>
      <c r="G94" s="349" t="s">
        <v>427</v>
      </c>
      <c r="H94" s="352">
        <v>1385</v>
      </c>
      <c r="I94" s="350"/>
    </row>
    <row r="95" spans="1:26" s="351" customFormat="1" x14ac:dyDescent="0.25">
      <c r="A95" s="347">
        <v>45644</v>
      </c>
      <c r="B95" s="348" t="s">
        <v>411</v>
      </c>
      <c r="C95" s="349" t="s">
        <v>145</v>
      </c>
      <c r="D95" s="349" t="s">
        <v>316</v>
      </c>
      <c r="E95" s="349" t="s">
        <v>300</v>
      </c>
      <c r="F95" s="346" t="s">
        <v>294</v>
      </c>
      <c r="G95" s="349" t="s">
        <v>427</v>
      </c>
      <c r="H95" s="352">
        <v>920</v>
      </c>
      <c r="I95" s="350"/>
      <c r="V95" s="339"/>
      <c r="W95" s="339"/>
      <c r="X95" s="339"/>
      <c r="Y95" s="339"/>
      <c r="Z95" s="339"/>
    </row>
    <row r="96" spans="1:26" s="351" customFormat="1" x14ac:dyDescent="0.25">
      <c r="A96" s="347">
        <v>45654</v>
      </c>
      <c r="B96" s="348" t="s">
        <v>412</v>
      </c>
      <c r="C96" s="349" t="s">
        <v>141</v>
      </c>
      <c r="D96" s="349" t="s">
        <v>316</v>
      </c>
      <c r="E96" s="349" t="s">
        <v>407</v>
      </c>
      <c r="F96" s="346" t="s">
        <v>413</v>
      </c>
      <c r="G96" s="349" t="s">
        <v>427</v>
      </c>
      <c r="H96" s="352">
        <v>10828.2</v>
      </c>
      <c r="I96" s="350"/>
      <c r="V96" s="339"/>
      <c r="W96" s="339"/>
      <c r="X96" s="339"/>
      <c r="Y96" s="339"/>
      <c r="Z96" s="339"/>
    </row>
    <row r="97" spans="1:30" s="351" customFormat="1" x14ac:dyDescent="0.25">
      <c r="A97" s="347">
        <v>45653</v>
      </c>
      <c r="B97" s="348" t="s">
        <v>414</v>
      </c>
      <c r="C97" s="349" t="s">
        <v>141</v>
      </c>
      <c r="D97" s="349" t="s">
        <v>421</v>
      </c>
      <c r="E97" s="349" t="s">
        <v>332</v>
      </c>
      <c r="F97" s="353" t="s">
        <v>384</v>
      </c>
      <c r="G97" s="349" t="s">
        <v>427</v>
      </c>
      <c r="H97" s="352">
        <v>5154</v>
      </c>
      <c r="I97" s="350"/>
      <c r="V97" s="339"/>
      <c r="W97" s="339"/>
      <c r="X97" s="339"/>
      <c r="Y97" s="339"/>
      <c r="Z97" s="339"/>
    </row>
    <row r="98" spans="1:30" s="351" customFormat="1" x14ac:dyDescent="0.25">
      <c r="A98" s="356"/>
      <c r="B98" s="356"/>
      <c r="C98" s="356"/>
      <c r="D98" s="356"/>
      <c r="E98" s="356"/>
      <c r="F98" s="356"/>
      <c r="G98" s="356"/>
      <c r="H98" s="356"/>
      <c r="I98" s="350"/>
      <c r="V98" s="339"/>
      <c r="W98" s="339"/>
      <c r="X98" s="339"/>
      <c r="Y98" s="339"/>
      <c r="Z98" s="339"/>
      <c r="AA98" s="339"/>
      <c r="AB98" s="339"/>
    </row>
    <row r="99" spans="1:30" s="351" customFormat="1" x14ac:dyDescent="0.25">
      <c r="A99" s="356"/>
      <c r="B99" s="356"/>
      <c r="C99" s="356"/>
      <c r="D99" s="356"/>
      <c r="E99" s="356"/>
      <c r="F99" s="356"/>
      <c r="G99" s="356"/>
      <c r="H99" s="356"/>
      <c r="I99" s="350"/>
      <c r="V99" s="339"/>
      <c r="W99" s="339"/>
      <c r="X99" s="339"/>
      <c r="Y99" s="339"/>
      <c r="Z99" s="339"/>
      <c r="AA99" s="339"/>
      <c r="AB99" s="339"/>
      <c r="AC99" s="339"/>
      <c r="AD99" s="339"/>
    </row>
    <row r="100" spans="1:30" s="351" customFormat="1" x14ac:dyDescent="0.25">
      <c r="A100" s="350"/>
      <c r="B100" s="350"/>
      <c r="C100" s="350"/>
      <c r="D100" s="350"/>
      <c r="E100" s="350"/>
      <c r="F100" s="350"/>
      <c r="G100" s="350"/>
      <c r="H100" s="350"/>
      <c r="I100" s="350"/>
      <c r="V100" s="339"/>
      <c r="W100" s="339"/>
      <c r="X100" s="339"/>
      <c r="Y100" s="339"/>
      <c r="Z100" s="339"/>
      <c r="AA100" s="339"/>
      <c r="AB100" s="339"/>
      <c r="AC100" s="339"/>
      <c r="AD100" s="339"/>
    </row>
    <row r="101" spans="1:30" x14ac:dyDescent="0.25">
      <c r="A101" s="345"/>
      <c r="B101" s="345"/>
      <c r="C101" s="345"/>
      <c r="D101" s="345"/>
      <c r="E101" s="345"/>
      <c r="F101" s="345"/>
      <c r="G101" s="345"/>
      <c r="H101" s="345"/>
      <c r="I101" s="345"/>
    </row>
    <row r="102" spans="1:30" x14ac:dyDescent="0.25">
      <c r="A102" s="345"/>
      <c r="B102" s="345"/>
      <c r="C102" s="345"/>
      <c r="D102" s="345"/>
      <c r="E102" s="345"/>
      <c r="F102" s="345"/>
      <c r="G102" s="345"/>
      <c r="H102" s="345"/>
      <c r="I102" s="345"/>
    </row>
    <row r="103" spans="1:30" x14ac:dyDescent="0.25">
      <c r="A103" s="345"/>
      <c r="B103" s="345"/>
      <c r="C103" s="345"/>
      <c r="D103" s="345"/>
      <c r="E103" s="345"/>
      <c r="F103" s="345"/>
      <c r="G103" s="345"/>
      <c r="H103" s="345"/>
      <c r="I103" s="345"/>
    </row>
    <row r="104" spans="1:30" x14ac:dyDescent="0.25">
      <c r="A104" s="345"/>
      <c r="B104" s="345"/>
      <c r="C104" s="345"/>
      <c r="D104" s="345"/>
      <c r="E104" s="345"/>
      <c r="F104" s="345"/>
      <c r="G104" s="345"/>
      <c r="H104" s="345"/>
      <c r="I104" s="345"/>
    </row>
    <row r="105" spans="1:30" x14ac:dyDescent="0.25">
      <c r="A105" s="345"/>
      <c r="B105" s="345"/>
      <c r="C105" s="345"/>
      <c r="D105" s="345"/>
      <c r="E105" s="345"/>
      <c r="F105" s="345"/>
      <c r="G105" s="345"/>
      <c r="H105" s="345"/>
      <c r="I105" s="345"/>
    </row>
    <row r="106" spans="1:30" x14ac:dyDescent="0.25">
      <c r="A106" s="345"/>
      <c r="B106" s="345"/>
      <c r="C106" s="345"/>
      <c r="D106" s="345"/>
      <c r="E106" s="345"/>
      <c r="F106" s="345"/>
      <c r="G106" s="345"/>
      <c r="H106" s="345"/>
      <c r="I106" s="345"/>
    </row>
    <row r="107" spans="1:30" x14ac:dyDescent="0.25">
      <c r="A107" s="345"/>
      <c r="B107" s="345"/>
      <c r="C107" s="345"/>
      <c r="D107" s="345"/>
      <c r="E107" s="345"/>
      <c r="F107" s="345"/>
      <c r="G107" s="345"/>
      <c r="H107" s="345"/>
      <c r="I107" s="345"/>
    </row>
    <row r="108" spans="1:30" x14ac:dyDescent="0.25">
      <c r="A108" s="345"/>
      <c r="B108" s="345"/>
      <c r="C108" s="345"/>
      <c r="D108" s="345"/>
      <c r="E108" s="345"/>
      <c r="F108" s="345"/>
      <c r="G108" s="345"/>
      <c r="H108" s="345"/>
      <c r="I108" s="345"/>
    </row>
    <row r="109" spans="1:30" x14ac:dyDescent="0.25">
      <c r="A109" s="345"/>
      <c r="B109" s="345"/>
      <c r="C109" s="345"/>
      <c r="D109" s="345"/>
      <c r="E109" s="345"/>
      <c r="F109" s="345"/>
      <c r="G109" s="345"/>
      <c r="H109" s="345"/>
      <c r="I109" s="345"/>
    </row>
    <row r="110" spans="1:30" x14ac:dyDescent="0.25">
      <c r="A110" s="345"/>
      <c r="B110" s="345"/>
      <c r="C110" s="345"/>
      <c r="D110" s="345"/>
      <c r="E110" s="345"/>
      <c r="F110" s="345"/>
      <c r="G110" s="345"/>
      <c r="H110" s="345"/>
      <c r="I110" s="345"/>
    </row>
    <row r="111" spans="1:30" x14ac:dyDescent="0.25">
      <c r="A111" s="345"/>
      <c r="B111" s="345"/>
      <c r="C111" s="345"/>
      <c r="D111" s="345"/>
      <c r="E111" s="345"/>
      <c r="F111" s="345"/>
      <c r="G111" s="345"/>
      <c r="H111" s="345"/>
      <c r="I111" s="345"/>
    </row>
    <row r="112" spans="1:30" x14ac:dyDescent="0.25">
      <c r="A112" s="345"/>
      <c r="B112" s="345"/>
      <c r="C112" s="345"/>
      <c r="D112" s="345"/>
      <c r="E112" s="345"/>
      <c r="F112" s="345"/>
      <c r="G112" s="345"/>
      <c r="H112" s="345"/>
      <c r="I112" s="345"/>
    </row>
    <row r="113" spans="1:9" x14ac:dyDescent="0.25">
      <c r="A113" s="345"/>
      <c r="B113" s="345"/>
      <c r="C113" s="345"/>
      <c r="D113" s="345"/>
      <c r="E113" s="345"/>
      <c r="F113" s="345"/>
      <c r="G113" s="345"/>
      <c r="H113" s="345"/>
      <c r="I113" s="345"/>
    </row>
    <row r="114" spans="1:9" x14ac:dyDescent="0.25">
      <c r="A114" s="345"/>
      <c r="B114" s="345"/>
      <c r="C114" s="345"/>
      <c r="D114" s="345"/>
      <c r="E114" s="345"/>
      <c r="F114" s="345"/>
      <c r="G114" s="345"/>
      <c r="H114" s="345"/>
      <c r="I114" s="345"/>
    </row>
    <row r="115" spans="1:9" x14ac:dyDescent="0.25">
      <c r="A115" s="345"/>
      <c r="B115" s="345"/>
      <c r="C115" s="345"/>
      <c r="D115" s="345"/>
      <c r="E115" s="345"/>
      <c r="F115" s="345"/>
      <c r="G115" s="345"/>
      <c r="H115" s="345"/>
      <c r="I115" s="345"/>
    </row>
    <row r="116" spans="1:9" x14ac:dyDescent="0.25">
      <c r="A116" s="345"/>
      <c r="B116" s="345"/>
      <c r="C116" s="345"/>
      <c r="D116" s="345"/>
      <c r="E116" s="345"/>
      <c r="F116" s="345"/>
      <c r="G116" s="345"/>
      <c r="H116" s="345"/>
      <c r="I116" s="345"/>
    </row>
    <row r="117" spans="1:9" x14ac:dyDescent="0.25">
      <c r="A117" s="345"/>
      <c r="B117" s="345"/>
      <c r="C117" s="345"/>
      <c r="D117" s="345"/>
      <c r="E117" s="345"/>
      <c r="F117" s="345"/>
      <c r="G117" s="345"/>
      <c r="H117" s="345"/>
      <c r="I117" s="345"/>
    </row>
    <row r="118" spans="1:9" x14ac:dyDescent="0.25">
      <c r="A118" s="345"/>
      <c r="B118" s="345"/>
      <c r="C118" s="345"/>
      <c r="D118" s="345"/>
      <c r="E118" s="345"/>
      <c r="F118" s="345"/>
      <c r="G118" s="345"/>
      <c r="H118" s="345"/>
      <c r="I118" s="345"/>
    </row>
    <row r="119" spans="1:9" x14ac:dyDescent="0.25">
      <c r="A119" s="345"/>
      <c r="B119" s="345"/>
      <c r="C119" s="345"/>
      <c r="D119" s="345"/>
      <c r="E119" s="345"/>
      <c r="F119" s="345"/>
      <c r="G119" s="345"/>
      <c r="H119" s="345"/>
      <c r="I119" s="345"/>
    </row>
    <row r="120" spans="1:9" x14ac:dyDescent="0.25">
      <c r="A120" s="345"/>
      <c r="B120" s="345"/>
      <c r="C120" s="345"/>
      <c r="D120" s="345"/>
      <c r="E120" s="345"/>
      <c r="F120" s="345"/>
      <c r="G120" s="345"/>
      <c r="H120" s="345"/>
      <c r="I120" s="345"/>
    </row>
    <row r="121" spans="1:9" x14ac:dyDescent="0.25">
      <c r="A121" s="345"/>
      <c r="B121" s="345"/>
      <c r="C121" s="345"/>
      <c r="D121" s="345"/>
      <c r="E121" s="345"/>
      <c r="F121" s="345"/>
      <c r="G121" s="345"/>
      <c r="H121" s="345"/>
      <c r="I121" s="345"/>
    </row>
    <row r="122" spans="1:9" x14ac:dyDescent="0.25">
      <c r="A122" s="345"/>
      <c r="B122" s="345"/>
      <c r="C122" s="345"/>
      <c r="D122" s="345"/>
      <c r="E122" s="345"/>
      <c r="F122" s="345"/>
      <c r="G122" s="345"/>
      <c r="H122" s="345"/>
      <c r="I122" s="345"/>
    </row>
    <row r="123" spans="1:9" x14ac:dyDescent="0.25">
      <c r="A123" s="345"/>
      <c r="B123" s="345"/>
      <c r="C123" s="345"/>
      <c r="D123" s="345"/>
      <c r="E123" s="345"/>
      <c r="F123" s="345"/>
      <c r="G123" s="345"/>
      <c r="H123" s="345"/>
      <c r="I123" s="345"/>
    </row>
    <row r="124" spans="1:9" x14ac:dyDescent="0.25">
      <c r="A124" s="345"/>
      <c r="B124" s="345"/>
      <c r="C124" s="345"/>
      <c r="D124" s="345"/>
      <c r="E124" s="345"/>
      <c r="F124" s="345"/>
      <c r="G124" s="345"/>
      <c r="H124" s="345"/>
      <c r="I124" s="345"/>
    </row>
    <row r="125" spans="1:9" x14ac:dyDescent="0.25">
      <c r="A125" s="345"/>
      <c r="B125" s="345"/>
      <c r="C125" s="345"/>
      <c r="D125" s="345"/>
      <c r="E125" s="345"/>
      <c r="F125" s="345"/>
      <c r="G125" s="345"/>
      <c r="H125" s="345"/>
      <c r="I125" s="345"/>
    </row>
    <row r="126" spans="1:9" x14ac:dyDescent="0.25">
      <c r="A126" s="345"/>
      <c r="B126" s="345"/>
      <c r="C126" s="345"/>
      <c r="D126" s="345"/>
      <c r="E126" s="345"/>
      <c r="F126" s="345"/>
      <c r="G126" s="345"/>
      <c r="H126" s="345"/>
      <c r="I126" s="345"/>
    </row>
    <row r="127" spans="1:9" x14ac:dyDescent="0.25">
      <c r="A127" s="345"/>
      <c r="B127" s="345"/>
      <c r="C127" s="345"/>
      <c r="D127" s="345"/>
      <c r="E127" s="345"/>
      <c r="F127" s="345"/>
      <c r="G127" s="345"/>
      <c r="H127" s="345"/>
      <c r="I127" s="345"/>
    </row>
    <row r="128" spans="1:9" x14ac:dyDescent="0.25">
      <c r="A128" s="345"/>
      <c r="B128" s="345"/>
      <c r="C128" s="345"/>
      <c r="D128" s="345"/>
      <c r="E128" s="345"/>
      <c r="F128" s="345"/>
      <c r="G128" s="345"/>
      <c r="H128" s="345"/>
      <c r="I128" s="345"/>
    </row>
    <row r="129" spans="1:9" x14ac:dyDescent="0.25">
      <c r="A129" s="345"/>
      <c r="B129" s="345"/>
      <c r="C129" s="345"/>
      <c r="D129" s="345"/>
      <c r="E129" s="345"/>
      <c r="F129" s="345"/>
      <c r="G129" s="345"/>
      <c r="H129" s="345"/>
      <c r="I129" s="345"/>
    </row>
    <row r="130" spans="1:9" x14ac:dyDescent="0.25">
      <c r="A130" s="345"/>
      <c r="B130" s="345"/>
      <c r="C130" s="345"/>
      <c r="D130" s="345"/>
      <c r="E130" s="345"/>
      <c r="F130" s="345"/>
      <c r="G130" s="345"/>
      <c r="H130" s="345"/>
      <c r="I130" s="345"/>
    </row>
    <row r="131" spans="1:9" x14ac:dyDescent="0.25">
      <c r="A131" s="345"/>
      <c r="B131" s="345"/>
      <c r="C131" s="345"/>
      <c r="D131" s="345"/>
      <c r="E131" s="345"/>
      <c r="F131" s="345"/>
      <c r="G131" s="345"/>
      <c r="H131" s="345"/>
      <c r="I131" s="345"/>
    </row>
    <row r="132" spans="1:9" x14ac:dyDescent="0.25">
      <c r="A132" s="345"/>
      <c r="B132" s="345"/>
      <c r="C132" s="345"/>
      <c r="D132" s="345"/>
      <c r="E132" s="345"/>
      <c r="F132" s="345"/>
      <c r="G132" s="345"/>
      <c r="H132" s="345"/>
      <c r="I132" s="345"/>
    </row>
    <row r="133" spans="1:9" x14ac:dyDescent="0.25">
      <c r="A133" s="345"/>
      <c r="B133" s="345"/>
      <c r="C133" s="345"/>
      <c r="D133" s="345"/>
      <c r="E133" s="345"/>
      <c r="F133" s="345"/>
      <c r="G133" s="345"/>
      <c r="H133" s="345"/>
      <c r="I133" s="345"/>
    </row>
    <row r="134" spans="1:9" x14ac:dyDescent="0.25">
      <c r="A134" s="345"/>
      <c r="B134" s="345"/>
      <c r="C134" s="345"/>
      <c r="D134" s="345"/>
      <c r="E134" s="345"/>
      <c r="F134" s="345"/>
      <c r="G134" s="345"/>
      <c r="H134" s="345"/>
      <c r="I134" s="345"/>
    </row>
    <row r="135" spans="1:9" x14ac:dyDescent="0.25">
      <c r="A135" s="345"/>
      <c r="B135" s="345"/>
      <c r="C135" s="345"/>
      <c r="D135" s="345"/>
      <c r="E135" s="345"/>
      <c r="F135" s="345"/>
      <c r="G135" s="345"/>
      <c r="H135" s="345"/>
      <c r="I135" s="345"/>
    </row>
    <row r="136" spans="1:9" x14ac:dyDescent="0.25">
      <c r="A136" s="345"/>
      <c r="B136" s="345"/>
      <c r="C136" s="345"/>
      <c r="D136" s="345"/>
      <c r="E136" s="345"/>
      <c r="F136" s="345"/>
      <c r="G136" s="345"/>
      <c r="H136" s="345"/>
      <c r="I136" s="345"/>
    </row>
    <row r="137" spans="1:9" x14ac:dyDescent="0.25">
      <c r="A137" s="345"/>
      <c r="B137" s="345"/>
      <c r="C137" s="345"/>
      <c r="D137" s="345"/>
      <c r="E137" s="345"/>
      <c r="F137" s="345"/>
      <c r="G137" s="345"/>
      <c r="H137" s="345"/>
      <c r="I137" s="345"/>
    </row>
    <row r="138" spans="1:9" x14ac:dyDescent="0.25">
      <c r="A138" s="345"/>
      <c r="B138" s="345"/>
      <c r="C138" s="345"/>
      <c r="D138" s="345"/>
      <c r="E138" s="345"/>
      <c r="F138" s="345"/>
      <c r="G138" s="345"/>
      <c r="H138" s="345"/>
      <c r="I138" s="345"/>
    </row>
    <row r="139" spans="1:9" x14ac:dyDescent="0.25">
      <c r="A139" s="345"/>
      <c r="B139" s="345"/>
      <c r="C139" s="345"/>
      <c r="D139" s="345"/>
      <c r="E139" s="345"/>
      <c r="F139" s="345"/>
      <c r="G139" s="345"/>
      <c r="H139" s="345"/>
      <c r="I139" s="345"/>
    </row>
    <row r="140" spans="1:9" x14ac:dyDescent="0.25">
      <c r="A140" s="345"/>
      <c r="B140" s="345"/>
      <c r="C140" s="345"/>
      <c r="D140" s="345"/>
      <c r="E140" s="345"/>
      <c r="F140" s="345"/>
      <c r="G140" s="345"/>
      <c r="H140" s="345"/>
      <c r="I140" s="345"/>
    </row>
    <row r="141" spans="1:9" x14ac:dyDescent="0.25">
      <c r="A141" s="345"/>
      <c r="B141" s="345"/>
      <c r="C141" s="345"/>
      <c r="D141" s="345"/>
      <c r="E141" s="345"/>
      <c r="F141" s="345"/>
      <c r="G141" s="345"/>
      <c r="H141" s="345"/>
      <c r="I141" s="345"/>
    </row>
    <row r="142" spans="1:9" x14ac:dyDescent="0.25">
      <c r="A142" s="345"/>
      <c r="B142" s="345"/>
      <c r="C142" s="345"/>
      <c r="D142" s="345"/>
      <c r="E142" s="345"/>
      <c r="F142" s="345"/>
      <c r="G142" s="345"/>
      <c r="H142" s="345"/>
      <c r="I142" s="34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Pole mounted transformer uplift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209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194</v>
      </c>
      <c r="C16" s="67">
        <f>input_dollars</f>
        <v>45473</v>
      </c>
      <c r="D16" s="41">
        <f>INDEX(hy_escalation, MATCH(C16,hy_dates,0))</f>
        <v>1.1256454388984505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195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1.0717354740061162</v>
      </c>
      <c r="L19" s="293"/>
    </row>
    <row r="20" spans="1:34" x14ac:dyDescent="0.2">
      <c r="B20" s="81"/>
      <c r="D20" s="41"/>
    </row>
    <row r="21" spans="1:34" x14ac:dyDescent="0.2">
      <c r="B21" s="80" t="s">
        <v>220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221</v>
      </c>
      <c r="C22" s="67">
        <f>input_dollars</f>
        <v>45473</v>
      </c>
      <c r="D22" s="41">
        <f>INDEX(hy_escalation, MATCH(C22,hy_dates,0))</f>
        <v>1.1256454388984505</v>
      </c>
    </row>
    <row r="23" spans="1:34" x14ac:dyDescent="0.2">
      <c r="B23" s="81" t="s">
        <v>222</v>
      </c>
      <c r="D23" s="41">
        <f>D22/D21</f>
        <v>1.0384210221730943</v>
      </c>
    </row>
    <row r="25" spans="1:34" x14ac:dyDescent="0.2">
      <c r="B25" s="81" t="s">
        <v>247</v>
      </c>
      <c r="C25" s="8" t="str">
        <f>start</f>
        <v>2026-27</v>
      </c>
    </row>
    <row r="28" spans="1:34" s="1" customFormat="1" ht="15" x14ac:dyDescent="0.2">
      <c r="A28" s="18" t="s">
        <v>218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3" t="s">
        <v>1</v>
      </c>
      <c r="C31" s="194" t="s">
        <v>201</v>
      </c>
      <c r="D31" s="195" t="s">
        <v>208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6" t="s">
        <v>131</v>
      </c>
      <c r="C32" s="192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6" t="s">
        <v>132</v>
      </c>
      <c r="C33" s="192" t="str">
        <f>Option3!$G$92</f>
        <v>Not used</v>
      </c>
      <c r="D33" s="10" t="b">
        <f>NOT(Data!C11)</f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6" t="s">
        <v>133</v>
      </c>
      <c r="C34" s="192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6" t="s">
        <v>163</v>
      </c>
      <c r="C35" s="192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6" t="s">
        <v>201</v>
      </c>
      <c r="C38" s="196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D4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252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152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163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172</v>
      </c>
      <c r="B70" s="240" t="s">
        <v>219</v>
      </c>
    </row>
    <row r="74" spans="1:4" x14ac:dyDescent="0.2">
      <c r="B74" s="239" t="str">
        <f>IF(AND(SUM(E73:AC73)&lt;&gt;0, A74=0), "!", "")</f>
        <v/>
      </c>
    </row>
    <row r="76" spans="1:4" x14ac:dyDescent="0.2">
      <c r="B76" t="s">
        <v>217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7"/>
      <c r="V1"/>
      <c r="W1"/>
    </row>
    <row r="2" spans="1:27" ht="18.75" x14ac:dyDescent="0.3">
      <c r="A2" s="56" t="str">
        <f>proj</f>
        <v>Pole mounted transformer uplift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207</v>
      </c>
      <c r="F8" s="8" t="s">
        <v>237</v>
      </c>
      <c r="T8"/>
      <c r="U8"/>
      <c r="V8"/>
    </row>
    <row r="9" spans="1:27" x14ac:dyDescent="0.2">
      <c r="A9" s="27" t="s">
        <v>153</v>
      </c>
      <c r="B9" s="86" t="s">
        <v>152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154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155</v>
      </c>
      <c r="B11" s="86" t="s">
        <v>132</v>
      </c>
      <c r="C11" s="87" t="b">
        <f>SUM(Option3!I$17:AB$17, Option3!I$19:AB$19)=0</f>
        <v>1</v>
      </c>
      <c r="D11" s="8" t="str">
        <f>IF(C11, $C$8, "")</f>
        <v>Not used</v>
      </c>
      <c r="F11" s="8" t="b">
        <f>C11</f>
        <v>1</v>
      </c>
      <c r="T11"/>
      <c r="U11"/>
      <c r="V11"/>
      <c r="W11"/>
      <c r="Z11"/>
      <c r="AA11"/>
    </row>
    <row r="12" spans="1:27" x14ac:dyDescent="0.2">
      <c r="A12" s="27" t="s">
        <v>156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164</v>
      </c>
      <c r="B13" s="86" t="s">
        <v>163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233</v>
      </c>
      <c r="D16" s="23" t="s">
        <v>235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231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196</v>
      </c>
      <c r="C35" s="23">
        <v>1</v>
      </c>
      <c r="T35"/>
      <c r="U35"/>
      <c r="V35"/>
      <c r="W35"/>
    </row>
    <row r="36" spans="1:23" x14ac:dyDescent="0.2">
      <c r="B36" s="23" t="s">
        <v>180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168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169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170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172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172</v>
      </c>
      <c r="C75" s="154" t="s">
        <v>171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199</v>
      </c>
      <c r="C78" s="8" t="s">
        <v>200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6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6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6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6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6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6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6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6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186</v>
      </c>
      <c r="F92" s="156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187</v>
      </c>
      <c r="F93" s="156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6" t="s">
        <v>166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6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6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168</v>
      </c>
      <c r="R106" s="8" t="s">
        <v>27</v>
      </c>
      <c r="T106" s="8" t="s">
        <v>234</v>
      </c>
      <c r="U106"/>
      <c r="V106" s="8" t="s">
        <v>244</v>
      </c>
      <c r="W106"/>
      <c r="Y106"/>
    </row>
    <row r="107" spans="1:25" x14ac:dyDescent="0.2">
      <c r="B107" s="25" t="s">
        <v>42</v>
      </c>
      <c r="C107" s="131" t="s">
        <v>136</v>
      </c>
      <c r="D107" s="131" t="s">
        <v>240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236</v>
      </c>
      <c r="U107"/>
      <c r="V107" s="23" t="s">
        <v>19</v>
      </c>
      <c r="W107"/>
    </row>
    <row r="108" spans="1:25" x14ac:dyDescent="0.2">
      <c r="B108" s="25" t="s">
        <v>3</v>
      </c>
      <c r="C108" s="131" t="s">
        <v>137</v>
      </c>
      <c r="D108" s="131" t="s">
        <v>241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235</v>
      </c>
      <c r="U108"/>
      <c r="V108" s="23" t="s">
        <v>47</v>
      </c>
      <c r="W108"/>
    </row>
    <row r="109" spans="1:25" x14ac:dyDescent="0.2">
      <c r="B109" s="25" t="s">
        <v>43</v>
      </c>
      <c r="C109" s="131" t="s">
        <v>138</v>
      </c>
      <c r="D109" s="131" t="s">
        <v>242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245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1"/>
      <c r="W113"/>
      <c r="X113"/>
      <c r="Y113"/>
    </row>
    <row r="114" spans="18:25" x14ac:dyDescent="0.2">
      <c r="R114" s="23"/>
      <c r="U114"/>
      <c r="V114" s="251"/>
      <c r="W114"/>
      <c r="X114"/>
      <c r="Y114"/>
    </row>
    <row r="115" spans="18:25" x14ac:dyDescent="0.2">
      <c r="U115"/>
      <c r="V115" s="251"/>
      <c r="W115"/>
      <c r="X115"/>
      <c r="Y115"/>
    </row>
    <row r="116" spans="18:25" x14ac:dyDescent="0.2">
      <c r="U116"/>
      <c r="V116" s="252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24</vt:i4>
      </vt:variant>
    </vt:vector>
  </HeadingPairs>
  <TitlesOfParts>
    <vt:vector size="39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Remediation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solar_demand_correction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2025-01-27T22:33:47Z</dcterms:modified>
</cp:coreProperties>
</file>