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codeName="ThisWorkbook" defaultThemeVersion="166925"/>
  <xr:revisionPtr revIDLastSave="0" documentId="13_ncr:1_{8F0EE5E9-00CA-4689-A496-76F7176413E4}" xr6:coauthVersionLast="47" xr6:coauthVersionMax="47" xr10:uidLastSave="{00000000-0000-0000-0000-000000000000}"/>
  <bookViews>
    <workbookView xWindow="-120" yWindow="-120" windowWidth="29040" windowHeight="15720" xr2:uid="{735A5788-BFBA-4B9D-8745-08F71B34A20E}"/>
  </bookViews>
  <sheets>
    <sheet name="Cover" sheetId="6" r:id="rId1"/>
    <sheet name="Summary" sheetId="5" r:id="rId2"/>
    <sheet name="Calculations" sheetId="4" r:id="rId3"/>
    <sheet name="Assumptions" sheetId="1" state="hidden" r:id="rId4"/>
    <sheet name="Misc_calcs" sheetId="3" state="hidden" r:id="rId5"/>
  </sheets>
  <definedNames>
    <definedName name="bus">Assumptions!$E$6</definedName>
    <definedName name="conv_2026">Misc_calcs!$D$19</definedName>
    <definedName name="first_year">Misc_calcs!$C$44</definedName>
    <definedName name="input_dollars">Assumptions!$E$20</definedName>
    <definedName name="list">list_start:OFFSET(list_start, 0,0,count, 1)</definedName>
    <definedName name="output_dollars">Assumptions!$E$24</definedName>
    <definedName name="proj">Assumptions!$E$8</definedName>
    <definedName name="real_disc">Assumptions!$E$21</definedName>
    <definedName name="sheets">Cover!$A$40</definedName>
    <definedName name="start">Misc_calcs!$C$30</definedName>
    <definedName name="vcr_esc">Misc_calcs!$D$25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0" i="6" l="1"/>
  <c r="C28" i="3"/>
  <c r="E22" i="1"/>
  <c r="I45" i="4"/>
  <c r="A2" i="5"/>
  <c r="A1" i="5"/>
  <c r="I44" i="4" l="1"/>
  <c r="J41" i="4" s="1"/>
  <c r="J45" i="4" s="1"/>
  <c r="I30" i="4"/>
  <c r="J29" i="4" s="1"/>
  <c r="G15" i="4"/>
  <c r="A2" i="4"/>
  <c r="A1" i="4"/>
  <c r="B85" i="3"/>
  <c r="D64" i="3"/>
  <c r="C17" i="3"/>
  <c r="H11" i="3"/>
  <c r="I11" i="3" s="1"/>
  <c r="I6" i="3"/>
  <c r="J6" i="3" s="1"/>
  <c r="K6" i="3" s="1"/>
  <c r="L6" i="3" s="1"/>
  <c r="M6" i="3" s="1"/>
  <c r="A2" i="3"/>
  <c r="A1" i="3"/>
  <c r="A1" i="1"/>
  <c r="D76" i="3" l="1"/>
  <c r="D68" i="3"/>
  <c r="D60" i="3"/>
  <c r="H12" i="3"/>
  <c r="H13" i="3" s="1"/>
  <c r="D72" i="3"/>
  <c r="J30" i="4"/>
  <c r="J31" i="4"/>
  <c r="I12" i="3"/>
  <c r="J11" i="3"/>
  <c r="K29" i="4" l="1"/>
  <c r="K30" i="4" s="1"/>
  <c r="J44" i="4"/>
  <c r="K11" i="3"/>
  <c r="J12" i="3"/>
  <c r="K31" i="4" l="1"/>
  <c r="K41" i="4"/>
  <c r="K45" i="4" s="1"/>
  <c r="L29" i="4"/>
  <c r="L33" i="4" s="1"/>
  <c r="K12" i="3"/>
  <c r="L11" i="3"/>
  <c r="K44" i="4" l="1"/>
  <c r="L41" i="4" s="1"/>
  <c r="L30" i="4"/>
  <c r="M29" i="4" s="1"/>
  <c r="M30" i="4" s="1"/>
  <c r="L31" i="4"/>
  <c r="M11" i="3"/>
  <c r="L12" i="3"/>
  <c r="L34" i="4" l="1"/>
  <c r="N29" i="4"/>
  <c r="N30" i="4" s="1"/>
  <c r="M33" i="4"/>
  <c r="M31" i="4"/>
  <c r="M34" i="4" s="1"/>
  <c r="N11" i="3"/>
  <c r="M12" i="3"/>
  <c r="O29" i="4" l="1"/>
  <c r="O30" i="4" s="1"/>
  <c r="N31" i="4"/>
  <c r="N34" i="4" s="1"/>
  <c r="N33" i="4"/>
  <c r="N12" i="3"/>
  <c r="O11" i="3"/>
  <c r="P29" i="4" l="1"/>
  <c r="P30" i="4" s="1"/>
  <c r="O31" i="4"/>
  <c r="O34" i="4" s="1"/>
  <c r="O33" i="4"/>
  <c r="O12" i="3"/>
  <c r="P11" i="3"/>
  <c r="Q29" i="4" l="1"/>
  <c r="P31" i="4"/>
  <c r="P34" i="4" s="1"/>
  <c r="P33" i="4"/>
  <c r="P12" i="3"/>
  <c r="Q11" i="3"/>
  <c r="Q31" i="4" l="1"/>
  <c r="Q33" i="4"/>
  <c r="Q30" i="4"/>
  <c r="Q12" i="3"/>
  <c r="R11" i="3"/>
  <c r="R12" i="3" s="1"/>
  <c r="R29" i="4" l="1"/>
  <c r="Q34" i="4"/>
  <c r="R30" i="4" l="1"/>
  <c r="S29" i="4" s="1"/>
  <c r="S33" i="4" s="1"/>
  <c r="R31" i="4"/>
  <c r="R33" i="4"/>
  <c r="R34" i="4" l="1"/>
  <c r="S30" i="4"/>
  <c r="T29" i="4"/>
  <c r="T33" i="4" s="1"/>
  <c r="S31" i="4"/>
  <c r="S34" i="4" s="1"/>
  <c r="T30" i="4" l="1"/>
  <c r="U29" i="4"/>
  <c r="U33" i="4" s="1"/>
  <c r="T31" i="4"/>
  <c r="U31" i="4" l="1"/>
  <c r="U30" i="4"/>
  <c r="G22" i="4"/>
  <c r="L42" i="4" s="1"/>
  <c r="V29" i="4"/>
  <c r="U34" i="4"/>
  <c r="T34" i="4"/>
  <c r="V31" i="4" l="1"/>
  <c r="V33" i="4"/>
  <c r="L45" i="4"/>
  <c r="L47" i="4"/>
  <c r="L54" i="4" s="1"/>
  <c r="L44" i="4"/>
  <c r="V30" i="4"/>
  <c r="V34" i="4" s="1"/>
  <c r="L48" i="4" l="1"/>
  <c r="L58" i="4" s="1"/>
  <c r="M41" i="4"/>
  <c r="W29" i="4"/>
  <c r="W33" i="4" s="1"/>
  <c r="M42" i="4" l="1"/>
  <c r="M47" i="4" s="1"/>
  <c r="M54" i="4" s="1"/>
  <c r="W30" i="4"/>
  <c r="W31" i="4"/>
  <c r="W34" i="4" l="1"/>
  <c r="M45" i="4"/>
  <c r="M44" i="4"/>
  <c r="X29" i="4"/>
  <c r="X33" i="4" s="1"/>
  <c r="X30" i="4"/>
  <c r="Y29" i="4" l="1"/>
  <c r="Y30" i="4"/>
  <c r="N41" i="4"/>
  <c r="N42" i="4" s="1"/>
  <c r="N47" i="4" s="1"/>
  <c r="N54" i="4" s="1"/>
  <c r="M48" i="4"/>
  <c r="M58" i="4" s="1"/>
  <c r="X31" i="4"/>
  <c r="X34" i="4" s="1"/>
  <c r="Y31" i="4" l="1"/>
  <c r="Y33" i="4"/>
  <c r="Y34" i="4"/>
  <c r="Z29" i="4"/>
  <c r="Z30" i="4" s="1"/>
  <c r="F8" i="5"/>
  <c r="N44" i="4"/>
  <c r="O41" i="4" s="1"/>
  <c r="O42" i="4" s="1"/>
  <c r="N45" i="4"/>
  <c r="N48" i="4"/>
  <c r="N58" i="4" s="1"/>
  <c r="O45" i="4" l="1"/>
  <c r="AA29" i="4"/>
  <c r="AA30" i="4"/>
  <c r="Z31" i="4"/>
  <c r="Z34" i="4" s="1"/>
  <c r="Z33" i="4"/>
  <c r="O44" i="4"/>
  <c r="P41" i="4" s="1"/>
  <c r="P42" i="4" s="1"/>
  <c r="P47" i="4" s="1"/>
  <c r="P54" i="4" s="1"/>
  <c r="O47" i="4"/>
  <c r="O54" i="4" s="1"/>
  <c r="AB29" i="4" l="1"/>
  <c r="AB30" i="4"/>
  <c r="AA31" i="4"/>
  <c r="AA34" i="4" s="1"/>
  <c r="AA33" i="4"/>
  <c r="O48" i="4"/>
  <c r="O58" i="4" s="1"/>
  <c r="P45" i="4"/>
  <c r="P44" i="4"/>
  <c r="Q41" i="4" s="1"/>
  <c r="AC29" i="4" l="1"/>
  <c r="AC30" i="4"/>
  <c r="AB31" i="4"/>
  <c r="AB34" i="4" s="1"/>
  <c r="AB33" i="4"/>
  <c r="P48" i="4"/>
  <c r="P58" i="4" s="1"/>
  <c r="Q42" i="4"/>
  <c r="Q44" i="4" s="1"/>
  <c r="R41" i="4" s="1"/>
  <c r="AD29" i="4" l="1"/>
  <c r="AD30" i="4"/>
  <c r="AC33" i="4"/>
  <c r="AC31" i="4"/>
  <c r="AC34" i="4"/>
  <c r="Q47" i="4"/>
  <c r="Q54" i="4" s="1"/>
  <c r="R42" i="4"/>
  <c r="R44" i="4" s="1"/>
  <c r="S41" i="4" s="1"/>
  <c r="S42" i="4" s="1"/>
  <c r="S44" i="4" s="1"/>
  <c r="Q45" i="4"/>
  <c r="Q48" i="4" s="1"/>
  <c r="Q58" i="4" s="1"/>
  <c r="R47" i="4"/>
  <c r="R54" i="4" s="1"/>
  <c r="AE29" i="4" l="1"/>
  <c r="AE30" i="4"/>
  <c r="AD31" i="4"/>
  <c r="AD34" i="4" s="1"/>
  <c r="AD33" i="4"/>
  <c r="R45" i="4"/>
  <c r="R48" i="4" s="1"/>
  <c r="R58" i="4" s="1"/>
  <c r="T41" i="4"/>
  <c r="S47" i="4"/>
  <c r="S54" i="4" s="1"/>
  <c r="AE33" i="4" l="1"/>
  <c r="AE31" i="4"/>
  <c r="AE34" i="4" s="1"/>
  <c r="S45" i="4"/>
  <c r="T42" i="4"/>
  <c r="T44" i="4" s="1"/>
  <c r="S48" i="4"/>
  <c r="S58" i="4" s="1"/>
  <c r="U41" i="4" l="1"/>
  <c r="U42" i="4" s="1"/>
  <c r="U44" i="4" s="1"/>
  <c r="T47" i="4"/>
  <c r="T45" i="4"/>
  <c r="V41" i="4" l="1"/>
  <c r="V42" i="4" s="1"/>
  <c r="V44" i="4" s="1"/>
  <c r="W41" i="4" s="1"/>
  <c r="W42" i="4" s="1"/>
  <c r="W44" i="4" s="1"/>
  <c r="X41" i="4" s="1"/>
  <c r="X42" i="4" s="1"/>
  <c r="X44" i="4" s="1"/>
  <c r="U45" i="4"/>
  <c r="U47" i="4"/>
  <c r="T48" i="4"/>
  <c r="T58" i="4" s="1"/>
  <c r="Y41" i="4" l="1"/>
  <c r="V45" i="4"/>
  <c r="W45" i="4" s="1"/>
  <c r="X45" i="4" s="1"/>
  <c r="U48" i="4"/>
  <c r="U58" i="4" s="1"/>
  <c r="Y42" i="4" l="1"/>
  <c r="Y45" i="4" s="1"/>
  <c r="K5" i="4"/>
  <c r="Y44" i="4" l="1"/>
  <c r="E17" i="5"/>
  <c r="Z41" i="4" l="1"/>
  <c r="Z42" i="4" s="1"/>
  <c r="F17" i="5"/>
  <c r="Z44" i="4" l="1"/>
  <c r="AA41" i="4"/>
  <c r="AA42" i="4"/>
  <c r="AA44" i="4" s="1"/>
  <c r="Z45" i="4"/>
  <c r="AA45" i="4" s="1"/>
  <c r="G17" i="5"/>
  <c r="AB41" i="4" l="1"/>
  <c r="AB42" i="4" s="1"/>
  <c r="H17" i="5"/>
  <c r="AB44" i="4" l="1"/>
  <c r="AB45" i="4"/>
  <c r="I17" i="5"/>
  <c r="AC41" i="4" l="1"/>
  <c r="AC42" i="4" s="1"/>
  <c r="AC44" i="4" l="1"/>
  <c r="AC45" i="4"/>
  <c r="AD41" i="4" l="1"/>
  <c r="AD42" i="4" s="1"/>
  <c r="AD44" i="4" l="1"/>
  <c r="AD45" i="4"/>
  <c r="AE41" i="4"/>
  <c r="AE42" i="4"/>
  <c r="AE45" i="4" l="1"/>
  <c r="AE44" i="4"/>
  <c r="I13" i="3" l="1"/>
  <c r="I15" i="3" s="1"/>
  <c r="J13" i="3"/>
  <c r="K13" i="3"/>
  <c r="J15" i="3" l="1"/>
  <c r="K15" i="3" s="1"/>
  <c r="L13" i="3"/>
  <c r="L15" i="3" l="1"/>
  <c r="N13" i="3"/>
  <c r="M13" i="3"/>
  <c r="M15" i="3" s="1"/>
  <c r="O13" i="3"/>
  <c r="P13" i="3" l="1"/>
  <c r="N15" i="3"/>
  <c r="O15" i="3" s="1"/>
  <c r="R13" i="3"/>
  <c r="P15" i="3" l="1"/>
  <c r="Q13" i="3"/>
  <c r="Q15" i="3" s="1"/>
  <c r="R15" i="3" s="1"/>
  <c r="L5" i="4" l="1"/>
  <c r="M5" i="4" l="1"/>
  <c r="N5" i="4" l="1"/>
  <c r="O5" i="4" l="1"/>
  <c r="P5" i="4" l="1"/>
  <c r="Q5" i="4" l="1"/>
  <c r="R5" i="4" l="1"/>
  <c r="S5" i="4" l="1"/>
  <c r="T5" i="4" l="1"/>
  <c r="U5" i="4" l="1"/>
  <c r="V5" i="4" l="1"/>
  <c r="W5" i="4" s="1"/>
  <c r="X5" i="4" s="1"/>
  <c r="E55" i="4" a="1"/>
  <c r="E55" i="4" s="1"/>
  <c r="D9" i="5" s="1"/>
  <c r="E59" i="4" l="1" a="1"/>
  <c r="E59" i="4" s="1"/>
  <c r="E61" i="4" s="1"/>
  <c r="C24" i="3" l="1"/>
  <c r="C21" i="3"/>
  <c r="C16" i="3"/>
  <c r="D19" i="3" s="1"/>
  <c r="H18" i="5" l="1"/>
  <c r="F18" i="5"/>
  <c r="E18" i="5"/>
  <c r="G18" i="5"/>
  <c r="I18" i="5"/>
  <c r="E9" i="5"/>
  <c r="F9" i="5" l="1"/>
  <c r="D13" i="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<sst xmlns="http://schemas.openxmlformats.org/spreadsheetml/2006/main" count="155" uniqueCount="101">
  <si>
    <t>COST BENEFIT MODEL</t>
  </si>
  <si>
    <t>Project</t>
  </si>
  <si>
    <t>Business:</t>
  </si>
  <si>
    <t>select &gt;</t>
  </si>
  <si>
    <t>Powercor</t>
  </si>
  <si>
    <t xml:space="preserve">Descripton: </t>
  </si>
  <si>
    <t>Proactive HBRA HV wood crossarm replacements</t>
  </si>
  <si>
    <t xml:space="preserve">Date of cost inputs: </t>
  </si>
  <si>
    <t>December</t>
  </si>
  <si>
    <t>Option</t>
  </si>
  <si>
    <t>Description</t>
  </si>
  <si>
    <t>No change to existing practices</t>
  </si>
  <si>
    <t>Proactively replace all 4,761 HBRA HV wood crossarms with steel crossarms in 2026-31 reg period</t>
  </si>
  <si>
    <t>Timing &amp; WACC</t>
  </si>
  <si>
    <t>Input dollars</t>
  </si>
  <si>
    <t>Pre-tax real WACC</t>
  </si>
  <si>
    <t>Model start year</t>
  </si>
  <si>
    <t>2025-26</t>
  </si>
  <si>
    <t>Output dollars</t>
  </si>
  <si>
    <t>VCR</t>
  </si>
  <si>
    <t>WORKINGS - COSTS</t>
  </si>
  <si>
    <t>2024-25</t>
  </si>
  <si>
    <t>ESCALATION &amp; OTHER</t>
  </si>
  <si>
    <t>Year end</t>
  </si>
  <si>
    <t>Actual/forecast CPI (June to June)</t>
  </si>
  <si>
    <t>HY ending</t>
  </si>
  <si>
    <t>FY ending</t>
  </si>
  <si>
    <t>Actual cumulative HY escalation</t>
  </si>
  <si>
    <t>Convert from input dollars</t>
  </si>
  <si>
    <t>To output dollars</t>
  </si>
  <si>
    <t>Conversion from input dollars to output dollars</t>
  </si>
  <si>
    <t>To input dollars</t>
  </si>
  <si>
    <t>FIRST YEAR</t>
  </si>
  <si>
    <t>First year</t>
  </si>
  <si>
    <t>Option included</t>
  </si>
  <si>
    <t>Option 2</t>
  </si>
  <si>
    <t>Option 3</t>
  </si>
  <si>
    <t>Option 4</t>
  </si>
  <si>
    <t>Option 5</t>
  </si>
  <si>
    <t>CHECKS</t>
  </si>
  <si>
    <t>Option 1 (base case)</t>
  </si>
  <si>
    <t>Message</t>
  </si>
  <si>
    <r>
      <t>!!</t>
    </r>
    <r>
      <rPr>
        <b/>
        <sz val="8"/>
        <color theme="1"/>
        <rFont val="Verdana"/>
        <family val="2"/>
      </rPr>
      <t xml:space="preserve">  </t>
    </r>
    <r>
      <rPr>
        <sz val="10"/>
        <color theme="1"/>
        <rFont val="Verdana"/>
        <family val="2"/>
      </rPr>
      <t>Capex asset life required !!</t>
    </r>
  </si>
  <si>
    <t>!</t>
  </si>
  <si>
    <t>Condition based</t>
  </si>
  <si>
    <t>Pole replacements</t>
  </si>
  <si>
    <t>Estimated volume remaining at 30 June 2031</t>
  </si>
  <si>
    <t>Replacement volumes</t>
  </si>
  <si>
    <t>Current replacement rate</t>
  </si>
  <si>
    <t>Incremental replacements over 2026-31</t>
  </si>
  <si>
    <t>Replacement unit cost</t>
  </si>
  <si>
    <t>Replacement cost</t>
  </si>
  <si>
    <t>Annual bushfire risk from a HBRA HV wood crossarm</t>
  </si>
  <si>
    <t>Annual bushfire risk from a HBRA HV steel crossarm</t>
  </si>
  <si>
    <t>Assumptions</t>
  </si>
  <si>
    <t>Current replacement volume pa</t>
  </si>
  <si>
    <t>Closing balance wood cross-arms</t>
  </si>
  <si>
    <t>Closing balance steel cross-arms</t>
  </si>
  <si>
    <t>Bushfire risk</t>
  </si>
  <si>
    <t>Incremental benefit vs Option 1 (base case)</t>
  </si>
  <si>
    <t>Discount factor</t>
  </si>
  <si>
    <t>Option 1</t>
  </si>
  <si>
    <t>NPV</t>
  </si>
  <si>
    <t>Preferred option:</t>
  </si>
  <si>
    <t>Incrmental capex vs Option 1 (base case)</t>
  </si>
  <si>
    <t>PV of incremental capex</t>
  </si>
  <si>
    <t>Capital expenditure ($ 2026)</t>
  </si>
  <si>
    <t>Incremental capital expenditure vs Option 1 (base case)</t>
  </si>
  <si>
    <t xml:space="preserve">Incremental benefit PV </t>
  </si>
  <si>
    <t>Incremental 
cost PV</t>
  </si>
  <si>
    <t>Summary</t>
  </si>
  <si>
    <t>Start year</t>
  </si>
  <si>
    <t>Estimated HV &amp; SubT wood crossarms in HBRA</t>
  </si>
  <si>
    <t xml:space="preserve">Option 2 incremental replacements pa </t>
  </si>
  <si>
    <t>Regulatory proposal 2026-31</t>
  </si>
  <si>
    <t>Model number:</t>
  </si>
  <si>
    <t>PV of benefits</t>
  </si>
  <si>
    <t>HV wooden crossarms (bushfire)</t>
  </si>
  <si>
    <t>PAL: Network average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</si>
  <si>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</si>
  <si>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</si>
  <si>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</si>
  <si>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</si>
  <si>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</si>
  <si>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</si>
  <si>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</si>
  <si>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</si>
  <si>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</si>
  <si>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</si>
  <si>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</si>
  <si>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</si>
  <si>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</si>
  <si>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</si>
  <si>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</si>
  <si>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</si>
  <si>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</si>
  <si>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</si>
  <si>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2044-45</t>
  </si>
  <si>
    <t>2045-46</t>
  </si>
  <si>
    <t>Not used</t>
  </si>
  <si>
    <t xml:space="preserve"> Network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</si>
</sst>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#,##0_);\(#,##0\);\-\-_)"/>
    <numFmt numFmtId="165" formatCode="mmmm"/>
    <numFmt numFmtId="166" formatCode="&quot;$&quot;#,##0"/>
    <numFmt numFmtId="167" formatCode="&quot;$&quot;\ mmm\ yyyy"/>
    <numFmt numFmtId="168" formatCode="&quot;$&quot;#,##0;\ \-&quot;$&quot;#,##0;\ &quot;-&quot;"/>
    <numFmt numFmtId="169" formatCode="#,##0.000_);\(#,##0.000\);\-\-_)"/>
    <numFmt numFmtId="170" formatCode="0.000"/>
    <numFmt numFmtId="171" formatCode="_-* #,##0_-;\-* #,##0_-;_-* &quot;-&quot;??_-;_-@_-"/>
    <numFmt numFmtId="172" formatCode="#,##0;[Red]\ \-#,##0;\ &quot;-&quot;"/>
    <numFmt numFmtId="173" formatCode="#,##0.000;[Red]\ \-#,##0.000;\ &quot;-&quot;"/>
    <numFmt numFmtId="174" formatCode="#,##0;[Red]\-#,##0;\ &quot;-&quot;"/>
    <numFmt numFmtId="175" formatCode="#,##0.00;[Red]\-#,##0.00;\ &quot;-&quot;"/>
    <numFmt numFmtId="176" formatCode="&quot;$&quot;&quot;m&quot;\ mmm\ yyyy"/>
    <numFmt numFmtId="177" formatCode="dd\ mmmm\ yyyy"/>
    <numFmt numFmtId="178" formatCode="#,##0.0;[Red]\-#,##0.0;\ &quot;-&quot;"/>
  </numFmts>
  <fonts count="46" x14ac:knownFonts="1">
    <font>
      <sz val="10"/>
      <color theme="1"/>
      <name val="Verdana"/>
      <family val="2"/>
    </font>
    <font>
      <sz val="10"/>
      <color theme="1"/>
      <name val="Calibri"/>
      <family val="2"/>
    </font>
    <font>
      <b/>
      <sz val="14"/>
      <color indexed="9"/>
      <name val="Arial"/>
      <family val="2"/>
    </font>
    <font>
      <b/>
      <sz val="14"/>
      <color indexed="9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sz val="10"/>
      <color rgb="FF3333FF"/>
      <name val="Calibri"/>
      <family val="2"/>
      <scheme val="minor"/>
    </font>
    <font>
      <b/>
      <sz val="10"/>
      <color rgb="FF3333FF"/>
      <name val="Calibri"/>
      <family val="2"/>
      <scheme val="minor"/>
    </font>
    <font>
      <i/>
      <sz val="10"/>
      <color theme="1" tint="0.249977111117893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</font>
    <font>
      <i/>
      <sz val="8"/>
      <color theme="1" tint="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4"/>
      <color theme="1"/>
      <name val="Calibri"/>
      <family val="2"/>
    </font>
    <font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i/>
      <sz val="9"/>
      <color theme="1" tint="0.499984740745262"/>
      <name val="Calibri"/>
      <family val="2"/>
      <scheme val="minor"/>
    </font>
    <font>
      <sz val="10"/>
      <color rgb="FF0000CC"/>
      <name val="Calibri"/>
      <family val="2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Verdana"/>
      <family val="2"/>
    </font>
    <font>
      <b/>
      <sz val="10"/>
      <color rgb="FFFF0000"/>
      <name val="Calibri"/>
      <family val="2"/>
      <scheme val="minor"/>
    </font>
    <font>
      <i/>
      <sz val="9"/>
      <color theme="1" tint="0.499984740745262"/>
      <name val="Calibri"/>
      <family val="2"/>
      <scheme val="minor"/>
    </font>
    <font>
      <b/>
      <sz val="10"/>
      <name val="Calibri"/>
      <family val="2"/>
    </font>
    <font>
      <sz val="8"/>
      <color theme="1"/>
      <name val="Calibri"/>
      <family val="2"/>
      <scheme val="minor"/>
    </font>
    <font>
      <b/>
      <sz val="18"/>
      <color rgb="FF00215B"/>
      <name val="Arial"/>
      <family val="2"/>
    </font>
    <font>
      <sz val="11"/>
      <color rgb="FF00215B"/>
      <name val="Calibri"/>
      <family val="2"/>
      <scheme val="minor"/>
    </font>
    <font>
      <b/>
      <sz val="12"/>
      <color rgb="FF00215B"/>
      <name val="Arial"/>
      <family val="2"/>
    </font>
    <font>
      <b/>
      <sz val="11"/>
      <color rgb="FF00215B"/>
      <name val="Arial"/>
      <family val="2"/>
    </font>
    <font>
      <sz val="11"/>
      <color rgb="FF00215B"/>
      <name val="Arial"/>
      <family val="2"/>
    </font>
    <font>
      <sz val="10"/>
      <color rgb="FF00215B"/>
      <name val="Arial"/>
      <family val="2"/>
    </font>
    <font>
      <sz val="9"/>
      <color rgb="FF00215B"/>
      <name val="Arial"/>
      <family val="2"/>
    </font>
    <font>
      <sz val="8"/>
      <color rgb="FF00215B"/>
      <name val="Arial"/>
      <family val="2"/>
    </font>
    <font>
      <b/>
      <sz val="8"/>
      <color theme="1"/>
      <name val="Calibri"/>
      <family val="2"/>
      <scheme val="minor"/>
    </font>
    <font>
      <i/>
      <sz val="10"/>
      <color theme="4" tint="-0.249977111117893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54A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15B"/>
        <bgColor indexed="64"/>
      </patternFill>
    </fill>
  </fills>
  <borders count="10">
    <border>
      <left/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11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2" fillId="2" borderId="0"/>
    <xf numFmtId="0" fontId="5" fillId="0" borderId="0"/>
    <xf numFmtId="10" fontId="15" fillId="6" borderId="0" applyNumberFormat="0" applyBorder="0" applyAlignment="0" applyProtection="0"/>
    <xf numFmtId="166" fontId="17" fillId="0" borderId="3" applyNumberFormat="0" applyProtection="0">
      <alignment horizontal="right"/>
    </xf>
    <xf numFmtId="0" fontId="19" fillId="0" borderId="0"/>
    <xf numFmtId="10" fontId="11" fillId="5" borderId="0" applyNumberFormat="0" applyAlignment="0" applyProtection="0"/>
    <xf numFmtId="0" fontId="27" fillId="0" borderId="0"/>
    <xf numFmtId="0" fontId="1" fillId="0" borderId="0"/>
  </cellStyleXfs>
  <cellXfs count="144">
    <xf numFmtId="0" fontId="0" fillId="0" borderId="0" xfId="0"/>
    <xf numFmtId="164" fontId="3" fillId="3" borderId="0" xfId="3" applyFont="1" applyFill="1"/>
    <xf numFmtId="0" fontId="5" fillId="0" borderId="0" xfId="0" applyFont="1"/>
    <xf numFmtId="164" fontId="6" fillId="3" borderId="0" xfId="3" applyFont="1" applyFill="1"/>
    <xf numFmtId="0" fontId="7" fillId="4" borderId="0" xfId="4" applyFont="1" applyFill="1" applyAlignment="1">
      <alignment vertical="center"/>
    </xf>
    <xf numFmtId="0" fontId="8" fillId="4" borderId="0" xfId="4" applyFont="1" applyFill="1" applyAlignment="1">
      <alignment vertical="center"/>
    </xf>
    <xf numFmtId="0" fontId="8" fillId="4" borderId="0" xfId="4" applyFont="1" applyFill="1" applyAlignment="1">
      <alignment horizontal="right" vertical="center"/>
    </xf>
    <xf numFmtId="0" fontId="5" fillId="0" borderId="0" xfId="4"/>
    <xf numFmtId="0" fontId="5" fillId="0" borderId="0" xfId="4" applyAlignment="1">
      <alignment horizontal="left"/>
    </xf>
    <xf numFmtId="0" fontId="9" fillId="0" borderId="0" xfId="0" applyFont="1"/>
    <xf numFmtId="0" fontId="10" fillId="0" borderId="0" xfId="0" applyFont="1" applyAlignment="1">
      <alignment horizontal="right"/>
    </xf>
    <xf numFmtId="0" fontId="11" fillId="5" borderId="0" xfId="0" applyFont="1" applyFill="1"/>
    <xf numFmtId="0" fontId="9" fillId="0" borderId="0" xfId="4" applyFont="1"/>
    <xf numFmtId="165" fontId="11" fillId="5" borderId="1" xfId="4" quotePrefix="1" applyNumberFormat="1" applyFont="1" applyFill="1" applyBorder="1" applyAlignment="1">
      <alignment horizontal="left"/>
    </xf>
    <xf numFmtId="1" fontId="11" fillId="5" borderId="0" xfId="4" quotePrefix="1" applyNumberFormat="1" applyFont="1" applyFill="1" applyAlignment="1">
      <alignment horizontal="center"/>
    </xf>
    <xf numFmtId="0" fontId="13" fillId="0" borderId="0" xfId="0" applyFont="1" applyAlignment="1">
      <alignment horizontal="left" indent="1"/>
    </xf>
    <xf numFmtId="14" fontId="5" fillId="0" borderId="0" xfId="0" applyNumberFormat="1" applyFont="1"/>
    <xf numFmtId="0" fontId="5" fillId="0" borderId="0" xfId="4" applyAlignment="1">
      <alignment horizontal="left" vertical="top" wrapText="1"/>
    </xf>
    <xf numFmtId="0" fontId="9" fillId="0" borderId="2" xfId="4" applyFont="1" applyBorder="1" applyAlignment="1">
      <alignment horizontal="left" vertical="top"/>
    </xf>
    <xf numFmtId="0" fontId="5" fillId="0" borderId="2" xfId="4" applyBorder="1" applyAlignment="1">
      <alignment horizontal="left" vertical="top"/>
    </xf>
    <xf numFmtId="0" fontId="14" fillId="0" borderId="0" xfId="4" applyFont="1" applyAlignment="1">
      <alignment horizontal="left" vertical="top"/>
    </xf>
    <xf numFmtId="0" fontId="16" fillId="0" borderId="0" xfId="4" applyFont="1"/>
    <xf numFmtId="167" fontId="17" fillId="0" borderId="3" xfId="6" applyNumberFormat="1">
      <alignment horizontal="right"/>
    </xf>
    <xf numFmtId="0" fontId="18" fillId="0" borderId="0" xfId="4" quotePrefix="1" applyFont="1" applyAlignment="1">
      <alignment horizontal="left"/>
    </xf>
    <xf numFmtId="168" fontId="17" fillId="0" borderId="3" xfId="6" applyNumberFormat="1">
      <alignment horizontal="right"/>
    </xf>
    <xf numFmtId="0" fontId="9" fillId="0" borderId="2" xfId="4" applyFont="1" applyBorder="1"/>
    <xf numFmtId="0" fontId="20" fillId="0" borderId="0" xfId="0" applyFont="1"/>
    <xf numFmtId="0" fontId="9" fillId="0" borderId="2" xfId="4" applyFont="1" applyBorder="1" applyAlignment="1">
      <alignment horizontal="right"/>
    </xf>
    <xf numFmtId="164" fontId="3" fillId="7" borderId="0" xfId="3" applyFont="1" applyFill="1"/>
    <xf numFmtId="169" fontId="3" fillId="7" borderId="0" xfId="3" applyNumberFormat="1" applyFont="1" applyFill="1"/>
    <xf numFmtId="164" fontId="3" fillId="7" borderId="0" xfId="3" applyFont="1" applyFill="1" applyAlignment="1">
      <alignment horizontal="left"/>
    </xf>
    <xf numFmtId="164" fontId="21" fillId="3" borderId="0" xfId="3" applyFont="1" applyFill="1"/>
    <xf numFmtId="0" fontId="22" fillId="0" borderId="0" xfId="4" applyFont="1"/>
    <xf numFmtId="169" fontId="5" fillId="0" borderId="0" xfId="4" applyNumberFormat="1"/>
    <xf numFmtId="0" fontId="5" fillId="0" borderId="0" xfId="4" applyAlignment="1">
      <alignment horizontal="right"/>
    </xf>
    <xf numFmtId="171" fontId="5" fillId="5" borderId="0" xfId="1" applyNumberFormat="1" applyFont="1" applyFill="1"/>
    <xf numFmtId="9" fontId="5" fillId="0" borderId="0" xfId="2" applyFont="1"/>
    <xf numFmtId="171" fontId="5" fillId="0" borderId="0" xfId="4" applyNumberFormat="1"/>
    <xf numFmtId="0" fontId="9" fillId="0" borderId="0" xfId="4" applyFont="1" applyAlignment="1">
      <alignment horizontal="right"/>
    </xf>
    <xf numFmtId="164" fontId="3" fillId="3" borderId="0" xfId="3" applyFont="1" applyFill="1" applyAlignment="1">
      <alignment horizontal="left"/>
    </xf>
    <xf numFmtId="0" fontId="0" fillId="0" borderId="0" xfId="0" applyAlignment="1">
      <alignment horizontal="left"/>
    </xf>
    <xf numFmtId="14" fontId="5" fillId="0" borderId="2" xfId="4" applyNumberFormat="1" applyBorder="1"/>
    <xf numFmtId="167" fontId="24" fillId="0" borderId="2" xfId="4" applyNumberFormat="1" applyFont="1" applyBorder="1" applyAlignment="1">
      <alignment horizontal="left" vertical="center"/>
    </xf>
    <xf numFmtId="0" fontId="25" fillId="0" borderId="2" xfId="4" quotePrefix="1" applyFont="1" applyBorder="1" applyAlignment="1">
      <alignment horizontal="left"/>
    </xf>
    <xf numFmtId="14" fontId="12" fillId="5" borderId="2" xfId="8" applyNumberFormat="1" applyFont="1" applyBorder="1"/>
    <xf numFmtId="14" fontId="9" fillId="0" borderId="2" xfId="4" applyNumberFormat="1" applyFont="1" applyBorder="1"/>
    <xf numFmtId="0" fontId="17" fillId="0" borderId="0" xfId="4" applyFont="1"/>
    <xf numFmtId="0" fontId="17" fillId="0" borderId="0" xfId="4" applyFont="1" applyAlignment="1">
      <alignment horizontal="left"/>
    </xf>
    <xf numFmtId="10" fontId="11" fillId="5" borderId="0" xfId="8" applyNumberFormat="1"/>
    <xf numFmtId="14" fontId="11" fillId="5" borderId="0" xfId="4" applyNumberFormat="1" applyFont="1" applyFill="1"/>
    <xf numFmtId="14" fontId="5" fillId="0" borderId="0" xfId="4" applyNumberFormat="1"/>
    <xf numFmtId="10" fontId="23" fillId="0" borderId="0" xfId="8" applyNumberFormat="1" applyFont="1" applyFill="1"/>
    <xf numFmtId="170" fontId="26" fillId="5" borderId="0" xfId="4" applyNumberFormat="1" applyFont="1" applyFill="1" applyAlignment="1">
      <alignment horizontal="right"/>
    </xf>
    <xf numFmtId="0" fontId="28" fillId="0" borderId="2" xfId="9" applyFont="1" applyBorder="1" applyAlignment="1">
      <alignment horizontal="left"/>
    </xf>
    <xf numFmtId="0" fontId="29" fillId="0" borderId="2" xfId="0" applyFont="1" applyBorder="1" applyAlignment="1">
      <alignment horizontal="center"/>
    </xf>
    <xf numFmtId="0" fontId="29" fillId="0" borderId="2" xfId="0" applyFont="1" applyBorder="1"/>
    <xf numFmtId="0" fontId="29" fillId="0" borderId="0" xfId="0" applyFont="1"/>
    <xf numFmtId="49" fontId="5" fillId="0" borderId="0" xfId="4" applyNumberFormat="1"/>
    <xf numFmtId="172" fontId="28" fillId="0" borderId="0" xfId="9" applyNumberFormat="1" applyFont="1" applyAlignment="1">
      <alignment horizontal="right"/>
    </xf>
    <xf numFmtId="0" fontId="29" fillId="0" borderId="0" xfId="0" applyFont="1" applyAlignment="1">
      <alignment horizontal="center"/>
    </xf>
    <xf numFmtId="0" fontId="30" fillId="0" borderId="5" xfId="0" applyFont="1" applyBorder="1"/>
    <xf numFmtId="0" fontId="0" fillId="5" borderId="0" xfId="0" applyFill="1"/>
    <xf numFmtId="0" fontId="32" fillId="0" borderId="0" xfId="4" applyFont="1"/>
    <xf numFmtId="0" fontId="9" fillId="0" borderId="0" xfId="4" applyFont="1" applyAlignment="1">
      <alignment horizontal="left"/>
    </xf>
    <xf numFmtId="43" fontId="20" fillId="0" borderId="0" xfId="0" applyNumberFormat="1" applyFont="1"/>
    <xf numFmtId="0" fontId="9" fillId="0" borderId="2" xfId="4" applyFont="1" applyBorder="1" applyAlignment="1">
      <alignment horizontal="left"/>
    </xf>
    <xf numFmtId="9" fontId="9" fillId="0" borderId="2" xfId="2" applyFont="1" applyBorder="1" applyAlignment="1">
      <alignment horizontal="right"/>
    </xf>
    <xf numFmtId="0" fontId="9" fillId="0" borderId="0" xfId="4" applyFont="1" applyBorder="1" applyAlignment="1">
      <alignment horizontal="left"/>
    </xf>
    <xf numFmtId="0" fontId="9" fillId="0" borderId="0" xfId="4" applyFont="1" applyBorder="1"/>
    <xf numFmtId="0" fontId="9" fillId="0" borderId="0" xfId="4" applyFont="1" applyBorder="1" applyAlignment="1">
      <alignment horizontal="right"/>
    </xf>
    <xf numFmtId="9" fontId="9" fillId="0" borderId="0" xfId="2" applyFont="1" applyBorder="1" applyAlignment="1">
      <alignment horizontal="right"/>
    </xf>
    <xf numFmtId="0" fontId="5" fillId="0" borderId="0" xfId="4" applyFont="1" applyBorder="1" applyAlignment="1">
      <alignment horizontal="left"/>
    </xf>
    <xf numFmtId="0" fontId="5" fillId="0" borderId="0" xfId="4" applyFont="1" applyBorder="1"/>
    <xf numFmtId="0" fontId="5" fillId="0" borderId="0" xfId="4" applyFont="1" applyBorder="1" applyAlignment="1">
      <alignment horizontal="right"/>
    </xf>
    <xf numFmtId="171" fontId="5" fillId="0" borderId="0" xfId="2" applyNumberFormat="1" applyFont="1" applyBorder="1" applyAlignment="1">
      <alignment horizontal="right"/>
    </xf>
    <xf numFmtId="17" fontId="9" fillId="0" borderId="2" xfId="4" applyNumberFormat="1" applyFont="1" applyBorder="1" applyAlignment="1">
      <alignment horizontal="right"/>
    </xf>
    <xf numFmtId="171" fontId="9" fillId="0" borderId="0" xfId="2" applyNumberFormat="1" applyFont="1"/>
    <xf numFmtId="0" fontId="5" fillId="0" borderId="6" xfId="4" applyBorder="1"/>
    <xf numFmtId="0" fontId="5" fillId="0" borderId="0" xfId="4" quotePrefix="1" applyFont="1" applyAlignment="1">
      <alignment horizontal="right"/>
    </xf>
    <xf numFmtId="0" fontId="5" fillId="0" borderId="2" xfId="4" applyFont="1" applyBorder="1" applyAlignment="1">
      <alignment horizontal="left"/>
    </xf>
    <xf numFmtId="0" fontId="5" fillId="0" borderId="2" xfId="4" applyFont="1" applyBorder="1"/>
    <xf numFmtId="0" fontId="5" fillId="0" borderId="2" xfId="4" applyFont="1" applyBorder="1" applyAlignment="1">
      <alignment horizontal="right"/>
    </xf>
    <xf numFmtId="171" fontId="5" fillId="0" borderId="2" xfId="2" applyNumberFormat="1" applyFont="1" applyBorder="1" applyAlignment="1">
      <alignment horizontal="right"/>
    </xf>
    <xf numFmtId="0" fontId="33" fillId="0" borderId="0" xfId="9" applyFont="1"/>
    <xf numFmtId="173" fontId="10" fillId="0" borderId="0" xfId="4" applyNumberFormat="1" applyFont="1" applyAlignment="1">
      <alignment horizontal="right" vertical="center"/>
    </xf>
    <xf numFmtId="170" fontId="33" fillId="0" borderId="0" xfId="9" applyNumberFormat="1" applyFont="1"/>
    <xf numFmtId="38" fontId="9" fillId="0" borderId="0" xfId="4" applyNumberFormat="1" applyFont="1" applyAlignment="1">
      <alignment horizontal="right"/>
    </xf>
    <xf numFmtId="174" fontId="9" fillId="0" borderId="0" xfId="4" applyNumberFormat="1" applyFont="1" applyAlignment="1">
      <alignment horizontal="right"/>
    </xf>
    <xf numFmtId="174" fontId="34" fillId="0" borderId="3" xfId="6" applyNumberFormat="1" applyFont="1">
      <alignment horizontal="right"/>
    </xf>
    <xf numFmtId="0" fontId="5" fillId="0" borderId="0" xfId="4" applyFont="1"/>
    <xf numFmtId="38" fontId="5" fillId="0" borderId="0" xfId="4" applyNumberFormat="1" applyFont="1" applyAlignment="1">
      <alignment horizontal="right"/>
    </xf>
    <xf numFmtId="174" fontId="5" fillId="0" borderId="0" xfId="4" applyNumberFormat="1" applyFont="1" applyAlignment="1">
      <alignment horizontal="right"/>
    </xf>
    <xf numFmtId="171" fontId="5" fillId="0" borderId="0" xfId="4" applyNumberFormat="1" applyFont="1"/>
    <xf numFmtId="0" fontId="17" fillId="0" borderId="3" xfId="6" applyNumberFormat="1">
      <alignment horizontal="right"/>
    </xf>
    <xf numFmtId="0" fontId="17" fillId="8" borderId="3" xfId="6" applyNumberFormat="1" applyFill="1">
      <alignment horizontal="right"/>
    </xf>
    <xf numFmtId="9" fontId="9" fillId="0" borderId="2" xfId="4" applyNumberFormat="1" applyFont="1" applyBorder="1" applyAlignment="1">
      <alignment horizontal="right"/>
    </xf>
    <xf numFmtId="0" fontId="5" fillId="0" borderId="0" xfId="4" applyAlignment="1">
      <alignment horizontal="center" vertical="top" wrapText="1"/>
    </xf>
    <xf numFmtId="175" fontId="5" fillId="0" borderId="6" xfId="4" applyNumberFormat="1" applyBorder="1"/>
    <xf numFmtId="167" fontId="17" fillId="5" borderId="3" xfId="6" applyNumberFormat="1" applyFill="1">
      <alignment horizontal="right"/>
    </xf>
    <xf numFmtId="10" fontId="17" fillId="0" borderId="3" xfId="6" quotePrefix="1" applyNumberFormat="1">
      <alignment horizontal="right"/>
    </xf>
    <xf numFmtId="167" fontId="35" fillId="0" borderId="0" xfId="4" applyNumberFormat="1" applyFont="1" applyAlignment="1">
      <alignment horizontal="left"/>
    </xf>
    <xf numFmtId="167" fontId="11" fillId="5" borderId="3" xfId="8" applyNumberFormat="1" applyBorder="1" applyAlignment="1">
      <alignment horizontal="right"/>
    </xf>
    <xf numFmtId="10" fontId="11" fillId="5" borderId="3" xfId="8" quotePrefix="1" applyNumberFormat="1" applyBorder="1"/>
    <xf numFmtId="167" fontId="34" fillId="0" borderId="0" xfId="6" applyNumberFormat="1" applyFont="1" applyFill="1" applyBorder="1" applyAlignment="1">
      <alignment horizontal="left"/>
    </xf>
    <xf numFmtId="167" fontId="34" fillId="0" borderId="0" xfId="6" applyNumberFormat="1" applyFont="1" applyFill="1" applyBorder="1" applyAlignment="1">
      <alignment horizontal="left" vertical="top"/>
    </xf>
    <xf numFmtId="0" fontId="5" fillId="0" borderId="4" xfId="4" applyBorder="1"/>
    <xf numFmtId="175" fontId="5" fillId="0" borderId="4" xfId="4" applyNumberFormat="1" applyBorder="1"/>
    <xf numFmtId="175" fontId="5" fillId="0" borderId="7" xfId="4" applyNumberFormat="1" applyBorder="1"/>
    <xf numFmtId="176" fontId="29" fillId="0" borderId="2" xfId="4" applyNumberFormat="1" applyFont="1" applyBorder="1" applyAlignment="1">
      <alignment horizontal="center"/>
    </xf>
    <xf numFmtId="167" fontId="34" fillId="0" borderId="8" xfId="6" applyNumberFormat="1" applyFont="1" applyFill="1" applyBorder="1" applyAlignment="1">
      <alignment horizontal="left" vertical="top"/>
    </xf>
    <xf numFmtId="0" fontId="9" fillId="0" borderId="8" xfId="4" applyFont="1" applyBorder="1" applyAlignment="1">
      <alignment horizontal="center" vertical="top" wrapText="1"/>
    </xf>
    <xf numFmtId="0" fontId="19" fillId="10" borderId="0" xfId="7" applyFill="1"/>
    <xf numFmtId="0" fontId="19" fillId="0" borderId="0" xfId="7"/>
    <xf numFmtId="0" fontId="1" fillId="0" borderId="0" xfId="10"/>
    <xf numFmtId="0" fontId="36" fillId="0" borderId="0" xfId="7" applyFont="1"/>
    <xf numFmtId="0" fontId="37" fillId="0" borderId="0" xfId="7" applyFont="1"/>
    <xf numFmtId="0" fontId="38" fillId="0" borderId="0" xfId="7" applyFont="1"/>
    <xf numFmtId="0" fontId="39" fillId="0" borderId="0" xfId="7" applyFont="1"/>
    <xf numFmtId="0" fontId="40" fillId="0" borderId="0" xfId="7" applyFont="1"/>
    <xf numFmtId="0" fontId="41" fillId="0" borderId="0" xfId="7" applyFont="1"/>
    <xf numFmtId="177" fontId="42" fillId="0" borderId="0" xfId="7" applyNumberFormat="1" applyFont="1" applyAlignment="1">
      <alignment horizontal="left"/>
    </xf>
    <xf numFmtId="0" fontId="43" fillId="0" borderId="0" xfId="7" applyFont="1"/>
    <xf numFmtId="178" fontId="5" fillId="0" borderId="0" xfId="4" applyNumberFormat="1"/>
    <xf numFmtId="174" fontId="5" fillId="0" borderId="0" xfId="4" applyNumberFormat="1" applyAlignment="1">
      <alignment horizontal="right"/>
    </xf>
    <xf numFmtId="167" fontId="9" fillId="0" borderId="9" xfId="4" applyNumberFormat="1" applyFont="1" applyBorder="1" applyAlignment="1">
      <alignment horizontal="left"/>
    </xf>
    <xf numFmtId="167" fontId="44" fillId="0" borderId="9" xfId="4" applyNumberFormat="1" applyFont="1" applyBorder="1" applyAlignment="1">
      <alignment horizontal="left"/>
    </xf>
    <xf numFmtId="0" fontId="9" fillId="0" borderId="9" xfId="4" applyFont="1" applyBorder="1" applyAlignment="1">
      <alignment horizontal="right"/>
    </xf>
    <xf numFmtId="167" fontId="35" fillId="0" borderId="9" xfId="4" applyNumberFormat="1" applyFont="1" applyBorder="1" applyAlignment="1">
      <alignment horizontal="left"/>
    </xf>
    <xf numFmtId="174" fontId="9" fillId="0" borderId="9" xfId="4" applyNumberFormat="1" applyFont="1" applyBorder="1" applyAlignment="1">
      <alignment horizontal="right"/>
    </xf>
    <xf numFmtId="167" fontId="9" fillId="0" borderId="7" xfId="4" applyNumberFormat="1" applyFont="1" applyBorder="1" applyAlignment="1">
      <alignment horizontal="left"/>
    </xf>
    <xf numFmtId="167" fontId="44" fillId="0" borderId="7" xfId="4" applyNumberFormat="1" applyFont="1" applyBorder="1" applyAlignment="1">
      <alignment horizontal="left"/>
    </xf>
    <xf numFmtId="0" fontId="9" fillId="0" borderId="7" xfId="4" applyFont="1" applyBorder="1" applyAlignment="1">
      <alignment horizontal="right"/>
    </xf>
    <xf numFmtId="167" fontId="35" fillId="0" borderId="7" xfId="4" applyNumberFormat="1" applyFont="1" applyBorder="1" applyAlignment="1">
      <alignment horizontal="left"/>
    </xf>
    <xf numFmtId="174" fontId="9" fillId="0" borderId="7" xfId="4" applyNumberFormat="1" applyFont="1" applyBorder="1" applyAlignment="1">
      <alignment horizontal="right"/>
    </xf>
    <xf numFmtId="0" fontId="45" fillId="0" borderId="0" xfId="4" applyFont="1" applyFill="1" applyBorder="1" applyAlignment="1">
      <alignment horizontal="left"/>
    </xf>
    <xf numFmtId="0" fontId="45" fillId="0" borderId="0" xfId="4" applyFont="1" applyFill="1" applyBorder="1"/>
    <xf numFmtId="171" fontId="45" fillId="0" borderId="0" xfId="4" applyNumberFormat="1" applyFont="1" applyFill="1" applyBorder="1" applyAlignment="1">
      <alignment horizontal="right"/>
    </xf>
    <xf numFmtId="171" fontId="45" fillId="0" borderId="0" xfId="2" applyNumberFormat="1" applyFont="1" applyFill="1" applyBorder="1"/>
    <xf numFmtId="171" fontId="9" fillId="9" borderId="9" xfId="2" applyNumberFormat="1" applyFont="1" applyFill="1" applyBorder="1"/>
    <xf numFmtId="171" fontId="9" fillId="9" borderId="7" xfId="2" applyNumberFormat="1" applyFont="1" applyFill="1" applyBorder="1"/>
    <xf numFmtId="0" fontId="40" fillId="0" borderId="0" xfId="7" applyNumberFormat="1" applyFont="1" applyAlignment="1">
      <alignment horizontal="left"/>
    </xf>
    <xf numFmtId="0" fontId="12" fillId="5" borderId="0" xfId="0" applyFont="1" applyFill="1" applyAlignment="1">
      <alignment horizontal="left"/>
    </xf>
    <xf numFmtId="0" fontId="11" fillId="5" borderId="0" xfId="8" applyNumberFormat="1" applyAlignment="1">
      <alignment horizontal="left" vertical="top"/>
    </xf>
    <xf numFmtId="0" fontId="11" fillId="5" borderId="0" xfId="4" applyFont="1" applyFill="1" applyAlignment="1">
      <alignment horizontal="left" vertical="top"/>
    </xf>
  </cellXfs>
  <cellStyles count="11">
    <cellStyle name="Assumption" xfId="8" xr:uid="{A77C5C8B-EC53-4B6D-A16D-83CBD2E6761A}"/>
    <cellStyle name="Comma" xfId="1" builtinId="3"/>
    <cellStyle name="Fixed_input" xfId="5" xr:uid="{C746E6AA-3651-4103-BA1B-CBDCCC5A8E1B}"/>
    <cellStyle name="Header1" xfId="3" xr:uid="{0F7BF542-5126-4BF6-8D1C-6E23193847C7}"/>
    <cellStyle name="Normal" xfId="0" builtinId="0"/>
    <cellStyle name="Normal 10" xfId="9" xr:uid="{144E2B49-AF73-48C4-A6BC-02985BAFE039}"/>
    <cellStyle name="Normal 2" xfId="4" xr:uid="{D4C23330-FD35-42FC-8E5C-ACA87AF54BE6}"/>
    <cellStyle name="Normal 2 2" xfId="10" xr:uid="{B0BB1B30-C1D4-4BB4-B5F7-35743909E029}"/>
    <cellStyle name="Normal 3" xfId="7" xr:uid="{D82B8D29-AD8F-4C71-ABF0-C21344ACC28B}"/>
    <cellStyle name="Percent" xfId="2" builtinId="5"/>
    <cellStyle name="Result" xfId="6" xr:uid="{4A8C144D-C35F-4153-A9FA-1E23D78DB28A}"/>
  </cellStyles>
  <dxfs count="2">
    <dxf>
      <font>
        <color theme="5"/>
      </font>
    </dxf>
    <dxf>
      <font>
        <color theme="5"/>
      </font>
    </dxf>
  </dxfs>
  <tableStyles count="0" defaultTableStyle="TableStyleMedium2" defaultPivotStyle="PivotStyleLight16"/>
  <colors>
    <mruColors>
      <color rgb="FF66FFFF"/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95250</xdr:colOff>
      <xdr:row>0</xdr:row>
      <xdr:rowOff>171450</xdr:rowOff>
    </xdr:from>
    <xdr:ext cx="876300" cy="876300"/>
    <xdr:pic>
      <xdr:nvPicPr>
        <xdr:cNvPr id="2" name="Picture 1">
          <a:extLst>
            <a:ext uri="{FF2B5EF4-FFF2-40B4-BE49-F238E27FC236}">
              <a16:creationId xmlns:a16="http://schemas.microsoft.com/office/drawing/2014/main" id="{60FBA334-64E5-4145-84AA-361C6E143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714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9335E-AB6A-4C84-AC7F-EA1EA344C616}">
  <sheetPr codeName="Sheet1">
    <tabColor theme="1" tint="0.34998626667073579"/>
  </sheetPr>
  <dimension ref="A1:K43"/>
  <sheetViews>
    <sheetView showGridLines="0" tabSelected="1" workbookViewId="0">
      <selection activeCell="A34" sqref="A34"/>
    </sheetView>
  </sheetViews>
  <sheetFormatPr defaultColWidth="0" defaultRowHeight="12.75" customHeight="1" zeroHeight="1" x14ac:dyDescent="0.3"/>
  <cols>
    <col min="1" max="1" width="10.90625" style="113" customWidth="1"/>
    <col min="2" max="2" width="2.08984375" style="113" customWidth="1"/>
    <col min="3" max="3" width="14.26953125" style="113" customWidth="1"/>
    <col min="4" max="11" width="9" style="113" customWidth="1"/>
    <col min="12" max="16384" width="9" style="113" hidden="1"/>
  </cols>
  <sheetData>
    <row r="1" spans="1:11" ht="14.4" x14ac:dyDescent="0.3">
      <c r="A1" s="111"/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1" ht="22.8" x14ac:dyDescent="0.4">
      <c r="A2" s="111"/>
      <c r="B2" s="112"/>
      <c r="C2" s="114" t="s">
        <v>4</v>
      </c>
      <c r="D2" s="115"/>
      <c r="E2" s="115"/>
      <c r="F2" s="112"/>
      <c r="G2" s="112"/>
      <c r="H2" s="112"/>
      <c r="I2" s="112"/>
      <c r="J2" s="112"/>
      <c r="K2" s="112"/>
    </row>
    <row r="3" spans="1:11" ht="15.6" x14ac:dyDescent="0.3">
      <c r="A3" s="111"/>
      <c r="B3" s="112"/>
      <c r="C3" s="116" t="s">
        <v>74</v>
      </c>
      <c r="D3" s="115"/>
      <c r="E3" s="115"/>
      <c r="F3" s="112"/>
      <c r="G3" s="112"/>
      <c r="H3" s="112"/>
      <c r="I3" s="112"/>
      <c r="J3" s="112"/>
      <c r="K3" s="112"/>
    </row>
    <row r="4" spans="1:11" ht="14.4" x14ac:dyDescent="0.3">
      <c r="A4" s="111"/>
      <c r="B4" s="112"/>
      <c r="C4" s="112"/>
      <c r="D4" s="115"/>
      <c r="E4" s="115"/>
      <c r="F4" s="112"/>
      <c r="G4" s="112"/>
      <c r="H4" s="112"/>
      <c r="I4" s="112"/>
      <c r="J4" s="112"/>
      <c r="K4" s="112"/>
    </row>
    <row r="5" spans="1:11" ht="14.4" x14ac:dyDescent="0.3">
      <c r="A5" s="111"/>
      <c r="B5" s="112"/>
      <c r="C5" s="117" t="s">
        <v>77</v>
      </c>
      <c r="D5" s="112"/>
      <c r="E5" s="112"/>
      <c r="F5" s="112"/>
      <c r="G5" s="112"/>
      <c r="H5" s="112"/>
      <c r="I5" s="112"/>
      <c r="J5" s="112"/>
      <c r="K5" s="112"/>
    </row>
    <row r="6" spans="1:11" ht="14.4" x14ac:dyDescent="0.3">
      <c r="A6" s="111"/>
      <c r="B6" s="112"/>
      <c r="C6" s="118" t="s">
        <v>75</v>
      </c>
      <c r="D6" s="140">
        <v>4.16</v>
      </c>
      <c r="E6" s="118"/>
      <c r="F6" s="112"/>
      <c r="G6" s="112"/>
      <c r="H6" s="112"/>
      <c r="I6" s="112"/>
      <c r="J6" s="112"/>
      <c r="K6" s="112"/>
    </row>
    <row r="7" spans="1:11" ht="14.4" x14ac:dyDescent="0.3">
      <c r="A7" s="111"/>
      <c r="B7" s="112"/>
      <c r="C7" s="112"/>
      <c r="D7" s="112"/>
      <c r="E7" s="112"/>
      <c r="F7" s="119"/>
      <c r="G7" s="119"/>
      <c r="H7" s="119"/>
      <c r="I7" s="112"/>
      <c r="J7" s="119"/>
      <c r="K7" s="119"/>
    </row>
    <row r="8" spans="1:11" ht="14.4" x14ac:dyDescent="0.3">
      <c r="A8" s="111"/>
      <c r="B8" s="112"/>
      <c r="C8" s="120">
        <v>45688</v>
      </c>
      <c r="D8" s="112"/>
      <c r="E8" s="112"/>
      <c r="F8" s="119"/>
      <c r="G8" s="119"/>
      <c r="H8" s="119"/>
      <c r="I8" s="112"/>
      <c r="J8" s="119"/>
      <c r="K8" s="119"/>
    </row>
    <row r="9" spans="1:11" ht="14.4" x14ac:dyDescent="0.3">
      <c r="A9" s="111"/>
      <c r="B9" s="112"/>
      <c r="C9" s="121"/>
      <c r="D9" s="121"/>
      <c r="E9" s="112"/>
      <c r="F9" s="119"/>
      <c r="G9" s="119"/>
      <c r="H9" s="119"/>
      <c r="I9" s="119"/>
      <c r="J9" s="119"/>
      <c r="K9" s="119"/>
    </row>
    <row r="10" spans="1:11" ht="14.4" x14ac:dyDescent="0.3">
      <c r="A10" s="111"/>
      <c r="B10" s="112"/>
      <c r="C10" s="121"/>
      <c r="D10" s="121"/>
      <c r="E10" s="112"/>
      <c r="F10" s="119"/>
      <c r="G10" s="119"/>
      <c r="H10" s="119"/>
      <c r="I10" s="119"/>
      <c r="J10" s="119"/>
      <c r="K10" s="119"/>
    </row>
    <row r="11" spans="1:11" ht="14.4" x14ac:dyDescent="0.3">
      <c r="A11" s="111"/>
      <c r="B11" s="112"/>
      <c r="C11" s="121"/>
      <c r="D11" s="121"/>
      <c r="E11" s="112"/>
      <c r="F11" s="119"/>
      <c r="G11" s="119"/>
      <c r="H11" s="119"/>
      <c r="I11" s="119"/>
      <c r="J11" s="119"/>
      <c r="K11" s="119"/>
    </row>
    <row r="12" spans="1:11" ht="14.4" x14ac:dyDescent="0.3">
      <c r="A12" s="111"/>
      <c r="B12" s="112"/>
      <c r="C12" s="121"/>
      <c r="D12" s="121"/>
      <c r="E12" s="112"/>
      <c r="F12" s="119"/>
      <c r="G12" s="119"/>
      <c r="H12" s="119"/>
      <c r="I12" s="119"/>
      <c r="J12" s="119"/>
      <c r="K12" s="119"/>
    </row>
    <row r="13" spans="1:11" ht="14.4" x14ac:dyDescent="0.3">
      <c r="A13" s="111"/>
      <c r="B13" s="112"/>
      <c r="C13" s="121"/>
      <c r="D13" s="121"/>
      <c r="E13" s="112"/>
      <c r="F13" s="119"/>
      <c r="G13" s="119"/>
      <c r="H13" s="119"/>
      <c r="I13" s="119"/>
      <c r="J13" s="119"/>
      <c r="K13" s="119"/>
    </row>
    <row r="14" spans="1:11" ht="14.4" x14ac:dyDescent="0.3">
      <c r="A14" s="111"/>
      <c r="B14" s="112"/>
      <c r="C14" s="119"/>
      <c r="D14" s="119"/>
      <c r="E14" s="119"/>
      <c r="F14" s="119"/>
      <c r="G14" s="119"/>
      <c r="H14" s="119"/>
      <c r="I14" s="119"/>
      <c r="J14" s="119"/>
      <c r="K14" s="119"/>
    </row>
    <row r="15" spans="1:11" ht="14.4" x14ac:dyDescent="0.3">
      <c r="A15" s="111"/>
      <c r="B15" s="112"/>
      <c r="C15" s="117"/>
      <c r="D15" s="119"/>
      <c r="E15" s="119"/>
      <c r="F15" s="119"/>
      <c r="G15" s="119"/>
      <c r="H15" s="119"/>
      <c r="I15" s="119"/>
      <c r="J15" s="119"/>
      <c r="K15" s="119"/>
    </row>
    <row r="16" spans="1:11" ht="14.4" x14ac:dyDescent="0.3">
      <c r="A16" s="111"/>
      <c r="B16" s="112"/>
      <c r="C16" s="117"/>
      <c r="D16" s="119"/>
      <c r="E16" s="119"/>
      <c r="F16" s="119"/>
      <c r="G16" s="119"/>
      <c r="H16" s="119"/>
      <c r="I16" s="119"/>
      <c r="J16" s="119"/>
      <c r="K16" s="119"/>
    </row>
    <row r="17" spans="1:11" ht="14.4" x14ac:dyDescent="0.3">
      <c r="A17" s="111"/>
      <c r="B17" s="112"/>
      <c r="C17" s="119"/>
      <c r="D17" s="119"/>
      <c r="E17" s="119"/>
      <c r="F17" s="119"/>
      <c r="G17" s="119"/>
      <c r="H17" s="119"/>
      <c r="I17" s="119"/>
      <c r="J17" s="119"/>
      <c r="K17" s="119"/>
    </row>
    <row r="18" spans="1:11" ht="14.4" x14ac:dyDescent="0.3">
      <c r="A18" s="111"/>
      <c r="B18" s="112"/>
      <c r="C18" s="119"/>
      <c r="D18" s="119"/>
      <c r="E18" s="119"/>
      <c r="F18" s="119"/>
      <c r="G18" s="119"/>
      <c r="H18" s="119"/>
      <c r="I18" s="119"/>
      <c r="J18" s="119"/>
      <c r="K18" s="119"/>
    </row>
    <row r="19" spans="1:11" ht="14.4" x14ac:dyDescent="0.3">
      <c r="A19" s="111"/>
      <c r="B19" s="112"/>
      <c r="C19" s="119"/>
      <c r="D19" s="119"/>
      <c r="E19" s="119"/>
      <c r="F19" s="119"/>
      <c r="H19" s="119"/>
      <c r="I19" s="119"/>
      <c r="J19" s="119"/>
      <c r="K19" s="119"/>
    </row>
    <row r="20" spans="1:11" ht="14.4" x14ac:dyDescent="0.3">
      <c r="A20" s="111"/>
      <c r="B20" s="112"/>
      <c r="C20" s="119"/>
      <c r="D20" s="119"/>
      <c r="E20" s="119"/>
      <c r="F20" s="119"/>
      <c r="G20" s="119"/>
      <c r="H20" s="119"/>
      <c r="I20" s="119"/>
      <c r="J20" s="119"/>
      <c r="K20" s="119"/>
    </row>
    <row r="21" spans="1:11" ht="14.4" x14ac:dyDescent="0.3">
      <c r="A21" s="111"/>
      <c r="B21" s="112"/>
      <c r="C21" s="119"/>
      <c r="D21" s="119"/>
      <c r="E21" s="119"/>
      <c r="F21" s="119"/>
      <c r="G21" s="119"/>
      <c r="H21" s="119"/>
      <c r="I21" s="119"/>
      <c r="J21" s="119"/>
      <c r="K21" s="119"/>
    </row>
    <row r="22" spans="1:11" ht="14.4" x14ac:dyDescent="0.3">
      <c r="A22" s="111"/>
      <c r="B22" s="112"/>
      <c r="C22" s="119"/>
      <c r="D22" s="119"/>
      <c r="E22" s="119"/>
      <c r="F22" s="119"/>
      <c r="G22" s="119"/>
      <c r="H22" s="119"/>
      <c r="I22" s="119"/>
      <c r="J22" s="119"/>
      <c r="K22" s="119"/>
    </row>
    <row r="23" spans="1:11" ht="14.4" x14ac:dyDescent="0.3">
      <c r="A23" s="111"/>
      <c r="B23" s="112"/>
      <c r="C23" s="119"/>
      <c r="D23" s="119"/>
      <c r="E23" s="119"/>
      <c r="F23" s="119"/>
      <c r="G23" s="119"/>
      <c r="H23" s="119"/>
      <c r="I23" s="119"/>
      <c r="J23" s="119"/>
      <c r="K23" s="119"/>
    </row>
    <row r="24" spans="1:11" ht="14.4" x14ac:dyDescent="0.3">
      <c r="A24" s="111"/>
      <c r="B24" s="112"/>
      <c r="C24" s="119"/>
      <c r="D24" s="119"/>
      <c r="E24" s="119"/>
      <c r="F24" s="119"/>
      <c r="G24" s="119"/>
      <c r="H24" s="119"/>
      <c r="I24" s="119"/>
      <c r="J24" s="119"/>
      <c r="K24" s="119"/>
    </row>
    <row r="25" spans="1:11" ht="14.4" x14ac:dyDescent="0.3">
      <c r="A25" s="111"/>
      <c r="B25" s="112"/>
      <c r="C25" s="119"/>
      <c r="D25" s="119"/>
      <c r="E25" s="119"/>
      <c r="F25" s="119"/>
      <c r="G25" s="119"/>
      <c r="H25" s="119"/>
      <c r="I25" s="119"/>
      <c r="J25" s="119"/>
      <c r="K25" s="119"/>
    </row>
    <row r="26" spans="1:11" ht="14.4" x14ac:dyDescent="0.3">
      <c r="A26" s="111"/>
      <c r="B26" s="112"/>
      <c r="C26" s="119"/>
      <c r="D26" s="119"/>
      <c r="E26" s="119"/>
      <c r="F26" s="119"/>
      <c r="G26" s="119"/>
      <c r="H26" s="119"/>
      <c r="I26" s="119"/>
      <c r="J26" s="119"/>
      <c r="K26" s="119"/>
    </row>
    <row r="27" spans="1:11" ht="14.4" x14ac:dyDescent="0.3">
      <c r="A27" s="111"/>
      <c r="B27" s="112"/>
      <c r="C27" s="119"/>
      <c r="D27" s="119"/>
      <c r="E27" s="119"/>
      <c r="F27" s="119"/>
      <c r="G27" s="119"/>
      <c r="H27" s="119"/>
      <c r="I27" s="119"/>
      <c r="J27" s="119"/>
      <c r="K27" s="119"/>
    </row>
    <row r="28" spans="1:11" ht="14.4" x14ac:dyDescent="0.3">
      <c r="A28" s="111"/>
      <c r="B28" s="112"/>
      <c r="C28" s="119"/>
      <c r="D28" s="119"/>
      <c r="E28" s="119"/>
      <c r="F28" s="119"/>
      <c r="G28" s="119"/>
      <c r="H28" s="119"/>
      <c r="I28" s="119"/>
      <c r="J28" s="119"/>
      <c r="K28" s="119"/>
    </row>
    <row r="29" spans="1:11" ht="14.4" x14ac:dyDescent="0.3">
      <c r="A29" s="111"/>
      <c r="B29" s="112"/>
      <c r="C29" s="119"/>
      <c r="D29" s="119"/>
      <c r="E29" s="119"/>
      <c r="F29" s="119"/>
      <c r="G29" s="119"/>
      <c r="H29" s="119"/>
      <c r="I29" s="119"/>
      <c r="J29" s="119"/>
      <c r="K29" s="119"/>
    </row>
    <row r="30" spans="1:11" ht="14.4" x14ac:dyDescent="0.3">
      <c r="A30" s="111"/>
      <c r="B30" s="112"/>
      <c r="C30" s="119"/>
      <c r="D30" s="112"/>
      <c r="E30" s="119"/>
      <c r="F30" s="119"/>
      <c r="G30" s="119"/>
      <c r="H30" s="119"/>
      <c r="I30" s="119"/>
      <c r="J30" s="119"/>
      <c r="K30" s="119"/>
    </row>
    <row r="31" spans="1:11" ht="14.4" x14ac:dyDescent="0.3">
      <c r="A31" s="111"/>
      <c r="B31" s="112"/>
      <c r="C31" s="112"/>
      <c r="D31" s="112"/>
      <c r="E31" s="112"/>
      <c r="F31" s="112"/>
      <c r="G31" s="112"/>
      <c r="H31" s="112"/>
      <c r="I31" s="112"/>
      <c r="J31" s="112"/>
      <c r="K31" s="112"/>
    </row>
    <row r="32" spans="1:11" ht="14.4" x14ac:dyDescent="0.3">
      <c r="A32" s="111"/>
      <c r="B32" s="112"/>
      <c r="C32" s="112"/>
      <c r="D32" s="112"/>
      <c r="E32" s="112"/>
      <c r="F32" s="112"/>
      <c r="G32" s="112"/>
      <c r="H32" s="112"/>
      <c r="I32" s="112"/>
      <c r="J32" s="112"/>
      <c r="K32" s="112"/>
    </row>
    <row r="33" spans="1:11" ht="14.4" x14ac:dyDescent="0.3">
      <c r="A33" s="111"/>
      <c r="B33" s="112"/>
      <c r="C33" s="112"/>
      <c r="D33" s="112"/>
      <c r="E33" s="112"/>
      <c r="F33" s="112"/>
      <c r="G33" s="112"/>
      <c r="H33" s="112"/>
      <c r="I33" s="112"/>
      <c r="J33" s="112"/>
      <c r="K33" s="112"/>
    </row>
    <row r="34" spans="1:11" ht="14.4" x14ac:dyDescent="0.3">
      <c r="A34" s="111"/>
      <c r="B34" s="112"/>
      <c r="C34" s="112"/>
      <c r="D34" s="112"/>
      <c r="E34" s="112"/>
      <c r="F34" s="112"/>
      <c r="G34" s="112"/>
      <c r="H34" s="112"/>
      <c r="I34" s="112"/>
      <c r="J34" s="112"/>
      <c r="K34" s="112"/>
    </row>
    <row r="35" spans="1:11" ht="14.4" x14ac:dyDescent="0.3">
      <c r="A35" s="111"/>
      <c r="B35" s="112"/>
      <c r="C35" s="112"/>
      <c r="D35" s="112"/>
      <c r="E35" s="112"/>
      <c r="F35" s="112"/>
      <c r="G35" s="112"/>
      <c r="H35" s="112"/>
      <c r="I35" s="112"/>
      <c r="J35" s="112"/>
      <c r="K35" s="112"/>
    </row>
    <row r="36" spans="1:11" ht="14.4" x14ac:dyDescent="0.3">
      <c r="A36" s="111"/>
      <c r="B36" s="112"/>
      <c r="C36" s="112"/>
      <c r="D36" s="112"/>
      <c r="E36" s="112"/>
      <c r="F36" s="112"/>
      <c r="G36" s="112"/>
      <c r="H36" s="112"/>
      <c r="I36" s="112"/>
      <c r="J36" s="112"/>
      <c r="K36" s="112"/>
    </row>
    <row r="37" spans="1:11" ht="14.4" x14ac:dyDescent="0.3">
      <c r="A37" s="111"/>
      <c r="B37" s="112"/>
      <c r="C37" s="112"/>
      <c r="D37" s="112"/>
      <c r="E37" s="112"/>
      <c r="F37" s="112"/>
      <c r="G37" s="112"/>
      <c r="H37" s="112"/>
      <c r="I37" s="112"/>
      <c r="J37" s="112"/>
      <c r="K37" s="112"/>
    </row>
    <row r="38" spans="1:11" ht="14.4" x14ac:dyDescent="0.3">
      <c r="A38" s="111"/>
      <c r="B38" s="112"/>
      <c r="C38" s="112"/>
      <c r="D38" s="112"/>
      <c r="E38" s="112"/>
      <c r="F38" s="112"/>
      <c r="G38" s="112"/>
      <c r="H38" s="112"/>
      <c r="I38" s="112"/>
      <c r="J38" s="112"/>
      <c r="K38" s="112"/>
    </row>
    <row r="39" spans="1:11" ht="14.4" x14ac:dyDescent="0.3">
      <c r="A39" s="111"/>
      <c r="B39" s="112"/>
      <c r="C39" s="112"/>
      <c r="D39" s="112"/>
      <c r="E39" s="112"/>
      <c r="F39" s="112"/>
      <c r="G39" s="112"/>
      <c r="H39" s="112"/>
      <c r="I39" s="112"/>
      <c r="J39" s="112"/>
      <c r="K39" s="112"/>
    </row>
    <row r="40" spans="1:11" ht="14.4" x14ac:dyDescent="0.3">
      <c r="A40" s="111">
        <f ca="1">_xlfn.SHEETS()</f>
        <v>5</v>
      </c>
      <c r="B40" s="112"/>
      <c r="C40" s="112"/>
      <c r="D40" s="112"/>
      <c r="E40" s="112"/>
      <c r="F40" s="112"/>
      <c r="G40" s="112"/>
      <c r="H40" s="112"/>
      <c r="I40" s="112"/>
      <c r="J40" s="112"/>
      <c r="K40" s="112"/>
    </row>
    <row r="41" spans="1:11" ht="14.4" x14ac:dyDescent="0.3">
      <c r="A41" s="111"/>
      <c r="B41" s="112"/>
      <c r="C41" s="112"/>
      <c r="D41" s="112"/>
      <c r="E41" s="112"/>
      <c r="F41" s="112"/>
      <c r="G41" s="112"/>
      <c r="H41" s="112"/>
      <c r="I41" s="112"/>
      <c r="J41" s="112"/>
      <c r="K41" s="112"/>
    </row>
    <row r="42" spans="1:11" ht="14.4" x14ac:dyDescent="0.3">
      <c r="A42" s="111"/>
      <c r="B42" s="112"/>
      <c r="C42" s="112"/>
      <c r="D42" s="112"/>
      <c r="E42" s="112"/>
      <c r="F42" s="112"/>
      <c r="G42" s="112"/>
      <c r="H42" s="112"/>
      <c r="I42" s="112"/>
      <c r="J42" s="112"/>
      <c r="K42" s="112"/>
    </row>
    <row r="43" spans="1:11" ht="14.4" x14ac:dyDescent="0.3">
      <c r="A43" s="111"/>
      <c r="B43" s="112"/>
      <c r="C43" s="112"/>
      <c r="D43" s="112"/>
      <c r="E43" s="112"/>
      <c r="F43" s="112"/>
      <c r="G43" s="112"/>
      <c r="H43" s="112"/>
      <c r="I43" s="112"/>
      <c r="J43" s="112"/>
      <c r="K43" s="112"/>
    </row>
  </sheetData>
  <conditionalFormatting sqref="C5">
    <cfRule type="expression" dxfId="1" priority="1">
      <formula>LEFT(C5,1)="&lt;"</formula>
    </cfRule>
  </conditionalFormatting>
  <conditionalFormatting sqref="D6">
    <cfRule type="expression" dxfId="0" priority="2">
      <formula>LEFT(D6,1)="&lt;"</formula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79192-7478-4495-B957-42AEE5E317AE}">
  <sheetPr codeName="Sheet2">
    <tabColor rgb="FF66FFFF"/>
  </sheetPr>
  <dimension ref="A1:XFC18"/>
  <sheetViews>
    <sheetView showGridLines="0" zoomScaleNormal="100" workbookViewId="0">
      <selection activeCell="A22" sqref="A22"/>
    </sheetView>
  </sheetViews>
  <sheetFormatPr defaultColWidth="8" defaultRowHeight="13.8" x14ac:dyDescent="0.3"/>
  <cols>
    <col min="1" max="1" width="2.6328125" style="7" customWidth="1"/>
    <col min="2" max="2" width="7.08984375" style="7" customWidth="1"/>
    <col min="3" max="3" width="15" style="7" customWidth="1"/>
    <col min="4" max="6" width="13.36328125" style="7" customWidth="1"/>
    <col min="7" max="9" width="14.08984375" style="7" customWidth="1"/>
    <col min="10" max="10" width="13.08984375" style="7" customWidth="1"/>
    <col min="11" max="11" width="13.453125" style="7" customWidth="1"/>
    <col min="12" max="12" width="10.08984375" style="33" customWidth="1"/>
    <col min="13" max="13" width="10.7265625" style="7" customWidth="1"/>
    <col min="14" max="15" width="11.36328125" style="7" customWidth="1"/>
    <col min="16" max="25" width="11.36328125" style="8" customWidth="1"/>
    <col min="26" max="33" width="8.6328125" style="8" customWidth="1"/>
    <col min="34" max="34" width="12.08984375" style="8" customWidth="1"/>
    <col min="35" max="35" width="8.6328125" style="8" customWidth="1"/>
    <col min="36" max="36" width="9.453125" style="7" bestFit="1" customWidth="1"/>
    <col min="37" max="16384" width="8" style="7"/>
  </cols>
  <sheetData>
    <row r="1" spans="1:16383" ht="18" x14ac:dyDescent="0.35">
      <c r="A1" s="1" t="str">
        <f>bus</f>
        <v>Powercor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</row>
    <row r="2" spans="1:16383" ht="18" x14ac:dyDescent="0.35">
      <c r="A2" s="31" t="str">
        <f>proj</f>
        <v>Proactive HBRA HV wood crossarm replacements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</row>
    <row r="3" spans="1:16383" ht="18" x14ac:dyDescent="0.35">
      <c r="A3" s="21" t="s">
        <v>70</v>
      </c>
      <c r="B3" s="32"/>
      <c r="C3" s="21"/>
      <c r="D3" s="21"/>
      <c r="E3" s="21"/>
      <c r="F3" s="21"/>
      <c r="G3" s="21"/>
      <c r="H3" s="21"/>
      <c r="I3" s="21"/>
      <c r="J3" s="21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</row>
    <row r="4" spans="1:16383" x14ac:dyDescent="0.3"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1:16383" x14ac:dyDescent="0.3">
      <c r="C5" s="103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1:16383" ht="27.6" x14ac:dyDescent="0.3">
      <c r="A6" s="96"/>
      <c r="B6" s="96"/>
      <c r="C6" s="109"/>
      <c r="D6" s="110" t="s">
        <v>69</v>
      </c>
      <c r="E6" s="110" t="s">
        <v>68</v>
      </c>
      <c r="F6" s="110" t="s">
        <v>62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16383" x14ac:dyDescent="0.3">
      <c r="A7" s="96"/>
      <c r="B7" s="96"/>
      <c r="C7" s="104"/>
      <c r="D7" s="108">
        <v>46203</v>
      </c>
      <c r="E7" s="108">
        <v>46203</v>
      </c>
      <c r="F7" s="108">
        <v>46203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16383" x14ac:dyDescent="0.3">
      <c r="C8" s="105" t="s">
        <v>61</v>
      </c>
      <c r="D8" s="107">
        <v>0</v>
      </c>
      <c r="E8" s="106">
        <v>0</v>
      </c>
      <c r="F8" s="106">
        <f>E8-D8</f>
        <v>0</v>
      </c>
    </row>
    <row r="9" spans="1:16383" x14ac:dyDescent="0.3">
      <c r="C9" s="77" t="s">
        <v>35</v>
      </c>
      <c r="D9" s="97">
        <f>-Calculations!E55/10^6*conv_2026</f>
        <v>-2.7685316608398605</v>
      </c>
      <c r="E9" s="97">
        <f>Calculations!E59/10^6*conv_2026</f>
        <v>12.704851824648522</v>
      </c>
      <c r="F9" s="97">
        <f>SUM(D9:E9)</f>
        <v>9.9363201638086611</v>
      </c>
    </row>
    <row r="13" spans="1:16383" x14ac:dyDescent="0.3">
      <c r="C13" s="12" t="s">
        <v>63</v>
      </c>
      <c r="D13" s="94" t="str">
        <f>INDEX($C$8:$C$9, MATCH(MAX($F$8:$F$9), $F$8:$F$9,0))</f>
        <v>Option 2</v>
      </c>
    </row>
    <row r="16" spans="1:16383" x14ac:dyDescent="0.3">
      <c r="C16" s="7" t="s">
        <v>67</v>
      </c>
    </row>
    <row r="17" spans="3:9" x14ac:dyDescent="0.3">
      <c r="C17" s="25"/>
      <c r="D17" s="25"/>
      <c r="E17" s="95" t="str">
        <f>Calculations!L40</f>
        <v>2026-27</v>
      </c>
      <c r="F17" s="95" t="str">
        <f>Calculations!M40</f>
        <v>2027-28</v>
      </c>
      <c r="G17" s="95" t="str">
        <f>Calculations!N40</f>
        <v>2028-29</v>
      </c>
      <c r="H17" s="95" t="str">
        <f>Calculations!O40</f>
        <v>2029-30</v>
      </c>
      <c r="I17" s="95" t="str">
        <f>Calculations!P40</f>
        <v>2030-31</v>
      </c>
    </row>
    <row r="18" spans="3:9" x14ac:dyDescent="0.3">
      <c r="C18" s="7" t="s">
        <v>66</v>
      </c>
      <c r="E18" s="122">
        <f>Calculations!L$54*conv_2026/10^6</f>
        <v>4.7757271433307809</v>
      </c>
      <c r="F18" s="122">
        <f>Calculations!M$54*conv_2026/10^6</f>
        <v>4.7757271433307809</v>
      </c>
      <c r="G18" s="122">
        <f>Calculations!N$54*conv_2026/10^6</f>
        <v>4.7757271433307809</v>
      </c>
      <c r="H18" s="122">
        <f>Calculations!O$54*conv_2026/10^6</f>
        <v>4.7757271433307809</v>
      </c>
      <c r="I18" s="122">
        <f>Calculations!P$54*conv_2026/10^6</f>
        <v>4.7757271433307809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D7EE5-76AD-42A9-9D58-4E5D9A186126}">
  <sheetPr codeName="Sheet3">
    <tabColor rgb="FFFFFF00"/>
  </sheetPr>
  <dimension ref="A1:XFB86"/>
  <sheetViews>
    <sheetView showGridLines="0" zoomScaleNormal="10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28" sqref="E28"/>
    </sheetView>
  </sheetViews>
  <sheetFormatPr defaultColWidth="8" defaultRowHeight="13.8" outlineLevelRow="1" x14ac:dyDescent="0.3"/>
  <cols>
    <col min="1" max="1" width="2.6328125" style="7" customWidth="1"/>
    <col min="2" max="2" width="7.08984375" style="7" customWidth="1"/>
    <col min="3" max="3" width="15" style="7" customWidth="1"/>
    <col min="4" max="4" width="18.7265625" style="7" customWidth="1"/>
    <col min="5" max="5" width="17.08984375" style="7" customWidth="1"/>
    <col min="6" max="6" width="8.26953125" style="7" customWidth="1"/>
    <col min="7" max="7" width="13.08984375" style="7" customWidth="1"/>
    <col min="8" max="8" width="4.08984375" style="7" customWidth="1"/>
    <col min="9" max="9" width="13.08984375" style="7" customWidth="1"/>
    <col min="10" max="12" width="9.90625" style="7" customWidth="1"/>
    <col min="13" max="13" width="9.90625" style="33" customWidth="1"/>
    <col min="14" max="16" width="9.90625" style="7" customWidth="1"/>
    <col min="17" max="31" width="9.90625" style="8" customWidth="1"/>
    <col min="32" max="32" width="8.6328125" style="8" customWidth="1"/>
    <col min="33" max="33" width="12.08984375" style="8" customWidth="1"/>
    <col min="34" max="34" width="8.6328125" style="8" customWidth="1"/>
    <col min="35" max="35" width="9.453125" style="7" bestFit="1" customWidth="1"/>
    <col min="36" max="16384" width="8" style="7"/>
  </cols>
  <sheetData>
    <row r="1" spans="1:16382" ht="18" x14ac:dyDescent="0.35">
      <c r="A1" s="1" t="str">
        <f>bus</f>
        <v>Powercor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9"/>
      <c r="N1" s="28"/>
      <c r="O1" s="28"/>
      <c r="P1" s="28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ht="18" x14ac:dyDescent="0.35">
      <c r="A2" s="31" t="str">
        <f>proj</f>
        <v>Proactive HBRA HV wood crossarm replacements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28"/>
      <c r="O2" s="28"/>
      <c r="P2" s="28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</row>
    <row r="3" spans="1:16382" ht="18" x14ac:dyDescent="0.35">
      <c r="A3" s="21" t="s">
        <v>20</v>
      </c>
      <c r="B3" s="32"/>
      <c r="C3" s="21"/>
      <c r="D3" s="21"/>
      <c r="E3" s="21"/>
      <c r="F3" s="21"/>
      <c r="G3" s="21"/>
      <c r="H3" s="21"/>
      <c r="I3" s="21"/>
      <c r="J3" s="21"/>
      <c r="K3" s="21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</row>
    <row r="4" spans="1:16382" ht="18" x14ac:dyDescent="0.35">
      <c r="A4" s="21"/>
      <c r="B4" s="32"/>
      <c r="C4" s="21"/>
      <c r="D4" s="21"/>
      <c r="K4" s="21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</row>
    <row r="5" spans="1:16382" hidden="1" outlineLevel="1" x14ac:dyDescent="0.3">
      <c r="A5" s="83" t="s">
        <v>60</v>
      </c>
      <c r="B5" s="83"/>
      <c r="C5" s="84"/>
      <c r="D5" s="83"/>
      <c r="K5" s="85">
        <f t="shared" ref="K5:X5" si="0">IF(K$28=start,1,IF(J$28=start,J5/((1+real_disc)^(1/2)),J5/(1+real_disc)))</f>
        <v>1</v>
      </c>
      <c r="L5" s="85">
        <f t="shared" si="0"/>
        <v>0.98294637436598087</v>
      </c>
      <c r="M5" s="85">
        <f t="shared" si="0"/>
        <v>0.94970664189949849</v>
      </c>
      <c r="N5" s="85">
        <f t="shared" si="0"/>
        <v>0.91759095835700344</v>
      </c>
      <c r="O5" s="85">
        <f t="shared" si="0"/>
        <v>0.88656131242222558</v>
      </c>
      <c r="P5" s="85">
        <f t="shared" si="0"/>
        <v>0.85658097818572532</v>
      </c>
      <c r="Q5" s="85">
        <f t="shared" si="0"/>
        <v>0.8276144716770294</v>
      </c>
      <c r="R5" s="85">
        <f t="shared" si="0"/>
        <v>0.79962750886669509</v>
      </c>
      <c r="S5" s="85">
        <f t="shared" si="0"/>
        <v>0.77258696508859437</v>
      </c>
      <c r="T5" s="85">
        <f t="shared" si="0"/>
        <v>0.74646083583439071</v>
      </c>
      <c r="U5" s="85">
        <f t="shared" si="0"/>
        <v>0.72121819887380756</v>
      </c>
      <c r="V5" s="85">
        <f t="shared" si="0"/>
        <v>0.69682917765585273</v>
      </c>
      <c r="W5" s="85">
        <f t="shared" si="0"/>
        <v>0.67326490594768384</v>
      </c>
      <c r="X5" s="85">
        <f t="shared" si="0"/>
        <v>0.6504974936692598</v>
      </c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34"/>
      <c r="AJ5" s="34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</row>
    <row r="6" spans="1:16382" collapsed="1" x14ac:dyDescent="0.3">
      <c r="A6" s="83"/>
      <c r="B6" s="83"/>
      <c r="C6" s="84"/>
      <c r="D6" s="83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34"/>
      <c r="AJ6" s="34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</row>
    <row r="7" spans="1:16382" x14ac:dyDescent="0.3"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</row>
    <row r="8" spans="1:16382" ht="14.4" x14ac:dyDescent="0.3">
      <c r="A8" s="4" t="s">
        <v>54</v>
      </c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7"/>
      <c r="AG8" s="7"/>
      <c r="AH8" s="7"/>
    </row>
    <row r="9" spans="1:16382" x14ac:dyDescent="0.3">
      <c r="C9" s="8"/>
      <c r="D9" s="8"/>
      <c r="E9" s="34"/>
      <c r="F9"/>
      <c r="G9"/>
      <c r="H9"/>
      <c r="J9" s="34"/>
      <c r="K9" s="34"/>
      <c r="L9" s="34"/>
      <c r="M9" s="26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</row>
    <row r="10" spans="1:16382" x14ac:dyDescent="0.3">
      <c r="C10" s="8" t="s">
        <v>72</v>
      </c>
      <c r="D10" s="8"/>
      <c r="E10" s="8">
        <v>2024</v>
      </c>
      <c r="F10"/>
      <c r="G10" s="35">
        <v>17004</v>
      </c>
      <c r="H10"/>
      <c r="J10" s="64"/>
      <c r="K10" s="34"/>
      <c r="M10" s="7"/>
      <c r="N10" s="3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</row>
    <row r="11" spans="1:16382" x14ac:dyDescent="0.3">
      <c r="C11" s="8"/>
      <c r="D11" s="8"/>
      <c r="E11" s="34"/>
      <c r="F11" s="34"/>
      <c r="G11" s="34"/>
      <c r="H11" s="34"/>
      <c r="J11" s="34"/>
      <c r="K11" s="34"/>
      <c r="L11" s="36"/>
      <c r="M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</row>
    <row r="12" spans="1:16382" x14ac:dyDescent="0.3">
      <c r="C12" s="8" t="s">
        <v>55</v>
      </c>
      <c r="D12" s="8"/>
      <c r="E12" s="7" t="s">
        <v>44</v>
      </c>
      <c r="F12" s="34"/>
      <c r="G12" s="35">
        <v>1265</v>
      </c>
      <c r="H12" s="34"/>
      <c r="I12" s="37"/>
      <c r="J12" s="34"/>
      <c r="K12" s="34"/>
      <c r="L12" s="36"/>
      <c r="M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</row>
    <row r="13" spans="1:16382" x14ac:dyDescent="0.3">
      <c r="C13" s="8"/>
      <c r="D13" s="8"/>
      <c r="E13" s="7" t="s">
        <v>45</v>
      </c>
      <c r="F13" s="34"/>
      <c r="G13" s="35">
        <v>484</v>
      </c>
      <c r="H13" s="34"/>
      <c r="I13" s="37"/>
      <c r="J13" s="34"/>
      <c r="K13" s="34"/>
      <c r="L13" s="36"/>
      <c r="M13" s="36"/>
      <c r="N13" s="36"/>
      <c r="O13" s="36"/>
      <c r="P13" s="36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</row>
    <row r="14" spans="1:16382" x14ac:dyDescent="0.3">
      <c r="C14" s="67"/>
      <c r="D14" s="67"/>
      <c r="E14" s="69"/>
      <c r="F14" s="69"/>
      <c r="G14" s="69"/>
      <c r="H14" s="69"/>
      <c r="J14" s="69"/>
      <c r="K14" s="69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"/>
      <c r="AG14" s="7"/>
      <c r="AH14" s="7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</row>
    <row r="15" spans="1:16382" x14ac:dyDescent="0.3">
      <c r="C15" s="8" t="s">
        <v>46</v>
      </c>
      <c r="D15" s="8"/>
      <c r="E15" s="8">
        <v>2031</v>
      </c>
      <c r="F15"/>
      <c r="G15" s="35">
        <f>G10-SUM(G12:G13)*(E15-E10)</f>
        <v>4761</v>
      </c>
      <c r="H15"/>
      <c r="J15" s="34"/>
      <c r="K15" s="34"/>
      <c r="M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</row>
    <row r="16" spans="1:16382" x14ac:dyDescent="0.3">
      <c r="C16" s="67"/>
      <c r="D16" s="67"/>
      <c r="E16" s="69"/>
      <c r="F16" s="69"/>
      <c r="G16" s="69"/>
      <c r="H16" s="69"/>
      <c r="J16" s="69"/>
      <c r="K16" s="69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"/>
      <c r="AG16" s="7"/>
      <c r="AH16" s="7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</row>
    <row r="17" spans="1:16382" x14ac:dyDescent="0.3">
      <c r="C17" s="8" t="s">
        <v>50</v>
      </c>
      <c r="D17" s="8"/>
      <c r="F17" s="100">
        <v>45291</v>
      </c>
      <c r="G17" s="35">
        <v>4506.6128552584651</v>
      </c>
      <c r="H17" s="100"/>
      <c r="J17" s="34"/>
      <c r="K17" s="34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7"/>
      <c r="AG17" s="7"/>
      <c r="AH17" s="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</row>
    <row r="18" spans="1:16382" x14ac:dyDescent="0.3">
      <c r="C18" s="67"/>
      <c r="D18" s="67"/>
      <c r="E18" s="69"/>
      <c r="F18" s="69"/>
      <c r="G18" s="69"/>
      <c r="H18" s="69"/>
      <c r="J18" s="69"/>
      <c r="K18" s="69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"/>
      <c r="AG18" s="7"/>
      <c r="AH18" s="7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</row>
    <row r="19" spans="1:16382" x14ac:dyDescent="0.3">
      <c r="C19" s="8" t="s">
        <v>52</v>
      </c>
      <c r="F19" s="100">
        <v>45291</v>
      </c>
      <c r="G19" s="35">
        <v>707.80702524271067</v>
      </c>
      <c r="H19" s="100"/>
      <c r="I19" s="34"/>
      <c r="J19" s="34"/>
      <c r="K19" s="34"/>
      <c r="L19" s="36"/>
      <c r="M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</row>
    <row r="20" spans="1:16382" x14ac:dyDescent="0.3">
      <c r="C20" s="7" t="s">
        <v>53</v>
      </c>
      <c r="F20" s="100">
        <v>45291</v>
      </c>
      <c r="G20" s="35">
        <v>8.4514271670771421</v>
      </c>
      <c r="H20" s="100"/>
      <c r="I20" s="34"/>
      <c r="J20" s="34"/>
      <c r="K20" s="34"/>
      <c r="L20" s="36"/>
      <c r="M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</row>
    <row r="21" spans="1:16382" x14ac:dyDescent="0.3">
      <c r="C21" s="8"/>
      <c r="D21" s="8"/>
      <c r="F21" s="34"/>
      <c r="G21" s="34"/>
      <c r="H21" s="34"/>
      <c r="I21" s="34"/>
      <c r="J21" s="34"/>
      <c r="K21" s="34"/>
      <c r="L21" s="36"/>
      <c r="M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</row>
    <row r="22" spans="1:16382" x14ac:dyDescent="0.3">
      <c r="C22" s="8" t="s">
        <v>73</v>
      </c>
      <c r="D22" s="8"/>
      <c r="F22" s="34"/>
      <c r="G22" s="35">
        <f>SUM(Q29:U29)/5</f>
        <v>952.2</v>
      </c>
      <c r="H22" s="34"/>
      <c r="I22" s="34"/>
      <c r="J22" s="34"/>
      <c r="K22" s="34"/>
      <c r="L22" s="36"/>
      <c r="M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</row>
    <row r="23" spans="1:16382" x14ac:dyDescent="0.3">
      <c r="C23" s="8"/>
      <c r="D23" s="8"/>
      <c r="F23" s="34"/>
      <c r="G23" s="34"/>
      <c r="H23" s="34"/>
      <c r="I23" s="34"/>
      <c r="J23" s="34"/>
      <c r="K23" s="34"/>
      <c r="L23" s="36"/>
      <c r="M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</row>
    <row r="24" spans="1:16382" x14ac:dyDescent="0.3">
      <c r="C24" s="67"/>
      <c r="D24" s="67"/>
      <c r="E24" s="68"/>
      <c r="F24" s="69"/>
      <c r="G24" s="69"/>
      <c r="H24" s="69"/>
      <c r="I24" s="69"/>
      <c r="J24" s="69"/>
      <c r="K24" s="69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"/>
      <c r="AG24" s="7"/>
      <c r="AH24" s="7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</row>
    <row r="25" spans="1:16382" ht="14.4" x14ac:dyDescent="0.3">
      <c r="A25" s="5" t="s">
        <v>40</v>
      </c>
      <c r="B25" s="4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7"/>
      <c r="AG25" s="7"/>
      <c r="AH25" s="7"/>
    </row>
    <row r="26" spans="1:16382" x14ac:dyDescent="0.3">
      <c r="C26" s="8"/>
      <c r="D26" s="8"/>
      <c r="E26" s="68"/>
      <c r="F26" s="69"/>
      <c r="G26" s="69"/>
      <c r="H26" s="69"/>
      <c r="I26" s="69"/>
      <c r="J26" s="69"/>
      <c r="K26" s="69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"/>
      <c r="AG26" s="7"/>
      <c r="AH26" s="7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</row>
    <row r="27" spans="1:16382" x14ac:dyDescent="0.3">
      <c r="B27" s="63" t="s">
        <v>47</v>
      </c>
      <c r="D27" s="8"/>
      <c r="E27" s="68"/>
      <c r="F27" s="69"/>
      <c r="G27" s="69"/>
      <c r="H27" s="69"/>
      <c r="I27" s="69"/>
      <c r="J27" s="69"/>
      <c r="K27" s="69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"/>
      <c r="AG27" s="7"/>
      <c r="AH27" s="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</row>
    <row r="28" spans="1:16382" x14ac:dyDescent="0.3">
      <c r="C28" s="65"/>
      <c r="D28" s="65"/>
      <c r="E28" s="25"/>
      <c r="F28" s="27"/>
      <c r="G28" s="27"/>
      <c r="H28" s="27"/>
      <c r="I28" s="75">
        <v>45444</v>
      </c>
      <c r="J28" s="66" t="s">
        <v>21</v>
      </c>
      <c r="K28" s="66" t="s">
        <v>17</v>
      </c>
      <c r="L28" s="66" t="s">
        <v>79</v>
      </c>
      <c r="M28" s="66" t="s">
        <v>80</v>
      </c>
      <c r="N28" s="66" t="s">
        <v>81</v>
      </c>
      <c r="O28" s="66" t="s">
        <v>82</v>
      </c>
      <c r="P28" s="66" t="s">
        <v>83</v>
      </c>
      <c r="Q28" s="66" t="s">
        <v>84</v>
      </c>
      <c r="R28" s="66" t="s">
        <v>85</v>
      </c>
      <c r="S28" s="66" t="s">
        <v>86</v>
      </c>
      <c r="T28" s="66" t="s">
        <v>87</v>
      </c>
      <c r="U28" s="66" t="s">
        <v>88</v>
      </c>
      <c r="V28" s="66" t="s">
        <v>89</v>
      </c>
      <c r="W28" s="66" t="s">
        <v>90</v>
      </c>
      <c r="X28" s="66" t="s">
        <v>91</v>
      </c>
      <c r="Y28" s="66" t="s">
        <v>92</v>
      </c>
      <c r="Z28" s="66" t="s">
        <v>93</v>
      </c>
      <c r="AA28" s="66" t="s">
        <v>94</v>
      </c>
      <c r="AB28" s="66" t="s">
        <v>95</v>
      </c>
      <c r="AC28" s="66" t="s">
        <v>96</v>
      </c>
      <c r="AD28" s="66" t="s">
        <v>97</v>
      </c>
      <c r="AE28" s="66" t="s">
        <v>98</v>
      </c>
      <c r="AF28" s="7"/>
      <c r="AG28" s="7"/>
      <c r="AH28" s="7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</row>
    <row r="29" spans="1:16382" x14ac:dyDescent="0.3">
      <c r="C29" s="71" t="s">
        <v>48</v>
      </c>
      <c r="D29" s="71"/>
      <c r="E29" s="72"/>
      <c r="F29" s="73"/>
      <c r="G29" s="73"/>
      <c r="H29" s="73"/>
      <c r="I29" s="74"/>
      <c r="J29" s="74">
        <f t="shared" ref="J29:X29" si="1">MIN(I30,SUM($G$12:$G$13))</f>
        <v>1749</v>
      </c>
      <c r="K29" s="74">
        <f t="shared" si="1"/>
        <v>1749</v>
      </c>
      <c r="L29" s="74">
        <f t="shared" si="1"/>
        <v>1749</v>
      </c>
      <c r="M29" s="74">
        <f t="shared" si="1"/>
        <v>1749</v>
      </c>
      <c r="N29" s="74">
        <f t="shared" si="1"/>
        <v>1749</v>
      </c>
      <c r="O29" s="74">
        <f t="shared" si="1"/>
        <v>1749</v>
      </c>
      <c r="P29" s="74">
        <f t="shared" si="1"/>
        <v>1749</v>
      </c>
      <c r="Q29" s="74">
        <f t="shared" si="1"/>
        <v>1749</v>
      </c>
      <c r="R29" s="74">
        <f t="shared" si="1"/>
        <v>1749</v>
      </c>
      <c r="S29" s="74">
        <f t="shared" si="1"/>
        <v>1263</v>
      </c>
      <c r="T29" s="74">
        <f t="shared" si="1"/>
        <v>0</v>
      </c>
      <c r="U29" s="74">
        <f t="shared" si="1"/>
        <v>0</v>
      </c>
      <c r="V29" s="74">
        <f t="shared" si="1"/>
        <v>0</v>
      </c>
      <c r="W29" s="74">
        <f t="shared" si="1"/>
        <v>0</v>
      </c>
      <c r="X29" s="74">
        <f t="shared" si="1"/>
        <v>0</v>
      </c>
      <c r="Y29" s="74">
        <f t="shared" ref="Y29" si="2">MIN(X30,SUM($G$12:$G$13))</f>
        <v>0</v>
      </c>
      <c r="Z29" s="74">
        <f t="shared" ref="Z29" si="3">MIN(Y30,SUM($G$12:$G$13))</f>
        <v>0</v>
      </c>
      <c r="AA29" s="74">
        <f t="shared" ref="AA29" si="4">MIN(Z30,SUM($G$12:$G$13))</f>
        <v>0</v>
      </c>
      <c r="AB29" s="74">
        <f t="shared" ref="AB29" si="5">MIN(AA30,SUM($G$12:$G$13))</f>
        <v>0</v>
      </c>
      <c r="AC29" s="74">
        <f t="shared" ref="AC29" si="6">MIN(AB30,SUM($G$12:$G$13))</f>
        <v>0</v>
      </c>
      <c r="AD29" s="74">
        <f t="shared" ref="AD29" si="7">MIN(AC30,SUM($G$12:$G$13))</f>
        <v>0</v>
      </c>
      <c r="AE29" s="74">
        <f t="shared" ref="AE29" si="8">MIN(AD30,SUM($G$12:$G$13))</f>
        <v>0</v>
      </c>
      <c r="AF29" s="7"/>
      <c r="AG29" s="7"/>
      <c r="AH29" s="7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</row>
    <row r="30" spans="1:16382" x14ac:dyDescent="0.3">
      <c r="C30" s="134" t="s">
        <v>56</v>
      </c>
      <c r="D30" s="134"/>
      <c r="E30" s="135"/>
      <c r="F30" s="136"/>
      <c r="G30" s="136"/>
      <c r="H30" s="136"/>
      <c r="I30" s="137">
        <f>$G$10</f>
        <v>17004</v>
      </c>
      <c r="J30" s="137">
        <f t="shared" ref="J30:X30" si="9">I30-SUM(J29:J29)</f>
        <v>15255</v>
      </c>
      <c r="K30" s="137">
        <f t="shared" si="9"/>
        <v>13506</v>
      </c>
      <c r="L30" s="137">
        <f t="shared" si="9"/>
        <v>11757</v>
      </c>
      <c r="M30" s="137">
        <f t="shared" si="9"/>
        <v>10008</v>
      </c>
      <c r="N30" s="137">
        <f t="shared" si="9"/>
        <v>8259</v>
      </c>
      <c r="O30" s="137">
        <f t="shared" si="9"/>
        <v>6510</v>
      </c>
      <c r="P30" s="137">
        <f t="shared" si="9"/>
        <v>4761</v>
      </c>
      <c r="Q30" s="137">
        <f t="shared" si="9"/>
        <v>3012</v>
      </c>
      <c r="R30" s="137">
        <f t="shared" si="9"/>
        <v>1263</v>
      </c>
      <c r="S30" s="137">
        <f t="shared" si="9"/>
        <v>0</v>
      </c>
      <c r="T30" s="137">
        <f t="shared" si="9"/>
        <v>0</v>
      </c>
      <c r="U30" s="137">
        <f t="shared" si="9"/>
        <v>0</v>
      </c>
      <c r="V30" s="137">
        <f t="shared" si="9"/>
        <v>0</v>
      </c>
      <c r="W30" s="137">
        <f t="shared" si="9"/>
        <v>0</v>
      </c>
      <c r="X30" s="137">
        <f t="shared" si="9"/>
        <v>0</v>
      </c>
      <c r="Y30" s="137">
        <f t="shared" ref="Y30" si="10">X30-SUM(Y29:Y29)</f>
        <v>0</v>
      </c>
      <c r="Z30" s="137">
        <f t="shared" ref="Z30" si="11">Y30-SUM(Z29:Z29)</f>
        <v>0</v>
      </c>
      <c r="AA30" s="137">
        <f t="shared" ref="AA30" si="12">Z30-SUM(AA29:AA29)</f>
        <v>0</v>
      </c>
      <c r="AB30" s="137">
        <f t="shared" ref="AB30" si="13">AA30-SUM(AB29:AB29)</f>
        <v>0</v>
      </c>
      <c r="AC30" s="137">
        <f t="shared" ref="AC30" si="14">AB30-SUM(AC29:AC29)</f>
        <v>0</v>
      </c>
      <c r="AD30" s="137">
        <f t="shared" ref="AD30" si="15">AC30-SUM(AD29:AD29)</f>
        <v>0</v>
      </c>
      <c r="AE30" s="137">
        <f t="shared" ref="AE30" si="16">AD30-SUM(AE29:AE29)</f>
        <v>0</v>
      </c>
      <c r="AF30" s="7"/>
      <c r="AG30" s="7"/>
      <c r="AH30" s="7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</row>
    <row r="31" spans="1:16382" x14ac:dyDescent="0.3">
      <c r="C31" s="134" t="s">
        <v>57</v>
      </c>
      <c r="D31" s="134"/>
      <c r="E31" s="135"/>
      <c r="F31" s="136"/>
      <c r="G31" s="136"/>
      <c r="H31" s="136"/>
      <c r="I31" s="137"/>
      <c r="J31" s="137">
        <f>J29+I31</f>
        <v>1749</v>
      </c>
      <c r="K31" s="137">
        <f>K29+J31</f>
        <v>3498</v>
      </c>
      <c r="L31" s="137">
        <f>L29+K31</f>
        <v>5247</v>
      </c>
      <c r="M31" s="137">
        <f t="shared" ref="M31:X31" si="17">M29+L31</f>
        <v>6996</v>
      </c>
      <c r="N31" s="137">
        <f t="shared" si="17"/>
        <v>8745</v>
      </c>
      <c r="O31" s="137">
        <f t="shared" si="17"/>
        <v>10494</v>
      </c>
      <c r="P31" s="137">
        <f t="shared" si="17"/>
        <v>12243</v>
      </c>
      <c r="Q31" s="137">
        <f t="shared" si="17"/>
        <v>13992</v>
      </c>
      <c r="R31" s="137">
        <f t="shared" si="17"/>
        <v>15741</v>
      </c>
      <c r="S31" s="137">
        <f t="shared" si="17"/>
        <v>17004</v>
      </c>
      <c r="T31" s="137">
        <f t="shared" si="17"/>
        <v>17004</v>
      </c>
      <c r="U31" s="137">
        <f t="shared" si="17"/>
        <v>17004</v>
      </c>
      <c r="V31" s="137">
        <f t="shared" si="17"/>
        <v>17004</v>
      </c>
      <c r="W31" s="137">
        <f t="shared" si="17"/>
        <v>17004</v>
      </c>
      <c r="X31" s="137">
        <f t="shared" si="17"/>
        <v>17004</v>
      </c>
      <c r="Y31" s="137">
        <f t="shared" ref="Y31" si="18">Y29+X31</f>
        <v>17004</v>
      </c>
      <c r="Z31" s="137">
        <f t="shared" ref="Z31" si="19">Z29+Y31</f>
        <v>17004</v>
      </c>
      <c r="AA31" s="137">
        <f t="shared" ref="AA31" si="20">AA29+Z31</f>
        <v>17004</v>
      </c>
      <c r="AB31" s="137">
        <f t="shared" ref="AB31" si="21">AB29+AA31</f>
        <v>17004</v>
      </c>
      <c r="AC31" s="137">
        <f t="shared" ref="AC31" si="22">AC29+AB31</f>
        <v>17004</v>
      </c>
      <c r="AD31" s="137">
        <f t="shared" ref="AD31" si="23">AD29+AC31</f>
        <v>17004</v>
      </c>
      <c r="AE31" s="137">
        <f t="shared" ref="AE31" si="24">AE29+AD31</f>
        <v>17004</v>
      </c>
      <c r="AF31" s="7"/>
      <c r="AG31" s="7"/>
      <c r="AH31" s="7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</row>
    <row r="32" spans="1:16382" x14ac:dyDescent="0.3">
      <c r="C32" s="8"/>
      <c r="D32" s="8"/>
      <c r="F32" s="34"/>
      <c r="G32" s="34"/>
      <c r="H32" s="34"/>
      <c r="I32" s="34"/>
      <c r="J32" s="34"/>
      <c r="K32" s="34"/>
      <c r="L32" s="36"/>
      <c r="M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</row>
    <row r="33" spans="1:16382" x14ac:dyDescent="0.3">
      <c r="B33" s="124" t="s">
        <v>61</v>
      </c>
      <c r="C33" s="124" t="s">
        <v>51</v>
      </c>
      <c r="D33" s="124"/>
      <c r="E33" s="124"/>
      <c r="F33" s="125">
        <v>45291</v>
      </c>
      <c r="G33" s="126"/>
      <c r="H33" s="127"/>
      <c r="I33" s="126"/>
      <c r="J33" s="138"/>
      <c r="K33" s="138"/>
      <c r="L33" s="128">
        <f>L29*$G$17</f>
        <v>7882065.883847055</v>
      </c>
      <c r="M33" s="128">
        <f t="shared" ref="M33:R33" si="25">M29*$G$17</f>
        <v>7882065.883847055</v>
      </c>
      <c r="N33" s="128">
        <f t="shared" si="25"/>
        <v>7882065.883847055</v>
      </c>
      <c r="O33" s="128">
        <f t="shared" si="25"/>
        <v>7882065.883847055</v>
      </c>
      <c r="P33" s="128">
        <f t="shared" si="25"/>
        <v>7882065.883847055</v>
      </c>
      <c r="Q33" s="128">
        <f t="shared" si="25"/>
        <v>7882065.883847055</v>
      </c>
      <c r="R33" s="128">
        <f t="shared" si="25"/>
        <v>7882065.883847055</v>
      </c>
      <c r="S33" s="128">
        <f t="shared" ref="S33:U33" si="26">S29*$G$17</f>
        <v>5691852.0361914411</v>
      </c>
      <c r="T33" s="128">
        <f t="shared" si="26"/>
        <v>0</v>
      </c>
      <c r="U33" s="128">
        <f t="shared" si="26"/>
        <v>0</v>
      </c>
      <c r="V33" s="128">
        <f t="shared" ref="V33:X33" si="27">V29*$G$17</f>
        <v>0</v>
      </c>
      <c r="W33" s="128">
        <f t="shared" si="27"/>
        <v>0</v>
      </c>
      <c r="X33" s="128">
        <f t="shared" si="27"/>
        <v>0</v>
      </c>
      <c r="Y33" s="128">
        <f t="shared" ref="Y33:AE33" si="28">Y29*$G$17</f>
        <v>0</v>
      </c>
      <c r="Z33" s="128">
        <f t="shared" si="28"/>
        <v>0</v>
      </c>
      <c r="AA33" s="128">
        <f t="shared" si="28"/>
        <v>0</v>
      </c>
      <c r="AB33" s="128">
        <f t="shared" si="28"/>
        <v>0</v>
      </c>
      <c r="AC33" s="128">
        <f t="shared" si="28"/>
        <v>0</v>
      </c>
      <c r="AD33" s="128">
        <f t="shared" si="28"/>
        <v>0</v>
      </c>
      <c r="AE33" s="128">
        <f t="shared" si="28"/>
        <v>0</v>
      </c>
      <c r="AF33" s="7"/>
      <c r="AG33" s="7"/>
      <c r="AH33" s="7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</row>
    <row r="34" spans="1:16382" x14ac:dyDescent="0.3">
      <c r="B34" s="129" t="s">
        <v>61</v>
      </c>
      <c r="C34" s="129" t="s">
        <v>58</v>
      </c>
      <c r="D34" s="129"/>
      <c r="E34" s="129"/>
      <c r="F34" s="130">
        <v>45291</v>
      </c>
      <c r="G34" s="131"/>
      <c r="H34" s="132"/>
      <c r="I34" s="131"/>
      <c r="J34" s="139"/>
      <c r="K34" s="139"/>
      <c r="L34" s="133">
        <f t="shared" ref="L34:U34" si="29">L30*$G$19+L31*$G$20</f>
        <v>8366031.8341242038</v>
      </c>
      <c r="M34" s="133">
        <f t="shared" si="29"/>
        <v>7142858.8930899203</v>
      </c>
      <c r="N34" s="133">
        <f t="shared" si="29"/>
        <v>5919685.9520556368</v>
      </c>
      <c r="O34" s="133">
        <f t="shared" si="29"/>
        <v>4696513.0110213533</v>
      </c>
      <c r="P34" s="133">
        <f t="shared" si="29"/>
        <v>3473340.0699870712</v>
      </c>
      <c r="Q34" s="133">
        <f t="shared" si="29"/>
        <v>2250167.1289527877</v>
      </c>
      <c r="R34" s="133">
        <f t="shared" si="29"/>
        <v>1026994.1879185049</v>
      </c>
      <c r="S34" s="133">
        <f t="shared" si="29"/>
        <v>143708.06754897971</v>
      </c>
      <c r="T34" s="133">
        <f t="shared" si="29"/>
        <v>143708.06754897971</v>
      </c>
      <c r="U34" s="133">
        <f t="shared" si="29"/>
        <v>143708.06754897971</v>
      </c>
      <c r="V34" s="133">
        <f t="shared" ref="V34:X34" si="30">V30*$G$19+V31*$G$20</f>
        <v>143708.06754897971</v>
      </c>
      <c r="W34" s="133">
        <f t="shared" si="30"/>
        <v>143708.06754897971</v>
      </c>
      <c r="X34" s="133">
        <f t="shared" si="30"/>
        <v>143708.06754897971</v>
      </c>
      <c r="Y34" s="133">
        <f t="shared" ref="Y34:AE34" si="31">Y30*$G$19+Y31*$G$20</f>
        <v>143708.06754897971</v>
      </c>
      <c r="Z34" s="133">
        <f t="shared" si="31"/>
        <v>143708.06754897971</v>
      </c>
      <c r="AA34" s="133">
        <f t="shared" si="31"/>
        <v>143708.06754897971</v>
      </c>
      <c r="AB34" s="133">
        <f t="shared" si="31"/>
        <v>143708.06754897971</v>
      </c>
      <c r="AC34" s="133">
        <f t="shared" si="31"/>
        <v>143708.06754897971</v>
      </c>
      <c r="AD34" s="133">
        <f t="shared" si="31"/>
        <v>143708.06754897971</v>
      </c>
      <c r="AE34" s="133">
        <f t="shared" si="31"/>
        <v>143708.06754897971</v>
      </c>
      <c r="AF34" s="7"/>
      <c r="AG34" s="7"/>
      <c r="AH34" s="7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</row>
    <row r="35" spans="1:16382" x14ac:dyDescent="0.3">
      <c r="C35" s="8"/>
      <c r="D35" s="8"/>
      <c r="F35" s="34"/>
      <c r="G35" s="34"/>
      <c r="H35" s="34"/>
      <c r="I35" s="3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"/>
      <c r="AG35" s="7"/>
      <c r="AH35" s="7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</row>
    <row r="36" spans="1:16382" x14ac:dyDescent="0.3">
      <c r="C36" s="8"/>
      <c r="D36" s="8"/>
      <c r="F36" s="34"/>
      <c r="G36" s="34"/>
      <c r="H36" s="34"/>
      <c r="I36" s="34"/>
      <c r="J36" s="34"/>
      <c r="K36" s="34"/>
      <c r="L36" s="36"/>
      <c r="M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</row>
    <row r="37" spans="1:16382" ht="14.4" x14ac:dyDescent="0.3">
      <c r="A37" s="5" t="s">
        <v>35</v>
      </c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7"/>
      <c r="AG37" s="7"/>
      <c r="AH37" s="7"/>
    </row>
    <row r="38" spans="1:16382" x14ac:dyDescent="0.3">
      <c r="C38" s="8"/>
      <c r="D38" s="8"/>
      <c r="F38" s="34"/>
      <c r="G38" s="34"/>
      <c r="H38" s="34"/>
      <c r="I38" s="34"/>
      <c r="J38" s="34"/>
      <c r="K38" s="34"/>
      <c r="L38" s="36"/>
      <c r="M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</row>
    <row r="39" spans="1:16382" x14ac:dyDescent="0.3">
      <c r="B39" s="63" t="s">
        <v>47</v>
      </c>
      <c r="C39" s="8"/>
      <c r="D39" s="8"/>
      <c r="F39" s="34"/>
      <c r="G39" s="34"/>
      <c r="H39" s="34"/>
      <c r="I39" s="34"/>
      <c r="J39" s="34"/>
      <c r="K39" s="34"/>
      <c r="L39" s="36"/>
      <c r="M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</row>
    <row r="40" spans="1:16382" x14ac:dyDescent="0.3">
      <c r="C40" s="65"/>
      <c r="D40" s="65"/>
      <c r="E40" s="25"/>
      <c r="F40" s="27"/>
      <c r="G40" s="27"/>
      <c r="H40" s="27"/>
      <c r="I40" s="75">
        <v>45444</v>
      </c>
      <c r="J40" s="66" t="s">
        <v>21</v>
      </c>
      <c r="K40" s="66" t="s">
        <v>17</v>
      </c>
      <c r="L40" s="66" t="s">
        <v>79</v>
      </c>
      <c r="M40" s="66" t="s">
        <v>80</v>
      </c>
      <c r="N40" s="66" t="s">
        <v>81</v>
      </c>
      <c r="O40" s="66" t="s">
        <v>82</v>
      </c>
      <c r="P40" s="66" t="s">
        <v>83</v>
      </c>
      <c r="Q40" s="66" t="s">
        <v>84</v>
      </c>
      <c r="R40" s="66" t="s">
        <v>85</v>
      </c>
      <c r="S40" s="66" t="s">
        <v>86</v>
      </c>
      <c r="T40" s="66" t="s">
        <v>87</v>
      </c>
      <c r="U40" s="66" t="s">
        <v>88</v>
      </c>
      <c r="V40" s="66" t="s">
        <v>89</v>
      </c>
      <c r="W40" s="66" t="s">
        <v>90</v>
      </c>
      <c r="X40" s="66" t="s">
        <v>91</v>
      </c>
      <c r="Y40" s="66" t="s">
        <v>92</v>
      </c>
      <c r="Z40" s="66" t="s">
        <v>93</v>
      </c>
      <c r="AA40" s="66" t="s">
        <v>94</v>
      </c>
      <c r="AB40" s="66" t="s">
        <v>95</v>
      </c>
      <c r="AC40" s="66" t="s">
        <v>96</v>
      </c>
      <c r="AD40" s="66" t="s">
        <v>97</v>
      </c>
      <c r="AE40" s="66" t="s">
        <v>98</v>
      </c>
      <c r="AF40" s="7"/>
      <c r="AG40" s="7"/>
      <c r="AH40" s="7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</row>
    <row r="41" spans="1:16382" x14ac:dyDescent="0.3">
      <c r="C41" s="71" t="s">
        <v>47</v>
      </c>
      <c r="D41" s="71"/>
      <c r="F41" s="73"/>
      <c r="H41" s="73"/>
      <c r="I41" s="73"/>
      <c r="J41" s="74">
        <f t="shared" ref="J41:X41" si="32">MIN(SUM($G$12:$G$13),I44)</f>
        <v>1749</v>
      </c>
      <c r="K41" s="74">
        <f t="shared" si="32"/>
        <v>1749</v>
      </c>
      <c r="L41" s="74">
        <f t="shared" si="32"/>
        <v>1749</v>
      </c>
      <c r="M41" s="74">
        <f t="shared" si="32"/>
        <v>1749</v>
      </c>
      <c r="N41" s="74">
        <f t="shared" si="32"/>
        <v>1749</v>
      </c>
      <c r="O41" s="74">
        <f t="shared" si="32"/>
        <v>1749</v>
      </c>
      <c r="P41" s="74">
        <f t="shared" si="32"/>
        <v>1749</v>
      </c>
      <c r="Q41" s="74">
        <f t="shared" si="32"/>
        <v>0</v>
      </c>
      <c r="R41" s="74">
        <f t="shared" si="32"/>
        <v>0</v>
      </c>
      <c r="S41" s="74">
        <f t="shared" si="32"/>
        <v>0</v>
      </c>
      <c r="T41" s="74">
        <f t="shared" si="32"/>
        <v>0</v>
      </c>
      <c r="U41" s="74">
        <f t="shared" si="32"/>
        <v>0</v>
      </c>
      <c r="V41" s="74">
        <f t="shared" si="32"/>
        <v>0</v>
      </c>
      <c r="W41" s="74">
        <f t="shared" si="32"/>
        <v>0</v>
      </c>
      <c r="X41" s="74">
        <f t="shared" si="32"/>
        <v>0</v>
      </c>
      <c r="Y41" s="74">
        <f t="shared" ref="Y41" si="33">MIN(SUM($G$12:$G$13),X44)</f>
        <v>0</v>
      </c>
      <c r="Z41" s="74">
        <f t="shared" ref="Z41" si="34">MIN(SUM($G$12:$G$13),Y44)</f>
        <v>0</v>
      </c>
      <c r="AA41" s="74">
        <f t="shared" ref="AA41" si="35">MIN(SUM($G$12:$G$13),Z44)</f>
        <v>0</v>
      </c>
      <c r="AB41" s="74">
        <f t="shared" ref="AB41" si="36">MIN(SUM($G$12:$G$13),AA44)</f>
        <v>0</v>
      </c>
      <c r="AC41" s="74">
        <f t="shared" ref="AC41" si="37">MIN(SUM($G$12:$G$13),AB44)</f>
        <v>0</v>
      </c>
      <c r="AD41" s="74">
        <f t="shared" ref="AD41" si="38">MIN(SUM($G$12:$G$13),AC44)</f>
        <v>0</v>
      </c>
      <c r="AE41" s="74">
        <f t="shared" ref="AE41" si="39">MIN(SUM($G$12:$G$13),AD44)</f>
        <v>0</v>
      </c>
      <c r="AF41" s="7"/>
      <c r="AG41" s="7"/>
      <c r="AH41" s="7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</row>
    <row r="42" spans="1:16382" x14ac:dyDescent="0.3">
      <c r="C42" s="79" t="s">
        <v>49</v>
      </c>
      <c r="D42" s="79"/>
      <c r="E42" s="80"/>
      <c r="F42" s="81"/>
      <c r="G42" s="81"/>
      <c r="H42" s="81"/>
      <c r="I42" s="81"/>
      <c r="J42" s="82"/>
      <c r="K42" s="82"/>
      <c r="L42" s="82">
        <f t="shared" ref="L42:X42" si="40">MIN($G$22, K44-L41)</f>
        <v>952.2</v>
      </c>
      <c r="M42" s="82">
        <f t="shared" si="40"/>
        <v>952.2</v>
      </c>
      <c r="N42" s="82">
        <f t="shared" si="40"/>
        <v>952.2</v>
      </c>
      <c r="O42" s="82">
        <f t="shared" si="40"/>
        <v>952.2</v>
      </c>
      <c r="P42" s="82">
        <f t="shared" si="40"/>
        <v>952.19999999999982</v>
      </c>
      <c r="Q42" s="82">
        <f t="shared" si="40"/>
        <v>0</v>
      </c>
      <c r="R42" s="82">
        <f t="shared" si="40"/>
        <v>0</v>
      </c>
      <c r="S42" s="82">
        <f t="shared" si="40"/>
        <v>0</v>
      </c>
      <c r="T42" s="82">
        <f t="shared" si="40"/>
        <v>0</v>
      </c>
      <c r="U42" s="82">
        <f t="shared" si="40"/>
        <v>0</v>
      </c>
      <c r="V42" s="82">
        <f t="shared" si="40"/>
        <v>0</v>
      </c>
      <c r="W42" s="82">
        <f t="shared" si="40"/>
        <v>0</v>
      </c>
      <c r="X42" s="82">
        <f t="shared" si="40"/>
        <v>0</v>
      </c>
      <c r="Y42" s="82">
        <f t="shared" ref="Y42" si="41">MIN($G$22, X44-Y41)</f>
        <v>0</v>
      </c>
      <c r="Z42" s="82">
        <f t="shared" ref="Z42" si="42">MIN($G$22, Y44-Z41)</f>
        <v>0</v>
      </c>
      <c r="AA42" s="82">
        <f t="shared" ref="AA42" si="43">MIN($G$22, Z44-AA41)</f>
        <v>0</v>
      </c>
      <c r="AB42" s="82">
        <f t="shared" ref="AB42" si="44">MIN($G$22, AA44-AB41)</f>
        <v>0</v>
      </c>
      <c r="AC42" s="82">
        <f t="shared" ref="AC42" si="45">MIN($G$22, AB44-AC41)</f>
        <v>0</v>
      </c>
      <c r="AD42" s="82">
        <f t="shared" ref="AD42" si="46">MIN($G$22, AC44-AD41)</f>
        <v>0</v>
      </c>
      <c r="AE42" s="82">
        <f t="shared" ref="AE42" si="47">MIN($G$22, AD44-AE41)</f>
        <v>0</v>
      </c>
      <c r="AF42" s="7"/>
      <c r="AG42" s="7"/>
      <c r="AH42" s="7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</row>
    <row r="43" spans="1:16382" x14ac:dyDescent="0.3">
      <c r="C43" s="71"/>
      <c r="D43" s="71"/>
      <c r="E43" s="72"/>
      <c r="F43" s="73"/>
      <c r="G43" s="73"/>
      <c r="H43" s="73"/>
      <c r="I43" s="73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"/>
      <c r="AG43" s="7"/>
      <c r="AH43" s="7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</row>
    <row r="44" spans="1:16382" x14ac:dyDescent="0.3">
      <c r="C44" s="134" t="s">
        <v>56</v>
      </c>
      <c r="D44" s="134"/>
      <c r="E44" s="135"/>
      <c r="F44" s="136"/>
      <c r="G44" s="136"/>
      <c r="H44" s="136"/>
      <c r="I44" s="137">
        <f>$G$10</f>
        <v>17004</v>
      </c>
      <c r="J44" s="137">
        <f>I44-SUM(J41:J42)</f>
        <v>15255</v>
      </c>
      <c r="K44" s="137">
        <f t="shared" ref="K44:X44" si="48">J44-SUM(K41:K42)</f>
        <v>13506</v>
      </c>
      <c r="L44" s="137">
        <f t="shared" si="48"/>
        <v>10804.8</v>
      </c>
      <c r="M44" s="137">
        <f t="shared" si="48"/>
        <v>8103.5999999999995</v>
      </c>
      <c r="N44" s="137">
        <f t="shared" si="48"/>
        <v>5402.4</v>
      </c>
      <c r="O44" s="137">
        <f t="shared" si="48"/>
        <v>2701.2</v>
      </c>
      <c r="P44" s="137">
        <f t="shared" si="48"/>
        <v>0</v>
      </c>
      <c r="Q44" s="137">
        <f t="shared" si="48"/>
        <v>0</v>
      </c>
      <c r="R44" s="137">
        <f t="shared" si="48"/>
        <v>0</v>
      </c>
      <c r="S44" s="137">
        <f t="shared" si="48"/>
        <v>0</v>
      </c>
      <c r="T44" s="137">
        <f t="shared" si="48"/>
        <v>0</v>
      </c>
      <c r="U44" s="137">
        <f t="shared" si="48"/>
        <v>0</v>
      </c>
      <c r="V44" s="137">
        <f t="shared" si="48"/>
        <v>0</v>
      </c>
      <c r="W44" s="137">
        <f t="shared" si="48"/>
        <v>0</v>
      </c>
      <c r="X44" s="137">
        <f t="shared" si="48"/>
        <v>0</v>
      </c>
      <c r="Y44" s="137">
        <f t="shared" ref="Y44" si="49">X44-SUM(Y41:Y42)</f>
        <v>0</v>
      </c>
      <c r="Z44" s="137">
        <f t="shared" ref="Z44" si="50">Y44-SUM(Z41:Z42)</f>
        <v>0</v>
      </c>
      <c r="AA44" s="137">
        <f t="shared" ref="AA44" si="51">Z44-SUM(AA41:AA42)</f>
        <v>0</v>
      </c>
      <c r="AB44" s="137">
        <f t="shared" ref="AB44" si="52">AA44-SUM(AB41:AB42)</f>
        <v>0</v>
      </c>
      <c r="AC44" s="137">
        <f t="shared" ref="AC44" si="53">AB44-SUM(AC41:AC42)</f>
        <v>0</v>
      </c>
      <c r="AD44" s="137">
        <f t="shared" ref="AD44" si="54">AC44-SUM(AD41:AD42)</f>
        <v>0</v>
      </c>
      <c r="AE44" s="137">
        <f t="shared" ref="AE44" si="55">AD44-SUM(AE41:AE42)</f>
        <v>0</v>
      </c>
      <c r="AF44" s="7"/>
      <c r="AG44" s="7"/>
      <c r="AH44" s="7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</row>
    <row r="45" spans="1:16382" x14ac:dyDescent="0.3">
      <c r="C45" s="134" t="s">
        <v>57</v>
      </c>
      <c r="D45" s="134"/>
      <c r="E45" s="135"/>
      <c r="F45" s="136"/>
      <c r="G45" s="136"/>
      <c r="H45" s="136"/>
      <c r="I45" s="137">
        <f t="shared" ref="I45:X45" si="56">H45+SUM(I41:I42)</f>
        <v>0</v>
      </c>
      <c r="J45" s="137">
        <f t="shared" si="56"/>
        <v>1749</v>
      </c>
      <c r="K45" s="137">
        <f t="shared" si="56"/>
        <v>3498</v>
      </c>
      <c r="L45" s="137">
        <f t="shared" si="56"/>
        <v>6199.2</v>
      </c>
      <c r="M45" s="137">
        <f t="shared" si="56"/>
        <v>8900.4</v>
      </c>
      <c r="N45" s="137">
        <f t="shared" si="56"/>
        <v>11601.599999999999</v>
      </c>
      <c r="O45" s="137">
        <f t="shared" si="56"/>
        <v>14302.8</v>
      </c>
      <c r="P45" s="137">
        <f t="shared" si="56"/>
        <v>17004</v>
      </c>
      <c r="Q45" s="137">
        <f t="shared" si="56"/>
        <v>17004</v>
      </c>
      <c r="R45" s="137">
        <f t="shared" si="56"/>
        <v>17004</v>
      </c>
      <c r="S45" s="137">
        <f t="shared" si="56"/>
        <v>17004</v>
      </c>
      <c r="T45" s="137">
        <f t="shared" si="56"/>
        <v>17004</v>
      </c>
      <c r="U45" s="137">
        <f t="shared" si="56"/>
        <v>17004</v>
      </c>
      <c r="V45" s="137">
        <f t="shared" si="56"/>
        <v>17004</v>
      </c>
      <c r="W45" s="137">
        <f t="shared" si="56"/>
        <v>17004</v>
      </c>
      <c r="X45" s="137">
        <f t="shared" si="56"/>
        <v>17004</v>
      </c>
      <c r="Y45" s="137">
        <f t="shared" ref="Y45" si="57">X45+SUM(Y41:Y42)</f>
        <v>17004</v>
      </c>
      <c r="Z45" s="137">
        <f t="shared" ref="Z45" si="58">Y45+SUM(Z41:Z42)</f>
        <v>17004</v>
      </c>
      <c r="AA45" s="137">
        <f t="shared" ref="AA45" si="59">Z45+SUM(AA41:AA42)</f>
        <v>17004</v>
      </c>
      <c r="AB45" s="137">
        <f t="shared" ref="AB45" si="60">AA45+SUM(AB41:AB42)</f>
        <v>17004</v>
      </c>
      <c r="AC45" s="137">
        <f t="shared" ref="AC45" si="61">AB45+SUM(AC41:AC42)</f>
        <v>17004</v>
      </c>
      <c r="AD45" s="137">
        <f t="shared" ref="AD45" si="62">AC45+SUM(AD41:AD42)</f>
        <v>17004</v>
      </c>
      <c r="AE45" s="137">
        <f t="shared" ref="AE45" si="63">AD45+SUM(AE41:AE42)</f>
        <v>17004</v>
      </c>
      <c r="AF45" s="7"/>
      <c r="AG45" s="7"/>
      <c r="AH45" s="7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</row>
    <row r="46" spans="1:16382" x14ac:dyDescent="0.3">
      <c r="C46" s="8"/>
      <c r="D46" s="8"/>
      <c r="F46" s="34"/>
      <c r="G46" s="123"/>
      <c r="H46" s="34"/>
      <c r="I46" s="34"/>
      <c r="J46" s="34"/>
      <c r="K46" s="34"/>
      <c r="L46" s="36"/>
      <c r="M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</row>
    <row r="47" spans="1:16382" x14ac:dyDescent="0.3">
      <c r="B47" s="124" t="s">
        <v>35</v>
      </c>
      <c r="C47" s="124" t="s">
        <v>51</v>
      </c>
      <c r="D47" s="124"/>
      <c r="E47" s="124"/>
      <c r="F47" s="125">
        <v>45291</v>
      </c>
      <c r="G47" s="126"/>
      <c r="H47" s="127"/>
      <c r="I47" s="126"/>
      <c r="J47" s="138"/>
      <c r="K47" s="138"/>
      <c r="L47" s="128">
        <f t="shared" ref="L47:U47" si="64">$G$17*(SUM(L$41:L$42))</f>
        <v>12173262.644624164</v>
      </c>
      <c r="M47" s="128">
        <f t="shared" si="64"/>
        <v>12173262.644624164</v>
      </c>
      <c r="N47" s="128">
        <f t="shared" si="64"/>
        <v>12173262.644624164</v>
      </c>
      <c r="O47" s="128">
        <f t="shared" si="64"/>
        <v>12173262.644624164</v>
      </c>
      <c r="P47" s="128">
        <f t="shared" si="64"/>
        <v>12173262.644624164</v>
      </c>
      <c r="Q47" s="128">
        <f t="shared" si="64"/>
        <v>0</v>
      </c>
      <c r="R47" s="128">
        <f t="shared" si="64"/>
        <v>0</v>
      </c>
      <c r="S47" s="128">
        <f t="shared" si="64"/>
        <v>0</v>
      </c>
      <c r="T47" s="128">
        <f t="shared" si="64"/>
        <v>0</v>
      </c>
      <c r="U47" s="128">
        <f t="shared" si="64"/>
        <v>0</v>
      </c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7"/>
      <c r="AG47" s="7"/>
      <c r="AH47" s="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</row>
    <row r="48" spans="1:16382" x14ac:dyDescent="0.3">
      <c r="B48" s="129" t="s">
        <v>35</v>
      </c>
      <c r="C48" s="129" t="s">
        <v>58</v>
      </c>
      <c r="D48" s="129"/>
      <c r="E48" s="129"/>
      <c r="F48" s="130"/>
      <c r="G48" s="131"/>
      <c r="H48" s="132"/>
      <c r="I48" s="131"/>
      <c r="J48" s="139"/>
      <c r="K48" s="139"/>
      <c r="L48" s="133">
        <f t="shared" ref="L48:U48" si="65">L44*$G$19+L45*$G$20</f>
        <v>7700105.4336365843</v>
      </c>
      <c r="M48" s="133">
        <f t="shared" si="65"/>
        <v>5811006.0921146832</v>
      </c>
      <c r="N48" s="133">
        <f t="shared" si="65"/>
        <v>3921906.7505927822</v>
      </c>
      <c r="O48" s="133">
        <f t="shared" si="65"/>
        <v>2032807.4090708809</v>
      </c>
      <c r="P48" s="133">
        <f t="shared" si="65"/>
        <v>143708.06754897971</v>
      </c>
      <c r="Q48" s="133">
        <f t="shared" si="65"/>
        <v>143708.06754897971</v>
      </c>
      <c r="R48" s="133">
        <f t="shared" si="65"/>
        <v>143708.06754897971</v>
      </c>
      <c r="S48" s="133">
        <f t="shared" si="65"/>
        <v>143708.06754897971</v>
      </c>
      <c r="T48" s="133">
        <f t="shared" si="65"/>
        <v>143708.06754897971</v>
      </c>
      <c r="U48" s="133">
        <f t="shared" si="65"/>
        <v>143708.06754897971</v>
      </c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7"/>
      <c r="AG48" s="7"/>
      <c r="AH48" s="7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</row>
    <row r="49" spans="1:16382" x14ac:dyDescent="0.3">
      <c r="B49" s="63"/>
      <c r="D49" s="63"/>
      <c r="E49" s="78"/>
      <c r="F49" s="100"/>
      <c r="G49" s="38"/>
      <c r="H49" s="100"/>
      <c r="I49" s="38"/>
      <c r="J49" s="76"/>
      <c r="K49" s="76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</row>
    <row r="50" spans="1:16382" x14ac:dyDescent="0.3">
      <c r="B50" s="63"/>
      <c r="D50" s="63"/>
      <c r="E50" s="78"/>
      <c r="F50" s="100"/>
      <c r="G50" s="38"/>
      <c r="H50" s="100"/>
      <c r="I50" s="38"/>
      <c r="J50" s="76"/>
      <c r="K50" s="76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</row>
    <row r="51" spans="1:16382" ht="14.4" x14ac:dyDescent="0.3">
      <c r="A51" s="5" t="s">
        <v>35</v>
      </c>
      <c r="B51" s="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7"/>
      <c r="AG51" s="7"/>
      <c r="AH51" s="7"/>
    </row>
    <row r="52" spans="1:16382" x14ac:dyDescent="0.3">
      <c r="B52" s="63"/>
      <c r="D52" s="63"/>
      <c r="E52" s="78"/>
      <c r="F52" s="100"/>
      <c r="G52" s="38"/>
      <c r="H52" s="100"/>
      <c r="I52" s="38"/>
      <c r="J52" s="76"/>
      <c r="K52" s="76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</row>
    <row r="53" spans="1:16382" x14ac:dyDescent="0.3">
      <c r="B53" s="63" t="s">
        <v>62</v>
      </c>
      <c r="D53" s="63"/>
      <c r="E53" s="78"/>
      <c r="F53" s="100"/>
      <c r="G53" s="38"/>
      <c r="H53" s="100"/>
      <c r="I53" s="38"/>
      <c r="J53" s="76"/>
      <c r="K53" s="76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</row>
    <row r="54" spans="1:16382" x14ac:dyDescent="0.3">
      <c r="C54" s="89" t="s">
        <v>64</v>
      </c>
      <c r="D54" s="89"/>
      <c r="E54" s="90"/>
      <c r="F54" s="89"/>
      <c r="G54" s="89"/>
      <c r="H54" s="89"/>
      <c r="I54" s="89"/>
      <c r="J54" s="74"/>
      <c r="K54" s="74"/>
      <c r="L54" s="91">
        <f t="shared" ref="L54:S54" si="66">L47-L33</f>
        <v>4291196.7607771093</v>
      </c>
      <c r="M54" s="91">
        <f t="shared" si="66"/>
        <v>4291196.7607771093</v>
      </c>
      <c r="N54" s="91">
        <f t="shared" si="66"/>
        <v>4291196.7607771093</v>
      </c>
      <c r="O54" s="91">
        <f t="shared" si="66"/>
        <v>4291196.7607771093</v>
      </c>
      <c r="P54" s="91">
        <f t="shared" si="66"/>
        <v>4291196.7607771093</v>
      </c>
      <c r="Q54" s="91">
        <f t="shared" si="66"/>
        <v>-7882065.883847055</v>
      </c>
      <c r="R54" s="91">
        <f t="shared" si="66"/>
        <v>-7882065.883847055</v>
      </c>
      <c r="S54" s="91">
        <f t="shared" si="66"/>
        <v>-5691852.0361914411</v>
      </c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</row>
    <row r="55" spans="1:16382" x14ac:dyDescent="0.3">
      <c r="C55" s="63" t="s">
        <v>65</v>
      </c>
      <c r="E55" s="88" cm="1">
        <f t="array" ref="E55">SUMPRODUCT(($L54:$X54)*($L$5:$X$5))</f>
        <v>2487645.0723730167</v>
      </c>
      <c r="F55" s="100">
        <v>45291</v>
      </c>
      <c r="H55" s="100"/>
      <c r="J55" s="74"/>
      <c r="K55" s="74"/>
      <c r="L55" s="87"/>
      <c r="M55" s="87"/>
      <c r="N55" s="87"/>
      <c r="O55" s="87"/>
      <c r="P55" s="87"/>
      <c r="Q55" s="87"/>
      <c r="R55" s="87"/>
      <c r="S55" s="87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</row>
    <row r="56" spans="1:16382" x14ac:dyDescent="0.3">
      <c r="C56" s="12"/>
      <c r="E56" s="86"/>
      <c r="J56" s="74"/>
      <c r="K56" s="74"/>
      <c r="L56" s="87"/>
      <c r="M56" s="87"/>
      <c r="N56" s="87"/>
      <c r="O56" s="87"/>
      <c r="P56" s="87"/>
      <c r="Q56" s="87"/>
      <c r="R56" s="87"/>
      <c r="S56" s="87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</row>
    <row r="58" spans="1:16382" x14ac:dyDescent="0.3">
      <c r="C58" s="89" t="s">
        <v>59</v>
      </c>
      <c r="D58" s="89"/>
      <c r="E58" s="90"/>
      <c r="F58" s="89"/>
      <c r="G58" s="89"/>
      <c r="H58" s="89"/>
      <c r="I58" s="89"/>
      <c r="J58" s="92"/>
      <c r="K58" s="92"/>
      <c r="L58" s="92">
        <f t="shared" ref="L58:U58" si="67">L34-L48</f>
        <v>665926.40048761945</v>
      </c>
      <c r="M58" s="92">
        <f t="shared" si="67"/>
        <v>1331852.800975237</v>
      </c>
      <c r="N58" s="92">
        <f t="shared" si="67"/>
        <v>1997779.2014628546</v>
      </c>
      <c r="O58" s="92">
        <f t="shared" si="67"/>
        <v>2663705.6019504722</v>
      </c>
      <c r="P58" s="92">
        <f t="shared" si="67"/>
        <v>3329632.0024380917</v>
      </c>
      <c r="Q58" s="92">
        <f t="shared" si="67"/>
        <v>2106459.0614038082</v>
      </c>
      <c r="R58" s="92">
        <f t="shared" si="67"/>
        <v>883286.12036952516</v>
      </c>
      <c r="S58" s="92">
        <f t="shared" si="67"/>
        <v>0</v>
      </c>
      <c r="T58" s="92">
        <f t="shared" si="67"/>
        <v>0</v>
      </c>
      <c r="U58" s="92">
        <f t="shared" si="67"/>
        <v>0</v>
      </c>
    </row>
    <row r="59" spans="1:16382" x14ac:dyDescent="0.3">
      <c r="C59" s="12" t="s">
        <v>76</v>
      </c>
      <c r="E59" s="88" cm="1">
        <f t="array" ref="E59">SUMPRODUCT(($L58:$X58)*($L$5:$X$5))</f>
        <v>11415857.179407693</v>
      </c>
      <c r="F59" s="100">
        <v>45291</v>
      </c>
      <c r="H59" s="100"/>
    </row>
    <row r="61" spans="1:16382" x14ac:dyDescent="0.3">
      <c r="C61" s="12" t="s">
        <v>62</v>
      </c>
      <c r="E61" s="88">
        <f>E59-E55</f>
        <v>8928212.1070346758</v>
      </c>
      <c r="F61" s="100">
        <v>45291</v>
      </c>
      <c r="G61" s="34"/>
      <c r="H61" s="100"/>
      <c r="I61" s="34"/>
      <c r="J61" s="34"/>
      <c r="K61" s="34"/>
      <c r="L61" s="36"/>
      <c r="M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</row>
    <row r="62" spans="1:16382" x14ac:dyDescent="0.3">
      <c r="C62" s="8"/>
      <c r="E62" s="8"/>
      <c r="F62" s="34"/>
      <c r="G62" s="34"/>
      <c r="H62" s="34"/>
      <c r="I62" s="34"/>
      <c r="J62" s="34"/>
      <c r="K62" s="34"/>
      <c r="L62" s="36"/>
      <c r="M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</row>
    <row r="68" spans="25:25" x14ac:dyDescent="0.3">
      <c r="Y68" s="7"/>
    </row>
    <row r="69" spans="25:25" x14ac:dyDescent="0.3">
      <c r="Y69" s="7"/>
    </row>
    <row r="70" spans="25:25" x14ac:dyDescent="0.3">
      <c r="Y70" s="7"/>
    </row>
    <row r="71" spans="25:25" x14ac:dyDescent="0.3">
      <c r="Y71" s="7"/>
    </row>
    <row r="72" spans="25:25" x14ac:dyDescent="0.3">
      <c r="Y72" s="7"/>
    </row>
    <row r="73" spans="25:25" x14ac:dyDescent="0.3">
      <c r="Y73" s="7"/>
    </row>
    <row r="74" spans="25:25" x14ac:dyDescent="0.3">
      <c r="Y74" s="7"/>
    </row>
    <row r="75" spans="25:25" x14ac:dyDescent="0.3">
      <c r="Y75" s="7"/>
    </row>
    <row r="76" spans="25:25" x14ac:dyDescent="0.3">
      <c r="Y76" s="7"/>
    </row>
    <row r="77" spans="25:25" x14ac:dyDescent="0.3">
      <c r="Y77" s="7"/>
    </row>
    <row r="78" spans="25:25" x14ac:dyDescent="0.3">
      <c r="Y78" s="7"/>
    </row>
    <row r="79" spans="25:25" x14ac:dyDescent="0.3">
      <c r="Y79" s="7"/>
    </row>
    <row r="80" spans="25:25" x14ac:dyDescent="0.3">
      <c r="Y80" s="7"/>
    </row>
    <row r="81" spans="25:25" x14ac:dyDescent="0.3">
      <c r="Y81" s="7"/>
    </row>
    <row r="82" spans="25:25" x14ac:dyDescent="0.3">
      <c r="Y82" s="7"/>
    </row>
    <row r="83" spans="25:25" x14ac:dyDescent="0.3">
      <c r="Y83" s="7"/>
    </row>
    <row r="84" spans="25:25" x14ac:dyDescent="0.3">
      <c r="Y84" s="7"/>
    </row>
    <row r="85" spans="25:25" x14ac:dyDescent="0.3">
      <c r="Y85" s="7"/>
    </row>
    <row r="86" spans="25:25" x14ac:dyDescent="0.3">
      <c r="Y86" s="7"/>
    </row>
  </sheetData>
  <pageMargins left="0.7" right="0.7" top="0.75" bottom="0.75" header="0.3" footer="0.3"/>
  <pageSetup paperSize="9" orientation="portrait" horizontalDpi="1200" verticalDpi="1200" r:id="rId1"/>
  <ignoredErrors>
    <ignoredError sqref="I4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46921-14FB-4049-ADC7-D91CCAC496CE}">
  <sheetPr codeName="Sheet4">
    <tabColor rgb="FFFFFFCC"/>
  </sheetPr>
  <dimension ref="A1:P24"/>
  <sheetViews>
    <sheetView showGridLines="0" zoomScale="90" zoomScaleNormal="90" workbookViewId="0"/>
  </sheetViews>
  <sheetFormatPr defaultColWidth="9" defaultRowHeight="13.8" x14ac:dyDescent="0.3"/>
  <cols>
    <col min="1" max="1" width="3.6328125" style="2" customWidth="1"/>
    <col min="2" max="2" width="2.6328125" style="2" customWidth="1"/>
    <col min="3" max="3" width="14.7265625" style="2" customWidth="1"/>
    <col min="4" max="4" width="9.26953125" style="2" customWidth="1"/>
    <col min="5" max="5" width="16.36328125" style="2" customWidth="1"/>
    <col min="6" max="6" width="1.08984375" style="2" customWidth="1"/>
    <col min="7" max="7" width="14.7265625" style="2" customWidth="1"/>
    <col min="8" max="8" width="12.90625" style="2" customWidth="1"/>
    <col min="9" max="9" width="11.453125" style="2" customWidth="1"/>
    <col min="10" max="10" width="6.90625" style="2" customWidth="1"/>
    <col min="11" max="16" width="8.08984375" style="2" customWidth="1"/>
    <col min="17" max="19" width="9" style="2"/>
    <col min="20" max="20" width="17.6328125" style="2" customWidth="1"/>
    <col min="21" max="16384" width="9" style="2"/>
  </cols>
  <sheetData>
    <row r="1" spans="1:16" ht="18" x14ac:dyDescent="0.35">
      <c r="A1" s="1" t="str">
        <f>bus</f>
        <v>Powercor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14.4" x14ac:dyDescent="0.3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4" spans="1:16" s="7" customFormat="1" ht="14.4" x14ac:dyDescent="0.3">
      <c r="A4" s="4" t="s">
        <v>1</v>
      </c>
      <c r="B4" s="4"/>
      <c r="C4" s="5"/>
      <c r="D4" s="5"/>
      <c r="E4" s="5"/>
      <c r="F4" s="5"/>
      <c r="G4" s="5"/>
      <c r="H4" s="5"/>
      <c r="I4" s="5"/>
      <c r="J4" s="5"/>
      <c r="K4" s="6"/>
      <c r="L4" s="6"/>
      <c r="M4" s="6"/>
      <c r="N4" s="6"/>
      <c r="O4" s="6"/>
      <c r="P4" s="6"/>
    </row>
    <row r="5" spans="1:16" s="7" customFormat="1" x14ac:dyDescent="0.3">
      <c r="M5" s="8"/>
      <c r="N5" s="8"/>
      <c r="O5" s="8"/>
      <c r="P5" s="8"/>
    </row>
    <row r="6" spans="1:16" ht="12.75" customHeight="1" x14ac:dyDescent="0.3">
      <c r="C6" s="9" t="s">
        <v>2</v>
      </c>
      <c r="D6" s="10" t="s">
        <v>3</v>
      </c>
      <c r="E6" s="11" t="s">
        <v>4</v>
      </c>
    </row>
    <row r="7" spans="1:16" s="7" customFormat="1" ht="12.75" customHeight="1" x14ac:dyDescent="0.3">
      <c r="M7" s="8"/>
      <c r="N7" s="8"/>
      <c r="O7" s="8"/>
      <c r="P7" s="8"/>
    </row>
    <row r="8" spans="1:16" x14ac:dyDescent="0.3">
      <c r="C8" s="9" t="s">
        <v>5</v>
      </c>
      <c r="D8" s="9"/>
      <c r="E8" s="141" t="s">
        <v>6</v>
      </c>
      <c r="F8" s="141"/>
      <c r="G8" s="141"/>
      <c r="H8" s="141"/>
      <c r="I8" s="7"/>
      <c r="J8" s="7"/>
    </row>
    <row r="9" spans="1:16" x14ac:dyDescent="0.3">
      <c r="C9" s="9"/>
      <c r="D9" s="9"/>
    </row>
    <row r="10" spans="1:16" s="7" customFormat="1" x14ac:dyDescent="0.3">
      <c r="C10" s="12" t="s">
        <v>7</v>
      </c>
      <c r="D10" s="10" t="s">
        <v>3</v>
      </c>
      <c r="E10" s="13" t="s">
        <v>8</v>
      </c>
      <c r="F10" s="2"/>
      <c r="G10" s="14">
        <v>2023</v>
      </c>
      <c r="I10" s="15"/>
      <c r="J10" s="15"/>
    </row>
    <row r="11" spans="1:16" x14ac:dyDescent="0.3">
      <c r="I11" s="15"/>
      <c r="J11" s="15"/>
    </row>
    <row r="12" spans="1:16" x14ac:dyDescent="0.3">
      <c r="H12" s="16"/>
      <c r="I12" s="16"/>
      <c r="J12" s="16"/>
    </row>
    <row r="13" spans="1:16" s="17" customFormat="1" x14ac:dyDescent="0.2">
      <c r="C13" s="18" t="s">
        <v>9</v>
      </c>
      <c r="D13" s="18"/>
      <c r="E13" s="18" t="s">
        <v>10</v>
      </c>
      <c r="F13" s="18"/>
      <c r="G13" s="18"/>
      <c r="H13" s="19"/>
      <c r="I13" s="19"/>
      <c r="J13" s="19"/>
      <c r="K13" s="19"/>
      <c r="L13"/>
    </row>
    <row r="14" spans="1:16" s="7" customFormat="1" ht="12.75" customHeight="1" x14ac:dyDescent="0.3">
      <c r="C14" s="20" t="s">
        <v>40</v>
      </c>
      <c r="D14" s="20"/>
      <c r="E14" s="142" t="s">
        <v>11</v>
      </c>
      <c r="F14" s="142"/>
      <c r="G14" s="142"/>
      <c r="H14" s="142"/>
      <c r="I14" s="142"/>
      <c r="J14" s="142"/>
      <c r="K14" s="142"/>
      <c r="L14"/>
    </row>
    <row r="15" spans="1:16" s="7" customFormat="1" ht="12.75" customHeight="1" x14ac:dyDescent="0.3">
      <c r="C15" s="20" t="s">
        <v>35</v>
      </c>
      <c r="D15" s="20"/>
      <c r="E15" s="143" t="s">
        <v>12</v>
      </c>
      <c r="F15" s="143"/>
      <c r="G15" s="143"/>
      <c r="H15" s="143"/>
      <c r="I15" s="143"/>
      <c r="J15" s="143"/>
      <c r="K15" s="143"/>
      <c r="L15"/>
    </row>
    <row r="16" spans="1:16" s="7" customFormat="1" ht="12.75" customHeight="1" x14ac:dyDescent="0.3">
      <c r="C16"/>
      <c r="D16"/>
      <c r="E16"/>
      <c r="F16"/>
      <c r="G16"/>
      <c r="H16"/>
      <c r="I16"/>
      <c r="J16"/>
      <c r="K16"/>
      <c r="L16"/>
      <c r="M16"/>
    </row>
    <row r="17" spans="1:16" s="7" customFormat="1" ht="15.6" x14ac:dyDescent="0.3">
      <c r="E17" s="21"/>
      <c r="F17" s="21"/>
      <c r="L17" s="2"/>
    </row>
    <row r="18" spans="1:16" s="7" customFormat="1" ht="14.4" x14ac:dyDescent="0.3">
      <c r="A18" s="4" t="s">
        <v>13</v>
      </c>
      <c r="B18" s="4"/>
      <c r="C18" s="5"/>
      <c r="D18" s="5"/>
      <c r="E18" s="5"/>
      <c r="F18" s="5"/>
      <c r="G18" s="5"/>
      <c r="H18" s="5"/>
      <c r="I18" s="5"/>
      <c r="J18" s="5"/>
      <c r="K18" s="5"/>
      <c r="L18" s="5"/>
      <c r="M18" s="6"/>
      <c r="N18" s="6"/>
      <c r="O18" s="6"/>
      <c r="P18" s="6"/>
    </row>
    <row r="19" spans="1:16" s="7" customFormat="1" x14ac:dyDescent="0.3"/>
    <row r="20" spans="1:16" s="7" customFormat="1" x14ac:dyDescent="0.3">
      <c r="C20" s="7" t="s">
        <v>14</v>
      </c>
      <c r="E20" s="101">
        <v>45291</v>
      </c>
      <c r="F20" s="23"/>
    </row>
    <row r="21" spans="1:16" s="7" customFormat="1" x14ac:dyDescent="0.3">
      <c r="C21" s="7" t="s">
        <v>15</v>
      </c>
      <c r="E21" s="102">
        <v>3.5000000000000003E-2</v>
      </c>
      <c r="F21" s="23"/>
      <c r="H21" s="23"/>
    </row>
    <row r="22" spans="1:16" s="7" customFormat="1" x14ac:dyDescent="0.3">
      <c r="C22" s="7" t="s">
        <v>16</v>
      </c>
      <c r="E22" s="101" t="str">
        <f>start</f>
        <v>2025-26</v>
      </c>
      <c r="F22" s="23"/>
      <c r="H22" s="23"/>
    </row>
    <row r="23" spans="1:16" s="7" customFormat="1" x14ac:dyDescent="0.3"/>
    <row r="24" spans="1:16" s="7" customFormat="1" x14ac:dyDescent="0.3">
      <c r="C24" s="7" t="s">
        <v>18</v>
      </c>
      <c r="E24" s="101">
        <v>46203</v>
      </c>
      <c r="F24" s="23"/>
      <c r="H24" s="23"/>
    </row>
  </sheetData>
  <mergeCells count="3">
    <mergeCell ref="E8:H8"/>
    <mergeCell ref="E14:K14"/>
    <mergeCell ref="E15:K15"/>
  </mergeCells>
  <pageMargins left="0.7" right="0.7" top="0.75" bottom="0.75" header="0.3" footer="0.3"/>
  <pageSetup paperSize="9" orientation="portrait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95CEF-7350-4712-9FE4-D3B6B02F42FA}">
  <sheetPr codeName="Sheet5">
    <tabColor rgb="FFFFFFCC"/>
  </sheetPr>
  <dimension ref="A1:XFC87"/>
  <sheetViews>
    <sheetView showGridLines="0" zoomScale="70" zoomScaleNormal="70" workbookViewId="0"/>
  </sheetViews>
  <sheetFormatPr defaultRowHeight="12.6" x14ac:dyDescent="0.2"/>
  <cols>
    <col min="2" max="2" width="21.36328125" customWidth="1"/>
    <col min="3" max="3" width="20.453125" customWidth="1"/>
    <col min="4" max="4" width="14.453125" style="40" customWidth="1"/>
    <col min="5" max="5" width="14.453125" customWidth="1"/>
    <col min="8" max="13" width="12.453125" customWidth="1"/>
    <col min="14" max="17" width="10.90625" customWidth="1"/>
    <col min="18" max="18" width="12.6328125" customWidth="1"/>
  </cols>
  <sheetData>
    <row r="1" spans="1:23" ht="18" x14ac:dyDescent="0.35">
      <c r="A1" s="1" t="str">
        <f>bus</f>
        <v>Powercor</v>
      </c>
      <c r="B1" s="1"/>
      <c r="C1" s="1"/>
      <c r="D1" s="3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3" ht="18" x14ac:dyDescent="0.35">
      <c r="A2" s="31" t="str">
        <f>proj</f>
        <v>Proactive HBRA HV wood crossarm replacements</v>
      </c>
      <c r="B2" s="1"/>
      <c r="C2" s="1"/>
      <c r="D2" s="3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3" ht="15.6" x14ac:dyDescent="0.3">
      <c r="A3" s="21"/>
    </row>
    <row r="4" spans="1:23" s="7" customFormat="1" ht="14.4" x14ac:dyDescent="0.3">
      <c r="A4" s="4" t="s">
        <v>22</v>
      </c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6"/>
      <c r="N4" s="6"/>
      <c r="O4" s="6"/>
      <c r="P4" s="6"/>
      <c r="Q4" s="6"/>
      <c r="R4" s="6"/>
    </row>
    <row r="5" spans="1:23" s="7" customFormat="1" ht="13.8" x14ac:dyDescent="0.3"/>
    <row r="6" spans="1:23" s="7" customFormat="1" ht="13.8" x14ac:dyDescent="0.3">
      <c r="B6" s="41" t="s">
        <v>23</v>
      </c>
      <c r="C6" s="41"/>
      <c r="D6" s="42"/>
      <c r="E6" s="25"/>
      <c r="F6" s="43"/>
      <c r="G6" s="25"/>
      <c r="H6" s="44">
        <v>44377</v>
      </c>
      <c r="I6" s="45">
        <f>IF(EOMONTH(H6,12)&gt;output_dollars, output_dollars, EOMONTH(H6,12))</f>
        <v>44742</v>
      </c>
      <c r="J6" s="45">
        <f>IF(EOMONTH(I6,12)&gt;output_dollars, output_dollars, EOMONTH(I6,12))</f>
        <v>45107</v>
      </c>
      <c r="K6" s="45">
        <f>IF(EOMONTH(J6,12)&gt;output_dollars, output_dollars, EOMONTH(J6,12))</f>
        <v>45473</v>
      </c>
      <c r="L6" s="45">
        <f>IF(EOMONTH(K6,12)&gt;output_dollars, output_dollars, EOMONTH(K6,12))</f>
        <v>45838</v>
      </c>
      <c r="M6" s="45">
        <f>IF(EOMONTH(L6,12)&gt;output_dollars, output_dollars, EOMONTH(L6,12))</f>
        <v>46203</v>
      </c>
    </row>
    <row r="7" spans="1:23" s="46" customFormat="1" ht="13.8" x14ac:dyDescent="0.3">
      <c r="D7" s="47"/>
      <c r="N7" s="7"/>
      <c r="O7"/>
      <c r="P7"/>
      <c r="Q7"/>
      <c r="R7"/>
      <c r="S7"/>
      <c r="T7"/>
      <c r="U7"/>
      <c r="V7"/>
      <c r="W7"/>
    </row>
    <row r="8" spans="1:23" s="46" customFormat="1" ht="13.8" x14ac:dyDescent="0.3">
      <c r="B8" s="46" t="s">
        <v>24</v>
      </c>
      <c r="D8" s="47"/>
      <c r="H8" s="48">
        <v>0</v>
      </c>
      <c r="I8" s="48">
        <v>8.6058519793459354E-3</v>
      </c>
      <c r="J8" s="48">
        <v>3.4982935153583528E-2</v>
      </c>
      <c r="K8" s="48">
        <v>7.8318219291014124E-2</v>
      </c>
      <c r="L8" s="48">
        <v>4.0519877675840865E-2</v>
      </c>
      <c r="M8" s="48">
        <v>0.03</v>
      </c>
      <c r="N8" s="7"/>
      <c r="O8"/>
      <c r="P8"/>
      <c r="Q8"/>
      <c r="R8"/>
      <c r="S8"/>
      <c r="T8"/>
      <c r="U8"/>
      <c r="V8"/>
      <c r="W8"/>
    </row>
    <row r="9" spans="1:23" s="7" customFormat="1" ht="13.8" x14ac:dyDescent="0.3">
      <c r="D9" s="8"/>
      <c r="O9"/>
      <c r="P9"/>
      <c r="Q9"/>
      <c r="R9"/>
      <c r="S9"/>
      <c r="T9"/>
      <c r="U9"/>
      <c r="V9"/>
      <c r="W9"/>
    </row>
    <row r="10" spans="1:23" s="7" customFormat="1" ht="13.8" x14ac:dyDescent="0.3">
      <c r="D10" s="8"/>
      <c r="O10"/>
      <c r="P10"/>
      <c r="Q10"/>
      <c r="R10"/>
      <c r="S10"/>
      <c r="T10"/>
      <c r="U10"/>
      <c r="V10"/>
      <c r="W10"/>
    </row>
    <row r="11" spans="1:23" s="7" customFormat="1" ht="13.8" x14ac:dyDescent="0.3">
      <c r="A11"/>
      <c r="B11" s="46" t="s">
        <v>25</v>
      </c>
      <c r="C11"/>
      <c r="D11"/>
      <c r="E11"/>
      <c r="F11"/>
      <c r="G11"/>
      <c r="H11" s="49">
        <f>H6</f>
        <v>44377</v>
      </c>
      <c r="I11" s="49">
        <f>EOMONTH(H11,6)</f>
        <v>44561</v>
      </c>
      <c r="J11" s="49">
        <f>EOMONTH(I11,6)</f>
        <v>44742</v>
      </c>
      <c r="K11" s="49">
        <f t="shared" ref="K11:R11" si="0">EOMONTH(J11,6)</f>
        <v>44926</v>
      </c>
      <c r="L11" s="49">
        <f t="shared" si="0"/>
        <v>45107</v>
      </c>
      <c r="M11" s="49">
        <f t="shared" si="0"/>
        <v>45291</v>
      </c>
      <c r="N11" s="49">
        <f t="shared" si="0"/>
        <v>45473</v>
      </c>
      <c r="O11" s="49">
        <f t="shared" si="0"/>
        <v>45657</v>
      </c>
      <c r="P11" s="49">
        <f t="shared" si="0"/>
        <v>45838</v>
      </c>
      <c r="Q11" s="49">
        <f t="shared" si="0"/>
        <v>46022</v>
      </c>
      <c r="R11" s="49">
        <f t="shared" si="0"/>
        <v>46203</v>
      </c>
      <c r="S11"/>
      <c r="T11"/>
      <c r="U11"/>
      <c r="V11"/>
      <c r="W11"/>
    </row>
    <row r="12" spans="1:23" s="7" customFormat="1" ht="13.8" x14ac:dyDescent="0.3">
      <c r="A12"/>
      <c r="B12" s="46" t="s">
        <v>26</v>
      </c>
      <c r="C12"/>
      <c r="D12"/>
      <c r="E12"/>
      <c r="F12"/>
      <c r="G12"/>
      <c r="H12" s="50">
        <f t="shared" ref="H12:R12" si="1">IF(MONTH(H11)=12, EOMONTH(H11,6), H11)</f>
        <v>44377</v>
      </c>
      <c r="I12" s="50">
        <f t="shared" si="1"/>
        <v>44742</v>
      </c>
      <c r="J12" s="50">
        <f t="shared" si="1"/>
        <v>44742</v>
      </c>
      <c r="K12" s="50">
        <f t="shared" si="1"/>
        <v>45107</v>
      </c>
      <c r="L12" s="50">
        <f t="shared" si="1"/>
        <v>45107</v>
      </c>
      <c r="M12" s="50">
        <f t="shared" si="1"/>
        <v>45473</v>
      </c>
      <c r="N12" s="50">
        <f t="shared" si="1"/>
        <v>45473</v>
      </c>
      <c r="O12" s="50">
        <f t="shared" si="1"/>
        <v>45838</v>
      </c>
      <c r="P12" s="50">
        <f t="shared" si="1"/>
        <v>45838</v>
      </c>
      <c r="Q12" s="50">
        <f t="shared" si="1"/>
        <v>46203</v>
      </c>
      <c r="R12" s="50">
        <f t="shared" si="1"/>
        <v>46203</v>
      </c>
      <c r="S12"/>
      <c r="T12"/>
      <c r="U12"/>
      <c r="V12"/>
      <c r="W12"/>
    </row>
    <row r="13" spans="1:23" s="7" customFormat="1" ht="13.8" x14ac:dyDescent="0.3">
      <c r="A13"/>
      <c r="B13" s="46" t="s">
        <v>24</v>
      </c>
      <c r="C13"/>
      <c r="D13"/>
      <c r="E13"/>
      <c r="F13"/>
      <c r="G13"/>
      <c r="H13" s="51" t="e">
        <f t="shared" ref="H13:R13" si="2">IF(output_dollars&lt;H12,0,INDEX($H$8:$M$8,MATCH(H12,CY_years,0)))</f>
        <v>#NAME?</v>
      </c>
      <c r="I13" s="51" t="e">
        <f t="shared" si="2"/>
        <v>#NAME?</v>
      </c>
      <c r="J13" s="51" t="e">
        <f t="shared" si="2"/>
        <v>#NAME?</v>
      </c>
      <c r="K13" s="51" t="e">
        <f t="shared" si="2"/>
        <v>#NAME?</v>
      </c>
      <c r="L13" s="51" t="e">
        <f t="shared" si="2"/>
        <v>#NAME?</v>
      </c>
      <c r="M13" s="51" t="e">
        <f t="shared" si="2"/>
        <v>#NAME?</v>
      </c>
      <c r="N13" s="51" t="e">
        <f t="shared" si="2"/>
        <v>#NAME?</v>
      </c>
      <c r="O13" s="51" t="e">
        <f t="shared" si="2"/>
        <v>#NAME?</v>
      </c>
      <c r="P13" s="51" t="e">
        <f t="shared" si="2"/>
        <v>#NAME?</v>
      </c>
      <c r="Q13" s="51" t="e">
        <f t="shared" si="2"/>
        <v>#NAME?</v>
      </c>
      <c r="R13" s="51" t="e">
        <f t="shared" si="2"/>
        <v>#NAME?</v>
      </c>
      <c r="S13"/>
      <c r="T13"/>
      <c r="U13"/>
      <c r="V13"/>
      <c r="W13"/>
    </row>
    <row r="14" spans="1:23" s="7" customFormat="1" ht="13.8" x14ac:dyDescent="0.3">
      <c r="A14"/>
      <c r="B14"/>
      <c r="C14"/>
      <c r="D14"/>
      <c r="E14"/>
      <c r="F14"/>
      <c r="G14"/>
      <c r="S14"/>
      <c r="T14"/>
      <c r="U14"/>
      <c r="V14"/>
      <c r="W14"/>
    </row>
    <row r="15" spans="1:23" s="46" customFormat="1" ht="13.8" x14ac:dyDescent="0.3">
      <c r="A15"/>
      <c r="B15" s="46" t="s">
        <v>27</v>
      </c>
      <c r="C15"/>
      <c r="D15"/>
      <c r="E15"/>
      <c r="F15"/>
      <c r="G15"/>
      <c r="H15" s="52">
        <v>1</v>
      </c>
      <c r="I15" s="46" t="e">
        <f t="shared" ref="I15:R15" si="3">H15*(1+I$13)^0.5</f>
        <v>#NAME?</v>
      </c>
      <c r="J15" s="46" t="e">
        <f t="shared" si="3"/>
        <v>#NAME?</v>
      </c>
      <c r="K15" s="46" t="e">
        <f t="shared" si="3"/>
        <v>#NAME?</v>
      </c>
      <c r="L15" s="46" t="e">
        <f t="shared" si="3"/>
        <v>#NAME?</v>
      </c>
      <c r="M15" s="46" t="e">
        <f t="shared" si="3"/>
        <v>#NAME?</v>
      </c>
      <c r="N15" s="46" t="e">
        <f t="shared" si="3"/>
        <v>#NAME?</v>
      </c>
      <c r="O15" s="46" t="e">
        <f t="shared" si="3"/>
        <v>#NAME?</v>
      </c>
      <c r="P15" s="46" t="e">
        <f t="shared" si="3"/>
        <v>#NAME?</v>
      </c>
      <c r="Q15" s="46" t="e">
        <f t="shared" si="3"/>
        <v>#NAME?</v>
      </c>
      <c r="R15" s="46" t="e">
        <f t="shared" si="3"/>
        <v>#NAME?</v>
      </c>
      <c r="S15"/>
      <c r="T15"/>
      <c r="U15"/>
      <c r="V15"/>
      <c r="W15"/>
    </row>
    <row r="16" spans="1:23" s="46" customFormat="1" ht="13.8" x14ac:dyDescent="0.3">
      <c r="A16"/>
      <c r="B16" s="46" t="s">
        <v>28</v>
      </c>
      <c r="C16" s="22">
        <f>input_dollars</f>
        <v>45291</v>
      </c>
      <c r="D16" s="46">
        <v>1.0839971599793141</v>
      </c>
      <c r="E16"/>
      <c r="F16"/>
      <c r="G16"/>
      <c r="S16"/>
      <c r="T16"/>
      <c r="U16"/>
      <c r="V16"/>
      <c r="W16"/>
    </row>
    <row r="17" spans="1:16383" s="46" customFormat="1" ht="13.8" x14ac:dyDescent="0.3">
      <c r="A17"/>
      <c r="B17" s="46" t="s">
        <v>29</v>
      </c>
      <c r="C17" s="22">
        <f>output_dollars</f>
        <v>46203</v>
      </c>
      <c r="D17" s="46">
        <v>1.2063941480206535</v>
      </c>
      <c r="E17"/>
      <c r="F17"/>
      <c r="G17"/>
      <c r="S17"/>
      <c r="T17"/>
      <c r="U17"/>
      <c r="V17"/>
      <c r="W17"/>
    </row>
    <row r="18" spans="1:16383" s="7" customFormat="1" ht="13.8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</row>
    <row r="19" spans="1:16383" ht="13.8" x14ac:dyDescent="0.3">
      <c r="B19" s="46" t="s">
        <v>30</v>
      </c>
      <c r="D19" s="46">
        <f>D17/D16</f>
        <v>1.1129126464165968</v>
      </c>
    </row>
    <row r="20" spans="1:16383" ht="13.8" x14ac:dyDescent="0.3">
      <c r="B20" s="46"/>
      <c r="D20" s="46"/>
    </row>
    <row r="21" spans="1:16383" ht="13.8" x14ac:dyDescent="0.3">
      <c r="B21" s="7" t="s">
        <v>14</v>
      </c>
      <c r="C21" s="98">
        <f>input_dollars</f>
        <v>45291</v>
      </c>
      <c r="D21" s="7"/>
      <c r="E21" s="7"/>
    </row>
    <row r="22" spans="1:16383" ht="13.8" x14ac:dyDescent="0.3">
      <c r="B22" s="46"/>
      <c r="D22" s="46"/>
    </row>
    <row r="23" spans="1:16383" ht="13.8" x14ac:dyDescent="0.3">
      <c r="B23" s="46"/>
      <c r="D23" s="46"/>
    </row>
    <row r="24" spans="1:16383" ht="13.8" x14ac:dyDescent="0.3">
      <c r="B24" s="46" t="s">
        <v>31</v>
      </c>
      <c r="C24" s="22">
        <f>input_dollars</f>
        <v>45291</v>
      </c>
      <c r="D24" s="46">
        <v>1.0839971599793141</v>
      </c>
    </row>
    <row r="25" spans="1:16383" ht="13.8" x14ac:dyDescent="0.3">
      <c r="B25" s="46"/>
      <c r="D25" s="46"/>
    </row>
    <row r="28" spans="1:16383" s="7" customFormat="1" ht="15.6" x14ac:dyDescent="0.3">
      <c r="A28" s="21"/>
      <c r="B28" s="7" t="s">
        <v>15</v>
      </c>
      <c r="C28" s="99">
        <f>real_disc</f>
        <v>3.5000000000000003E-2</v>
      </c>
      <c r="J28" s="21"/>
      <c r="L28" s="33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30" spans="1:16383" ht="13.8" x14ac:dyDescent="0.3">
      <c r="B30" t="s">
        <v>71</v>
      </c>
      <c r="C30" s="93" t="s">
        <v>17</v>
      </c>
    </row>
    <row r="34" spans="1:34" s="7" customFormat="1" ht="14.4" x14ac:dyDescent="0.3">
      <c r="A34" s="4" t="s">
        <v>32</v>
      </c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6"/>
      <c r="N34" s="6"/>
      <c r="O34" s="6"/>
      <c r="P34" s="6"/>
      <c r="Q34" s="6"/>
      <c r="R34" s="6"/>
    </row>
    <row r="37" spans="1:34" ht="13.2" x14ac:dyDescent="0.25">
      <c r="B37" s="53" t="s">
        <v>9</v>
      </c>
      <c r="C37" s="54" t="s">
        <v>33</v>
      </c>
      <c r="D37" s="55" t="s">
        <v>34</v>
      </c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</row>
    <row r="38" spans="1:34" ht="13.8" x14ac:dyDescent="0.3">
      <c r="B38" s="57" t="s">
        <v>35</v>
      </c>
      <c r="C38" s="58">
        <v>1</v>
      </c>
      <c r="D38" s="56" t="b">
        <v>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</row>
    <row r="39" spans="1:34" ht="13.8" x14ac:dyDescent="0.3">
      <c r="B39" s="57" t="s">
        <v>36</v>
      </c>
      <c r="C39" s="58" t="s">
        <v>99</v>
      </c>
      <c r="D39" s="56" t="b">
        <v>0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</row>
    <row r="40" spans="1:34" ht="13.8" x14ac:dyDescent="0.3">
      <c r="B40" s="57" t="s">
        <v>37</v>
      </c>
      <c r="C40" s="58" t="s">
        <v>99</v>
      </c>
      <c r="D40" s="56" t="b">
        <v>0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</row>
    <row r="41" spans="1:34" ht="13.8" x14ac:dyDescent="0.3">
      <c r="B41" s="57" t="s">
        <v>38</v>
      </c>
      <c r="C41" s="58" t="s">
        <v>99</v>
      </c>
      <c r="D41" s="56" t="b">
        <v>0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</row>
    <row r="42" spans="1:34" ht="13.2" x14ac:dyDescent="0.25">
      <c r="B42" s="56"/>
      <c r="C42" s="59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</row>
    <row r="43" spans="1:34" ht="13.2" x14ac:dyDescent="0.25">
      <c r="B43" s="56"/>
      <c r="C43" s="59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</row>
    <row r="44" spans="1:34" ht="13.2" x14ac:dyDescent="0.25">
      <c r="B44" s="60" t="s">
        <v>33</v>
      </c>
      <c r="C44" s="60">
        <v>1</v>
      </c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</row>
    <row r="45" spans="1:34" ht="13.2" x14ac:dyDescent="0.25">
      <c r="B45" s="56"/>
      <c r="C45" s="59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</row>
    <row r="46" spans="1:34" ht="13.2" x14ac:dyDescent="0.25">
      <c r="A46" s="56"/>
      <c r="B46" s="56"/>
      <c r="C46" s="59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</row>
    <row r="47" spans="1:34" x14ac:dyDescent="0.2">
      <c r="D47"/>
    </row>
    <row r="48" spans="1:34" s="7" customFormat="1" ht="14.4" x14ac:dyDescent="0.3">
      <c r="A48" s="4" t="s">
        <v>19</v>
      </c>
      <c r="B48" s="4"/>
      <c r="C48" s="5"/>
      <c r="D48" s="5"/>
      <c r="E48" s="5"/>
      <c r="F48" s="5"/>
      <c r="G48" s="5"/>
      <c r="H48" s="5"/>
      <c r="I48" s="5"/>
      <c r="J48" s="5"/>
      <c r="K48" s="5"/>
      <c r="L48" s="5"/>
      <c r="M48" s="6"/>
      <c r="N48" s="6"/>
      <c r="O48" s="6"/>
      <c r="P48" s="6"/>
      <c r="Q48" s="6"/>
      <c r="R48" s="6"/>
    </row>
    <row r="49" spans="1:18" x14ac:dyDescent="0.2">
      <c r="D49"/>
    </row>
    <row r="50" spans="1:18" x14ac:dyDescent="0.2">
      <c r="B50" t="s">
        <v>100</v>
      </c>
      <c r="D50"/>
    </row>
    <row r="51" spans="1:18" x14ac:dyDescent="0.2">
      <c r="D51"/>
    </row>
    <row r="53" spans="1:18" x14ac:dyDescent="0.2">
      <c r="D53"/>
    </row>
    <row r="54" spans="1:18" ht="13.8" x14ac:dyDescent="0.3">
      <c r="B54" t="s">
        <v>78</v>
      </c>
      <c r="C54" s="24">
        <v>43815.558399239751</v>
      </c>
      <c r="D54"/>
    </row>
    <row r="55" spans="1:18" x14ac:dyDescent="0.2">
      <c r="D55"/>
    </row>
    <row r="56" spans="1:18" x14ac:dyDescent="0.2">
      <c r="D56"/>
    </row>
    <row r="57" spans="1:18" s="7" customFormat="1" ht="14.4" x14ac:dyDescent="0.3">
      <c r="A57" s="4" t="s">
        <v>39</v>
      </c>
      <c r="B57" s="4"/>
      <c r="C57" s="5"/>
      <c r="D57" s="5"/>
      <c r="E57" s="5"/>
      <c r="F57" s="5"/>
      <c r="G57" s="5"/>
      <c r="H57" s="5"/>
      <c r="I57" s="5"/>
      <c r="J57" s="5"/>
      <c r="K57" s="5"/>
      <c r="L57" s="5"/>
      <c r="M57" s="6"/>
      <c r="N57" s="6"/>
      <c r="O57" s="6"/>
      <c r="P57" s="6"/>
      <c r="Q57" s="6"/>
      <c r="R57" s="6"/>
    </row>
    <row r="60" spans="1:18" x14ac:dyDescent="0.2">
      <c r="B60" t="s">
        <v>40</v>
      </c>
      <c r="C60" t="b">
        <v>0</v>
      </c>
      <c r="D60" s="40" t="b">
        <f>OR(C60:C62)</f>
        <v>0</v>
      </c>
    </row>
    <row r="61" spans="1:18" x14ac:dyDescent="0.2">
      <c r="C61" t="b">
        <v>0</v>
      </c>
    </row>
    <row r="62" spans="1:18" x14ac:dyDescent="0.2">
      <c r="C62" t="b">
        <v>0</v>
      </c>
    </row>
    <row r="64" spans="1:18" x14ac:dyDescent="0.2">
      <c r="B64" t="s">
        <v>35</v>
      </c>
      <c r="C64" t="b">
        <v>0</v>
      </c>
      <c r="D64" s="40" t="b">
        <f>OR(C64:C66)</f>
        <v>0</v>
      </c>
    </row>
    <row r="65" spans="2:4" x14ac:dyDescent="0.2">
      <c r="C65" t="b">
        <v>0</v>
      </c>
    </row>
    <row r="66" spans="2:4" x14ac:dyDescent="0.2">
      <c r="C66" t="b">
        <v>0</v>
      </c>
    </row>
    <row r="68" spans="2:4" x14ac:dyDescent="0.2">
      <c r="B68" t="s">
        <v>36</v>
      </c>
      <c r="C68" t="b">
        <v>0</v>
      </c>
      <c r="D68" s="40" t="b">
        <f>OR(C68:C70)</f>
        <v>0</v>
      </c>
    </row>
    <row r="69" spans="2:4" x14ac:dyDescent="0.2">
      <c r="C69" t="b">
        <v>0</v>
      </c>
    </row>
    <row r="70" spans="2:4" x14ac:dyDescent="0.2">
      <c r="C70" t="b">
        <v>0</v>
      </c>
    </row>
    <row r="72" spans="2:4" x14ac:dyDescent="0.2">
      <c r="B72" t="s">
        <v>37</v>
      </c>
      <c r="C72" t="b">
        <v>0</v>
      </c>
      <c r="D72" s="40" t="b">
        <f>OR(C72:C74)</f>
        <v>0</v>
      </c>
    </row>
    <row r="73" spans="2:4" x14ac:dyDescent="0.2">
      <c r="C73" t="b">
        <v>0</v>
      </c>
    </row>
    <row r="74" spans="2:4" x14ac:dyDescent="0.2">
      <c r="C74" t="b">
        <v>0</v>
      </c>
    </row>
    <row r="76" spans="2:4" x14ac:dyDescent="0.2">
      <c r="B76" t="s">
        <v>38</v>
      </c>
      <c r="C76" t="b">
        <v>0</v>
      </c>
      <c r="D76" s="40" t="b">
        <f>OR(C76:C78)</f>
        <v>0</v>
      </c>
    </row>
    <row r="77" spans="2:4" x14ac:dyDescent="0.2">
      <c r="C77" t="b">
        <v>0</v>
      </c>
    </row>
    <row r="78" spans="2:4" x14ac:dyDescent="0.2">
      <c r="C78" t="b">
        <v>0</v>
      </c>
    </row>
    <row r="81" spans="1:2" x14ac:dyDescent="0.2">
      <c r="A81" t="s">
        <v>41</v>
      </c>
      <c r="B81" s="61" t="s">
        <v>42</v>
      </c>
    </row>
    <row r="85" spans="1:2" ht="13.8" x14ac:dyDescent="0.3">
      <c r="B85" s="62" t="str">
        <f>IF(AND(SUM(E84:AC84)&lt;&gt;0, A85=0), "!", "")</f>
        <v/>
      </c>
    </row>
    <row r="87" spans="1:2" x14ac:dyDescent="0.2">
      <c r="B87" t="s">
        <v>43</v>
      </c>
    </row>
  </sheetData>
  <pageMargins left="0.7" right="0.7" top="0.75" bottom="0.75" header="0.3" footer="0.3"/>
  <pageSetup paperSize="9"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10</vt:i4>
      </vt:variant>
    </vt:vector>
  </HeadingPairs>
  <TitlesOfParts>
    <vt:vector size="15" baseType="lpstr">
      <vt:lpstr>Cover</vt:lpstr>
      <vt:lpstr>Summary</vt:lpstr>
      <vt:lpstr>Calculations</vt:lpstr>
      <vt:lpstr>Assumptions</vt:lpstr>
      <vt:lpstr>Misc_calcs</vt:lpstr>
      <vt:lpstr>bus</vt:lpstr>
      <vt:lpstr>conv_2026</vt:lpstr>
      <vt:lpstr>first_year</vt:lpstr>
      <vt:lpstr>input_dollars</vt:lpstr>
      <vt:lpstr>output_dollars</vt:lpstr>
      <vt:lpstr>proj</vt:lpstr>
      <vt:lpstr>real_disc</vt:lpstr>
      <vt:lpstr>sheets</vt:lpstr>
      <vt:lpstr>start</vt:lpstr>
      <vt:lpstr>vcr_esc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2025-01-31T04:03:25Z</dcterms:created>
  <dcterms:modified xsi:type="dcterms:W3CDTF">2025-01-31T04:03:40Z</dcterms:modified>
</cp:coreProperties>
</file>