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A10EE104-0A47-4DD2-880F-60C4FAC3DF12}" xr6:coauthVersionLast="47" xr6:coauthVersionMax="47" xr10:uidLastSave="{00000000-0000-0000-0000-000000000000}"/>
  <bookViews>
    <workbookView xWindow="-105" yWindow="0" windowWidth="14610" windowHeight="1558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Misc_calcs" sheetId="62" r:id="rId13"/>
    <sheet name="Data" sheetId="47" r:id="rId14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E16" i="88"/>
  <c r="E18" i="88" s="1"/>
  <c r="E20" i="88" s="1"/>
  <c r="J19" i="72"/>
  <c r="K19" i="72"/>
  <c r="L19" i="72"/>
  <c r="M19" i="72"/>
  <c r="N19" i="72"/>
  <c r="O19" i="72"/>
  <c r="P19" i="72"/>
  <c r="Q19" i="72"/>
  <c r="R19" i="72"/>
  <c r="S19" i="72"/>
  <c r="T19" i="72"/>
  <c r="U19" i="72"/>
  <c r="V19" i="72"/>
  <c r="W19" i="72"/>
  <c r="X19" i="72"/>
  <c r="Y19" i="72"/>
  <c r="Z19" i="72"/>
  <c r="AA19" i="72"/>
  <c r="AB19" i="72"/>
  <c r="AC19" i="72"/>
  <c r="AD19" i="72"/>
  <c r="AE19" i="72"/>
  <c r="AF19" i="72"/>
  <c r="AG19" i="72"/>
  <c r="I19" i="72"/>
  <c r="J19" i="73"/>
  <c r="K19" i="73"/>
  <c r="L19" i="73"/>
  <c r="M19" i="73"/>
  <c r="N19" i="73"/>
  <c r="O19" i="73"/>
  <c r="P19" i="73"/>
  <c r="Q19" i="73"/>
  <c r="R19" i="73"/>
  <c r="S19" i="73"/>
  <c r="T19" i="73"/>
  <c r="U19" i="73"/>
  <c r="V19" i="73"/>
  <c r="W19" i="73"/>
  <c r="X19" i="73"/>
  <c r="Y19" i="73"/>
  <c r="Z19" i="73"/>
  <c r="AA19" i="73"/>
  <c r="AB19" i="73"/>
  <c r="AC19" i="73"/>
  <c r="AD19" i="73"/>
  <c r="AE19" i="73"/>
  <c r="AF19" i="73"/>
  <c r="AG19" i="73"/>
  <c r="I19" i="73"/>
  <c r="AC28" i="72"/>
  <c r="AD28" i="72"/>
  <c r="AE28" i="72"/>
  <c r="AF28" i="72"/>
  <c r="AG28" i="72"/>
  <c r="AC33" i="72"/>
  <c r="AD33" i="72"/>
  <c r="AE33" i="72"/>
  <c r="AF33" i="72"/>
  <c r="AG33" i="72"/>
  <c r="AC28" i="81"/>
  <c r="AD28" i="81"/>
  <c r="AE28" i="81"/>
  <c r="AF28" i="81"/>
  <c r="AG28" i="81"/>
  <c r="J42" i="68"/>
  <c r="K42" i="68"/>
  <c r="L42" i="68"/>
  <c r="M42" i="68"/>
  <c r="N42" i="68"/>
  <c r="O42" i="68"/>
  <c r="P42" i="68"/>
  <c r="Q42" i="68"/>
  <c r="R42" i="68"/>
  <c r="S42" i="68"/>
  <c r="T42" i="68"/>
  <c r="U42" i="68"/>
  <c r="V42" i="68"/>
  <c r="W42" i="68"/>
  <c r="X42" i="68"/>
  <c r="Y42" i="68"/>
  <c r="Z42" i="68"/>
  <c r="AA42" i="68"/>
  <c r="AB42" i="68"/>
  <c r="AC42" i="68"/>
  <c r="AD42" i="68"/>
  <c r="AE42" i="68"/>
  <c r="AF42" i="68"/>
  <c r="AG42" i="68"/>
  <c r="I42" i="68"/>
  <c r="E94" i="88"/>
  <c r="AC33" i="82"/>
  <c r="AD33" i="82"/>
  <c r="AE33" i="82"/>
  <c r="AF33" i="82"/>
  <c r="AG33" i="82"/>
  <c r="AC28" i="82"/>
  <c r="AD28" i="82"/>
  <c r="AE28" i="82"/>
  <c r="AF28" i="82"/>
  <c r="AG28" i="82"/>
  <c r="J19" i="82"/>
  <c r="K19" i="82"/>
  <c r="L19" i="82"/>
  <c r="M19" i="82"/>
  <c r="N19" i="82"/>
  <c r="O19" i="82"/>
  <c r="P19" i="82"/>
  <c r="Q19" i="82"/>
  <c r="R19" i="82"/>
  <c r="S19" i="82"/>
  <c r="T19" i="82"/>
  <c r="U19" i="82"/>
  <c r="V19" i="82"/>
  <c r="W19" i="82"/>
  <c r="X19" i="82"/>
  <c r="Y19" i="82"/>
  <c r="Z19" i="82"/>
  <c r="AA19" i="82"/>
  <c r="AB19" i="82"/>
  <c r="AC19" i="82"/>
  <c r="AD19" i="82"/>
  <c r="AE19" i="82"/>
  <c r="AF19" i="82"/>
  <c r="AG19" i="82"/>
  <c r="I19" i="82"/>
  <c r="J15" i="82"/>
  <c r="K15" i="82"/>
  <c r="L15" i="82"/>
  <c r="M15" i="82"/>
  <c r="N15" i="82"/>
  <c r="O15" i="82"/>
  <c r="P15" i="82"/>
  <c r="Q15" i="82"/>
  <c r="R15" i="82"/>
  <c r="S15" i="82"/>
  <c r="T15" i="82"/>
  <c r="U15" i="82"/>
  <c r="V15" i="82"/>
  <c r="W15" i="82"/>
  <c r="X15" i="82"/>
  <c r="Y15" i="82"/>
  <c r="Z15" i="82"/>
  <c r="AA15" i="82"/>
  <c r="AB15" i="82"/>
  <c r="AC15" i="82"/>
  <c r="AD15" i="82"/>
  <c r="AE15" i="82"/>
  <c r="AF15" i="82"/>
  <c r="AG15" i="82"/>
  <c r="I15" i="82"/>
  <c r="J14" i="82"/>
  <c r="K14" i="82"/>
  <c r="L14" i="82"/>
  <c r="M14" i="82"/>
  <c r="N14" i="82"/>
  <c r="O14" i="82"/>
  <c r="P14" i="82"/>
  <c r="Q14" i="82"/>
  <c r="R14" i="82"/>
  <c r="S14" i="82"/>
  <c r="T14" i="82"/>
  <c r="U14" i="82"/>
  <c r="V14" i="82"/>
  <c r="W14" i="82"/>
  <c r="X14" i="82"/>
  <c r="Y14" i="82"/>
  <c r="Z14" i="82"/>
  <c r="AA14" i="82"/>
  <c r="AB14" i="82"/>
  <c r="AC14" i="82"/>
  <c r="AD14" i="82"/>
  <c r="AE14" i="82"/>
  <c r="AF14" i="82"/>
  <c r="AG14" i="82"/>
  <c r="I14" i="82"/>
  <c r="AC33" i="73"/>
  <c r="AD33" i="73"/>
  <c r="AE33" i="73"/>
  <c r="AF33" i="73"/>
  <c r="AG33" i="73"/>
  <c r="AC28" i="73"/>
  <c r="AD28" i="73"/>
  <c r="AE28" i="73"/>
  <c r="AF28" i="73"/>
  <c r="AG28" i="73"/>
  <c r="J14" i="73"/>
  <c r="K14" i="73"/>
  <c r="L14" i="73"/>
  <c r="M14" i="73"/>
  <c r="N14" i="73"/>
  <c r="O14" i="73"/>
  <c r="P14" i="73"/>
  <c r="Q14" i="73"/>
  <c r="R14" i="73"/>
  <c r="S14" i="73"/>
  <c r="T14" i="73"/>
  <c r="U14" i="73"/>
  <c r="V14" i="73"/>
  <c r="W14" i="73"/>
  <c r="X14" i="73"/>
  <c r="Y14" i="73"/>
  <c r="Z14" i="73"/>
  <c r="AA14" i="73"/>
  <c r="AB14" i="73"/>
  <c r="AC14" i="73"/>
  <c r="AD14" i="73"/>
  <c r="AE14" i="73"/>
  <c r="AF14" i="73"/>
  <c r="AG14" i="73"/>
  <c r="I14" i="73"/>
  <c r="J14" i="72"/>
  <c r="K14" i="72"/>
  <c r="L14" i="72"/>
  <c r="M14" i="72"/>
  <c r="N14" i="72"/>
  <c r="O14" i="72"/>
  <c r="P14" i="72"/>
  <c r="Q14" i="72"/>
  <c r="R14" i="72"/>
  <c r="S14" i="72"/>
  <c r="T14" i="72"/>
  <c r="U14" i="72"/>
  <c r="V14" i="72"/>
  <c r="W14" i="72"/>
  <c r="X14" i="72"/>
  <c r="Y14" i="72"/>
  <c r="Z14" i="72"/>
  <c r="AA14" i="72"/>
  <c r="AB14" i="72"/>
  <c r="AC14" i="72"/>
  <c r="AD14" i="72"/>
  <c r="AE14" i="72"/>
  <c r="AF14" i="72"/>
  <c r="AG14" i="72"/>
  <c r="I14" i="72"/>
  <c r="AC33" i="81"/>
  <c r="AD33" i="81"/>
  <c r="AE33" i="81"/>
  <c r="AF33" i="81"/>
  <c r="AG33" i="81"/>
  <c r="J14" i="81"/>
  <c r="K14" i="81"/>
  <c r="L14" i="81"/>
  <c r="M14" i="81"/>
  <c r="N14" i="81"/>
  <c r="O14" i="81"/>
  <c r="P14" i="81"/>
  <c r="Q14" i="81"/>
  <c r="R14" i="81"/>
  <c r="S14" i="81"/>
  <c r="T14" i="81"/>
  <c r="U14" i="81"/>
  <c r="V14" i="81"/>
  <c r="W14" i="81"/>
  <c r="X14" i="81"/>
  <c r="Y14" i="81"/>
  <c r="Z14" i="81"/>
  <c r="AA14" i="81"/>
  <c r="AB14" i="81"/>
  <c r="AC14" i="81"/>
  <c r="AD14" i="81"/>
  <c r="AE14" i="81"/>
  <c r="AF14" i="81"/>
  <c r="AG14" i="81"/>
  <c r="I14" i="81"/>
  <c r="J33" i="68"/>
  <c r="K33" i="68"/>
  <c r="L33" i="68"/>
  <c r="M33" i="68"/>
  <c r="N33" i="68"/>
  <c r="O33" i="68"/>
  <c r="P33" i="68"/>
  <c r="Q33" i="68"/>
  <c r="R33" i="68"/>
  <c r="S33" i="68"/>
  <c r="T33" i="68"/>
  <c r="U33" i="68"/>
  <c r="V33" i="68"/>
  <c r="W33" i="68"/>
  <c r="X33" i="68"/>
  <c r="Y33" i="68"/>
  <c r="Z33" i="68"/>
  <c r="AA33" i="68"/>
  <c r="AB33" i="68"/>
  <c r="AC33" i="68"/>
  <c r="AD33" i="68"/>
  <c r="AE33" i="68"/>
  <c r="AF33" i="68"/>
  <c r="AG33" i="68"/>
  <c r="I33" i="68"/>
  <c r="E80" i="88"/>
  <c r="E77" i="88"/>
  <c r="AG36" i="81" l="1"/>
  <c r="AF36" i="81"/>
  <c r="AE36" i="81"/>
  <c r="AD36" i="81"/>
  <c r="AC36" i="81"/>
  <c r="J112" i="88"/>
  <c r="K112" i="88" s="1"/>
  <c r="L112" i="88" s="1"/>
  <c r="M112" i="88" s="1"/>
  <c r="N112" i="88" s="1"/>
  <c r="O112" i="88" s="1"/>
  <c r="P112" i="88" s="1"/>
  <c r="Q112" i="88" s="1"/>
  <c r="R112" i="88" s="1"/>
  <c r="S112" i="88" s="1"/>
  <c r="T112" i="88" s="1"/>
  <c r="U112" i="88" s="1"/>
  <c r="V112" i="88" s="1"/>
  <c r="W112" i="88" s="1"/>
  <c r="X112" i="88" s="1"/>
  <c r="E103" i="88"/>
  <c r="E101" i="88"/>
  <c r="E99" i="88"/>
  <c r="J85" i="88"/>
  <c r="K85" i="88" s="1"/>
  <c r="L85" i="88" s="1"/>
  <c r="M85" i="88" s="1"/>
  <c r="N85" i="88" s="1"/>
  <c r="O85" i="88" s="1"/>
  <c r="P85" i="88" s="1"/>
  <c r="Q85" i="88" s="1"/>
  <c r="R85" i="88" s="1"/>
  <c r="S85" i="88" s="1"/>
  <c r="T85" i="88" s="1"/>
  <c r="U85" i="88" s="1"/>
  <c r="V85" i="88" s="1"/>
  <c r="W85" i="88" s="1"/>
  <c r="X85" i="88" s="1"/>
  <c r="E75" i="88"/>
  <c r="E81" i="88"/>
  <c r="E86" i="88" s="1"/>
  <c r="J63" i="88"/>
  <c r="K63" i="88" s="1"/>
  <c r="L63" i="88" s="1"/>
  <c r="M63" i="88" s="1"/>
  <c r="N63" i="88" s="1"/>
  <c r="O63" i="88" s="1"/>
  <c r="P63" i="88" s="1"/>
  <c r="Q63" i="88" s="1"/>
  <c r="R63" i="88" s="1"/>
  <c r="S63" i="88" s="1"/>
  <c r="T63" i="88" s="1"/>
  <c r="U63" i="88" s="1"/>
  <c r="V63" i="88" s="1"/>
  <c r="W63" i="88" s="1"/>
  <c r="X63" i="88" s="1"/>
  <c r="E55" i="88"/>
  <c r="E59" i="88"/>
  <c r="J42" i="88"/>
  <c r="K42" i="88" s="1"/>
  <c r="L42" i="88" s="1"/>
  <c r="M42" i="88" s="1"/>
  <c r="N42" i="88" s="1"/>
  <c r="O42" i="88" s="1"/>
  <c r="P42" i="88" s="1"/>
  <c r="Q42" i="88" s="1"/>
  <c r="R42" i="88" s="1"/>
  <c r="S42" i="88" s="1"/>
  <c r="T42" i="88" s="1"/>
  <c r="U42" i="88" s="1"/>
  <c r="V42" i="88" s="1"/>
  <c r="W42" i="88" s="1"/>
  <c r="X42" i="88" s="1"/>
  <c r="E38" i="88"/>
  <c r="E22" i="88"/>
  <c r="A2" i="88"/>
  <c r="A1" i="88"/>
  <c r="J82" i="87"/>
  <c r="K82" i="87" s="1"/>
  <c r="L82" i="87" s="1"/>
  <c r="M82" i="87" s="1"/>
  <c r="N82" i="87" s="1"/>
  <c r="O82" i="87" s="1"/>
  <c r="P82" i="87" s="1"/>
  <c r="Q82" i="87" s="1"/>
  <c r="R82" i="87" s="1"/>
  <c r="S82" i="87" s="1"/>
  <c r="T82" i="87" s="1"/>
  <c r="U82" i="87" s="1"/>
  <c r="V82" i="87" s="1"/>
  <c r="W82" i="87" s="1"/>
  <c r="X82" i="87" s="1"/>
  <c r="J58" i="87"/>
  <c r="K58" i="87" s="1"/>
  <c r="L58" i="87" s="1"/>
  <c r="M58" i="87" s="1"/>
  <c r="N58" i="87" s="1"/>
  <c r="O58" i="87" s="1"/>
  <c r="P58" i="87" s="1"/>
  <c r="Q58" i="87" s="1"/>
  <c r="R58" i="87" s="1"/>
  <c r="S58" i="87" s="1"/>
  <c r="T58" i="87" s="1"/>
  <c r="U58" i="87" s="1"/>
  <c r="V58" i="87" s="1"/>
  <c r="W58" i="87" s="1"/>
  <c r="X58" i="87" s="1"/>
  <c r="J42" i="87"/>
  <c r="K42" i="87" s="1"/>
  <c r="L42" i="87" s="1"/>
  <c r="M42" i="87" s="1"/>
  <c r="N42" i="87" s="1"/>
  <c r="O42" i="87" s="1"/>
  <c r="P42" i="87" s="1"/>
  <c r="Q42" i="87" s="1"/>
  <c r="R42" i="87" s="1"/>
  <c r="S42" i="87" s="1"/>
  <c r="T42" i="87" s="1"/>
  <c r="U42" i="87" s="1"/>
  <c r="V42" i="87" s="1"/>
  <c r="W42" i="87" s="1"/>
  <c r="X42" i="87" s="1"/>
  <c r="J22" i="87"/>
  <c r="K22" i="87" s="1"/>
  <c r="L22" i="87" s="1"/>
  <c r="M22" i="87" s="1"/>
  <c r="N22" i="87" s="1"/>
  <c r="O22" i="87" s="1"/>
  <c r="P22" i="87" s="1"/>
  <c r="Q22" i="87" s="1"/>
  <c r="R22" i="87" s="1"/>
  <c r="S22" i="87" s="1"/>
  <c r="T22" i="87" s="1"/>
  <c r="U22" i="87" s="1"/>
  <c r="V22" i="87" s="1"/>
  <c r="W22" i="87" s="1"/>
  <c r="X22" i="87" s="1"/>
  <c r="E17" i="87"/>
  <c r="E75" i="87" s="1"/>
  <c r="E76" i="87" s="1"/>
  <c r="E84" i="87" s="1"/>
  <c r="A2" i="87"/>
  <c r="A1" i="87"/>
  <c r="F86" i="88" l="1"/>
  <c r="I33" i="73"/>
  <c r="E95" i="88"/>
  <c r="E96" i="88" s="1"/>
  <c r="E100" i="88"/>
  <c r="E102" i="88"/>
  <c r="E104" i="88"/>
  <c r="E23" i="88"/>
  <c r="E18" i="87"/>
  <c r="F23" i="87" s="1"/>
  <c r="E35" i="87"/>
  <c r="E69" i="87"/>
  <c r="E51" i="87"/>
  <c r="E72" i="87"/>
  <c r="E38" i="87"/>
  <c r="E54" i="87"/>
  <c r="E36" i="87"/>
  <c r="E70" i="87"/>
  <c r="E52" i="87"/>
  <c r="E53" i="87"/>
  <c r="E37" i="87"/>
  <c r="E71" i="87"/>
  <c r="E76" i="88"/>
  <c r="E82" i="88" s="1"/>
  <c r="E54" i="88"/>
  <c r="E56" i="88" s="1"/>
  <c r="E60" i="88" s="1"/>
  <c r="E35" i="88"/>
  <c r="E39" i="88" s="1"/>
  <c r="F84" i="87"/>
  <c r="E43" i="88"/>
  <c r="E32" i="88"/>
  <c r="E51" i="88"/>
  <c r="E64" i="88"/>
  <c r="I33" i="72" s="1"/>
  <c r="E72" i="88"/>
  <c r="E109" i="88" l="1"/>
  <c r="E114" i="88" s="1"/>
  <c r="F114" i="88" s="1"/>
  <c r="T28" i="68"/>
  <c r="U28" i="68"/>
  <c r="V28" i="68"/>
  <c r="W28" i="68"/>
  <c r="X28" i="68"/>
  <c r="Y28" i="68"/>
  <c r="Z28" i="68"/>
  <c r="AA28" i="68"/>
  <c r="AC28" i="68"/>
  <c r="J28" i="68"/>
  <c r="AE28" i="68"/>
  <c r="L28" i="68"/>
  <c r="AG28" i="68"/>
  <c r="N28" i="68"/>
  <c r="I28" i="68"/>
  <c r="O28" i="68"/>
  <c r="Q28" i="68"/>
  <c r="R28" i="68"/>
  <c r="AB28" i="68"/>
  <c r="AD28" i="68"/>
  <c r="K28" i="68"/>
  <c r="AF28" i="68"/>
  <c r="M28" i="68"/>
  <c r="P28" i="68"/>
  <c r="S28" i="68"/>
  <c r="E65" i="88"/>
  <c r="I28" i="72" s="1"/>
  <c r="F64" i="88"/>
  <c r="J33" i="72" s="1"/>
  <c r="X65" i="88"/>
  <c r="AB28" i="72" s="1"/>
  <c r="E87" i="88"/>
  <c r="F43" i="88"/>
  <c r="I33" i="81"/>
  <c r="G86" i="88"/>
  <c r="J33" i="73"/>
  <c r="E108" i="88"/>
  <c r="E113" i="88" s="1"/>
  <c r="E44" i="88"/>
  <c r="E105" i="88"/>
  <c r="T60" i="87"/>
  <c r="E23" i="87"/>
  <c r="O44" i="87"/>
  <c r="S44" i="87"/>
  <c r="N44" i="87"/>
  <c r="M44" i="87"/>
  <c r="L44" i="87"/>
  <c r="K44" i="87"/>
  <c r="J44" i="87"/>
  <c r="R44" i="87"/>
  <c r="P44" i="87"/>
  <c r="Q44" i="87"/>
  <c r="E59" i="87"/>
  <c r="F59" i="87"/>
  <c r="G44" i="87"/>
  <c r="F44" i="87"/>
  <c r="E44" i="87"/>
  <c r="I44" i="87"/>
  <c r="W44" i="87"/>
  <c r="V44" i="87"/>
  <c r="U44" i="87"/>
  <c r="T44" i="87"/>
  <c r="H44" i="87"/>
  <c r="E83" i="87"/>
  <c r="F83" i="87"/>
  <c r="E78" i="87"/>
  <c r="M85" i="87"/>
  <c r="E85" i="87"/>
  <c r="Q85" i="87"/>
  <c r="P85" i="87"/>
  <c r="L85" i="87"/>
  <c r="K85" i="87"/>
  <c r="S85" i="87"/>
  <c r="R85" i="87"/>
  <c r="J85" i="87"/>
  <c r="I85" i="87"/>
  <c r="F85" i="87"/>
  <c r="T85" i="87"/>
  <c r="H85" i="87"/>
  <c r="G85" i="87"/>
  <c r="O85" i="87"/>
  <c r="N85" i="87"/>
  <c r="G43" i="87"/>
  <c r="I43" i="87"/>
  <c r="E43" i="87"/>
  <c r="F43" i="87"/>
  <c r="H43" i="87"/>
  <c r="O60" i="87"/>
  <c r="N60" i="87"/>
  <c r="E60" i="87"/>
  <c r="M60" i="87"/>
  <c r="L60" i="87"/>
  <c r="K60" i="87"/>
  <c r="I60" i="87"/>
  <c r="R60" i="87"/>
  <c r="J60" i="87"/>
  <c r="H60" i="87"/>
  <c r="F60" i="87"/>
  <c r="S60" i="87"/>
  <c r="G60" i="87"/>
  <c r="P60" i="87"/>
  <c r="Q60" i="87"/>
  <c r="I28" i="82" l="1"/>
  <c r="F44" i="88"/>
  <c r="I28" i="81"/>
  <c r="W65" i="88"/>
  <c r="AA28" i="72" s="1"/>
  <c r="F65" i="88"/>
  <c r="J28" i="72" s="1"/>
  <c r="H86" i="88"/>
  <c r="K33" i="73"/>
  <c r="G43" i="88"/>
  <c r="J33" i="81"/>
  <c r="G64" i="88"/>
  <c r="K33" i="72" s="1"/>
  <c r="F87" i="88"/>
  <c r="I28" i="73"/>
  <c r="G114" i="88"/>
  <c r="J28" i="82"/>
  <c r="F113" i="88"/>
  <c r="I33" i="82"/>
  <c r="V65" i="88" l="1"/>
  <c r="Z28" i="72" s="1"/>
  <c r="G65" i="88"/>
  <c r="K28" i="72" s="1"/>
  <c r="G44" i="88"/>
  <c r="J28" i="81"/>
  <c r="J36" i="81" s="1"/>
  <c r="H114" i="88"/>
  <c r="K28" i="82"/>
  <c r="H64" i="88"/>
  <c r="L33" i="72" s="1"/>
  <c r="G87" i="88"/>
  <c r="J28" i="73"/>
  <c r="H43" i="88"/>
  <c r="K33" i="81"/>
  <c r="I86" i="88"/>
  <c r="L33" i="73"/>
  <c r="G113" i="88"/>
  <c r="J33" i="82"/>
  <c r="U65" i="88" l="1"/>
  <c r="Y28" i="72" s="1"/>
  <c r="H65" i="88"/>
  <c r="L28" i="72" s="1"/>
  <c r="H44" i="88"/>
  <c r="K28" i="81"/>
  <c r="K36" i="81" s="1"/>
  <c r="J86" i="88"/>
  <c r="M33" i="73"/>
  <c r="I43" i="88"/>
  <c r="L33" i="81"/>
  <c r="H87" i="88"/>
  <c r="K28" i="73"/>
  <c r="I64" i="88"/>
  <c r="M33" i="72" s="1"/>
  <c r="I114" i="88"/>
  <c r="L28" i="82"/>
  <c r="H113" i="88"/>
  <c r="K33" i="82"/>
  <c r="I9" i="68"/>
  <c r="I65" i="88" l="1"/>
  <c r="T65" i="88"/>
  <c r="X28" i="72" s="1"/>
  <c r="J65" i="88"/>
  <c r="M28" i="72"/>
  <c r="I44" i="88"/>
  <c r="L28" i="81"/>
  <c r="L36" i="81" s="1"/>
  <c r="J114" i="88"/>
  <c r="M28" i="82"/>
  <c r="I87" i="88"/>
  <c r="L28" i="73"/>
  <c r="J64" i="88"/>
  <c r="N33" i="72" s="1"/>
  <c r="J43" i="88"/>
  <c r="M33" i="81"/>
  <c r="K86" i="88"/>
  <c r="N33" i="73"/>
  <c r="I113" i="88"/>
  <c r="L33" i="82"/>
  <c r="H9" i="68"/>
  <c r="H9" i="75" s="1"/>
  <c r="H5" i="75" s="1"/>
  <c r="C25" i="62"/>
  <c r="A2" i="43"/>
  <c r="J44" i="88" l="1"/>
  <c r="M28" i="81"/>
  <c r="K65" i="88"/>
  <c r="N28" i="72"/>
  <c r="M36" i="81"/>
  <c r="L86" i="88"/>
  <c r="O33" i="73"/>
  <c r="K43" i="88"/>
  <c r="N33" i="81"/>
  <c r="K64" i="88"/>
  <c r="O33" i="72" s="1"/>
  <c r="J87" i="88"/>
  <c r="M28" i="73"/>
  <c r="K114" i="88"/>
  <c r="N28" i="82"/>
  <c r="J113" i="88"/>
  <c r="M33" i="82"/>
  <c r="C111" i="43"/>
  <c r="C112" i="43"/>
  <c r="C113" i="43"/>
  <c r="C114" i="43"/>
  <c r="C115" i="43"/>
  <c r="L65" i="88" l="1"/>
  <c r="O28" i="72"/>
  <c r="K44" i="88"/>
  <c r="N28" i="81"/>
  <c r="N36" i="81" s="1"/>
  <c r="L64" i="88"/>
  <c r="P33" i="72" s="1"/>
  <c r="L114" i="88"/>
  <c r="O28" i="82"/>
  <c r="K87" i="88"/>
  <c r="N28" i="73"/>
  <c r="L43" i="88"/>
  <c r="O33" i="81"/>
  <c r="M86" i="88"/>
  <c r="P33" i="73"/>
  <c r="K113" i="88"/>
  <c r="N33" i="82"/>
  <c r="A92" i="85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L44" i="88" l="1"/>
  <c r="O28" i="81"/>
  <c r="O36" i="81" s="1"/>
  <c r="M65" i="88"/>
  <c r="P28" i="72"/>
  <c r="M114" i="88"/>
  <c r="P28" i="82"/>
  <c r="N86" i="88"/>
  <c r="Q33" i="73"/>
  <c r="M43" i="88"/>
  <c r="P33" i="81"/>
  <c r="L87" i="88"/>
  <c r="O28" i="73"/>
  <c r="M64" i="88"/>
  <c r="Q33" i="72" s="1"/>
  <c r="L113" i="88"/>
  <c r="O33" i="82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N65" i="88" l="1"/>
  <c r="Q28" i="72"/>
  <c r="M44" i="88"/>
  <c r="P28" i="81"/>
  <c r="P36" i="81"/>
  <c r="O86" i="88"/>
  <c r="R33" i="73"/>
  <c r="M87" i="88"/>
  <c r="P28" i="73"/>
  <c r="N64" i="88"/>
  <c r="R33" i="72" s="1"/>
  <c r="N43" i="88"/>
  <c r="Q33" i="81"/>
  <c r="N114" i="88"/>
  <c r="Q28" i="82"/>
  <c r="M113" i="88"/>
  <c r="P33" i="82"/>
  <c r="D38" i="33"/>
  <c r="E16" i="47"/>
  <c r="F9" i="47" s="1"/>
  <c r="N44" i="88" l="1"/>
  <c r="Q28" i="81"/>
  <c r="Q36" i="81" s="1"/>
  <c r="O65" i="88"/>
  <c r="R28" i="72"/>
  <c r="O43" i="88"/>
  <c r="R33" i="81"/>
  <c r="O114" i="88"/>
  <c r="R28" i="82"/>
  <c r="O64" i="88"/>
  <c r="S33" i="72" s="1"/>
  <c r="N87" i="88"/>
  <c r="Q28" i="73"/>
  <c r="P86" i="88"/>
  <c r="S33" i="73"/>
  <c r="N113" i="88"/>
  <c r="Q33" i="82"/>
  <c r="C22" i="85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P65" i="88" l="1"/>
  <c r="S28" i="72"/>
  <c r="O44" i="88"/>
  <c r="R28" i="81"/>
  <c r="R36" i="81" s="1"/>
  <c r="P114" i="88"/>
  <c r="S28" i="82"/>
  <c r="Q86" i="88"/>
  <c r="T33" i="73"/>
  <c r="O87" i="88"/>
  <c r="R28" i="73"/>
  <c r="P64" i="88"/>
  <c r="T33" i="72" s="1"/>
  <c r="P43" i="88"/>
  <c r="S33" i="81"/>
  <c r="O113" i="88"/>
  <c r="R33" i="82"/>
  <c r="B65" i="85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P44" i="88" l="1"/>
  <c r="S28" i="81"/>
  <c r="S36" i="81" s="1"/>
  <c r="Q65" i="88"/>
  <c r="T28" i="72"/>
  <c r="Q43" i="88"/>
  <c r="T33" i="81"/>
  <c r="Q64" i="88"/>
  <c r="U33" i="72" s="1"/>
  <c r="P87" i="88"/>
  <c r="S28" i="73"/>
  <c r="R86" i="88"/>
  <c r="U33" i="73"/>
  <c r="Q114" i="88"/>
  <c r="T28" i="82"/>
  <c r="P113" i="88"/>
  <c r="S33" i="82"/>
  <c r="C30" i="85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R65" i="88" l="1"/>
  <c r="U28" i="72"/>
  <c r="Q44" i="88"/>
  <c r="T28" i="81"/>
  <c r="T36" i="81" s="1"/>
  <c r="R114" i="88"/>
  <c r="U28" i="82"/>
  <c r="R64" i="88"/>
  <c r="V33" i="72" s="1"/>
  <c r="Q87" i="88"/>
  <c r="T28" i="73"/>
  <c r="S86" i="88"/>
  <c r="V33" i="73"/>
  <c r="R43" i="88"/>
  <c r="U33" i="81"/>
  <c r="Q113" i="88"/>
  <c r="T33" i="82"/>
  <c r="C31" i="85"/>
  <c r="C33" i="85"/>
  <c r="C45" i="33"/>
  <c r="A6" i="85"/>
  <c r="A2" i="85"/>
  <c r="A1" i="85"/>
  <c r="R44" i="88" l="1"/>
  <c r="U28" i="81"/>
  <c r="U36" i="81" s="1"/>
  <c r="S65" i="88"/>
  <c r="W28" i="72" s="1"/>
  <c r="V28" i="72"/>
  <c r="S43" i="88"/>
  <c r="V33" i="81"/>
  <c r="W33" i="73"/>
  <c r="T86" i="88"/>
  <c r="R87" i="88"/>
  <c r="U28" i="73"/>
  <c r="S64" i="88"/>
  <c r="W33" i="72" s="1"/>
  <c r="S114" i="88"/>
  <c r="V28" i="82"/>
  <c r="R113" i="88"/>
  <c r="U33" i="82"/>
  <c r="C43" i="33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S44" i="88" l="1"/>
  <c r="V28" i="81"/>
  <c r="V36" i="81" s="1"/>
  <c r="T114" i="88"/>
  <c r="W28" i="82"/>
  <c r="T64" i="88"/>
  <c r="X33" i="72" s="1"/>
  <c r="S87" i="88"/>
  <c r="V28" i="73"/>
  <c r="U86" i="88"/>
  <c r="X33" i="73"/>
  <c r="T43" i="88"/>
  <c r="W33" i="81"/>
  <c r="S113" i="88"/>
  <c r="V33" i="82"/>
  <c r="D65" i="62"/>
  <c r="C4" i="82" s="1"/>
  <c r="D57" i="62"/>
  <c r="C4" i="72" s="1"/>
  <c r="D53" i="62"/>
  <c r="C4" i="81" s="1"/>
  <c r="D61" i="62"/>
  <c r="C4" i="73" s="1"/>
  <c r="D49" i="62"/>
  <c r="C4" i="68" s="1"/>
  <c r="D92" i="75"/>
  <c r="T44" i="88" l="1"/>
  <c r="W28" i="81"/>
  <c r="W36" i="81" s="1"/>
  <c r="U64" i="88"/>
  <c r="Y33" i="72" s="1"/>
  <c r="U43" i="88"/>
  <c r="X33" i="81"/>
  <c r="V86" i="88"/>
  <c r="Y33" i="73"/>
  <c r="T87" i="88"/>
  <c r="W28" i="73"/>
  <c r="U114" i="88"/>
  <c r="X28" i="82"/>
  <c r="T113" i="88"/>
  <c r="W33" i="82"/>
  <c r="D9" i="47"/>
  <c r="A6" i="75"/>
  <c r="U44" i="88" l="1"/>
  <c r="X28" i="81"/>
  <c r="X36" i="81" s="1"/>
  <c r="V114" i="88"/>
  <c r="Y28" i="82"/>
  <c r="U87" i="88"/>
  <c r="X28" i="73"/>
  <c r="Z33" i="73"/>
  <c r="W86" i="88"/>
  <c r="V43" i="88"/>
  <c r="Y33" i="81"/>
  <c r="V64" i="88"/>
  <c r="Z33" i="72" s="1"/>
  <c r="U113" i="88"/>
  <c r="X33" i="82"/>
  <c r="I6" i="75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V44" i="88" l="1"/>
  <c r="Y28" i="81"/>
  <c r="Y36" i="81" s="1"/>
  <c r="W64" i="88"/>
  <c r="AA33" i="72" s="1"/>
  <c r="W43" i="88"/>
  <c r="Z33" i="81"/>
  <c r="X86" i="88"/>
  <c r="AB33" i="73" s="1"/>
  <c r="AA33" i="73"/>
  <c r="V87" i="88"/>
  <c r="Y28" i="73"/>
  <c r="W114" i="88"/>
  <c r="Z28" i="82"/>
  <c r="V113" i="88"/>
  <c r="Y33" i="82"/>
  <c r="A30" i="75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W44" i="88" l="1"/>
  <c r="Z28" i="81"/>
  <c r="Z36" i="81" s="1"/>
  <c r="X114" i="88"/>
  <c r="AB28" i="82" s="1"/>
  <c r="AA28" i="82"/>
  <c r="W87" i="88"/>
  <c r="Z28" i="73"/>
  <c r="X43" i="88"/>
  <c r="AB33" i="81" s="1"/>
  <c r="AA33" i="81"/>
  <c r="X64" i="88"/>
  <c r="AB33" i="72" s="1"/>
  <c r="W113" i="88"/>
  <c r="Z33" i="82"/>
  <c r="A17" i="75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X44" i="88" l="1"/>
  <c r="AB28" i="81" s="1"/>
  <c r="AB36" i="81" s="1"/>
  <c r="AA28" i="81"/>
  <c r="AA36" i="81" s="1"/>
  <c r="X87" i="88"/>
  <c r="AB28" i="73" s="1"/>
  <c r="AA28" i="73"/>
  <c r="X113" i="88"/>
  <c r="AB33" i="82" s="1"/>
  <c r="AA33" i="82"/>
  <c r="A24" i="75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7" i="72"/>
  <c r="AC42" i="72" s="1"/>
  <c r="AC42" i="82" l="1"/>
  <c r="AD7" i="81"/>
  <c r="AD42" i="81" s="1"/>
  <c r="AD7" i="73"/>
  <c r="AD42" i="73" s="1"/>
  <c r="AE7" i="68"/>
  <c r="AD7" i="82"/>
  <c r="AD7" i="72"/>
  <c r="AD42" i="72" s="1"/>
  <c r="AE7" i="81" l="1"/>
  <c r="AE42" i="81" s="1"/>
  <c r="AF7" i="68"/>
  <c r="AE7" i="82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7" i="72"/>
  <c r="AF42" i="72" s="1"/>
  <c r="G30" i="75"/>
  <c r="C30" i="75"/>
  <c r="C16" i="75"/>
  <c r="G16" i="75"/>
  <c r="AG7" i="81" l="1"/>
  <c r="AG42" i="81" s="1"/>
  <c r="AG7" i="73"/>
  <c r="AG7" i="82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J77" i="82" s="1"/>
  <c r="I74" i="82" a="1"/>
  <c r="I74" i="82" s="1"/>
  <c r="I73" i="82" a="1"/>
  <c r="I73" i="82" s="1"/>
  <c r="J78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7" i="73"/>
  <c r="N42" i="73" s="1"/>
  <c r="N7" i="72"/>
  <c r="N42" i="72" s="1"/>
  <c r="M7" i="72"/>
  <c r="M42" i="72" s="1"/>
  <c r="M7" i="73"/>
  <c r="M42" i="73" s="1"/>
  <c r="K7" i="73"/>
  <c r="K42" i="73" s="1"/>
  <c r="K7" i="72"/>
  <c r="K42" i="72" s="1"/>
  <c r="L7" i="73"/>
  <c r="L42" i="73" s="1"/>
  <c r="L7" i="72"/>
  <c r="L42" i="72" s="1"/>
  <c r="I7" i="73"/>
  <c r="I42" i="73" s="1"/>
  <c r="I7" i="72"/>
  <c r="I42" i="72" s="1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D98" i="85"/>
  <c r="F98" i="85"/>
  <c r="I47" i="33" s="1"/>
  <c r="E98" i="85"/>
  <c r="D96" i="85"/>
  <c r="E97" i="85"/>
  <c r="G98" i="85"/>
  <c r="J47" i="33" s="1"/>
  <c r="G96" i="85"/>
  <c r="E96" i="85"/>
  <c r="G97" i="85"/>
  <c r="J46" i="33" s="1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K77" i="82" s="1"/>
  <c r="J74" i="82" a="1"/>
  <c r="J74" i="82" s="1"/>
  <c r="J73" i="82" a="1"/>
  <c r="J73" i="82" s="1"/>
  <c r="K78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L78" i="82" s="1"/>
  <c r="K72" i="82" a="1"/>
  <c r="K72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K80" i="82" l="1"/>
  <c r="K82" i="82" s="1"/>
  <c r="K107" i="82" s="1"/>
  <c r="L77" i="82"/>
  <c r="J82" i="73"/>
  <c r="J107" i="73" s="1"/>
  <c r="J82" i="81"/>
  <c r="J107" i="81" s="1"/>
  <c r="L74" i="82" a="1"/>
  <c r="L74" i="82" s="1"/>
  <c r="L72" i="82" a="1"/>
  <c r="L72" i="82" s="1"/>
  <c r="M77" i="82" s="1"/>
  <c r="L73" i="82" a="1"/>
  <c r="L73" i="82" s="1"/>
  <c r="M78" i="82" s="1"/>
  <c r="M72" i="68" a="1"/>
  <c r="M72" i="68" s="1"/>
  <c r="N77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K82" i="73" l="1"/>
  <c r="K107" i="73" s="1"/>
  <c r="K82" i="81"/>
  <c r="K107" i="81" s="1"/>
  <c r="M74" i="82" a="1"/>
  <c r="M74" i="82" s="1"/>
  <c r="M72" i="82" a="1"/>
  <c r="M72" i="82" s="1"/>
  <c r="N77" i="82" s="1"/>
  <c r="M73" i="82" a="1"/>
  <c r="M73" i="82" s="1"/>
  <c r="N78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O78" i="82" s="1"/>
  <c r="N74" i="82" a="1"/>
  <c r="N74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P77" i="82" s="1"/>
  <c r="O73" i="82" a="1"/>
  <c r="O73" i="82" s="1"/>
  <c r="P78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Q78" i="82" s="1"/>
  <c r="P72" i="82" a="1"/>
  <c r="P72" i="82" s="1"/>
  <c r="Q77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R78" i="82" s="1"/>
  <c r="Q72" i="82" a="1"/>
  <c r="Q72" i="82" s="1"/>
  <c r="R77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S78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T78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U78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V78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W78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X78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Y77" i="82" s="1"/>
  <c r="X73" i="82" a="1"/>
  <c r="X73" i="82" s="1"/>
  <c r="Y78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Z78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AA78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B78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D78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C78" i="82" s="1"/>
  <c r="AB72" i="82" a="1"/>
  <c r="AB72" i="82" s="1"/>
  <c r="AC77" i="82" s="1"/>
  <c r="AC72" i="82" a="1"/>
  <c r="AC72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82" l="1"/>
  <c r="AC82" i="82" s="1"/>
  <c r="AC107" i="82" s="1"/>
  <c r="AD77" i="82"/>
  <c r="AC80" i="73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E78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D80" i="73" l="1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E72" i="82" a="1"/>
  <c r="AE72" i="82" s="1"/>
  <c r="AE73" i="82" a="1"/>
  <c r="AE73" i="82" s="1"/>
  <c r="AF78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F77" i="82" l="1"/>
  <c r="AD80" i="82"/>
  <c r="AD82" i="82" s="1"/>
  <c r="AD107" i="82" s="1"/>
  <c r="AE77" i="82"/>
  <c r="AE80" i="82" s="1"/>
  <c r="AE82" i="82" s="1"/>
  <c r="AE107" i="82" s="1"/>
  <c r="AE80" i="73"/>
  <c r="AF77" i="73"/>
  <c r="K9" i="85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74" i="82" a="1"/>
  <c r="AF74" i="82" s="1"/>
  <c r="AF73" i="82" a="1"/>
  <c r="AF73" i="82" s="1"/>
  <c r="AG78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F80" i="82" l="1"/>
  <c r="AF82" i="82" s="1"/>
  <c r="AF107" i="82" s="1"/>
  <c r="AG77" i="82"/>
  <c r="AF80" i="73"/>
  <c r="AG77" i="73"/>
  <c r="L9" i="85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0" i="75"/>
  <c r="T28" i="75"/>
  <c r="AG30" i="75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0" i="75"/>
  <c r="AF28" i="75"/>
  <c r="Z30" i="75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0" i="75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0" i="75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0" i="75"/>
  <c r="U28" i="75"/>
  <c r="V36" i="72"/>
  <c r="V44" i="75" s="1"/>
  <c r="V42" i="75"/>
  <c r="AD36" i="72"/>
  <c r="AD44" i="75" s="1"/>
  <c r="AD42" i="75"/>
  <c r="V36" i="73"/>
  <c r="V58" i="75" s="1"/>
  <c r="V56" i="75"/>
  <c r="R30" i="75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0" i="75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0" i="75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0" i="75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0" i="75"/>
  <c r="AB28" i="75"/>
  <c r="AF36" i="68"/>
  <c r="AF14" i="75"/>
  <c r="Y36" i="73"/>
  <c r="Y58" i="75" s="1"/>
  <c r="Y56" i="75"/>
  <c r="Q36" i="73"/>
  <c r="Q58" i="75" s="1"/>
  <c r="Q56" i="75"/>
  <c r="P30" i="75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0" i="75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0" i="75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0" i="75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0" i="75"/>
  <c r="W28" i="75"/>
  <c r="S30" i="75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0" i="75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0" i="75"/>
  <c r="AE28" i="75"/>
  <c r="AD30" i="75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0" i="75"/>
  <c r="L28" i="75"/>
  <c r="M36" i="73"/>
  <c r="M58" i="75" s="1"/>
  <c r="M56" i="75"/>
  <c r="AC30" i="75"/>
  <c r="AC28" i="75"/>
  <c r="V30" i="75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H13" i="33" s="1"/>
  <c r="Q106" i="81"/>
  <c r="F66" i="75"/>
  <c r="G12" i="33" s="1"/>
  <c r="F38" i="75"/>
  <c r="G10" i="33" s="1"/>
  <c r="F51" i="75" l="1" a="1"/>
  <c r="F51" i="75" s="1"/>
  <c r="F70" i="85"/>
  <c r="G90" i="85" s="1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F94" i="85" s="1"/>
  <c r="I110" i="73" a="1"/>
  <c r="I110" i="73" s="1"/>
  <c r="I58" i="85" s="1"/>
  <c r="F58" i="85" s="1"/>
  <c r="F91" i="85" s="1"/>
  <c r="I112" i="73" a="1"/>
  <c r="I112" i="73" s="1"/>
  <c r="I60" i="85" s="1"/>
  <c r="F60" i="85" s="1"/>
  <c r="F93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F92" i="85" s="1"/>
  <c r="I56" i="85"/>
  <c r="F56" i="85" s="1"/>
  <c r="F90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G95" i="85" l="1"/>
  <c r="J44" i="33" s="1"/>
  <c r="F95" i="85"/>
  <c r="I44" i="33" s="1"/>
  <c r="F77" i="85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G92" i="85" s="1"/>
  <c r="F72" i="85"/>
  <c r="G91" i="85" s="1"/>
  <c r="F75" i="85"/>
  <c r="G94" i="85" s="1"/>
  <c r="F74" i="85"/>
  <c r="G93" i="85" s="1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39" i="33" l="1"/>
  <c r="I39" i="33"/>
  <c r="J43" i="33"/>
  <c r="J41" i="33"/>
  <c r="J42" i="33"/>
  <c r="I41" i="33"/>
  <c r="I42" i="33"/>
  <c r="J40" i="33"/>
  <c r="I43" i="33"/>
  <c r="I40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40" i="33" s="1"/>
  <c r="F45" i="85"/>
  <c r="F50" i="85"/>
  <c r="F48" i="85"/>
  <c r="E95" i="85" s="1"/>
  <c r="H44" i="33" s="1"/>
  <c r="E90" i="85"/>
  <c r="H39" i="33" s="1"/>
  <c r="E92" i="85"/>
  <c r="H41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<sst xmlns="http://schemas.openxmlformats.org/spreadsheetml/2006/main" count="989" uniqueCount="337">
  <si>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</si>
  <si>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</si>
  <si>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</si>
  <si>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</si>
  <si>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</si>
  <si>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</si>
  <si>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</si>
  <si>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</si>
  <si>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</si>
  <si>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</si>
  <si>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</si>
  <si>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</si>
  <si>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</si>
  <si>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</si>
  <si>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</si>
  <si>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</si>
  <si>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</si>
  <si>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</si>
  <si>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</si>
  <si>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</si>
  <si>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</si>
  <si>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</si>
  <si>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</si>
  <si>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</si>
  <si>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</si>
  <si>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</si>
  <si>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</si>
  <si>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</si>
  <si>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</si>
  <si>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</si>
  <si>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</si>
  <si>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</si>
  <si>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</si>
  <si>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</si>
  <si>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</si>
  <si>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</si>
  <si>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</si>
  <si>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</si>
  <si>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</si>
  <si>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</si>
  <si>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</si>
  <si>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</si>
  <si>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</si>
  <si>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</si>
  <si>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</si>
  <si>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</si>
  <si>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</si>
  <si>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</si>
  <si>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</si>
  <si>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</si>
  <si>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</si>
  <si>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</si>
  <si>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</si>
  <si>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</si>
  <si>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</si>
  <si>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</si>
  <si>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</si>
  <si>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</si>
  <si>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</si>
  <si>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</si>
  <si>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</si>
  <si>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</si>
  <si>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</si>
  <si>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</si>
  <si>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</si>
  <si>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</si>
  <si>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</si>
  <si>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</si>
  <si>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</si>
  <si>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</si>
  <si>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</si>
  <si>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</si>
  <si>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</si>
  <si>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</si>
  <si>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</si>
  <si>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</si>
  <si>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</si>
  <si>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</si>
  <si>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</si>
  <si>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</si>
  <si>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</si>
  <si>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</si>
  <si>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</si>
  <si>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</si>
  <si>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</si>
  <si>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</si>
  <si>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</si>
  <si>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</si>
  <si>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</si>
  <si>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</si>
  <si>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</si>
  <si>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</si>
  <si>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</si>
  <si>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</si>
  <si>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</si>
  <si>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</si>
  <si>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</si>
  <si>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</si>
  <si>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</si>
  <si>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</si>
  <si>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</si>
  <si>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</si>
  <si>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</si>
  <si>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</si>
  <si>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</si>
  <si>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</si>
  <si>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</si>
  <si>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</si>
  <si>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</si>
  <si>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</si>
  <si>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</si>
  <si>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</si>
  <si>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</si>
  <si>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</si>
  <si>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</si>
  <si>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</si>
  <si>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</si>
  <si>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</si>
  <si>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</si>
  <si>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</si>
  <si>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</si>
  <si>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</si>
  <si>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</si>
  <si>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</si>
  <si>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</si>
  <si>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</si>
  <si>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</si>
  <si>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</si>
  <si>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</si>
  <si>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</si>
  <si>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</si>
  <si>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</si>
  <si>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</si>
  <si>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</si>
  <si>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</si>
  <si>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</si>
  <si>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</si>
  <si>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</si>
  <si>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</si>
  <si>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</si>
  <si>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</si>
  <si>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</si>
  <si>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</si>
  <si>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</si>
  <si>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</si>
  <si>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</si>
  <si>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</si>
  <si>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</si>
  <si>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</si>
  <si>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</si>
  <si>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</si>
  <si>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</si>
  <si>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</si>
  <si>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</si>
  <si>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</si>
  <si>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</si>
  <si>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</si>
  <si>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</si>
  <si>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</si>
  <si>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</si>
  <si>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</si>
  <si>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</si>
  <si>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</si>
  <si>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</si>
  <si>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</si>
  <si>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</si>
  <si>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</si>
  <si>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</si>
  <si>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</si>
  <si>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</si>
  <si>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</si>
  <si>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</si>
  <si>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</si>
  <si>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</si>
  <si>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</si>
  <si>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</si>
  <si>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</si>
  <si>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</si>
  <si>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</si>
  <si>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</si>
  <si>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</si>
  <si>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</si>
  <si>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</si>
  <si>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</si>
  <si>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</si>
  <si>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</si>
  <si>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</si>
  <si>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</si>
  <si>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</si>
  <si>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</si>
  <si>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</si>
  <si>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</si>
  <si>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</si>
  <si>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</si>
  <si>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</si>
  <si>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</si>
  <si>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</si>
  <si>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</si>
  <si>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</si>
  <si>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</si>
  <si>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</si>
  <si>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</si>
  <si>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</si>
  <si>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</si>
  <si>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</si>
  <si>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</si>
  <si>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</si>
  <si>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</si>
  <si>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</si>
  <si>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</si>
  <si>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</si>
  <si>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</si>
  <si>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</si>
  <si>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Network average</t>
  </si>
  <si>
    <t xml:space="preserve"> Network average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</si>
  <si>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</si>
  <si>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</si>
  <si>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</si>
  <si>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</si>
  <si>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</si>
  <si>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</si>
  <si>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</si>
  <si>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</si>
  <si>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</si>
  <si>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</si>
  <si>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</si>
  <si>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</si>
  <si>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</si>
  <si>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</si>
  <si>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</si>
  <si>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</si>
  <si>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</si>
  <si>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</si>
  <si>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</si>
  <si>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</si>
  <si>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</si>
  <si>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</si>
  <si>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</si>
  <si>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</si>
  <si>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</si>
  <si>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</si>
  <si>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</si>
  <si>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</si>
  <si>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</si>
  <si>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</si>
  <si>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COSTS</t>
  </si>
  <si>
    <t>Escalation factor from December 2022 to December 2023</t>
  </si>
  <si>
    <t>Descalation factor from June 2024 to December 2023</t>
  </si>
  <si>
    <t>Option 1 (base case) - no change to existing practices</t>
  </si>
  <si>
    <t>Total capital costs</t>
  </si>
  <si>
    <t>Total operating costs</t>
  </si>
  <si>
    <t xml:space="preserve">Option 2 - Targeted installation of covered conductor on bare 22kV non-REFCL lines lines in HBRA </t>
  </si>
  <si>
    <t>Length of bare 22kV non-REFCL lines to be replaced with covered conductor</t>
  </si>
  <si>
    <t>km</t>
  </si>
  <si>
    <t>22kV covered conductor unit cost</t>
  </si>
  <si>
    <t>Total covered conductor capex costs</t>
  </si>
  <si>
    <t>Progam duration</t>
  </si>
  <si>
    <t>years of the 2026-31 reg period</t>
  </si>
  <si>
    <t xml:space="preserve">Option 2 capex costs </t>
  </si>
  <si>
    <t>Option 2 opex costs</t>
  </si>
  <si>
    <t xml:space="preserve">Option 3 - Install early fault detection (EFDs) on all bare 22kV non-REFCL lines lines in HBRA </t>
  </si>
  <si>
    <t>Distance per unit</t>
  </si>
  <si>
    <t>Unitised EFD hardware and installation capex cost</t>
  </si>
  <si>
    <t>in 2023 $/km</t>
  </si>
  <si>
    <t>Unitised EFD 7.5 yearly site visit for battery change and inspection opex cost</t>
  </si>
  <si>
    <t>Unitised EFD annual SaaS licencing opex cost after the first 5 years</t>
  </si>
  <si>
    <t xml:space="preserve">Unitised annual alert validation opex cost </t>
  </si>
  <si>
    <t xml:space="preserve">Total length of bare 22kV non-REFCL lines lines in HBRA </t>
  </si>
  <si>
    <t>Total EFD hardware and installation capex cost</t>
  </si>
  <si>
    <t>Total EFD 7.5 yearly site visit for battery change and inspection opex cost</t>
  </si>
  <si>
    <t>Total EFD annual SaaS licencing opex cost after the first 5 years</t>
  </si>
  <si>
    <t xml:space="preserve">Total annual alert validation opex cost </t>
  </si>
  <si>
    <t xml:space="preserve">Option 3 capex costs </t>
  </si>
  <si>
    <t>Option 3 opex costs</t>
  </si>
  <si>
    <t xml:space="preserve">Option 4 - Targeted installation of EFDs on bare 22kV non-REFCL lines lines in HBRA </t>
  </si>
  <si>
    <t>This option deploys EFD on 1,500km of highest risk bare 22kV non-REFCL lines in HBRA</t>
  </si>
  <si>
    <t>EFD applied to</t>
  </si>
  <si>
    <t>km of bare 22kV non-REFCL lines in HBRA</t>
  </si>
  <si>
    <t xml:space="preserve">Option 4 EFD capex costs </t>
  </si>
  <si>
    <t>Option 4 opex costs</t>
  </si>
  <si>
    <t xml:space="preserve">Option 5 - Targeted installation of covered conductor and EFDs on bare 22kV non-REFCL lines lines in HBRA </t>
  </si>
  <si>
    <t>EFD on 1,500km of highest risk bare 22kV non-REFCL lines in HBRA</t>
  </si>
  <si>
    <t>Install covered conductor on 62km of bare 22kV non-REFCL lines that do not have EFD monitoring</t>
  </si>
  <si>
    <t>Length of SWER lines to be replaced with covered conductor, which are not monitored by EFD</t>
  </si>
  <si>
    <t>SWER covered conductor unit cost</t>
  </si>
  <si>
    <t>Covered conductor capex costs</t>
  </si>
  <si>
    <t>Total program upfront capex cost</t>
  </si>
  <si>
    <t xml:space="preserve">Option 5 EFD capex costs </t>
  </si>
  <si>
    <t xml:space="preserve">Option 5 covered conductor capex costs </t>
  </si>
  <si>
    <t>Option 5 opex costs</t>
  </si>
  <si>
    <t>WORKINGS - RISKS</t>
  </si>
  <si>
    <t>Bushfire risk</t>
  </si>
  <si>
    <t xml:space="preserve">Annual bushfire risk </t>
  </si>
  <si>
    <t>Annual energy at risk per km of non-REFCL 22kV lines</t>
  </si>
  <si>
    <t xml:space="preserve">Total length of bare 22kV non-REFCL lines in HBRA </t>
  </si>
  <si>
    <t>Annual energy at risk for bare 22kV non-REFCL lines in HBRA</t>
  </si>
  <si>
    <t>Annual bushfire risk for 62km conductor</t>
  </si>
  <si>
    <t>Bushfire risk reduction proportion</t>
  </si>
  <si>
    <t>Annual bushfire risk reduction after installation of 62km of covered conductor</t>
  </si>
  <si>
    <t>Residual annual bushfire risk after program completion</t>
  </si>
  <si>
    <t xml:space="preserve">Length of bare 22kV non-REFCL lines protected by covered condutor </t>
  </si>
  <si>
    <t>Total annual energy at risk from covered conductor</t>
  </si>
  <si>
    <t>Annual bushfire risk reduction for each of the program year</t>
  </si>
  <si>
    <t>Annual energy at risk reduction for each of program year</t>
  </si>
  <si>
    <t>Program implementation</t>
  </si>
  <si>
    <t>Risks post implementation with 30 years lifespan of covered conductor</t>
  </si>
  <si>
    <t>Residual annual bushfire risk cost</t>
  </si>
  <si>
    <t>Residual energy at risk</t>
  </si>
  <si>
    <t>Annual bushfire risk reduction after program completion</t>
  </si>
  <si>
    <t>Energy at risk reduction by EFD</t>
  </si>
  <si>
    <t>Annual energy at risk reduction per km of bare 22kV non-REFCL lines in HBRA by EFD</t>
  </si>
  <si>
    <t>Total annual energy at risk reduction from EFD</t>
  </si>
  <si>
    <t>Risks post implementation with 15 years lifespan of EFD</t>
  </si>
  <si>
    <t>Annual bushifre risk reduction from EFD after installation</t>
  </si>
  <si>
    <t>Annual energy at risk reduction per km of bare 22kV non-REFCL lines in HBRA protected by EFD</t>
  </si>
  <si>
    <t>Length of bare 22kV non-REFCL lines protected by EFD</t>
  </si>
  <si>
    <t>Total annual bushfire risk reduction</t>
  </si>
  <si>
    <t>Total annual energy at risk reduction  from covered conductor</t>
  </si>
  <si>
    <t>Residual annual energy at risk after program completion</t>
  </si>
  <si>
    <t>Total energy at risk over 5 years for non-REFCL 22kV lines and downstream SWER</t>
  </si>
  <si>
    <t>Average annual energy at risk for non-REFCL 22kV lines and downstream SWER</t>
  </si>
  <si>
    <t>Average annual energy at risk per km for non-REFCL 22kV lines and downstream SWER</t>
  </si>
  <si>
    <t>Average annual energy at risk per km for SWER</t>
  </si>
  <si>
    <t>2023 $/km</t>
  </si>
  <si>
    <t>years</t>
  </si>
  <si>
    <t>2023 $</t>
  </si>
  <si>
    <t xml:space="preserve">Targeted installation of covered conductor on bare 22kV non-REFCL lines lines in HBRA </t>
  </si>
  <si>
    <t xml:space="preserve">Install EFD on all bare 22kV non-REFCL lines lines in HBRA </t>
  </si>
  <si>
    <t xml:space="preserve">Targeted installation of EFD on bare 22kV non-REFCL lines lines in HBRA </t>
  </si>
  <si>
    <t xml:space="preserve">Targeted installation of covered conductor and EFD on bare 22kV non-REFCL lines lines in HBRA </t>
  </si>
  <si>
    <t xml:space="preserve">Minimise bushfire risk from bare 22kV non-REFCL lines in HBRA </t>
  </si>
  <si>
    <t>Covered conductor</t>
  </si>
  <si>
    <t>EFD</t>
  </si>
  <si>
    <t>Non-REFCL 22kV lines</t>
  </si>
  <si>
    <t>5 years</t>
  </si>
  <si>
    <t>pa</t>
  </si>
  <si>
    <t>Minimise risk from 22kV conductor (bushfire)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</si>
</sst>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  <numFmt numFmtId="197" formatCode="#,##0.000_);\(#,##0.000\);\-\-_)"/>
    <numFmt numFmtId="198" formatCode="#,##0_ ;\-#,##0\ "/>
    <numFmt numFmtId="199" formatCode="_-&quot;$&quot;* #,##0_-;\-&quot;$&quot;* #,##0_-;_-&quot;$&quot;* &quot;-&quot;??_-;_-@_-"/>
    <numFmt numFmtId="200" formatCode="_-* #,##0_-;\-* #,##0_-;_-* &quot;-&quot;??_-;_-@_-"/>
    <numFmt numFmtId="201" formatCode="0.0%"/>
  </numFmts>
  <fonts count="97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  <font>
      <sz val="10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0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9" fillId="0" borderId="0"/>
    <xf numFmtId="9" fontId="79" fillId="0" borderId="0" applyFont="0" applyFill="0" applyBorder="0" applyAlignment="0" applyProtection="0"/>
    <xf numFmtId="0" fontId="18" fillId="0" borderId="0"/>
    <xf numFmtId="4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" fontId="94" fillId="17" borderId="16" applyNumberFormat="0" applyProtection="0">
      <alignment horizontal="left" vertical="center" indent="1"/>
    </xf>
    <xf numFmtId="4" fontId="94" fillId="17" borderId="16" applyNumberFormat="0" applyProtection="0">
      <alignment horizontal="left" vertical="center" indent="1"/>
    </xf>
    <xf numFmtId="4" fontId="94" fillId="0" borderId="16" applyNumberFormat="0" applyProtection="0">
      <alignment horizontal="right" vertical="center"/>
    </xf>
    <xf numFmtId="43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98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8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9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60" fillId="0" borderId="0" xfId="0" applyNumberFormat="1" applyFont="1"/>
    <xf numFmtId="0" fontId="59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1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2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2" fillId="10" borderId="0" xfId="18" applyNumberFormat="1" applyFont="1" applyFill="1" applyAlignment="1">
      <alignment horizontal="left" vertical="center"/>
    </xf>
    <xf numFmtId="0" fontId="63" fillId="0" borderId="0" xfId="18" applyFont="1"/>
    <xf numFmtId="0" fontId="64" fillId="0" borderId="7" xfId="18" applyFont="1" applyFill="1" applyBorder="1" applyAlignment="1">
      <alignment vertical="center"/>
    </xf>
    <xf numFmtId="0" fontId="65" fillId="0" borderId="0" xfId="18" applyFont="1"/>
    <xf numFmtId="0" fontId="60" fillId="0" borderId="0" xfId="0" applyFont="1"/>
    <xf numFmtId="168" fontId="65" fillId="0" borderId="0" xfId="18" applyNumberFormat="1" applyFont="1" applyFill="1" applyAlignment="1">
      <alignment horizontal="left"/>
    </xf>
    <xf numFmtId="0" fontId="64" fillId="0" borderId="0" xfId="18" applyFont="1" applyFill="1" applyBorder="1" applyAlignment="1">
      <alignment vertical="center"/>
    </xf>
    <xf numFmtId="168" fontId="66" fillId="0" borderId="0" xfId="18" applyNumberFormat="1" applyFont="1" applyFill="1" applyAlignment="1">
      <alignment horizontal="left"/>
    </xf>
    <xf numFmtId="168" fontId="67" fillId="0" borderId="0" xfId="18" applyNumberFormat="1" applyFont="1" applyAlignment="1">
      <alignment horizontal="left" vertical="center"/>
    </xf>
    <xf numFmtId="0" fontId="64" fillId="0" borderId="0" xfId="18" applyFont="1" applyFill="1" applyBorder="1" applyAlignment="1">
      <alignment horizontal="left" vertical="center"/>
    </xf>
    <xf numFmtId="0" fontId="65" fillId="0" borderId="0" xfId="18" applyFont="1" applyAlignment="1">
      <alignment horizontal="left"/>
    </xf>
    <xf numFmtId="0" fontId="68" fillId="0" borderId="0" xfId="18" applyFont="1" applyAlignment="1">
      <alignment horizontal="left" vertical="center"/>
    </xf>
    <xf numFmtId="0" fontId="67" fillId="0" borderId="0" xfId="18" applyFont="1" applyAlignment="1">
      <alignment horizontal="left" vertical="center"/>
    </xf>
    <xf numFmtId="168" fontId="67" fillId="0" borderId="11" xfId="18" applyNumberFormat="1" applyFont="1" applyBorder="1" applyAlignment="1">
      <alignment horizontal="left" vertical="center"/>
    </xf>
    <xf numFmtId="168" fontId="69" fillId="0" borderId="0" xfId="18" applyNumberFormat="1" applyFont="1" applyAlignment="1">
      <alignment horizontal="left" vertical="center"/>
    </xf>
    <xf numFmtId="168" fontId="67" fillId="0" borderId="0" xfId="18" applyNumberFormat="1" applyFont="1" applyBorder="1" applyAlignment="1">
      <alignment horizontal="left" vertical="center"/>
    </xf>
    <xf numFmtId="0" fontId="70" fillId="0" borderId="0" xfId="0" applyFont="1"/>
    <xf numFmtId="0" fontId="46" fillId="0" borderId="0" xfId="18" applyFont="1"/>
    <xf numFmtId="0" fontId="71" fillId="11" borderId="0" xfId="18" applyFont="1" applyFill="1" applyAlignment="1">
      <alignment horizontal="right" vertical="center"/>
    </xf>
    <xf numFmtId="167" fontId="67" fillId="0" borderId="0" xfId="18" applyNumberFormat="1" applyFont="1" applyAlignment="1">
      <alignment horizontal="right" vertical="center"/>
    </xf>
    <xf numFmtId="0" fontId="64" fillId="0" borderId="7" xfId="18" applyFont="1" applyBorder="1" applyAlignment="1">
      <alignment horizontal="right" vertical="center"/>
    </xf>
    <xf numFmtId="166" fontId="73" fillId="10" borderId="0" xfId="16" applyFont="1" applyFill="1" applyAlignment="1">
      <alignment horizontal="right"/>
    </xf>
    <xf numFmtId="0" fontId="72" fillId="0" borderId="0" xfId="8" applyFont="1" applyAlignment="1">
      <alignment horizontal="right"/>
    </xf>
    <xf numFmtId="168" fontId="67" fillId="0" borderId="0" xfId="18" applyNumberFormat="1" applyFont="1" applyAlignment="1">
      <alignment horizontal="right" vertical="center"/>
    </xf>
    <xf numFmtId="168" fontId="69" fillId="0" borderId="0" xfId="18" applyNumberFormat="1" applyFont="1" applyAlignment="1">
      <alignment horizontal="right" vertical="center"/>
    </xf>
    <xf numFmtId="168" fontId="67" fillId="0" borderId="4" xfId="18" applyNumberFormat="1" applyFont="1" applyBorder="1" applyAlignment="1">
      <alignment horizontal="right" vertical="center"/>
    </xf>
    <xf numFmtId="0" fontId="65" fillId="0" borderId="0" xfId="18" applyFont="1" applyAlignment="1">
      <alignment horizontal="right"/>
    </xf>
    <xf numFmtId="0" fontId="65" fillId="0" borderId="0" xfId="0" applyFont="1" applyAlignment="1">
      <alignment horizontal="right"/>
    </xf>
    <xf numFmtId="0" fontId="74" fillId="0" borderId="0" xfId="18" applyFont="1" applyAlignment="1">
      <alignment vertical="center"/>
    </xf>
    <xf numFmtId="0" fontId="26" fillId="0" borderId="0" xfId="18" applyFont="1"/>
    <xf numFmtId="178" fontId="74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5" fillId="0" borderId="0" xfId="18" applyNumberFormat="1" applyFont="1" applyAlignment="1">
      <alignment horizontal="left"/>
    </xf>
    <xf numFmtId="0" fontId="76" fillId="0" borderId="11" xfId="0" applyFont="1" applyFill="1" applyBorder="1" applyAlignment="1"/>
    <xf numFmtId="166" fontId="75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7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9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80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81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7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2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3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80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0" fontId="89" fillId="0" borderId="0" xfId="20" applyFont="1"/>
    <xf numFmtId="195" fontId="90" fillId="0" borderId="0" xfId="20" applyNumberFormat="1" applyFont="1" applyAlignment="1">
      <alignment horizontal="left"/>
    </xf>
    <xf numFmtId="0" fontId="91" fillId="0" borderId="0" xfId="20" applyFont="1"/>
    <xf numFmtId="196" fontId="92" fillId="10" borderId="0" xfId="16" applyNumberFormat="1" applyFont="1" applyFill="1" applyAlignment="1">
      <alignment horizontal="right"/>
    </xf>
    <xf numFmtId="196" fontId="93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8" fillId="0" borderId="0" xfId="20" applyFont="1" applyAlignment="1">
      <alignment horizontal="left"/>
    </xf>
    <xf numFmtId="0" fontId="27" fillId="2" borderId="0" xfId="18" applyFont="1" applyFill="1" applyAlignment="1">
      <alignment horizontal="left" vertical="top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197" fontId="25" fillId="8" borderId="0" xfId="16" applyNumberFormat="1" applyFont="1" applyFill="1"/>
    <xf numFmtId="166" fontId="25" fillId="8" borderId="0" xfId="16" applyFont="1" applyFill="1" applyAlignment="1">
      <alignment horizontal="left"/>
    </xf>
    <xf numFmtId="0" fontId="95" fillId="0" borderId="0" xfId="18" applyFont="1"/>
    <xf numFmtId="197" fontId="15" fillId="0" borderId="0" xfId="18" applyNumberFormat="1"/>
    <xf numFmtId="0" fontId="24" fillId="18" borderId="0" xfId="18" applyFont="1" applyFill="1" applyAlignment="1">
      <alignment vertical="center"/>
    </xf>
    <xf numFmtId="197" fontId="24" fillId="18" borderId="0" xfId="18" applyNumberFormat="1" applyFont="1" applyFill="1" applyAlignment="1">
      <alignment vertical="center"/>
    </xf>
    <xf numFmtId="0" fontId="24" fillId="18" borderId="0" xfId="18" applyFont="1" applyFill="1" applyAlignment="1">
      <alignment horizontal="left" vertical="center"/>
    </xf>
    <xf numFmtId="171" fontId="15" fillId="0" borderId="0" xfId="18" applyNumberFormat="1"/>
    <xf numFmtId="0" fontId="15" fillId="8" borderId="0" xfId="18" applyFill="1"/>
    <xf numFmtId="0" fontId="56" fillId="8" borderId="0" xfId="18" applyFont="1" applyFill="1"/>
    <xf numFmtId="0" fontId="57" fillId="8" borderId="0" xfId="18" applyFont="1" applyFill="1"/>
    <xf numFmtId="198" fontId="15" fillId="2" borderId="0" xfId="35" applyNumberFormat="1" applyFont="1" applyFill="1"/>
    <xf numFmtId="199" fontId="15" fillId="2" borderId="0" xfId="35" applyNumberFormat="1" applyFont="1" applyFill="1"/>
    <xf numFmtId="199" fontId="15" fillId="0" borderId="0" xfId="35" applyNumberFormat="1" applyFont="1"/>
    <xf numFmtId="0" fontId="15" fillId="19" borderId="0" xfId="18" applyFill="1" applyAlignment="1">
      <alignment horizontal="right"/>
    </xf>
    <xf numFmtId="199" fontId="15" fillId="0" borderId="0" xfId="18" applyNumberFormat="1"/>
    <xf numFmtId="0" fontId="56" fillId="20" borderId="0" xfId="18" applyFont="1" applyFill="1"/>
    <xf numFmtId="0" fontId="15" fillId="20" borderId="0" xfId="18" applyFill="1"/>
    <xf numFmtId="0" fontId="57" fillId="20" borderId="0" xfId="18" applyFont="1" applyFill="1"/>
    <xf numFmtId="0" fontId="34" fillId="2" borderId="0" xfId="18" applyFont="1" applyFill="1"/>
    <xf numFmtId="199" fontId="15" fillId="20" borderId="0" xfId="18" applyNumberFormat="1" applyFill="1"/>
    <xf numFmtId="199" fontId="15" fillId="2" borderId="0" xfId="18" applyNumberFormat="1" applyFill="1"/>
    <xf numFmtId="200" fontId="15" fillId="2" borderId="0" xfId="34" applyNumberFormat="1" applyFont="1" applyFill="1"/>
    <xf numFmtId="0" fontId="96" fillId="0" borderId="0" xfId="18" applyFont="1"/>
    <xf numFmtId="15" fontId="15" fillId="0" borderId="0" xfId="18" applyNumberFormat="1"/>
    <xf numFmtId="199" fontId="15" fillId="20" borderId="0" xfId="35" applyNumberFormat="1" applyFont="1" applyFill="1"/>
    <xf numFmtId="199" fontId="34" fillId="0" borderId="0" xfId="18" applyNumberFormat="1" applyFont="1"/>
    <xf numFmtId="199" fontId="96" fillId="0" borderId="0" xfId="18" applyNumberFormat="1" applyFont="1"/>
    <xf numFmtId="199" fontId="15" fillId="0" borderId="0" xfId="35" applyNumberFormat="1" applyFont="1" applyFill="1"/>
    <xf numFmtId="0" fontId="36" fillId="0" borderId="0" xfId="18" applyFont="1" applyAlignment="1">
      <alignment horizontal="right"/>
    </xf>
    <xf numFmtId="199" fontId="34" fillId="2" borderId="0" xfId="35" applyNumberFormat="1" applyFont="1" applyFill="1"/>
    <xf numFmtId="0" fontId="34" fillId="0" borderId="0" xfId="18" applyFont="1" applyAlignment="1">
      <alignment horizontal="right"/>
    </xf>
    <xf numFmtId="199" fontId="34" fillId="2" borderId="0" xfId="18" applyNumberFormat="1" applyFont="1" applyFill="1"/>
    <xf numFmtId="200" fontId="15" fillId="0" borderId="0" xfId="34" applyNumberFormat="1" applyFont="1" applyFill="1"/>
    <xf numFmtId="201" fontId="15" fillId="2" borderId="0" xfId="36" applyNumberFormat="1" applyFont="1" applyFill="1"/>
    <xf numFmtId="44" fontId="26" fillId="0" borderId="0" xfId="18" applyNumberFormat="1" applyFont="1"/>
    <xf numFmtId="199" fontId="15" fillId="0" borderId="17" xfId="18" applyNumberFormat="1" applyBorder="1" applyAlignment="1">
      <alignment horizontal="center"/>
    </xf>
    <xf numFmtId="199" fontId="15" fillId="0" borderId="4" xfId="18" applyNumberFormat="1" applyBorder="1" applyAlignment="1">
      <alignment horizontal="center"/>
    </xf>
    <xf numFmtId="199" fontId="15" fillId="0" borderId="18" xfId="18" applyNumberFormat="1" applyBorder="1" applyAlignment="1">
      <alignment horizontal="center"/>
    </xf>
    <xf numFmtId="0" fontId="15" fillId="0" borderId="17" xfId="18" applyBorder="1" applyAlignment="1">
      <alignment horizontal="center"/>
    </xf>
    <xf numFmtId="0" fontId="15" fillId="0" borderId="4" xfId="18" applyBorder="1" applyAlignment="1">
      <alignment horizontal="center"/>
    </xf>
    <xf numFmtId="0" fontId="15" fillId="0" borderId="18" xfId="18" applyBorder="1" applyAlignment="1">
      <alignment horizontal="center"/>
    </xf>
    <xf numFmtId="0" fontId="15" fillId="19" borderId="19" xfId="18" applyFill="1" applyBorder="1" applyAlignment="1">
      <alignment horizontal="right"/>
    </xf>
    <xf numFmtId="0" fontId="15" fillId="19" borderId="20" xfId="18" applyFill="1" applyBorder="1" applyAlignment="1">
      <alignment horizontal="right"/>
    </xf>
    <xf numFmtId="9" fontId="15" fillId="2" borderId="0" xfId="36" applyFont="1" applyFill="1"/>
    <xf numFmtId="44" fontId="15" fillId="0" borderId="0" xfId="35" applyFont="1"/>
    <xf numFmtId="9" fontId="15" fillId="0" borderId="0" xfId="36" applyFont="1" applyFill="1"/>
    <xf numFmtId="200" fontId="15" fillId="20" borderId="0" xfId="34" applyNumberFormat="1" applyFont="1" applyFill="1"/>
    <xf numFmtId="0" fontId="15" fillId="0" borderId="18" xfId="18" applyBorder="1"/>
    <xf numFmtId="0" fontId="18" fillId="0" borderId="0" xfId="37"/>
    <xf numFmtId="199" fontId="18" fillId="0" borderId="0" xfId="35" applyNumberFormat="1" applyFont="1"/>
    <xf numFmtId="167" fontId="15" fillId="2" borderId="0" xfId="35" applyNumberFormat="1" applyFont="1" applyFill="1"/>
    <xf numFmtId="0" fontId="36" fillId="0" borderId="0" xfId="18" applyFont="1" applyAlignment="1">
      <alignment horizontal="left"/>
    </xf>
    <xf numFmtId="0" fontId="34" fillId="0" borderId="0" xfId="18" applyFont="1" applyAlignment="1">
      <alignment horizontal="left"/>
    </xf>
    <xf numFmtId="0" fontId="15" fillId="0" borderId="0" xfId="18" applyFill="1"/>
    <xf numFmtId="200" fontId="18" fillId="0" borderId="0" xfId="35" applyNumberFormat="1" applyFont="1"/>
    <xf numFmtId="199" fontId="34" fillId="0" borderId="0" xfId="18" applyNumberFormat="1" applyFont="1" applyFill="1"/>
  </cellXfs>
  <cellStyles count="40">
    <cellStyle name="Assumption" xfId="23" xr:uid="{E21B85CB-AE39-493C-90CF-A6033D394DF7}"/>
    <cellStyle name="Base_Input" xfId="12" xr:uid="{00000000-0005-0000-0000-000000000000}"/>
    <cellStyle name="Comma" xfId="34" builtinId="3"/>
    <cellStyle name="Comma [0] 2" xfId="3" xr:uid="{00000000-0005-0000-0000-000002000000}"/>
    <cellStyle name="Comma 2" xfId="30" xr:uid="{50BDA386-AB13-404C-8C84-0EDF43721243}"/>
    <cellStyle name="Currency" xfId="35" builtinId="4"/>
    <cellStyle name="Currency 2 2" xfId="29" xr:uid="{F29057D5-5718-441F-8CAD-00B1D320E1EF}"/>
    <cellStyle name="Currency 4" xfId="39" xr:uid="{69066291-9451-4DD5-9219-DB2F5AD0C40C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Normal 9" xfId="37" xr:uid="{C6BCC9D4-EB11-49D7-B613-D4FF47B90A2A}"/>
    <cellStyle name="Offsheet" xfId="10" xr:uid="{00000000-0005-0000-0000-000012000000}"/>
    <cellStyle name="Percent" xfId="36" builtinId="5"/>
    <cellStyle name="Percent 2" xfId="19" xr:uid="{39961233-90E2-46DE-A48A-52E8009F685E}"/>
    <cellStyle name="Percent 2 2" xfId="27" xr:uid="{E4F6E093-BFA5-41AA-B689-F440D86C5D1D}"/>
    <cellStyle name="Percent 5" xfId="38" xr:uid="{BE1E73BD-E37E-4489-9100-B6ED3ED9305B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FFCC"/>
      <color rgb="FF66FFFF"/>
      <color rgb="FF00215B"/>
      <color rgb="FF3333FF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5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4" sqref="A34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3</v>
      </c>
      <c r="D2" s="312"/>
      <c r="E2" s="312"/>
    </row>
    <row r="3" spans="1:19" ht="15.75" x14ac:dyDescent="0.25">
      <c r="A3" s="310"/>
      <c r="C3" s="313" t="s">
        <v>240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336</v>
      </c>
    </row>
    <row r="6" spans="1:19" x14ac:dyDescent="0.25">
      <c r="A6" s="310"/>
      <c r="C6" s="315" t="s">
        <v>241</v>
      </c>
      <c r="D6" s="328">
        <v>4.17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14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 xml:space="preserve">Minimise bushfire risk from bare 22kV non-REFCL lines in HBRA 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187</v>
      </c>
      <c r="H7" s="152" t="s">
        <v>188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1" t="str">
        <f>INDEX(Assumptions!$E$14:$E$18, MATCH(C9, Assumptions!$C$14:$C$18,0))</f>
        <v>No change to existing practices</v>
      </c>
      <c r="E9" s="332"/>
      <c r="F9" s="332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3" t="str">
        <f>INDEX(Assumptions!$E$14:$E$18, MATCH(C10, Assumptions!$C$14:$C$18,0))</f>
        <v xml:space="preserve">Targeted installation of covered conductor on bare 22kV non-REFCL lines lines in HBRA </v>
      </c>
      <c r="E10" s="334"/>
      <c r="F10" s="334"/>
      <c r="G10" s="103">
        <f>IF(Data!$C10, "", INDEX(Consol!$F$15:$F$82, MATCH($C10&amp;G$7, Consol!$D$15:$D$82,0))/mill_conv)</f>
        <v>-7.4139414329023134</v>
      </c>
      <c r="H10" s="103">
        <f>IF(Data!$C10, "", INDEX(Consol!$F$15:$F$82, MATCH($C10&amp;H$7, Consol!$D$15:$D$82,0))/mill_conv)</f>
        <v>13.530673182039257</v>
      </c>
      <c r="I10" s="103">
        <f>IF(Data!$C10, "", INDEX(Consol!$F$15:$F$82, MATCH($C10&amp;I$7, Consol!$D$15:$D$82,0))/mill_conv)</f>
        <v>6.116731749136946</v>
      </c>
    </row>
    <row r="11" spans="1:13" s="7" customFormat="1" ht="12.75" x14ac:dyDescent="0.2">
      <c r="C11" s="91" t="str">
        <v>Option 3</v>
      </c>
      <c r="D11" s="333" t="str">
        <f>INDEX(Assumptions!$E$14:$E$18, MATCH(C11, Assumptions!$C$14:$C$18,0))</f>
        <v xml:space="preserve">Install EFD on all bare 22kV non-REFCL lines lines in HBRA </v>
      </c>
      <c r="E11" s="334"/>
      <c r="F11" s="334"/>
      <c r="G11" s="103">
        <f>IF(Data!$C11, "", INDEX(Consol!$F$15:$F$82, MATCH($C11&amp;G$7, Consol!$D$15:$D$82,0))/mill_conv)</f>
        <v>-68.118288272069876</v>
      </c>
      <c r="H11" s="103">
        <f>IF(Data!$C11, "", INDEX(Consol!$F$15:$F$82, MATCH($C11&amp;H$7, Consol!$D$15:$D$82,0))/mill_conv)</f>
        <v>50.886810938992703</v>
      </c>
      <c r="I11" s="103">
        <f>IF(Data!$C11, "", INDEX(Consol!$F$15:$F$82, MATCH($C11&amp;I$7, Consol!$D$15:$D$82,0))/mill_conv)</f>
        <v>-17.231477333077162</v>
      </c>
    </row>
    <row r="12" spans="1:13" s="7" customFormat="1" ht="12.75" x14ac:dyDescent="0.2">
      <c r="C12" s="91" t="str">
        <v>Option 4</v>
      </c>
      <c r="D12" s="333" t="str">
        <f>INDEX(Assumptions!$E$14:$E$18, MATCH(C12, Assumptions!$C$14:$C$18,0))</f>
        <v xml:space="preserve">Targeted installation of EFD on bare 22kV non-REFCL lines lines in HBRA </v>
      </c>
      <c r="E12" s="334"/>
      <c r="F12" s="334"/>
      <c r="G12" s="103">
        <f>IF(Data!$C12, "", INDEX(Consol!$F$15:$F$82, MATCH($C12&amp;G$7, Consol!$D$15:$D$82,0))/mill_conv)</f>
        <v>-11.698779805323211</v>
      </c>
      <c r="H12" s="103">
        <f>IF(Data!$C12, "", INDEX(Consol!$F$15:$F$82, MATCH($C12&amp;H$7, Consol!$D$15:$D$82,0))/mill_conv)</f>
        <v>10.34603381848993</v>
      </c>
      <c r="I12" s="103">
        <f>IF(Data!$C12, "", INDEX(Consol!$F$15:$F$82, MATCH($C12&amp;I$7, Consol!$D$15:$D$82,0))/mill_conv)</f>
        <v>-1.3527459868332845</v>
      </c>
    </row>
    <row r="13" spans="1:13" s="7" customFormat="1" ht="12.75" x14ac:dyDescent="0.2">
      <c r="C13" s="91" t="str">
        <v>Option 5</v>
      </c>
      <c r="D13" s="333" t="str">
        <f>INDEX(Assumptions!$E$14:$E$18, MATCH(C13, Assumptions!$C$14:$C$18,0))</f>
        <v xml:space="preserve">Targeted installation of covered conductor and EFD on bare 22kV non-REFCL lines lines in HBRA </v>
      </c>
      <c r="E13" s="334"/>
      <c r="F13" s="334"/>
      <c r="G13" s="103">
        <f>IF(Data!$C13, "", INDEX(Consol!$F$15:$F$82, MATCH($C13&amp;G$7, Consol!$D$15:$D$82,0))/mill_conv)</f>
        <v>-19.112721238225525</v>
      </c>
      <c r="H13" s="103">
        <f>IF(Data!$C13, "", INDEX(Consol!$F$15:$F$82, MATCH($C13&amp;H$7, Consol!$D$15:$D$82,0))/mill_conv)</f>
        <v>23.876707000529194</v>
      </c>
      <c r="I13" s="103">
        <f>IF(Data!$C13, "", INDEX(Consol!$F$15:$F$82, MATCH($C13&amp;I$7, Consol!$D$15:$D$82,0))/mill_conv)</f>
        <v>4.763985762303661</v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0" t="str">
        <f>INDEX($D$9:$D$13,MATCH(G18, $I$9:$I$13,0))</f>
        <v xml:space="preserve">Targeted installation of covered conductor on bare 22kV non-REFCL lines lines in HBRA </v>
      </c>
      <c r="E18" s="330"/>
      <c r="F18" s="330"/>
      <c r="G18" s="104">
        <f>_xlfn.MAXIFS(I9:I13, IF(compliance, Data!$F$9:$F$13, Data!$C$9:$C$13),FALSE)</f>
        <v>6.116731749136946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5.244044389915004</v>
      </c>
      <c r="G30" s="105">
        <f>-INDEX(Consol!$I$15:$Q$82,MATCH($C$26&amp;$C30,Consol!$D$15:$D$82,0), MATCH(G$29, Consol!$I$9:$Q$9,0))/mill_conv</f>
        <v>5.244044389915004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10.488088779830008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1:13" s="8" customFormat="1" ht="12.75" x14ac:dyDescent="0.2">
      <c r="C38" s="257" t="s">
        <v>220</v>
      </c>
      <c r="D38" s="185">
        <f>output_dollars</f>
        <v>46203</v>
      </c>
      <c r="E38" s="185"/>
      <c r="F38" s="258" t="str">
        <f>Sensitivity_calcs!C89</f>
        <v>Option 1 (base case)</v>
      </c>
      <c r="G38" s="258" t="str">
        <f>Sensitivity_calcs!D89</f>
        <v>Option 2</v>
      </c>
      <c r="H38" s="258" t="str">
        <f>Sensitivity_calcs!E89</f>
        <v>Option 3</v>
      </c>
      <c r="I38" s="258" t="str">
        <f>Sensitivity_calcs!F89</f>
        <v>Option 4</v>
      </c>
      <c r="J38" s="258" t="str">
        <f>Sensitivity_calcs!G89</f>
        <v>Option 5</v>
      </c>
      <c r="K38" s="262"/>
      <c r="L38" s="287" t="s">
        <v>218</v>
      </c>
      <c r="M38" s="262"/>
    </row>
    <row r="39" spans="1:13" s="8" customFormat="1" ht="12.75" x14ac:dyDescent="0.2">
      <c r="C39" s="285" t="str">
        <f>Sensitivity_calcs!B90</f>
        <v>None</v>
      </c>
      <c r="D39" s="265"/>
      <c r="E39" s="265"/>
      <c r="F39" s="286">
        <f>Sensitivity_calcs!C90</f>
        <v>0</v>
      </c>
      <c r="G39" s="286">
        <f>Sensitivity_calcs!D90</f>
        <v>6.1167317491369451</v>
      </c>
      <c r="H39" s="286">
        <f>Sensitivity_calcs!E90</f>
        <v>-17.231477333077159</v>
      </c>
      <c r="I39" s="286">
        <f>Sensitivity_calcs!F90</f>
        <v>-1.3527459868332841</v>
      </c>
      <c r="J39" s="286">
        <f>Sensitivity_calcs!G90</f>
        <v>4.7639857623036637</v>
      </c>
      <c r="K39" s="256"/>
      <c r="L39" s="288" t="str">
        <f>Sensitivity_calcs!K90</f>
        <v>Option 2</v>
      </c>
      <c r="M39" s="256"/>
    </row>
    <row r="40" spans="1:13" s="8" customFormat="1" ht="12.75" x14ac:dyDescent="0.2">
      <c r="C40" s="264" t="str">
        <f>Sensitivity_calcs!B91</f>
        <v>Capex 10% higher</v>
      </c>
      <c r="D40" s="264"/>
      <c r="E40" s="264"/>
      <c r="F40" s="278">
        <f>Sensitivity_calcs!C91</f>
        <v>0</v>
      </c>
      <c r="G40" s="273">
        <f>Sensitivity_calcs!D91</f>
        <v>5.3753376058467159</v>
      </c>
      <c r="H40" s="273">
        <f>Sensitivity_calcs!E91</f>
        <v>-21.837880507779783</v>
      </c>
      <c r="I40" s="273">
        <f>Sensitivity_calcs!F91</f>
        <v>-2.1791231217949245</v>
      </c>
      <c r="J40" s="273">
        <f>Sensitivity_calcs!G91</f>
        <v>3.1962144840517919</v>
      </c>
      <c r="K40" s="256"/>
      <c r="L40" s="281" t="str">
        <f>Sensitivity_calcs!K91</f>
        <v>Option 2</v>
      </c>
      <c r="M40" s="256"/>
    </row>
    <row r="41" spans="1:13" s="8" customFormat="1" ht="12.75" x14ac:dyDescent="0.2">
      <c r="C41" s="264" t="str">
        <f>Sensitivity_calcs!B92</f>
        <v>Capex 10% lower</v>
      </c>
      <c r="D41" s="264"/>
      <c r="E41" s="264"/>
      <c r="F41" s="279">
        <f>Sensitivity_calcs!C92</f>
        <v>0</v>
      </c>
      <c r="G41" s="274">
        <f>Sensitivity_calcs!D92</f>
        <v>6.8581258924271804</v>
      </c>
      <c r="H41" s="274">
        <f>Sensitivity_calcs!E92</f>
        <v>-12.625074158374529</v>
      </c>
      <c r="I41" s="274">
        <f>Sensitivity_calcs!F92</f>
        <v>-0.52636885187164251</v>
      </c>
      <c r="J41" s="274">
        <f>Sensitivity_calcs!G92</f>
        <v>6.3317570405555355</v>
      </c>
      <c r="K41" s="256"/>
      <c r="L41" s="281" t="str">
        <f>Sensitivity_calcs!K92</f>
        <v>Option 2</v>
      </c>
      <c r="M41" s="256"/>
    </row>
    <row r="42" spans="1:13" s="8" customFormat="1" ht="12.75" x14ac:dyDescent="0.2">
      <c r="C42" s="264" t="str">
        <f>Sensitivity_calcs!B93</f>
        <v>Total benefits 10% higher</v>
      </c>
      <c r="D42" s="264"/>
      <c r="E42" s="264"/>
      <c r="F42" s="279">
        <f>Sensitivity_calcs!C93</f>
        <v>0</v>
      </c>
      <c r="G42" s="274">
        <f>Sensitivity_calcs!D93</f>
        <v>7.4697990673408743</v>
      </c>
      <c r="H42" s="274">
        <f>Sensitivity_calcs!E93</f>
        <v>-12.142796239177891</v>
      </c>
      <c r="I42" s="274">
        <f>Sensitivity_calcs!F93</f>
        <v>-0.31814260498429092</v>
      </c>
      <c r="J42" s="274">
        <f>Sensitivity_calcs!G93</f>
        <v>7.1516564623565815</v>
      </c>
      <c r="K42" s="256"/>
      <c r="L42" s="281" t="str">
        <f>Sensitivity_calcs!K93</f>
        <v>Option 2</v>
      </c>
      <c r="M42" s="256"/>
    </row>
    <row r="43" spans="1:13" s="8" customFormat="1" ht="12.75" x14ac:dyDescent="0.2">
      <c r="C43" s="264" t="str">
        <f>Sensitivity_calcs!B94</f>
        <v>Total benefits 10% lower</v>
      </c>
      <c r="D43" s="264"/>
      <c r="E43" s="264"/>
      <c r="F43" s="279">
        <f>Sensitivity_calcs!C94</f>
        <v>0</v>
      </c>
      <c r="G43" s="274">
        <f>Sensitivity_calcs!D94</f>
        <v>4.7636644309330212</v>
      </c>
      <c r="H43" s="274">
        <f>Sensitivity_calcs!E94</f>
        <v>-22.32015842697643</v>
      </c>
      <c r="I43" s="274">
        <f>Sensitivity_calcs!F94</f>
        <v>-2.3873493686822771</v>
      </c>
      <c r="J43" s="274">
        <f>Sensitivity_calcs!G94</f>
        <v>2.3763150622507436</v>
      </c>
      <c r="K43" s="256"/>
      <c r="L43" s="281" t="str">
        <f>Sensitivity_calcs!K94</f>
        <v>Option 2</v>
      </c>
      <c r="M43" s="256"/>
    </row>
    <row r="44" spans="1:13" s="8" customFormat="1" ht="12.75" x14ac:dyDescent="0.2">
      <c r="C44" s="264" t="str">
        <f>Sensitivity_calcs!B95</f>
        <v>Capex 10% higher &amp; Total benefits 10% lower</v>
      </c>
      <c r="D44" s="264"/>
      <c r="E44" s="264"/>
      <c r="F44" s="279">
        <f>Sensitivity_calcs!C95</f>
        <v>0</v>
      </c>
      <c r="G44" s="274">
        <f>Sensitivity_calcs!D95</f>
        <v>4.0222702876427894</v>
      </c>
      <c r="H44" s="274">
        <f>Sensitivity_calcs!E95</f>
        <v>-26.926561601679058</v>
      </c>
      <c r="I44" s="274">
        <f>Sensitivity_calcs!F95</f>
        <v>-3.2137265036439175</v>
      </c>
      <c r="J44" s="274">
        <f>Sensitivity_calcs!G95</f>
        <v>0.80854378399887139</v>
      </c>
      <c r="K44" s="256"/>
      <c r="L44" s="281" t="str">
        <f>Sensitivity_calcs!K95</f>
        <v>Option 2</v>
      </c>
      <c r="M44" s="256"/>
    </row>
    <row r="45" spans="1:13" s="8" customFormat="1" ht="12.75" x14ac:dyDescent="0.2">
      <c r="C45" s="264">
        <f>Sensitivity_calcs!B96</f>
        <v>0</v>
      </c>
      <c r="D45" s="264"/>
      <c r="E45" s="264"/>
      <c r="F45" s="279" t="str">
        <f>Sensitivity_calcs!C96</f>
        <v/>
      </c>
      <c r="G45" s="274" t="str">
        <f>Sensitivity_calcs!D96</f>
        <v/>
      </c>
      <c r="H45" s="274" t="str">
        <f>Sensitivity_calcs!E96</f>
        <v/>
      </c>
      <c r="I45" s="274" t="str">
        <f>Sensitivity_calcs!F96</f>
        <v/>
      </c>
      <c r="J45" s="274" t="str">
        <f>Sensitivity_calcs!G96</f>
        <v/>
      </c>
      <c r="K45" s="256"/>
      <c r="L45" s="281" t="str">
        <f>Sensitivity_calcs!K96</f>
        <v/>
      </c>
      <c r="M45" s="256"/>
    </row>
    <row r="46" spans="1:13" s="8" customFormat="1" ht="12.75" x14ac:dyDescent="0.2">
      <c r="C46" s="264">
        <f>Sensitivity_calcs!B97</f>
        <v>0</v>
      </c>
      <c r="D46" s="259"/>
      <c r="E46" s="259"/>
      <c r="F46" s="279" t="str">
        <f>Sensitivity_calcs!C97</f>
        <v/>
      </c>
      <c r="G46" s="274" t="str">
        <f>Sensitivity_calcs!D97</f>
        <v/>
      </c>
      <c r="H46" s="274" t="str">
        <f>Sensitivity_calcs!E97</f>
        <v/>
      </c>
      <c r="I46" s="274" t="str">
        <f>Sensitivity_calcs!F97</f>
        <v/>
      </c>
      <c r="J46" s="274" t="str">
        <f>Sensitivity_calcs!G97</f>
        <v/>
      </c>
      <c r="K46" s="266">
        <f>IF(C46=0,0, INDEX($F$38:$J$38, MATCH(MAX($F46:$I46),$F46:$I46,0)))</f>
        <v>0</v>
      </c>
      <c r="L46" s="281" t="str">
        <f>Sensitivity_calcs!K97</f>
        <v/>
      </c>
    </row>
    <row r="47" spans="1:13" s="8" customFormat="1" ht="12.75" x14ac:dyDescent="0.2">
      <c r="D47" s="264">
        <f>Sensitivity_calcs!B98</f>
        <v>0</v>
      </c>
      <c r="E47" s="264"/>
      <c r="F47" s="279" t="str">
        <f>Sensitivity_calcs!C98</f>
        <v/>
      </c>
      <c r="G47" s="274" t="str">
        <f>Sensitivity_calcs!D98</f>
        <v/>
      </c>
      <c r="H47" s="274" t="str">
        <f>Sensitivity_calcs!E98</f>
        <v/>
      </c>
      <c r="I47" s="274" t="str">
        <f>Sensitivity_calcs!F98</f>
        <v/>
      </c>
      <c r="J47" s="274" t="str">
        <f>Sensitivity_calcs!G98</f>
        <v/>
      </c>
      <c r="K47" s="256"/>
      <c r="L47" s="281" t="str">
        <f>Sensitivity_calcs!K98</f>
        <v/>
      </c>
      <c r="M47" s="256"/>
    </row>
    <row r="48" spans="1:13" s="8" customFormat="1" ht="12.75" x14ac:dyDescent="0.2">
      <c r="D48" s="264">
        <f>Sensitivity_calcs!B99</f>
        <v>0</v>
      </c>
      <c r="E48" s="264"/>
      <c r="F48" s="280"/>
      <c r="G48" s="105"/>
      <c r="H48" s="105"/>
      <c r="I48" s="105"/>
      <c r="J48" s="105"/>
      <c r="K48" s="256"/>
      <c r="L48" s="256"/>
    </row>
    <row r="49" spans="4:10" s="8" customFormat="1" ht="12.75" x14ac:dyDescent="0.2">
      <c r="F49" s="263"/>
      <c r="G49" s="105"/>
      <c r="H49" s="105"/>
      <c r="I49" s="105"/>
      <c r="J49" s="105"/>
    </row>
    <row r="50" spans="4:10" s="8" customFormat="1" ht="12.75" x14ac:dyDescent="0.2">
      <c r="F50" s="263"/>
      <c r="G50" s="263"/>
      <c r="H50" s="263"/>
      <c r="I50" s="263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4"/>
      <c r="E53" s="244"/>
      <c r="F53" s="244"/>
    </row>
    <row r="54" spans="4:10" s="8" customFormat="1" ht="12.75" x14ac:dyDescent="0.2">
      <c r="D54" s="244"/>
      <c r="E54" s="244"/>
      <c r="F54" s="244"/>
    </row>
    <row r="55" spans="4:10" s="8" customFormat="1" ht="12.75" hidden="1" x14ac:dyDescent="0.2">
      <c r="D55" s="244"/>
      <c r="E55" s="244"/>
      <c r="F55" s="244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 xml:space="preserve">Minimise bushfire risk from bare 22kV non-REFCL lines in HBRA 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8" t="s">
        <v>330</v>
      </c>
      <c r="F8" s="338"/>
      <c r="G8" s="338"/>
      <c r="H8" s="338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9" t="s">
        <v>58</v>
      </c>
      <c r="F14" s="339"/>
      <c r="G14" s="339"/>
      <c r="H14" s="339"/>
      <c r="I14" s="339"/>
      <c r="J14" s="339"/>
      <c r="K14" s="339"/>
      <c r="L14"/>
    </row>
    <row r="15" spans="1:16" s="1" customFormat="1" ht="12.75" customHeight="1" x14ac:dyDescent="0.2">
      <c r="C15" s="61" t="str">
        <v>Option 2</v>
      </c>
      <c r="D15" s="61"/>
      <c r="E15" s="340" t="s">
        <v>326</v>
      </c>
      <c r="F15" s="340"/>
      <c r="G15" s="340"/>
      <c r="H15" s="340"/>
      <c r="I15" s="340"/>
      <c r="J15" s="340"/>
      <c r="K15" s="340"/>
      <c r="L15"/>
    </row>
    <row r="16" spans="1:16" s="1" customFormat="1" ht="12.75" customHeight="1" x14ac:dyDescent="0.2">
      <c r="C16" s="61" t="str">
        <v>Option 3</v>
      </c>
      <c r="D16" s="61"/>
      <c r="E16" s="340" t="s">
        <v>327</v>
      </c>
      <c r="F16" s="340"/>
      <c r="G16" s="340"/>
      <c r="H16" s="340"/>
      <c r="I16" s="340"/>
      <c r="J16" s="340"/>
      <c r="K16" s="340"/>
      <c r="L16"/>
    </row>
    <row r="17" spans="1:16" s="1" customFormat="1" ht="12.75" customHeight="1" x14ac:dyDescent="0.2">
      <c r="C17" s="61" t="str">
        <v>Option 4</v>
      </c>
      <c r="D17" s="61"/>
      <c r="E17" s="329" t="s">
        <v>328</v>
      </c>
      <c r="F17" s="329"/>
      <c r="G17" s="329"/>
      <c r="H17" s="329"/>
      <c r="I17" s="329"/>
      <c r="J17" s="329"/>
      <c r="K17" s="329"/>
      <c r="L17"/>
    </row>
    <row r="18" spans="1:16" s="1" customFormat="1" ht="12.75" customHeight="1" x14ac:dyDescent="0.2">
      <c r="C18" s="61" t="str">
        <v>Option 5</v>
      </c>
      <c r="D18" s="61"/>
      <c r="E18" s="340" t="s">
        <v>329</v>
      </c>
      <c r="F18" s="340"/>
      <c r="G18" s="340"/>
      <c r="H18" s="340"/>
      <c r="I18" s="340"/>
      <c r="J18" s="340"/>
      <c r="K18" s="340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223</v>
      </c>
      <c r="D20"/>
      <c r="E20" s="291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236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180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181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194</v>
      </c>
      <c r="G31" s="304">
        <v>20</v>
      </c>
      <c r="H31" s="68" t="s">
        <v>195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238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243</v>
      </c>
      <c r="D41" s="240" t="s">
        <v>244</v>
      </c>
      <c r="E41" s="324" t="s">
        <v>214</v>
      </c>
      <c r="F41" s="325"/>
      <c r="G41" s="326" t="s">
        <v>213</v>
      </c>
      <c r="H41" s="131">
        <v>43815.486225173103</v>
      </c>
      <c r="I41" s="327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147</v>
      </c>
      <c r="G50" s="306">
        <v>5400000</v>
      </c>
      <c r="H50" s="69">
        <v>45107</v>
      </c>
    </row>
    <row r="52" spans="3:8" x14ac:dyDescent="0.2">
      <c r="C52" s="8" t="s">
        <v>163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179</v>
      </c>
      <c r="D69" s="59"/>
      <c r="E69" s="59"/>
      <c r="F69" s="59"/>
      <c r="G69" s="157" t="s">
        <v>68</v>
      </c>
      <c r="H69" s="157" t="s">
        <v>164</v>
      </c>
      <c r="I69" s="157" t="s">
        <v>178</v>
      </c>
      <c r="J69" s="156" t="s">
        <v>182</v>
      </c>
      <c r="K69" s="157"/>
      <c r="L69" s="157"/>
      <c r="M69" s="157"/>
    </row>
    <row r="70" spans="2:16" x14ac:dyDescent="0.2">
      <c r="C70" s="8" t="s">
        <v>165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5">
        <v>0</v>
      </c>
      <c r="K70" s="336"/>
      <c r="L70" s="336"/>
      <c r="M70" s="337"/>
    </row>
    <row r="71" spans="2:16" x14ac:dyDescent="0.2">
      <c r="C71" s="8" t="s">
        <v>166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5">
        <v>0</v>
      </c>
      <c r="K71" s="336"/>
      <c r="L71" s="336"/>
      <c r="M71" s="337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167</v>
      </c>
      <c r="G78" s="154">
        <v>0</v>
      </c>
      <c r="H78" s="69">
        <f>input_dollars</f>
        <v>45291</v>
      </c>
    </row>
    <row r="79" spans="2:16" x14ac:dyDescent="0.2">
      <c r="C79" s="8" t="s">
        <v>168</v>
      </c>
      <c r="G79" s="154">
        <v>0</v>
      </c>
      <c r="H79" s="69">
        <f>input_dollars</f>
        <v>45291</v>
      </c>
    </row>
    <row r="81" spans="1:16" x14ac:dyDescent="0.2">
      <c r="C81" s="8" t="s">
        <v>169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174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175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239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7">
    <mergeCell ref="J70:M70"/>
    <mergeCell ref="J71:M71"/>
    <mergeCell ref="E8:H8"/>
    <mergeCell ref="E14:K14"/>
    <mergeCell ref="E15:K15"/>
    <mergeCell ref="E16:K16"/>
    <mergeCell ref="E18:K18"/>
  </mergeCells>
  <phoneticPr fontId="78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 xml:space="preserve">Minimise bushfire risk from bare 22kV non-REFCL lines in HBRA 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141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32">
        <f>Workings_risks!$E$23</f>
        <v>42291299.694315508</v>
      </c>
      <c r="J28" s="32">
        <f>Workings_risks!$E$23</f>
        <v>42291299.694315508</v>
      </c>
      <c r="K28" s="32">
        <f>Workings_risks!$E$23</f>
        <v>42291299.694315508</v>
      </c>
      <c r="L28" s="32">
        <f>Workings_risks!$E$23</f>
        <v>42291299.694315508</v>
      </c>
      <c r="M28" s="32">
        <f>Workings_risks!$E$23</f>
        <v>42291299.694315508</v>
      </c>
      <c r="N28" s="32">
        <f>Workings_risks!$E$23</f>
        <v>42291299.694315508</v>
      </c>
      <c r="O28" s="32">
        <f>Workings_risks!$E$23</f>
        <v>42291299.694315508</v>
      </c>
      <c r="P28" s="32">
        <f>Workings_risks!$E$23</f>
        <v>42291299.694315508</v>
      </c>
      <c r="Q28" s="32">
        <f>Workings_risks!$E$23</f>
        <v>42291299.694315508</v>
      </c>
      <c r="R28" s="32">
        <f>Workings_risks!$E$23</f>
        <v>42291299.694315508</v>
      </c>
      <c r="S28" s="32">
        <f>Workings_risks!$E$23</f>
        <v>42291299.694315508</v>
      </c>
      <c r="T28" s="32">
        <f>Workings_risks!$E$23</f>
        <v>42291299.694315508</v>
      </c>
      <c r="U28" s="32">
        <f>Workings_risks!$E$23</f>
        <v>42291299.694315508</v>
      </c>
      <c r="V28" s="32">
        <f>Workings_risks!$E$23</f>
        <v>42291299.694315508</v>
      </c>
      <c r="W28" s="32">
        <f>Workings_risks!$E$23</f>
        <v>42291299.694315508</v>
      </c>
      <c r="X28" s="32">
        <f>Workings_risks!$E$23</f>
        <v>42291299.694315508</v>
      </c>
      <c r="Y28" s="32">
        <f>Workings_risks!$E$23</f>
        <v>42291299.694315508</v>
      </c>
      <c r="Z28" s="32">
        <f>Workings_risks!$E$23</f>
        <v>42291299.694315508</v>
      </c>
      <c r="AA28" s="32">
        <f>Workings_risks!$E$23</f>
        <v>42291299.694315508</v>
      </c>
      <c r="AB28" s="32">
        <f>Workings_risks!$E$23</f>
        <v>42291299.694315508</v>
      </c>
      <c r="AC28" s="32">
        <f>Workings_risks!$E$23</f>
        <v>42291299.694315508</v>
      </c>
      <c r="AD28" s="32">
        <f>Workings_risks!$E$23</f>
        <v>42291299.694315508</v>
      </c>
      <c r="AE28" s="32">
        <f>Workings_risks!$E$23</f>
        <v>42291299.694315508</v>
      </c>
      <c r="AF28" s="32">
        <f>Workings_risks!$E$23</f>
        <v>42291299.694315508</v>
      </c>
      <c r="AG28" s="32">
        <f>Workings_risks!$E$23</f>
        <v>42291299.694315508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291</v>
      </c>
      <c r="D33" s="219"/>
      <c r="E33"/>
      <c r="G33" s="207">
        <f>input_dollars</f>
        <v>45291</v>
      </c>
      <c r="H33"/>
      <c r="I33" s="32">
        <f>Workings_risks!$E$13</f>
        <v>17325425.692508142</v>
      </c>
      <c r="J33" s="32">
        <f>Workings_risks!$E$13</f>
        <v>17325425.692508142</v>
      </c>
      <c r="K33" s="32">
        <f>Workings_risks!$E$13</f>
        <v>17325425.692508142</v>
      </c>
      <c r="L33" s="32">
        <f>Workings_risks!$E$13</f>
        <v>17325425.692508142</v>
      </c>
      <c r="M33" s="32">
        <f>Workings_risks!$E$13</f>
        <v>17325425.692508142</v>
      </c>
      <c r="N33" s="32">
        <f>Workings_risks!$E$13</f>
        <v>17325425.692508142</v>
      </c>
      <c r="O33" s="32">
        <f>Workings_risks!$E$13</f>
        <v>17325425.692508142</v>
      </c>
      <c r="P33" s="32">
        <f>Workings_risks!$E$13</f>
        <v>17325425.692508142</v>
      </c>
      <c r="Q33" s="32">
        <f>Workings_risks!$E$13</f>
        <v>17325425.692508142</v>
      </c>
      <c r="R33" s="32">
        <f>Workings_risks!$E$13</f>
        <v>17325425.692508142</v>
      </c>
      <c r="S33" s="32">
        <f>Workings_risks!$E$13</f>
        <v>17325425.692508142</v>
      </c>
      <c r="T33" s="32">
        <f>Workings_risks!$E$13</f>
        <v>17325425.692508142</v>
      </c>
      <c r="U33" s="32">
        <f>Workings_risks!$E$13</f>
        <v>17325425.692508142</v>
      </c>
      <c r="V33" s="32">
        <f>Workings_risks!$E$13</f>
        <v>17325425.692508142</v>
      </c>
      <c r="W33" s="32">
        <f>Workings_risks!$E$13</f>
        <v>17325425.692508142</v>
      </c>
      <c r="X33" s="32">
        <f>Workings_risks!$E$13</f>
        <v>17325425.692508142</v>
      </c>
      <c r="Y33" s="32">
        <f>Workings_risks!$E$13</f>
        <v>17325425.692508142</v>
      </c>
      <c r="Z33" s="32">
        <f>Workings_risks!$E$13</f>
        <v>17325425.692508142</v>
      </c>
      <c r="AA33" s="32">
        <f>Workings_risks!$E$13</f>
        <v>17325425.692508142</v>
      </c>
      <c r="AB33" s="32">
        <f>Workings_risks!$E$13</f>
        <v>17325425.692508142</v>
      </c>
      <c r="AC33" s="32">
        <f>Workings_risks!$E$13</f>
        <v>17325425.692508142</v>
      </c>
      <c r="AD33" s="32">
        <f>Workings_risks!$E$13</f>
        <v>17325425.692508142</v>
      </c>
      <c r="AE33" s="32">
        <f>Workings_risks!$E$13</f>
        <v>17325425.692508142</v>
      </c>
      <c r="AF33" s="32">
        <f>Workings_risks!$E$13</f>
        <v>17325425.692508142</v>
      </c>
      <c r="AG33" s="32">
        <f>Workings_risks!$E$13</f>
        <v>17325425.692508142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06">
        <f>SUM(I28:I34)</f>
        <v>59616725.386823654</v>
      </c>
      <c r="J36" s="106">
        <f t="shared" ref="J36:AB36" si="3">SUM(J28:J34)</f>
        <v>59616725.386823654</v>
      </c>
      <c r="K36" s="106">
        <f t="shared" si="3"/>
        <v>59616725.386823654</v>
      </c>
      <c r="L36" s="106">
        <f t="shared" si="3"/>
        <v>59616725.386823654</v>
      </c>
      <c r="M36" s="106">
        <f t="shared" si="3"/>
        <v>59616725.386823654</v>
      </c>
      <c r="N36" s="106">
        <f t="shared" si="3"/>
        <v>59616725.386823654</v>
      </c>
      <c r="O36" s="106">
        <f t="shared" si="3"/>
        <v>59616725.386823654</v>
      </c>
      <c r="P36" s="106">
        <f t="shared" si="3"/>
        <v>59616725.386823654</v>
      </c>
      <c r="Q36" s="106">
        <f t="shared" si="3"/>
        <v>59616725.386823654</v>
      </c>
      <c r="R36" s="106">
        <f t="shared" si="3"/>
        <v>59616725.386823654</v>
      </c>
      <c r="S36" s="106">
        <f t="shared" si="3"/>
        <v>59616725.386823654</v>
      </c>
      <c r="T36" s="106">
        <f t="shared" si="3"/>
        <v>59616725.386823654</v>
      </c>
      <c r="U36" s="106">
        <f t="shared" si="3"/>
        <v>59616725.386823654</v>
      </c>
      <c r="V36" s="106">
        <f t="shared" si="3"/>
        <v>59616725.386823654</v>
      </c>
      <c r="W36" s="106">
        <f t="shared" si="3"/>
        <v>59616725.386823654</v>
      </c>
      <c r="X36" s="106">
        <f t="shared" si="3"/>
        <v>59616725.386823654</v>
      </c>
      <c r="Y36" s="106">
        <f t="shared" si="3"/>
        <v>59616725.386823654</v>
      </c>
      <c r="Z36" s="106">
        <f t="shared" si="3"/>
        <v>59616725.386823654</v>
      </c>
      <c r="AA36" s="106">
        <f t="shared" si="3"/>
        <v>59616725.386823654</v>
      </c>
      <c r="AB36" s="106">
        <f t="shared" si="3"/>
        <v>59616725.386823654</v>
      </c>
      <c r="AC36" s="106">
        <f>SUM(AC28:AC34)</f>
        <v>59616725.386823654</v>
      </c>
      <c r="AD36" s="106">
        <f>SUM(AD28:AD34)</f>
        <v>59616725.386823654</v>
      </c>
      <c r="AE36" s="106">
        <f>SUM(AE28:AE34)</f>
        <v>59616725.386823654</v>
      </c>
      <c r="AF36" s="106">
        <f>SUM(AF28:AF34)</f>
        <v>59616725.386823654</v>
      </c>
      <c r="AG36" s="106">
        <f>SUM(AG28:AG34)</f>
        <v>59616725.386823654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>I41*I7</f>
        <v>0</v>
      </c>
      <c r="J42" s="31">
        <f t="shared" ref="J42:AG42" si="4">J41*J7</f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1">
        <f t="shared" si="4"/>
        <v>0</v>
      </c>
      <c r="Q42" s="31">
        <f t="shared" si="4"/>
        <v>0</v>
      </c>
      <c r="R42" s="31">
        <f t="shared" si="4"/>
        <v>0</v>
      </c>
      <c r="S42" s="31">
        <f t="shared" si="4"/>
        <v>0</v>
      </c>
      <c r="T42" s="31">
        <f t="shared" si="4"/>
        <v>0</v>
      </c>
      <c r="U42" s="31">
        <f t="shared" si="4"/>
        <v>0</v>
      </c>
      <c r="V42" s="31">
        <f t="shared" si="4"/>
        <v>0</v>
      </c>
      <c r="W42" s="31">
        <f t="shared" si="4"/>
        <v>0</v>
      </c>
      <c r="X42" s="31">
        <f t="shared" si="4"/>
        <v>0</v>
      </c>
      <c r="Y42" s="31">
        <f t="shared" si="4"/>
        <v>0</v>
      </c>
      <c r="Z42" s="31">
        <f t="shared" si="4"/>
        <v>0</v>
      </c>
      <c r="AA42" s="31">
        <f t="shared" si="4"/>
        <v>0</v>
      </c>
      <c r="AB42" s="31">
        <f t="shared" si="4"/>
        <v>0</v>
      </c>
      <c r="AC42" s="31">
        <f t="shared" si="4"/>
        <v>0</v>
      </c>
      <c r="AD42" s="31">
        <f t="shared" si="4"/>
        <v>0</v>
      </c>
      <c r="AE42" s="31">
        <f t="shared" si="4"/>
        <v>0</v>
      </c>
      <c r="AF42" s="31">
        <f t="shared" si="4"/>
        <v>0</v>
      </c>
      <c r="AG42" s="31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239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I28" sqref="I28"/>
      <selection pane="topRight" activeCell="I28" sqref="I28"/>
      <selection pane="bottomLeft" activeCell="I28" sqref="I28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 xml:space="preserve">Minimise bushfire risk from bare 22kV non-REFCL lines in HBRA 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 xml:space="preserve">Targeted installation of covered conductor on bare 22kV non-REFCL lines lines in HBRA 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331</v>
      </c>
      <c r="D14"/>
      <c r="E14" s="148">
        <v>30</v>
      </c>
      <c r="G14" s="207">
        <f>input_dollars</f>
        <v>45291</v>
      </c>
      <c r="H14" s="149"/>
      <c r="I14" s="32">
        <f>Workings_costs!E$23</f>
        <v>4712000</v>
      </c>
      <c r="J14" s="32">
        <f>Workings_costs!F$23</f>
        <v>4712000</v>
      </c>
      <c r="K14" s="32">
        <f>Workings_costs!G$23</f>
        <v>0</v>
      </c>
      <c r="L14" s="32">
        <f>Workings_costs!H$23</f>
        <v>0</v>
      </c>
      <c r="M14" s="32">
        <f>Workings_costs!I$23</f>
        <v>0</v>
      </c>
      <c r="N14" s="32">
        <f>Workings_costs!J$23</f>
        <v>0</v>
      </c>
      <c r="O14" s="32">
        <f>Workings_costs!K$23</f>
        <v>0</v>
      </c>
      <c r="P14" s="32">
        <f>Workings_costs!L$23</f>
        <v>0</v>
      </c>
      <c r="Q14" s="32">
        <f>Workings_costs!M$23</f>
        <v>0</v>
      </c>
      <c r="R14" s="32">
        <f>Workings_costs!N$23</f>
        <v>0</v>
      </c>
      <c r="S14" s="32">
        <f>Workings_costs!O$23</f>
        <v>0</v>
      </c>
      <c r="T14" s="32">
        <f>Workings_costs!P$23</f>
        <v>0</v>
      </c>
      <c r="U14" s="32">
        <f>Workings_costs!Q$23</f>
        <v>0</v>
      </c>
      <c r="V14" s="32">
        <f>Workings_costs!R$23</f>
        <v>0</v>
      </c>
      <c r="W14" s="32">
        <f>Workings_costs!S$23</f>
        <v>0</v>
      </c>
      <c r="X14" s="32">
        <f>Workings_costs!T$23</f>
        <v>0</v>
      </c>
      <c r="Y14" s="32">
        <f>Workings_costs!U$23</f>
        <v>0</v>
      </c>
      <c r="Z14" s="32">
        <f>Workings_costs!V$23</f>
        <v>0</v>
      </c>
      <c r="AA14" s="32">
        <f>Workings_costs!W$23</f>
        <v>0</v>
      </c>
      <c r="AB14" s="32">
        <f>Workings_costs!X$23</f>
        <v>0</v>
      </c>
      <c r="AC14" s="32">
        <f>Workings_costs!Y$23</f>
        <v>0</v>
      </c>
      <c r="AD14" s="32">
        <f>Workings_costs!Z$23</f>
        <v>0</v>
      </c>
      <c r="AE14" s="32">
        <f>Workings_costs!AA$23</f>
        <v>0</v>
      </c>
      <c r="AF14" s="32">
        <f>Workings_costs!AB$23</f>
        <v>0</v>
      </c>
      <c r="AG14" s="32">
        <f>Workings_costs!AC$23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4712000</v>
      </c>
      <c r="J17" s="106">
        <f t="shared" si="0"/>
        <v>4712000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32">
        <f>Workings_risks!E44</f>
        <v>42142234.283226959</v>
      </c>
      <c r="J28" s="32">
        <f>Workings_risks!F44</f>
        <v>41993168.872138411</v>
      </c>
      <c r="K28" s="32">
        <f>Workings_risks!G44</f>
        <v>41993168.872138411</v>
      </c>
      <c r="L28" s="32">
        <f>Workings_risks!H44</f>
        <v>41993168.872138411</v>
      </c>
      <c r="M28" s="32">
        <f>Workings_risks!I44</f>
        <v>41993168.872138411</v>
      </c>
      <c r="N28" s="32">
        <f>Workings_risks!J44</f>
        <v>41993168.872138411</v>
      </c>
      <c r="O28" s="32">
        <f>Workings_risks!K44</f>
        <v>41993168.872138411</v>
      </c>
      <c r="P28" s="32">
        <f>Workings_risks!L44</f>
        <v>41993168.872138411</v>
      </c>
      <c r="Q28" s="32">
        <f>Workings_risks!M44</f>
        <v>41993168.872138411</v>
      </c>
      <c r="R28" s="32">
        <f>Workings_risks!N44</f>
        <v>41993168.872138411</v>
      </c>
      <c r="S28" s="32">
        <f>Workings_risks!O44</f>
        <v>41993168.872138411</v>
      </c>
      <c r="T28" s="32">
        <f>Workings_risks!P44</f>
        <v>41993168.872138411</v>
      </c>
      <c r="U28" s="32">
        <f>Workings_risks!Q44</f>
        <v>41993168.872138411</v>
      </c>
      <c r="V28" s="32">
        <f>Workings_risks!R44</f>
        <v>41993168.872138411</v>
      </c>
      <c r="W28" s="32">
        <f>Workings_risks!S44</f>
        <v>41993168.872138411</v>
      </c>
      <c r="X28" s="32">
        <f>Workings_risks!T44</f>
        <v>41993168.872138411</v>
      </c>
      <c r="Y28" s="32">
        <f>Workings_risks!U44</f>
        <v>41993168.872138411</v>
      </c>
      <c r="Z28" s="32">
        <f>Workings_risks!V44</f>
        <v>41993168.872138411</v>
      </c>
      <c r="AA28" s="32">
        <f>Workings_risks!W44</f>
        <v>41993168.872138411</v>
      </c>
      <c r="AB28" s="32">
        <f>Workings_risks!X44</f>
        <v>41993168.872138411</v>
      </c>
      <c r="AC28" s="32">
        <f>Workings_risks!Y44</f>
        <v>0</v>
      </c>
      <c r="AD28" s="32">
        <f>Workings_risks!Z44</f>
        <v>0</v>
      </c>
      <c r="AE28" s="32">
        <f>Workings_risks!AA44</f>
        <v>0</v>
      </c>
      <c r="AF28" s="32">
        <f>Workings_risks!AB44</f>
        <v>0</v>
      </c>
      <c r="AG28" s="32">
        <f>Workings_risks!AC44</f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291</v>
      </c>
      <c r="D33" s="219"/>
      <c r="E33"/>
      <c r="G33" s="207">
        <f>input_dollars</f>
        <v>45291</v>
      </c>
      <c r="H33"/>
      <c r="I33" s="32">
        <f>Workings_risks!E43</f>
        <v>17039270.549959578</v>
      </c>
      <c r="J33" s="32">
        <f>Workings_risks!F43</f>
        <v>16753115.407411011</v>
      </c>
      <c r="K33" s="32">
        <f>Workings_risks!G43</f>
        <v>16753115.407411011</v>
      </c>
      <c r="L33" s="32">
        <f>Workings_risks!H43</f>
        <v>16753115.407411011</v>
      </c>
      <c r="M33" s="32">
        <f>Workings_risks!I43</f>
        <v>16753115.407411011</v>
      </c>
      <c r="N33" s="32">
        <f>Workings_risks!J43</f>
        <v>16753115.407411011</v>
      </c>
      <c r="O33" s="32">
        <f>Workings_risks!K43</f>
        <v>16753115.407411011</v>
      </c>
      <c r="P33" s="32">
        <f>Workings_risks!L43</f>
        <v>16753115.407411011</v>
      </c>
      <c r="Q33" s="32">
        <f>Workings_risks!M43</f>
        <v>16753115.407411011</v>
      </c>
      <c r="R33" s="32">
        <f>Workings_risks!N43</f>
        <v>16753115.407411011</v>
      </c>
      <c r="S33" s="32">
        <f>Workings_risks!O43</f>
        <v>16753115.407411011</v>
      </c>
      <c r="T33" s="32">
        <f>Workings_risks!P43</f>
        <v>16753115.407411011</v>
      </c>
      <c r="U33" s="32">
        <f>Workings_risks!Q43</f>
        <v>16753115.407411011</v>
      </c>
      <c r="V33" s="32">
        <f>Workings_risks!R43</f>
        <v>16753115.407411011</v>
      </c>
      <c r="W33" s="32">
        <f>Workings_risks!S43</f>
        <v>16753115.407411011</v>
      </c>
      <c r="X33" s="32">
        <f>Workings_risks!T43</f>
        <v>16753115.407411011</v>
      </c>
      <c r="Y33" s="32">
        <f>Workings_risks!U43</f>
        <v>16753115.407411011</v>
      </c>
      <c r="Z33" s="32">
        <f>Workings_risks!V43</f>
        <v>16753115.407411011</v>
      </c>
      <c r="AA33" s="32">
        <f>Workings_risks!W43</f>
        <v>16753115.407411011</v>
      </c>
      <c r="AB33" s="32">
        <f>Workings_risks!X43</f>
        <v>16753115.407411011</v>
      </c>
      <c r="AC33" s="32">
        <f>Workings_risks!Y43</f>
        <v>0</v>
      </c>
      <c r="AD33" s="32">
        <f>Workings_risks!Z43</f>
        <v>0</v>
      </c>
      <c r="AE33" s="32">
        <f>Workings_risks!AA43</f>
        <v>0</v>
      </c>
      <c r="AF33" s="32">
        <f>Workings_risks!AB43</f>
        <v>0</v>
      </c>
      <c r="AG33" s="32">
        <f>Workings_risks!AC43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59181504.833186537</v>
      </c>
      <c r="J36" s="170">
        <f t="shared" ref="J36:AG36" si="2">SUM(J28:J34)</f>
        <v>58746284.27954942</v>
      </c>
      <c r="K36" s="170">
        <f t="shared" si="2"/>
        <v>58746284.27954942</v>
      </c>
      <c r="L36" s="170">
        <f t="shared" si="2"/>
        <v>58746284.27954942</v>
      </c>
      <c r="M36" s="170">
        <f t="shared" si="2"/>
        <v>58746284.27954942</v>
      </c>
      <c r="N36" s="170">
        <f t="shared" si="2"/>
        <v>58746284.27954942</v>
      </c>
      <c r="O36" s="170">
        <f t="shared" si="2"/>
        <v>58746284.27954942</v>
      </c>
      <c r="P36" s="170">
        <f t="shared" si="2"/>
        <v>58746284.27954942</v>
      </c>
      <c r="Q36" s="170">
        <f t="shared" si="2"/>
        <v>58746284.27954942</v>
      </c>
      <c r="R36" s="170">
        <f t="shared" si="2"/>
        <v>58746284.27954942</v>
      </c>
      <c r="S36" s="170">
        <f t="shared" si="2"/>
        <v>58746284.27954942</v>
      </c>
      <c r="T36" s="170">
        <f t="shared" si="2"/>
        <v>58746284.27954942</v>
      </c>
      <c r="U36" s="170">
        <f t="shared" si="2"/>
        <v>58746284.27954942</v>
      </c>
      <c r="V36" s="170">
        <f t="shared" si="2"/>
        <v>58746284.27954942</v>
      </c>
      <c r="W36" s="170">
        <f t="shared" si="2"/>
        <v>58746284.27954942</v>
      </c>
      <c r="X36" s="170">
        <f t="shared" si="2"/>
        <v>58746284.27954942</v>
      </c>
      <c r="Y36" s="170">
        <f t="shared" si="2"/>
        <v>58746284.27954942</v>
      </c>
      <c r="Z36" s="170">
        <f t="shared" si="2"/>
        <v>58746284.27954942</v>
      </c>
      <c r="AA36" s="170">
        <f t="shared" si="2"/>
        <v>58746284.27954942</v>
      </c>
      <c r="AB36" s="170">
        <f t="shared" si="2"/>
        <v>58746284.27954942</v>
      </c>
      <c r="AC36" s="170">
        <f t="shared" si="2"/>
        <v>0</v>
      </c>
      <c r="AD36" s="170">
        <f t="shared" si="2"/>
        <v>0</v>
      </c>
      <c r="AE36" s="170">
        <f t="shared" si="2"/>
        <v>0</v>
      </c>
      <c r="AF36" s="170">
        <f t="shared" si="2"/>
        <v>0</v>
      </c>
      <c r="AG36" s="170">
        <f t="shared" si="2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2">
      <c r="C49" s="1" t="s">
        <v>9</v>
      </c>
      <c r="D49" s="205" t="s">
        <v>204</v>
      </c>
      <c r="E49" s="112">
        <f>Assumptions!G98</f>
        <v>0.35181336539087127</v>
      </c>
      <c r="G49" s="207" t="s">
        <v>205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2">
      <c r="C50" s="1" t="s">
        <v>10</v>
      </c>
      <c r="D50" s="205" t="s">
        <v>204</v>
      </c>
      <c r="E50" s="112">
        <f>Assumptions!G99</f>
        <v>0.35181336539087127</v>
      </c>
      <c r="G50" s="207" t="s">
        <v>205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435220.55363711715</v>
      </c>
      <c r="J64" s="132">
        <f>(1-INDEX(Data!$C$9:$C$13, MATCH($A$3, options,0)))*('Option1 (base case)'!J36-J36)</f>
        <v>870441.10727423429</v>
      </c>
      <c r="K64" s="132">
        <f>(1-INDEX(Data!$C$9:$C$13, MATCH($A$3, options,0)))*('Option1 (base case)'!K36-K36)</f>
        <v>870441.10727423429</v>
      </c>
      <c r="L64" s="132">
        <f>(1-INDEX(Data!$C$9:$C$13, MATCH($A$3, options,0)))*('Option1 (base case)'!L36-L36)</f>
        <v>870441.10727423429</v>
      </c>
      <c r="M64" s="132">
        <f>(1-INDEX(Data!$C$9:$C$13, MATCH($A$3, options,0)))*('Option1 (base case)'!M36-M36)</f>
        <v>870441.10727423429</v>
      </c>
      <c r="N64" s="132">
        <f>(1-INDEX(Data!$C$9:$C$13, MATCH($A$3, options,0)))*('Option1 (base case)'!N36-N36)</f>
        <v>870441.10727423429</v>
      </c>
      <c r="O64" s="132">
        <f>(1-INDEX(Data!$C$9:$C$13, MATCH($A$3, options,0)))*('Option1 (base case)'!O36-O36)</f>
        <v>870441.10727423429</v>
      </c>
      <c r="P64" s="132">
        <f>(1-INDEX(Data!$C$9:$C$13, MATCH($A$3, options,0)))*('Option1 (base case)'!P36-P36)</f>
        <v>870441.10727423429</v>
      </c>
      <c r="Q64" s="132">
        <f>(1-INDEX(Data!$C$9:$C$13, MATCH($A$3, options,0)))*('Option1 (base case)'!Q36-Q36)</f>
        <v>870441.10727423429</v>
      </c>
      <c r="R64" s="132">
        <f>(1-INDEX(Data!$C$9:$C$13, MATCH($A$3, options,0)))*('Option1 (base case)'!R36-R36)</f>
        <v>870441.10727423429</v>
      </c>
      <c r="S64" s="132">
        <f>(1-INDEX(Data!$C$9:$C$13, MATCH($A$3, options,0)))*('Option1 (base case)'!S36-S36)</f>
        <v>870441.10727423429</v>
      </c>
      <c r="T64" s="132">
        <f>(1-INDEX(Data!$C$9:$C$13, MATCH($A$3, options,0)))*('Option1 (base case)'!T36-T36)</f>
        <v>870441.10727423429</v>
      </c>
      <c r="U64" s="132">
        <f>(1-INDEX(Data!$C$9:$C$13, MATCH($A$3, options,0)))*('Option1 (base case)'!U36-U36)</f>
        <v>870441.10727423429</v>
      </c>
      <c r="V64" s="132">
        <f>(1-INDEX(Data!$C$9:$C$13, MATCH($A$3, options,0)))*('Option1 (base case)'!V36-V36)</f>
        <v>870441.10727423429</v>
      </c>
      <c r="W64" s="132">
        <f>(1-INDEX(Data!$C$9:$C$13, MATCH($A$3, options,0)))*('Option1 (base case)'!W36-W36)</f>
        <v>870441.10727423429</v>
      </c>
      <c r="X64" s="132">
        <f>(1-INDEX(Data!$C$9:$C$13, MATCH($A$3, options,0)))*('Option1 (base case)'!X36-X36)</f>
        <v>870441.10727423429</v>
      </c>
      <c r="Y64" s="132">
        <f>(1-INDEX(Data!$C$9:$C$13, MATCH($A$3, options,0)))*('Option1 (base case)'!Y36-Y36)</f>
        <v>870441.10727423429</v>
      </c>
      <c r="Z64" s="132">
        <f>(1-INDEX(Data!$C$9:$C$13, MATCH($A$3, options,0)))*('Option1 (base case)'!Z36-Z36)</f>
        <v>870441.10727423429</v>
      </c>
      <c r="AA64" s="132">
        <f>(1-INDEX(Data!$C$9:$C$13, MATCH($A$3, options,0)))*('Option1 (base case)'!AA36-AA36)</f>
        <v>870441.10727423429</v>
      </c>
      <c r="AB64" s="132">
        <f>(1-INDEX(Data!$C$9:$C$13, MATCH($A$3, options,0)))*('Option1 (base case)'!AB36-AB36)</f>
        <v>870441.10727423429</v>
      </c>
      <c r="AC64" s="132">
        <f>(1-INDEX(Data!$C$9:$C$13, MATCH($A$3, options,0)))*('Option1 (base case)'!AC36-AC36)</f>
        <v>59616725.386823654</v>
      </c>
      <c r="AD64" s="132">
        <f>(1-INDEX(Data!$C$9:$C$13, MATCH($A$3, options,0)))*('Option1 (base case)'!AD36-AD36)</f>
        <v>59616725.386823654</v>
      </c>
      <c r="AE64" s="132">
        <f>(1-INDEX(Data!$C$9:$C$13, MATCH($A$3, options,0)))*('Option1 (base case)'!AE36-AE36)</f>
        <v>59616725.386823654</v>
      </c>
      <c r="AF64" s="132">
        <f>(1-INDEX(Data!$C$9:$C$13, MATCH($A$3, options,0)))*('Option1 (base case)'!AF36-AF36)</f>
        <v>59616725.386823654</v>
      </c>
      <c r="AG64" s="132">
        <f>(1-INDEX(Data!$C$9:$C$13, MATCH($A$3, options,0)))*('Option1 (base case)'!AG36-AG36)</f>
        <v>59616725.386823654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Covered conductor</v>
      </c>
      <c r="D67" s="38"/>
      <c r="F67" s="97"/>
      <c r="G67" s="210">
        <f>input_dollars</f>
        <v>45291</v>
      </c>
      <c r="H67" s="31"/>
      <c r="I67" s="119">
        <f t="shared" ref="I67:AG67" si="4">-I14</f>
        <v>-4712000</v>
      </c>
      <c r="J67" s="119">
        <f t="shared" si="4"/>
        <v>-4712000</v>
      </c>
      <c r="K67" s="119">
        <f t="shared" si="4"/>
        <v>0</v>
      </c>
      <c r="L67" s="119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Covered conductor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-4712000</v>
      </c>
      <c r="J72" s="119" cm="1">
        <f t="array" ref="J72">SUMPRODUCT(($I67:J67))-SUMPRODUCT(($I67:J67)*($I$6:J$6&lt;=(J$6-$E14)))</f>
        <v>-9424000</v>
      </c>
      <c r="K72" s="119" cm="1">
        <f t="array" ref="K72">SUMPRODUCT(($I67:K67))-SUMPRODUCT(($I67:K67)*($I$6:K$6&lt;=(K$6-$E14)))</f>
        <v>-9424000</v>
      </c>
      <c r="L72" s="119" cm="1">
        <f t="array" ref="L72">SUMPRODUCT(($I67:L67))-SUMPRODUCT(($I67:L67)*($I$6:L$6&lt;=(L$6-$E14)))</f>
        <v>-9424000</v>
      </c>
      <c r="M72" s="119" cm="1">
        <f t="array" ref="M72">SUMPRODUCT(($I67:M67))-SUMPRODUCT(($I67:M67)*($I$6:M$6&lt;=(M$6-$E14)))</f>
        <v>-9424000</v>
      </c>
      <c r="N72" s="119" cm="1">
        <f t="array" ref="N72">SUMPRODUCT(($I67:N67))-SUMPRODUCT(($I67:N67)*($I$6:N$6&lt;=(N$6-$E14)))</f>
        <v>-9424000</v>
      </c>
      <c r="O72" s="119" cm="1">
        <f t="array" ref="O72">SUMPRODUCT(($I67:O67))-SUMPRODUCT(($I67:O67)*($I$6:O$6&lt;=(O$6-$E14)))</f>
        <v>-9424000</v>
      </c>
      <c r="P72" s="119" cm="1">
        <f t="array" ref="P72">SUMPRODUCT(($I67:P67))-SUMPRODUCT(($I67:P67)*($I$6:P$6&lt;=(P$6-$E14)))</f>
        <v>-9424000</v>
      </c>
      <c r="Q72" s="119" cm="1">
        <f t="array" ref="Q72">SUMPRODUCT(($I67:Q67))-SUMPRODUCT(($I67:Q67)*($I$6:Q$6&lt;=(Q$6-$E14)))</f>
        <v>-9424000</v>
      </c>
      <c r="R72" s="119" cm="1">
        <f t="array" ref="R72">SUMPRODUCT(($I67:R67))-SUMPRODUCT(($I67:R67)*($I$6:R$6&lt;=(R$6-$E14)))</f>
        <v>-9424000</v>
      </c>
      <c r="S72" s="119" cm="1">
        <f t="array" ref="S72">SUMPRODUCT(($I67:S67))-SUMPRODUCT(($I67:S67)*($I$6:S$6&lt;=(S$6-$E14)))</f>
        <v>-9424000</v>
      </c>
      <c r="T72" s="119" cm="1">
        <f t="array" ref="T72">SUMPRODUCT(($I67:T67))-SUMPRODUCT(($I67:T67)*($I$6:T$6&lt;=(T$6-$E14)))</f>
        <v>-9424000</v>
      </c>
      <c r="U72" s="119" cm="1">
        <f t="array" ref="U72">SUMPRODUCT(($I67:U67))-SUMPRODUCT(($I67:U67)*($I$6:U$6&lt;=(U$6-$E14)))</f>
        <v>-9424000</v>
      </c>
      <c r="V72" s="119" cm="1">
        <f t="array" ref="V72">SUMPRODUCT(($I67:V67))-SUMPRODUCT(($I67:V67)*($I$6:V$6&lt;=(V$6-$E14)))</f>
        <v>-9424000</v>
      </c>
      <c r="W72" s="119" cm="1">
        <f t="array" ref="W72">SUMPRODUCT(($I67:W67))-SUMPRODUCT(($I67:W67)*($I$6:W$6&lt;=(W$6-$E14)))</f>
        <v>-9424000</v>
      </c>
      <c r="X72" s="119" cm="1">
        <f t="array" ref="X72">SUMPRODUCT(($I67:X67))-SUMPRODUCT(($I67:X67)*($I$6:X$6&lt;=(X$6-$E14)))</f>
        <v>-9424000</v>
      </c>
      <c r="Y72" s="119" cm="1">
        <f t="array" ref="Y72">SUMPRODUCT(($I67:Y67))-SUMPRODUCT(($I67:Y67)*($I$6:Y$6&lt;=(Y$6-$E14)))</f>
        <v>-9424000</v>
      </c>
      <c r="Z72" s="119" cm="1">
        <f t="array" ref="Z72">SUMPRODUCT(($I67:Z67))-SUMPRODUCT(($I67:Z67)*($I$6:Z$6&lt;=(Z$6-$E14)))</f>
        <v>-9424000</v>
      </c>
      <c r="AA72" s="119" cm="1">
        <f t="array" ref="AA72">SUMPRODUCT(($I67:AA67))-SUMPRODUCT(($I67:AA67)*($I$6:AA$6&lt;=(AA$6-$E14)))</f>
        <v>-9424000</v>
      </c>
      <c r="AB72" s="119" cm="1">
        <f t="array" ref="AB72">SUMPRODUCT(($I67:AB67))-SUMPRODUCT(($I67:AB67)*($I$6:AB$6&lt;=(AB$6-$E14)))</f>
        <v>-9424000</v>
      </c>
      <c r="AC72" s="119" cm="1">
        <f t="array" ref="AC72">SUMPRODUCT(($I67:AC67))-SUMPRODUCT(($I67:AC67)*($I$6:AC$6&lt;=(AC$6-$E14)))</f>
        <v>-9424000</v>
      </c>
      <c r="AD72" s="119" cm="1">
        <f t="array" ref="AD72">SUMPRODUCT(($I67:AD67))-SUMPRODUCT(($I67:AD67)*($I$6:AD$6&lt;=(AD$6-$E14)))</f>
        <v>-9424000</v>
      </c>
      <c r="AE72" s="119" cm="1">
        <f t="array" ref="AE72">SUMPRODUCT(($I67:AE67))-SUMPRODUCT(($I67:AE67)*($I$6:AE$6&lt;=(AE$6-$E14)))</f>
        <v>-9424000</v>
      </c>
      <c r="AF72" s="119" cm="1">
        <f t="array" ref="AF72">SUMPRODUCT(($I67:AF67))-SUMPRODUCT(($I67:AF67)*($I$6:AF$6&lt;=(AF$6-$E14)))</f>
        <v>-9424000</v>
      </c>
      <c r="AG72" s="119" cm="1">
        <f t="array" ref="AG72">SUMPRODUCT(($I67:AG67))-SUMPRODUCT(($I67:AG67)*($I$6:AG$6&lt;=(AG$6-$E14)))</f>
        <v>-9424000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Covered conductor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-256197.71453417974</v>
      </c>
      <c r="K77" s="119">
        <f t="shared" si="7"/>
        <v>-512395.42906835949</v>
      </c>
      <c r="L77" s="119">
        <f t="shared" si="7"/>
        <v>-512395.42906835949</v>
      </c>
      <c r="M77" s="119">
        <f t="shared" si="7"/>
        <v>-512395.42906835949</v>
      </c>
      <c r="N77" s="119">
        <f t="shared" si="7"/>
        <v>-512395.42906835949</v>
      </c>
      <c r="O77" s="119">
        <f t="shared" si="7"/>
        <v>-512395.42906835949</v>
      </c>
      <c r="P77" s="119">
        <f t="shared" si="7"/>
        <v>-512395.42906835949</v>
      </c>
      <c r="Q77" s="119">
        <f t="shared" si="7"/>
        <v>-512395.42906835949</v>
      </c>
      <c r="R77" s="119">
        <f t="shared" si="7"/>
        <v>-512395.42906835949</v>
      </c>
      <c r="S77" s="119">
        <f t="shared" si="7"/>
        <v>-512395.42906835949</v>
      </c>
      <c r="T77" s="119">
        <f t="shared" si="7"/>
        <v>-512395.42906835949</v>
      </c>
      <c r="U77" s="119">
        <f t="shared" si="7"/>
        <v>-512395.42906835949</v>
      </c>
      <c r="V77" s="119">
        <f t="shared" si="7"/>
        <v>-512395.42906835949</v>
      </c>
      <c r="W77" s="119">
        <f t="shared" si="7"/>
        <v>-512395.42906835949</v>
      </c>
      <c r="X77" s="119">
        <f t="shared" si="7"/>
        <v>-512395.42906835949</v>
      </c>
      <c r="Y77" s="119">
        <f t="shared" si="7"/>
        <v>-512395.42906835949</v>
      </c>
      <c r="Z77" s="119">
        <f t="shared" si="7"/>
        <v>-512395.42906835949</v>
      </c>
      <c r="AA77" s="119">
        <f t="shared" si="7"/>
        <v>-512395.42906835949</v>
      </c>
      <c r="AB77" s="119">
        <f t="shared" si="7"/>
        <v>-512395.42906835949</v>
      </c>
      <c r="AC77" s="119">
        <f t="shared" si="7"/>
        <v>-512395.42906835949</v>
      </c>
      <c r="AD77" s="119">
        <f t="shared" si="7"/>
        <v>-512395.42906835949</v>
      </c>
      <c r="AE77" s="119">
        <f t="shared" si="7"/>
        <v>-512395.42906835949</v>
      </c>
      <c r="AF77" s="119">
        <f t="shared" si="7"/>
        <v>-512395.42906835949</v>
      </c>
      <c r="AG77" s="119">
        <f t="shared" si="7"/>
        <v>-512395.42906835949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-256197.71453417974</v>
      </c>
      <c r="K80" s="176">
        <f t="shared" si="10"/>
        <v>-512395.42906835949</v>
      </c>
      <c r="L80" s="176">
        <f t="shared" si="10"/>
        <v>-512395.42906835949</v>
      </c>
      <c r="M80" s="176">
        <f t="shared" si="10"/>
        <v>-512395.42906835949</v>
      </c>
      <c r="N80" s="176">
        <f t="shared" si="10"/>
        <v>-512395.42906835949</v>
      </c>
      <c r="O80" s="176">
        <f t="shared" si="10"/>
        <v>-512395.42906835949</v>
      </c>
      <c r="P80" s="176">
        <f t="shared" si="10"/>
        <v>-512395.42906835949</v>
      </c>
      <c r="Q80" s="176">
        <f t="shared" si="10"/>
        <v>-512395.42906835949</v>
      </c>
      <c r="R80" s="176">
        <f t="shared" si="10"/>
        <v>-512395.42906835949</v>
      </c>
      <c r="S80" s="176">
        <f t="shared" si="10"/>
        <v>-512395.42906835949</v>
      </c>
      <c r="T80" s="176">
        <f t="shared" si="10"/>
        <v>-512395.42906835949</v>
      </c>
      <c r="U80" s="176">
        <f t="shared" si="10"/>
        <v>-512395.42906835949</v>
      </c>
      <c r="V80" s="176">
        <f t="shared" si="10"/>
        <v>-512395.42906835949</v>
      </c>
      <c r="W80" s="176">
        <f t="shared" si="10"/>
        <v>-512395.42906835949</v>
      </c>
      <c r="X80" s="176">
        <f t="shared" si="10"/>
        <v>-512395.42906835949</v>
      </c>
      <c r="Y80" s="176">
        <f t="shared" si="10"/>
        <v>-512395.42906835949</v>
      </c>
      <c r="Z80" s="176">
        <f t="shared" si="10"/>
        <v>-512395.42906835949</v>
      </c>
      <c r="AA80" s="176">
        <f t="shared" si="10"/>
        <v>-512395.42906835949</v>
      </c>
      <c r="AB80" s="176">
        <f t="shared" si="10"/>
        <v>-512395.42906835949</v>
      </c>
      <c r="AC80" s="176">
        <f>SUM(AC77:AC79)</f>
        <v>-512395.42906835949</v>
      </c>
      <c r="AD80" s="176">
        <f>SUM(AD77:AD79)</f>
        <v>-512395.42906835949</v>
      </c>
      <c r="AE80" s="176">
        <f>SUM(AE77:AE79)</f>
        <v>-512395.42906835949</v>
      </c>
      <c r="AF80" s="176">
        <f>SUM(AF77:AF79)</f>
        <v>-512395.42906835949</v>
      </c>
      <c r="AG80" s="176">
        <f>SUM(AG77:AG79)</f>
        <v>-512395.42906835949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-256197.71453417974</v>
      </c>
      <c r="K82" s="119">
        <f t="shared" si="12"/>
        <v>-512395.42906835949</v>
      </c>
      <c r="L82" s="119">
        <f t="shared" si="12"/>
        <v>-512395.42906835949</v>
      </c>
      <c r="M82" s="119">
        <f t="shared" si="12"/>
        <v>-512395.42906835949</v>
      </c>
      <c r="N82" s="119">
        <f t="shared" si="12"/>
        <v>-512395.42906835949</v>
      </c>
      <c r="O82" s="119">
        <f t="shared" si="12"/>
        <v>-512395.42906835949</v>
      </c>
      <c r="P82" s="119">
        <f t="shared" si="12"/>
        <v>-512395.42906835949</v>
      </c>
      <c r="Q82" s="119">
        <f t="shared" si="12"/>
        <v>-512395.42906835949</v>
      </c>
      <c r="R82" s="119">
        <f t="shared" si="12"/>
        <v>-512395.42906835949</v>
      </c>
      <c r="S82" s="119">
        <f t="shared" si="12"/>
        <v>-512395.42906835949</v>
      </c>
      <c r="T82" s="119">
        <f t="shared" si="12"/>
        <v>-512395.42906835949</v>
      </c>
      <c r="U82" s="119">
        <f t="shared" si="12"/>
        <v>-512395.42906835949</v>
      </c>
      <c r="V82" s="119">
        <f t="shared" si="12"/>
        <v>-512395.42906835949</v>
      </c>
      <c r="W82" s="119">
        <f t="shared" si="12"/>
        <v>-512395.42906835949</v>
      </c>
      <c r="X82" s="119">
        <f t="shared" si="12"/>
        <v>-512395.42906835949</v>
      </c>
      <c r="Y82" s="119">
        <f t="shared" si="12"/>
        <v>-512395.42906835949</v>
      </c>
      <c r="Z82" s="119">
        <f t="shared" si="12"/>
        <v>-512395.42906835949</v>
      </c>
      <c r="AA82" s="119">
        <f t="shared" si="12"/>
        <v>-512395.42906835949</v>
      </c>
      <c r="AB82" s="119">
        <f t="shared" si="12"/>
        <v>-512395.42906835949</v>
      </c>
      <c r="AC82" s="119">
        <f>AC80</f>
        <v>-512395.42906835949</v>
      </c>
      <c r="AD82" s="119">
        <f>AD80</f>
        <v>-512395.42906835949</v>
      </c>
      <c r="AE82" s="119">
        <f>AE80</f>
        <v>-512395.42906835949</v>
      </c>
      <c r="AF82" s="119">
        <f>AF80</f>
        <v>-512395.42906835949</v>
      </c>
      <c r="AG82" s="119">
        <f>AG80</f>
        <v>-512395.42906835949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1"/>
        <v>45291</v>
      </c>
      <c r="H84" s="31"/>
      <c r="I84" s="31">
        <f>I64</f>
        <v>435220.55363711715</v>
      </c>
      <c r="J84" s="31">
        <f t="shared" ref="J84:AB84" si="14">J64</f>
        <v>870441.10727423429</v>
      </c>
      <c r="K84" s="31">
        <f t="shared" si="14"/>
        <v>870441.10727423429</v>
      </c>
      <c r="L84" s="31">
        <f t="shared" si="14"/>
        <v>870441.10727423429</v>
      </c>
      <c r="M84" s="31">
        <f t="shared" si="14"/>
        <v>870441.10727423429</v>
      </c>
      <c r="N84" s="31">
        <f t="shared" si="14"/>
        <v>870441.10727423429</v>
      </c>
      <c r="O84" s="31">
        <f t="shared" si="14"/>
        <v>870441.10727423429</v>
      </c>
      <c r="P84" s="31">
        <f t="shared" si="14"/>
        <v>870441.10727423429</v>
      </c>
      <c r="Q84" s="31">
        <f t="shared" si="14"/>
        <v>870441.10727423429</v>
      </c>
      <c r="R84" s="31">
        <f t="shared" si="14"/>
        <v>870441.10727423429</v>
      </c>
      <c r="S84" s="31">
        <f t="shared" si="14"/>
        <v>870441.10727423429</v>
      </c>
      <c r="T84" s="31">
        <f t="shared" si="14"/>
        <v>870441.10727423429</v>
      </c>
      <c r="U84" s="31">
        <f t="shared" si="14"/>
        <v>870441.10727423429</v>
      </c>
      <c r="V84" s="31">
        <f t="shared" si="14"/>
        <v>870441.10727423429</v>
      </c>
      <c r="W84" s="31">
        <f t="shared" si="14"/>
        <v>870441.10727423429</v>
      </c>
      <c r="X84" s="31">
        <f t="shared" si="14"/>
        <v>870441.10727423429</v>
      </c>
      <c r="Y84" s="31">
        <f t="shared" si="14"/>
        <v>870441.10727423429</v>
      </c>
      <c r="Z84" s="31">
        <f t="shared" si="14"/>
        <v>870441.10727423429</v>
      </c>
      <c r="AA84" s="31">
        <f t="shared" si="14"/>
        <v>870441.10727423429</v>
      </c>
      <c r="AB84" s="31">
        <f t="shared" si="14"/>
        <v>870441.10727423429</v>
      </c>
      <c r="AC84" s="31">
        <f>AC64</f>
        <v>59616725.386823654</v>
      </c>
      <c r="AD84" s="31">
        <f>AD64</f>
        <v>59616725.386823654</v>
      </c>
      <c r="AE84" s="31">
        <f>AE64</f>
        <v>59616725.386823654</v>
      </c>
      <c r="AF84" s="31">
        <f>AF64</f>
        <v>59616725.386823654</v>
      </c>
      <c r="AG84" s="31">
        <f>AG64</f>
        <v>59616725.386823654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435220.55363711715</v>
      </c>
      <c r="J87" s="179">
        <f t="shared" si="16"/>
        <v>614243.39274005452</v>
      </c>
      <c r="K87" s="179">
        <f t="shared" si="16"/>
        <v>358045.67820587481</v>
      </c>
      <c r="L87" s="179">
        <f t="shared" si="16"/>
        <v>358045.67820587481</v>
      </c>
      <c r="M87" s="179">
        <f t="shared" si="16"/>
        <v>358045.67820587481</v>
      </c>
      <c r="N87" s="179">
        <f t="shared" si="16"/>
        <v>358045.67820587481</v>
      </c>
      <c r="O87" s="179">
        <f t="shared" si="16"/>
        <v>358045.67820587481</v>
      </c>
      <c r="P87" s="179">
        <f t="shared" si="16"/>
        <v>358045.67820587481</v>
      </c>
      <c r="Q87" s="179">
        <f t="shared" si="16"/>
        <v>358045.67820587481</v>
      </c>
      <c r="R87" s="179">
        <f t="shared" si="16"/>
        <v>358045.67820587481</v>
      </c>
      <c r="S87" s="179">
        <f t="shared" si="16"/>
        <v>358045.67820587481</v>
      </c>
      <c r="T87" s="179">
        <f t="shared" si="16"/>
        <v>358045.67820587481</v>
      </c>
      <c r="U87" s="179">
        <f t="shared" si="16"/>
        <v>358045.67820587481</v>
      </c>
      <c r="V87" s="179">
        <f t="shared" si="16"/>
        <v>358045.67820587481</v>
      </c>
      <c r="W87" s="179">
        <f t="shared" si="16"/>
        <v>358045.67820587481</v>
      </c>
      <c r="X87" s="179">
        <f t="shared" si="16"/>
        <v>358045.67820587481</v>
      </c>
      <c r="Y87" s="179">
        <f t="shared" si="16"/>
        <v>358045.67820587481</v>
      </c>
      <c r="Z87" s="179">
        <f t="shared" si="16"/>
        <v>358045.67820587481</v>
      </c>
      <c r="AA87" s="179">
        <f t="shared" si="16"/>
        <v>358045.67820587481</v>
      </c>
      <c r="AB87" s="179">
        <f t="shared" si="16"/>
        <v>358045.67820587481</v>
      </c>
      <c r="AC87" s="179">
        <f>SUM(AC82:AC86)</f>
        <v>59104329.957755297</v>
      </c>
      <c r="AD87" s="179">
        <f>SUM(AD82:AD86)</f>
        <v>59104329.957755297</v>
      </c>
      <c r="AE87" s="179">
        <f>SUM(AE82:AE86)</f>
        <v>59104329.957755297</v>
      </c>
      <c r="AF87" s="179">
        <f>SUM(AF82:AF86)</f>
        <v>59104329.957755297</v>
      </c>
      <c r="AG87" s="179">
        <f>SUM(AG82:AG86)</f>
        <v>59104329.957755297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2NPV</v>
      </c>
      <c r="I106" s="31">
        <f>I87</f>
        <v>435220.55363711715</v>
      </c>
      <c r="J106" s="31">
        <f t="shared" ref="J106:AG106" si="17">J87</f>
        <v>614243.39274005452</v>
      </c>
      <c r="K106" s="31">
        <f t="shared" si="17"/>
        <v>358045.67820587481</v>
      </c>
      <c r="L106" s="31">
        <f t="shared" si="17"/>
        <v>358045.67820587481</v>
      </c>
      <c r="M106" s="31">
        <f t="shared" si="17"/>
        <v>358045.67820587481</v>
      </c>
      <c r="N106" s="31">
        <f t="shared" si="17"/>
        <v>358045.67820587481</v>
      </c>
      <c r="O106" s="31">
        <f t="shared" si="17"/>
        <v>358045.67820587481</v>
      </c>
      <c r="P106" s="31">
        <f t="shared" si="17"/>
        <v>358045.67820587481</v>
      </c>
      <c r="Q106" s="31">
        <f t="shared" si="17"/>
        <v>358045.67820587481</v>
      </c>
      <c r="R106" s="31">
        <f t="shared" si="17"/>
        <v>358045.67820587481</v>
      </c>
      <c r="S106" s="31">
        <f t="shared" si="17"/>
        <v>358045.67820587481</v>
      </c>
      <c r="T106" s="31">
        <f t="shared" si="17"/>
        <v>358045.67820587481</v>
      </c>
      <c r="U106" s="31">
        <f t="shared" si="17"/>
        <v>358045.67820587481</v>
      </c>
      <c r="V106" s="31">
        <f t="shared" si="17"/>
        <v>358045.67820587481</v>
      </c>
      <c r="W106" s="31">
        <f t="shared" si="17"/>
        <v>358045.67820587481</v>
      </c>
      <c r="X106" s="31">
        <f t="shared" si="17"/>
        <v>358045.67820587481</v>
      </c>
      <c r="Y106" s="31">
        <f t="shared" si="17"/>
        <v>358045.67820587481</v>
      </c>
      <c r="Z106" s="31">
        <f t="shared" si="17"/>
        <v>358045.67820587481</v>
      </c>
      <c r="AA106" s="31">
        <f t="shared" si="17"/>
        <v>358045.67820587481</v>
      </c>
      <c r="AB106" s="31">
        <f t="shared" si="17"/>
        <v>358045.67820587481</v>
      </c>
      <c r="AC106" s="31">
        <f t="shared" si="17"/>
        <v>59104329.957755297</v>
      </c>
      <c r="AD106" s="31">
        <f t="shared" si="17"/>
        <v>59104329.957755297</v>
      </c>
      <c r="AE106" s="31">
        <f t="shared" si="17"/>
        <v>59104329.957755297</v>
      </c>
      <c r="AF106" s="31">
        <f t="shared" si="17"/>
        <v>59104329.957755297</v>
      </c>
      <c r="AG106" s="31">
        <f t="shared" si="17"/>
        <v>59104329.957755297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8">J82</f>
        <v>-256197.71453417974</v>
      </c>
      <c r="K107" s="31">
        <f t="shared" si="18"/>
        <v>-512395.42906835949</v>
      </c>
      <c r="L107" s="31">
        <f t="shared" si="18"/>
        <v>-512395.42906835949</v>
      </c>
      <c r="M107" s="31">
        <f t="shared" si="18"/>
        <v>-512395.42906835949</v>
      </c>
      <c r="N107" s="31">
        <f t="shared" si="18"/>
        <v>-512395.42906835949</v>
      </c>
      <c r="O107" s="31">
        <f t="shared" si="18"/>
        <v>-512395.42906835949</v>
      </c>
      <c r="P107" s="31">
        <f t="shared" si="18"/>
        <v>-512395.42906835949</v>
      </c>
      <c r="Q107" s="31">
        <f t="shared" si="18"/>
        <v>-512395.42906835949</v>
      </c>
      <c r="R107" s="31">
        <f t="shared" si="18"/>
        <v>-512395.42906835949</v>
      </c>
      <c r="S107" s="31">
        <f t="shared" si="18"/>
        <v>-512395.42906835949</v>
      </c>
      <c r="T107" s="31">
        <f t="shared" si="18"/>
        <v>-512395.42906835949</v>
      </c>
      <c r="U107" s="31">
        <f t="shared" si="18"/>
        <v>-512395.42906835949</v>
      </c>
      <c r="V107" s="31">
        <f t="shared" si="18"/>
        <v>-512395.42906835949</v>
      </c>
      <c r="W107" s="31">
        <f t="shared" si="18"/>
        <v>-512395.42906835949</v>
      </c>
      <c r="X107" s="31">
        <f t="shared" si="18"/>
        <v>-512395.42906835949</v>
      </c>
      <c r="Y107" s="31">
        <f t="shared" si="18"/>
        <v>-512395.42906835949</v>
      </c>
      <c r="Z107" s="31">
        <f t="shared" si="18"/>
        <v>-512395.42906835949</v>
      </c>
      <c r="AA107" s="31">
        <f t="shared" si="18"/>
        <v>-512395.42906835949</v>
      </c>
      <c r="AB107" s="31">
        <f t="shared" si="18"/>
        <v>-512395.42906835949</v>
      </c>
      <c r="AC107" s="31">
        <f t="shared" si="18"/>
        <v>-512395.42906835949</v>
      </c>
      <c r="AD107" s="31">
        <f t="shared" si="18"/>
        <v>-512395.42906835949</v>
      </c>
      <c r="AE107" s="31">
        <f t="shared" si="18"/>
        <v>-512395.42906835949</v>
      </c>
      <c r="AF107" s="31">
        <f t="shared" si="18"/>
        <v>-512395.42906835949</v>
      </c>
      <c r="AG107" s="31">
        <f t="shared" si="18"/>
        <v>-512395.42906835949</v>
      </c>
    </row>
    <row r="108" spans="1:43" x14ac:dyDescent="0.2">
      <c r="C108" s="1" t="s">
        <v>239</v>
      </c>
      <c r="D108" s="252"/>
      <c r="E108" s="38"/>
      <c r="I108" s="31">
        <f>SUM(I84:I85)</f>
        <v>435220.55363711715</v>
      </c>
      <c r="J108" s="31">
        <f t="shared" ref="J108:AG108" si="19">SUM(J84:J85)</f>
        <v>870441.10727423429</v>
      </c>
      <c r="K108" s="31">
        <f t="shared" si="19"/>
        <v>870441.10727423429</v>
      </c>
      <c r="L108" s="31">
        <f t="shared" si="19"/>
        <v>870441.10727423429</v>
      </c>
      <c r="M108" s="31">
        <f t="shared" si="19"/>
        <v>870441.10727423429</v>
      </c>
      <c r="N108" s="31">
        <f t="shared" si="19"/>
        <v>870441.10727423429</v>
      </c>
      <c r="O108" s="31">
        <f t="shared" si="19"/>
        <v>870441.10727423429</v>
      </c>
      <c r="P108" s="31">
        <f t="shared" si="19"/>
        <v>870441.10727423429</v>
      </c>
      <c r="Q108" s="31">
        <f t="shared" si="19"/>
        <v>870441.10727423429</v>
      </c>
      <c r="R108" s="31">
        <f t="shared" si="19"/>
        <v>870441.10727423429</v>
      </c>
      <c r="S108" s="31">
        <f t="shared" si="19"/>
        <v>870441.10727423429</v>
      </c>
      <c r="T108" s="31">
        <f t="shared" si="19"/>
        <v>870441.10727423429</v>
      </c>
      <c r="U108" s="31">
        <f t="shared" si="19"/>
        <v>870441.10727423429</v>
      </c>
      <c r="V108" s="31">
        <f t="shared" si="19"/>
        <v>870441.10727423429</v>
      </c>
      <c r="W108" s="31">
        <f t="shared" si="19"/>
        <v>870441.10727423429</v>
      </c>
      <c r="X108" s="31">
        <f t="shared" si="19"/>
        <v>870441.10727423429</v>
      </c>
      <c r="Y108" s="31">
        <f t="shared" si="19"/>
        <v>870441.10727423429</v>
      </c>
      <c r="Z108" s="31">
        <f t="shared" si="19"/>
        <v>870441.10727423429</v>
      </c>
      <c r="AA108" s="31">
        <f t="shared" si="19"/>
        <v>870441.10727423429</v>
      </c>
      <c r="AB108" s="31">
        <f t="shared" si="19"/>
        <v>870441.10727423429</v>
      </c>
      <c r="AC108" s="31">
        <f t="shared" si="19"/>
        <v>59616725.386823654</v>
      </c>
      <c r="AD108" s="31">
        <f t="shared" si="19"/>
        <v>59616725.386823654</v>
      </c>
      <c r="AE108" s="31">
        <f t="shared" si="19"/>
        <v>59616725.386823654</v>
      </c>
      <c r="AF108" s="31">
        <f t="shared" si="19"/>
        <v>59616725.386823654</v>
      </c>
      <c r="AG108" s="31">
        <f t="shared" si="19"/>
        <v>59616725.386823654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435220.55363711715</v>
      </c>
      <c r="J110" s="31" cm="1">
        <f t="array" ref="J110">J$106+IF($C110&lt;&gt;0,SUMPRODUCT((J$107:J$108)*TRANSPOSE(($D110:$E110))),0)</f>
        <v>588623.62128663657</v>
      </c>
      <c r="K110" s="31" cm="1">
        <f t="array" ref="K110">K$106+IF($C110&lt;&gt;0,SUMPRODUCT((K$107:K$108)*TRANSPOSE(($D110:$E110))),0)</f>
        <v>306806.13529903884</v>
      </c>
      <c r="L110" s="31" cm="1">
        <f t="array" ref="L110">L$106+IF($C110&lt;&gt;0,SUMPRODUCT((L$107:L$108)*TRANSPOSE(($D110:$E110))),0)</f>
        <v>306806.13529903884</v>
      </c>
      <c r="M110" s="31" cm="1">
        <f t="array" ref="M110">M$106+IF($C110&lt;&gt;0,SUMPRODUCT((M$107:M$108)*TRANSPOSE(($D110:$E110))),0)</f>
        <v>306806.13529903884</v>
      </c>
      <c r="N110" s="31" cm="1">
        <f t="array" ref="N110">N$106+IF($C110&lt;&gt;0,SUMPRODUCT((N$107:N$108)*TRANSPOSE(($D110:$E110))),0)</f>
        <v>306806.13529903884</v>
      </c>
      <c r="O110" s="31" cm="1">
        <f t="array" ref="O110">O$106+IF($C110&lt;&gt;0,SUMPRODUCT((O$107:O$108)*TRANSPOSE(($D110:$E110))),0)</f>
        <v>306806.13529903884</v>
      </c>
      <c r="P110" s="31" cm="1">
        <f t="array" ref="P110">P$106+IF($C110&lt;&gt;0,SUMPRODUCT((P$107:P$108)*TRANSPOSE(($D110:$E110))),0)</f>
        <v>306806.13529903884</v>
      </c>
      <c r="Q110" s="31" cm="1">
        <f t="array" ref="Q110">Q$106+IF($C110&lt;&gt;0,SUMPRODUCT((Q$107:Q$108)*TRANSPOSE(($D110:$E110))),0)</f>
        <v>306806.13529903884</v>
      </c>
      <c r="R110" s="31" cm="1">
        <f t="array" ref="R110">R$106+IF($C110&lt;&gt;0,SUMPRODUCT((R$107:R$108)*TRANSPOSE(($D110:$E110))),0)</f>
        <v>306806.13529903884</v>
      </c>
      <c r="S110" s="31" cm="1">
        <f t="array" ref="S110">S$106+IF($C110&lt;&gt;0,SUMPRODUCT((S$107:S$108)*TRANSPOSE(($D110:$E110))),0)</f>
        <v>306806.13529903884</v>
      </c>
      <c r="T110" s="31" cm="1">
        <f t="array" ref="T110">T$106+IF($C110&lt;&gt;0,SUMPRODUCT((T$107:T$108)*TRANSPOSE(($D110:$E110))),0)</f>
        <v>306806.13529903884</v>
      </c>
      <c r="U110" s="31" cm="1">
        <f t="array" ref="U110">U$106+IF($C110&lt;&gt;0,SUMPRODUCT((U$107:U$108)*TRANSPOSE(($D110:$E110))),0)</f>
        <v>306806.13529903884</v>
      </c>
      <c r="V110" s="31" cm="1">
        <f t="array" ref="V110">V$106+IF($C110&lt;&gt;0,SUMPRODUCT((V$107:V$108)*TRANSPOSE(($D110:$E110))),0)</f>
        <v>306806.13529903884</v>
      </c>
      <c r="W110" s="31" cm="1">
        <f t="array" ref="W110">W$106+IF($C110&lt;&gt;0,SUMPRODUCT((W$107:W$108)*TRANSPOSE(($D110:$E110))),0)</f>
        <v>306806.13529903884</v>
      </c>
      <c r="X110" s="31" cm="1">
        <f t="array" ref="X110">X$106+IF($C110&lt;&gt;0,SUMPRODUCT((X$107:X$108)*TRANSPOSE(($D110:$E110))),0)</f>
        <v>306806.13529903884</v>
      </c>
      <c r="Y110" s="31" cm="1">
        <f t="array" ref="Y110">Y$106+IF($C110&lt;&gt;0,SUMPRODUCT((Y$107:Y$108)*TRANSPOSE(($D110:$E110))),0)</f>
        <v>306806.13529903884</v>
      </c>
      <c r="Z110" s="31" cm="1">
        <f t="array" ref="Z110">Z$106+IF($C110&lt;&gt;0,SUMPRODUCT((Z$107:Z$108)*TRANSPOSE(($D110:$E110))),0)</f>
        <v>306806.13529903884</v>
      </c>
      <c r="AA110" s="31" cm="1">
        <f t="array" ref="AA110">AA$106+IF($C110&lt;&gt;0,SUMPRODUCT((AA$107:AA$108)*TRANSPOSE(($D110:$E110))),0)</f>
        <v>306806.13529903884</v>
      </c>
      <c r="AB110" s="31" cm="1">
        <f t="array" ref="AB110">AB$106+IF($C110&lt;&gt;0,SUMPRODUCT((AB$107:AB$108)*TRANSPOSE(($D110:$E110))),0)</f>
        <v>306806.13529903884</v>
      </c>
      <c r="AC110" s="31" cm="1">
        <f t="array" ref="AC110">AC$106+IF($C110&lt;&gt;0,SUMPRODUCT((AC$107:AC$108)*TRANSPOSE(($D110:$E110))),0)</f>
        <v>59053090.414848462</v>
      </c>
      <c r="AD110" s="31" cm="1">
        <f t="array" ref="AD110">AD$106+IF($C110&lt;&gt;0,SUMPRODUCT((AD$107:AD$108)*TRANSPOSE(($D110:$E110))),0)</f>
        <v>59053090.414848462</v>
      </c>
      <c r="AE110" s="31" cm="1">
        <f t="array" ref="AE110">AE$106+IF($C110&lt;&gt;0,SUMPRODUCT((AE$107:AE$108)*TRANSPOSE(($D110:$E110))),0)</f>
        <v>59053090.414848462</v>
      </c>
      <c r="AF110" s="31" cm="1">
        <f t="array" ref="AF110">AF$106+IF($C110&lt;&gt;0,SUMPRODUCT((AF$107:AF$108)*TRANSPOSE(($D110:$E110))),0)</f>
        <v>59053090.414848462</v>
      </c>
      <c r="AG110" s="31" cm="1">
        <f t="array" ref="AG110">AG$106+IF($C110&lt;&gt;0,SUMPRODUCT((AG$107:AG$108)*TRANSPOSE(($D110:$E110))),0)</f>
        <v>59053090.414848462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2sens2</v>
      </c>
      <c r="I111" s="31" cm="1">
        <f t="array" ref="I111">I$106+IF($C111&lt;&gt;0,SUMPRODUCT((I$107:I$108)*TRANSPOSE(($D111:$E111))),0)</f>
        <v>435220.55363711715</v>
      </c>
      <c r="J111" s="31" cm="1">
        <f t="array" ref="J111">J$106+IF($C111&lt;&gt;0,SUMPRODUCT((J$107:J$108)*TRANSPOSE(($D111:$E111))),0)</f>
        <v>639863.16419347248</v>
      </c>
      <c r="K111" s="31" cm="1">
        <f t="array" ref="K111">K$106+IF($C111&lt;&gt;0,SUMPRODUCT((K$107:K$108)*TRANSPOSE(($D111:$E111))),0)</f>
        <v>409285.22111271077</v>
      </c>
      <c r="L111" s="31" cm="1">
        <f t="array" ref="L111">L$106+IF($C111&lt;&gt;0,SUMPRODUCT((L$107:L$108)*TRANSPOSE(($D111:$E111))),0)</f>
        <v>409285.22111271077</v>
      </c>
      <c r="M111" s="31" cm="1">
        <f t="array" ref="M111">M$106+IF($C111&lt;&gt;0,SUMPRODUCT((M$107:M$108)*TRANSPOSE(($D111:$E111))),0)</f>
        <v>409285.22111271077</v>
      </c>
      <c r="N111" s="31" cm="1">
        <f t="array" ref="N111">N$106+IF($C111&lt;&gt;0,SUMPRODUCT((N$107:N$108)*TRANSPOSE(($D111:$E111))),0)</f>
        <v>409285.22111271077</v>
      </c>
      <c r="O111" s="31" cm="1">
        <f t="array" ref="O111">O$106+IF($C111&lt;&gt;0,SUMPRODUCT((O$107:O$108)*TRANSPOSE(($D111:$E111))),0)</f>
        <v>409285.22111271077</v>
      </c>
      <c r="P111" s="31" cm="1">
        <f t="array" ref="P111">P$106+IF($C111&lt;&gt;0,SUMPRODUCT((P$107:P$108)*TRANSPOSE(($D111:$E111))),0)</f>
        <v>409285.22111271077</v>
      </c>
      <c r="Q111" s="31" cm="1">
        <f t="array" ref="Q111">Q$106+IF($C111&lt;&gt;0,SUMPRODUCT((Q$107:Q$108)*TRANSPOSE(($D111:$E111))),0)</f>
        <v>409285.22111271077</v>
      </c>
      <c r="R111" s="31" cm="1">
        <f t="array" ref="R111">R$106+IF($C111&lt;&gt;0,SUMPRODUCT((R$107:R$108)*TRANSPOSE(($D111:$E111))),0)</f>
        <v>409285.22111271077</v>
      </c>
      <c r="S111" s="31" cm="1">
        <f t="array" ref="S111">S$106+IF($C111&lt;&gt;0,SUMPRODUCT((S$107:S$108)*TRANSPOSE(($D111:$E111))),0)</f>
        <v>409285.22111271077</v>
      </c>
      <c r="T111" s="31" cm="1">
        <f t="array" ref="T111">T$106+IF($C111&lt;&gt;0,SUMPRODUCT((T$107:T$108)*TRANSPOSE(($D111:$E111))),0)</f>
        <v>409285.22111271077</v>
      </c>
      <c r="U111" s="31" cm="1">
        <f t="array" ref="U111">U$106+IF($C111&lt;&gt;0,SUMPRODUCT((U$107:U$108)*TRANSPOSE(($D111:$E111))),0)</f>
        <v>409285.22111271077</v>
      </c>
      <c r="V111" s="31" cm="1">
        <f t="array" ref="V111">V$106+IF($C111&lt;&gt;0,SUMPRODUCT((V$107:V$108)*TRANSPOSE(($D111:$E111))),0)</f>
        <v>409285.22111271077</v>
      </c>
      <c r="W111" s="31" cm="1">
        <f t="array" ref="W111">W$106+IF($C111&lt;&gt;0,SUMPRODUCT((W$107:W$108)*TRANSPOSE(($D111:$E111))),0)</f>
        <v>409285.22111271077</v>
      </c>
      <c r="X111" s="31" cm="1">
        <f t="array" ref="X111">X$106+IF($C111&lt;&gt;0,SUMPRODUCT((X$107:X$108)*TRANSPOSE(($D111:$E111))),0)</f>
        <v>409285.22111271077</v>
      </c>
      <c r="Y111" s="31" cm="1">
        <f t="array" ref="Y111">Y$106+IF($C111&lt;&gt;0,SUMPRODUCT((Y$107:Y$108)*TRANSPOSE(($D111:$E111))),0)</f>
        <v>409285.22111271077</v>
      </c>
      <c r="Z111" s="31" cm="1">
        <f t="array" ref="Z111">Z$106+IF($C111&lt;&gt;0,SUMPRODUCT((Z$107:Z$108)*TRANSPOSE(($D111:$E111))),0)</f>
        <v>409285.22111271077</v>
      </c>
      <c r="AA111" s="31" cm="1">
        <f t="array" ref="AA111">AA$106+IF($C111&lt;&gt;0,SUMPRODUCT((AA$107:AA$108)*TRANSPOSE(($D111:$E111))),0)</f>
        <v>409285.22111271077</v>
      </c>
      <c r="AB111" s="31" cm="1">
        <f t="array" ref="AB111">AB$106+IF($C111&lt;&gt;0,SUMPRODUCT((AB$107:AB$108)*TRANSPOSE(($D111:$E111))),0)</f>
        <v>409285.22111271077</v>
      </c>
      <c r="AC111" s="31" cm="1">
        <f t="array" ref="AC111">AC$106+IF($C111&lt;&gt;0,SUMPRODUCT((AC$107:AC$108)*TRANSPOSE(($D111:$E111))),0)</f>
        <v>59155569.500662133</v>
      </c>
      <c r="AD111" s="31" cm="1">
        <f t="array" ref="AD111">AD$106+IF($C111&lt;&gt;0,SUMPRODUCT((AD$107:AD$108)*TRANSPOSE(($D111:$E111))),0)</f>
        <v>59155569.500662133</v>
      </c>
      <c r="AE111" s="31" cm="1">
        <f t="array" ref="AE111">AE$106+IF($C111&lt;&gt;0,SUMPRODUCT((AE$107:AE$108)*TRANSPOSE(($D111:$E111))),0)</f>
        <v>59155569.500662133</v>
      </c>
      <c r="AF111" s="31" cm="1">
        <f t="array" ref="AF111">AF$106+IF($C111&lt;&gt;0,SUMPRODUCT((AF$107:AF$108)*TRANSPOSE(($D111:$E111))),0)</f>
        <v>59155569.500662133</v>
      </c>
      <c r="AG111" s="31" cm="1">
        <f t="array" ref="AG111">AG$106+IF($C111&lt;&gt;0,SUMPRODUCT((AG$107:AG$108)*TRANSPOSE(($D111:$E111))),0)</f>
        <v>59155569.500662133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2sens3</v>
      </c>
      <c r="I112" s="31" cm="1">
        <f t="array" ref="I112">I$106+IF($C112&lt;&gt;0,SUMPRODUCT((I$107:I$108)*TRANSPOSE(($D112:$E112))),0)</f>
        <v>478742.60900082887</v>
      </c>
      <c r="J112" s="31" cm="1">
        <f t="array" ref="J112">J$106+IF($C112&lt;&gt;0,SUMPRODUCT((J$107:J$108)*TRANSPOSE(($D112:$E112))),0)</f>
        <v>701287.50346747797</v>
      </c>
      <c r="K112" s="31" cm="1">
        <f t="array" ref="K112">K$106+IF($C112&lt;&gt;0,SUMPRODUCT((K$107:K$108)*TRANSPOSE(($D112:$E112))),0)</f>
        <v>445089.78893329826</v>
      </c>
      <c r="L112" s="31" cm="1">
        <f t="array" ref="L112">L$106+IF($C112&lt;&gt;0,SUMPRODUCT((L$107:L$108)*TRANSPOSE(($D112:$E112))),0)</f>
        <v>445089.78893329826</v>
      </c>
      <c r="M112" s="31" cm="1">
        <f t="array" ref="M112">M$106+IF($C112&lt;&gt;0,SUMPRODUCT((M$107:M$108)*TRANSPOSE(($D112:$E112))),0)</f>
        <v>445089.78893329826</v>
      </c>
      <c r="N112" s="31" cm="1">
        <f t="array" ref="N112">N$106+IF($C112&lt;&gt;0,SUMPRODUCT((N$107:N$108)*TRANSPOSE(($D112:$E112))),0)</f>
        <v>445089.78893329826</v>
      </c>
      <c r="O112" s="31" cm="1">
        <f t="array" ref="O112">O$106+IF($C112&lt;&gt;0,SUMPRODUCT((O$107:O$108)*TRANSPOSE(($D112:$E112))),0)</f>
        <v>445089.78893329826</v>
      </c>
      <c r="P112" s="31" cm="1">
        <f t="array" ref="P112">P$106+IF($C112&lt;&gt;0,SUMPRODUCT((P$107:P$108)*TRANSPOSE(($D112:$E112))),0)</f>
        <v>445089.78893329826</v>
      </c>
      <c r="Q112" s="31" cm="1">
        <f t="array" ref="Q112">Q$106+IF($C112&lt;&gt;0,SUMPRODUCT((Q$107:Q$108)*TRANSPOSE(($D112:$E112))),0)</f>
        <v>445089.78893329826</v>
      </c>
      <c r="R112" s="31" cm="1">
        <f t="array" ref="R112">R$106+IF($C112&lt;&gt;0,SUMPRODUCT((R$107:R$108)*TRANSPOSE(($D112:$E112))),0)</f>
        <v>445089.78893329826</v>
      </c>
      <c r="S112" s="31" cm="1">
        <f t="array" ref="S112">S$106+IF($C112&lt;&gt;0,SUMPRODUCT((S$107:S$108)*TRANSPOSE(($D112:$E112))),0)</f>
        <v>445089.78893329826</v>
      </c>
      <c r="T112" s="31" cm="1">
        <f t="array" ref="T112">T$106+IF($C112&lt;&gt;0,SUMPRODUCT((T$107:T$108)*TRANSPOSE(($D112:$E112))),0)</f>
        <v>445089.78893329826</v>
      </c>
      <c r="U112" s="31" cm="1">
        <f t="array" ref="U112">U$106+IF($C112&lt;&gt;0,SUMPRODUCT((U$107:U$108)*TRANSPOSE(($D112:$E112))),0)</f>
        <v>445089.78893329826</v>
      </c>
      <c r="V112" s="31" cm="1">
        <f t="array" ref="V112">V$106+IF($C112&lt;&gt;0,SUMPRODUCT((V$107:V$108)*TRANSPOSE(($D112:$E112))),0)</f>
        <v>445089.78893329826</v>
      </c>
      <c r="W112" s="31" cm="1">
        <f t="array" ref="W112">W$106+IF($C112&lt;&gt;0,SUMPRODUCT((W$107:W$108)*TRANSPOSE(($D112:$E112))),0)</f>
        <v>445089.78893329826</v>
      </c>
      <c r="X112" s="31" cm="1">
        <f t="array" ref="X112">X$106+IF($C112&lt;&gt;0,SUMPRODUCT((X$107:X$108)*TRANSPOSE(($D112:$E112))),0)</f>
        <v>445089.78893329826</v>
      </c>
      <c r="Y112" s="31" cm="1">
        <f t="array" ref="Y112">Y$106+IF($C112&lt;&gt;0,SUMPRODUCT((Y$107:Y$108)*TRANSPOSE(($D112:$E112))),0)</f>
        <v>445089.78893329826</v>
      </c>
      <c r="Z112" s="31" cm="1">
        <f t="array" ref="Z112">Z$106+IF($C112&lt;&gt;0,SUMPRODUCT((Z$107:Z$108)*TRANSPOSE(($D112:$E112))),0)</f>
        <v>445089.78893329826</v>
      </c>
      <c r="AA112" s="31" cm="1">
        <f t="array" ref="AA112">AA$106+IF($C112&lt;&gt;0,SUMPRODUCT((AA$107:AA$108)*TRANSPOSE(($D112:$E112))),0)</f>
        <v>445089.78893329826</v>
      </c>
      <c r="AB112" s="31" cm="1">
        <f t="array" ref="AB112">AB$106+IF($C112&lt;&gt;0,SUMPRODUCT((AB$107:AB$108)*TRANSPOSE(($D112:$E112))),0)</f>
        <v>445089.78893329826</v>
      </c>
      <c r="AC112" s="31" cm="1">
        <f t="array" ref="AC112">AC$106+IF($C112&lt;&gt;0,SUMPRODUCT((AC$107:AC$108)*TRANSPOSE(($D112:$E112))),0)</f>
        <v>65066002.496437661</v>
      </c>
      <c r="AD112" s="31" cm="1">
        <f t="array" ref="AD112">AD$106+IF($C112&lt;&gt;0,SUMPRODUCT((AD$107:AD$108)*TRANSPOSE(($D112:$E112))),0)</f>
        <v>65066002.496437661</v>
      </c>
      <c r="AE112" s="31" cm="1">
        <f t="array" ref="AE112">AE$106+IF($C112&lt;&gt;0,SUMPRODUCT((AE$107:AE$108)*TRANSPOSE(($D112:$E112))),0)</f>
        <v>65066002.496437661</v>
      </c>
      <c r="AF112" s="31" cm="1">
        <f t="array" ref="AF112">AF$106+IF($C112&lt;&gt;0,SUMPRODUCT((AF$107:AF$108)*TRANSPOSE(($D112:$E112))),0)</f>
        <v>65066002.496437661</v>
      </c>
      <c r="AG112" s="31" cm="1">
        <f t="array" ref="AG112">AG$106+IF($C112&lt;&gt;0,SUMPRODUCT((AG$107:AG$108)*TRANSPOSE(($D112:$E112))),0)</f>
        <v>65066002.496437661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2sens4</v>
      </c>
      <c r="I113" s="31" cm="1">
        <f t="array" ref="I113">I$106+IF($C113&lt;&gt;0,SUMPRODUCT((I$107:I$108)*TRANSPOSE(($D113:$E113))),0)</f>
        <v>391698.49827340542</v>
      </c>
      <c r="J113" s="31" cm="1">
        <f t="array" ref="J113">J$106+IF($C113&lt;&gt;0,SUMPRODUCT((J$107:J$108)*TRANSPOSE(($D113:$E113))),0)</f>
        <v>527199.28201263107</v>
      </c>
      <c r="K113" s="31" cm="1">
        <f t="array" ref="K113">K$106+IF($C113&lt;&gt;0,SUMPRODUCT((K$107:K$108)*TRANSPOSE(($D113:$E113))),0)</f>
        <v>271001.56747845135</v>
      </c>
      <c r="L113" s="31" cm="1">
        <f t="array" ref="L113">L$106+IF($C113&lt;&gt;0,SUMPRODUCT((L$107:L$108)*TRANSPOSE(($D113:$E113))),0)</f>
        <v>271001.56747845135</v>
      </c>
      <c r="M113" s="31" cm="1">
        <f t="array" ref="M113">M$106+IF($C113&lt;&gt;0,SUMPRODUCT((M$107:M$108)*TRANSPOSE(($D113:$E113))),0)</f>
        <v>271001.56747845135</v>
      </c>
      <c r="N113" s="31" cm="1">
        <f t="array" ref="N113">N$106+IF($C113&lt;&gt;0,SUMPRODUCT((N$107:N$108)*TRANSPOSE(($D113:$E113))),0)</f>
        <v>271001.56747845135</v>
      </c>
      <c r="O113" s="31" cm="1">
        <f t="array" ref="O113">O$106+IF($C113&lt;&gt;0,SUMPRODUCT((O$107:O$108)*TRANSPOSE(($D113:$E113))),0)</f>
        <v>271001.56747845135</v>
      </c>
      <c r="P113" s="31" cm="1">
        <f t="array" ref="P113">P$106+IF($C113&lt;&gt;0,SUMPRODUCT((P$107:P$108)*TRANSPOSE(($D113:$E113))),0)</f>
        <v>271001.56747845135</v>
      </c>
      <c r="Q113" s="31" cm="1">
        <f t="array" ref="Q113">Q$106+IF($C113&lt;&gt;0,SUMPRODUCT((Q$107:Q$108)*TRANSPOSE(($D113:$E113))),0)</f>
        <v>271001.56747845135</v>
      </c>
      <c r="R113" s="31" cm="1">
        <f t="array" ref="R113">R$106+IF($C113&lt;&gt;0,SUMPRODUCT((R$107:R$108)*TRANSPOSE(($D113:$E113))),0)</f>
        <v>271001.56747845135</v>
      </c>
      <c r="S113" s="31" cm="1">
        <f t="array" ref="S113">S$106+IF($C113&lt;&gt;0,SUMPRODUCT((S$107:S$108)*TRANSPOSE(($D113:$E113))),0)</f>
        <v>271001.56747845135</v>
      </c>
      <c r="T113" s="31" cm="1">
        <f t="array" ref="T113">T$106+IF($C113&lt;&gt;0,SUMPRODUCT((T$107:T$108)*TRANSPOSE(($D113:$E113))),0)</f>
        <v>271001.56747845135</v>
      </c>
      <c r="U113" s="31" cm="1">
        <f t="array" ref="U113">U$106+IF($C113&lt;&gt;0,SUMPRODUCT((U$107:U$108)*TRANSPOSE(($D113:$E113))),0)</f>
        <v>271001.56747845135</v>
      </c>
      <c r="V113" s="31" cm="1">
        <f t="array" ref="V113">V$106+IF($C113&lt;&gt;0,SUMPRODUCT((V$107:V$108)*TRANSPOSE(($D113:$E113))),0)</f>
        <v>271001.56747845135</v>
      </c>
      <c r="W113" s="31" cm="1">
        <f t="array" ref="W113">W$106+IF($C113&lt;&gt;0,SUMPRODUCT((W$107:W$108)*TRANSPOSE(($D113:$E113))),0)</f>
        <v>271001.56747845135</v>
      </c>
      <c r="X113" s="31" cm="1">
        <f t="array" ref="X113">X$106+IF($C113&lt;&gt;0,SUMPRODUCT((X$107:X$108)*TRANSPOSE(($D113:$E113))),0)</f>
        <v>271001.56747845135</v>
      </c>
      <c r="Y113" s="31" cm="1">
        <f t="array" ref="Y113">Y$106+IF($C113&lt;&gt;0,SUMPRODUCT((Y$107:Y$108)*TRANSPOSE(($D113:$E113))),0)</f>
        <v>271001.56747845135</v>
      </c>
      <c r="Z113" s="31" cm="1">
        <f t="array" ref="Z113">Z$106+IF($C113&lt;&gt;0,SUMPRODUCT((Z$107:Z$108)*TRANSPOSE(($D113:$E113))),0)</f>
        <v>271001.56747845135</v>
      </c>
      <c r="AA113" s="31" cm="1">
        <f t="array" ref="AA113">AA$106+IF($C113&lt;&gt;0,SUMPRODUCT((AA$107:AA$108)*TRANSPOSE(($D113:$E113))),0)</f>
        <v>271001.56747845135</v>
      </c>
      <c r="AB113" s="31" cm="1">
        <f t="array" ref="AB113">AB$106+IF($C113&lt;&gt;0,SUMPRODUCT((AB$107:AB$108)*TRANSPOSE(($D113:$E113))),0)</f>
        <v>271001.56747845135</v>
      </c>
      <c r="AC113" s="31" cm="1">
        <f t="array" ref="AC113">AC$106+IF($C113&lt;&gt;0,SUMPRODUCT((AC$107:AC$108)*TRANSPOSE(($D113:$E113))),0)</f>
        <v>53142657.419072933</v>
      </c>
      <c r="AD113" s="31" cm="1">
        <f t="array" ref="AD113">AD$106+IF($C113&lt;&gt;0,SUMPRODUCT((AD$107:AD$108)*TRANSPOSE(($D113:$E113))),0)</f>
        <v>53142657.419072933</v>
      </c>
      <c r="AE113" s="31" cm="1">
        <f t="array" ref="AE113">AE$106+IF($C113&lt;&gt;0,SUMPRODUCT((AE$107:AE$108)*TRANSPOSE(($D113:$E113))),0)</f>
        <v>53142657.419072933</v>
      </c>
      <c r="AF113" s="31" cm="1">
        <f t="array" ref="AF113">AF$106+IF($C113&lt;&gt;0,SUMPRODUCT((AF$107:AF$108)*TRANSPOSE(($D113:$E113))),0)</f>
        <v>53142657.419072933</v>
      </c>
      <c r="AG113" s="31" cm="1">
        <f t="array" ref="AG113">AG$106+IF($C113&lt;&gt;0,SUMPRODUCT((AG$107:AG$108)*TRANSPOSE(($D113:$E113))),0)</f>
        <v>53142657.419072933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2sens5</v>
      </c>
      <c r="I114" s="31" cm="1">
        <f t="array" ref="I114">I$106+IF($C114&lt;&gt;0,SUMPRODUCT((I$107:I$108)*TRANSPOSE(($D114:$E114))),0)</f>
        <v>391698.49827340542</v>
      </c>
      <c r="J114" s="31" cm="1">
        <f t="array" ref="J114">J$106+IF($C114&lt;&gt;0,SUMPRODUCT((J$107:J$108)*TRANSPOSE(($D114:$E114))),0)</f>
        <v>501579.51055921311</v>
      </c>
      <c r="K114" s="31" cm="1">
        <f t="array" ref="K114">K$106+IF($C114&lt;&gt;0,SUMPRODUCT((K$107:K$108)*TRANSPOSE(($D114:$E114))),0)</f>
        <v>219762.02457161542</v>
      </c>
      <c r="L114" s="31" cm="1">
        <f t="array" ref="L114">L$106+IF($C114&lt;&gt;0,SUMPRODUCT((L$107:L$108)*TRANSPOSE(($D114:$E114))),0)</f>
        <v>219762.02457161542</v>
      </c>
      <c r="M114" s="31" cm="1">
        <f t="array" ref="M114">M$106+IF($C114&lt;&gt;0,SUMPRODUCT((M$107:M$108)*TRANSPOSE(($D114:$E114))),0)</f>
        <v>219762.02457161542</v>
      </c>
      <c r="N114" s="31" cm="1">
        <f t="array" ref="N114">N$106+IF($C114&lt;&gt;0,SUMPRODUCT((N$107:N$108)*TRANSPOSE(($D114:$E114))),0)</f>
        <v>219762.02457161542</v>
      </c>
      <c r="O114" s="31" cm="1">
        <f t="array" ref="O114">O$106+IF($C114&lt;&gt;0,SUMPRODUCT((O$107:O$108)*TRANSPOSE(($D114:$E114))),0)</f>
        <v>219762.02457161542</v>
      </c>
      <c r="P114" s="31" cm="1">
        <f t="array" ref="P114">P$106+IF($C114&lt;&gt;0,SUMPRODUCT((P$107:P$108)*TRANSPOSE(($D114:$E114))),0)</f>
        <v>219762.02457161542</v>
      </c>
      <c r="Q114" s="31" cm="1">
        <f t="array" ref="Q114">Q$106+IF($C114&lt;&gt;0,SUMPRODUCT((Q$107:Q$108)*TRANSPOSE(($D114:$E114))),0)</f>
        <v>219762.02457161542</v>
      </c>
      <c r="R114" s="31" cm="1">
        <f t="array" ref="R114">R$106+IF($C114&lt;&gt;0,SUMPRODUCT((R$107:R$108)*TRANSPOSE(($D114:$E114))),0)</f>
        <v>219762.02457161542</v>
      </c>
      <c r="S114" s="31" cm="1">
        <f t="array" ref="S114">S$106+IF($C114&lt;&gt;0,SUMPRODUCT((S$107:S$108)*TRANSPOSE(($D114:$E114))),0)</f>
        <v>219762.02457161542</v>
      </c>
      <c r="T114" s="31" cm="1">
        <f t="array" ref="T114">T$106+IF($C114&lt;&gt;0,SUMPRODUCT((T$107:T$108)*TRANSPOSE(($D114:$E114))),0)</f>
        <v>219762.02457161542</v>
      </c>
      <c r="U114" s="31" cm="1">
        <f t="array" ref="U114">U$106+IF($C114&lt;&gt;0,SUMPRODUCT((U$107:U$108)*TRANSPOSE(($D114:$E114))),0)</f>
        <v>219762.02457161542</v>
      </c>
      <c r="V114" s="31" cm="1">
        <f t="array" ref="V114">V$106+IF($C114&lt;&gt;0,SUMPRODUCT((V$107:V$108)*TRANSPOSE(($D114:$E114))),0)</f>
        <v>219762.02457161542</v>
      </c>
      <c r="W114" s="31" cm="1">
        <f t="array" ref="W114">W$106+IF($C114&lt;&gt;0,SUMPRODUCT((W$107:W$108)*TRANSPOSE(($D114:$E114))),0)</f>
        <v>219762.02457161542</v>
      </c>
      <c r="X114" s="31" cm="1">
        <f t="array" ref="X114">X$106+IF($C114&lt;&gt;0,SUMPRODUCT((X$107:X$108)*TRANSPOSE(($D114:$E114))),0)</f>
        <v>219762.02457161542</v>
      </c>
      <c r="Y114" s="31" cm="1">
        <f t="array" ref="Y114">Y$106+IF($C114&lt;&gt;0,SUMPRODUCT((Y$107:Y$108)*TRANSPOSE(($D114:$E114))),0)</f>
        <v>219762.02457161542</v>
      </c>
      <c r="Z114" s="31" cm="1">
        <f t="array" ref="Z114">Z$106+IF($C114&lt;&gt;0,SUMPRODUCT((Z$107:Z$108)*TRANSPOSE(($D114:$E114))),0)</f>
        <v>219762.02457161542</v>
      </c>
      <c r="AA114" s="31" cm="1">
        <f t="array" ref="AA114">AA$106+IF($C114&lt;&gt;0,SUMPRODUCT((AA$107:AA$108)*TRANSPOSE(($D114:$E114))),0)</f>
        <v>219762.02457161542</v>
      </c>
      <c r="AB114" s="31" cm="1">
        <f t="array" ref="AB114">AB$106+IF($C114&lt;&gt;0,SUMPRODUCT((AB$107:AB$108)*TRANSPOSE(($D114:$E114))),0)</f>
        <v>219762.02457161542</v>
      </c>
      <c r="AC114" s="31" cm="1">
        <f t="array" ref="AC114">AC$106+IF($C114&lt;&gt;0,SUMPRODUCT((AC$107:AC$108)*TRANSPOSE(($D114:$E114))),0)</f>
        <v>53091417.876166098</v>
      </c>
      <c r="AD114" s="31" cm="1">
        <f t="array" ref="AD114">AD$106+IF($C114&lt;&gt;0,SUMPRODUCT((AD$107:AD$108)*TRANSPOSE(($D114:$E114))),0)</f>
        <v>53091417.876166098</v>
      </c>
      <c r="AE114" s="31" cm="1">
        <f t="array" ref="AE114">AE$106+IF($C114&lt;&gt;0,SUMPRODUCT((AE$107:AE$108)*TRANSPOSE(($D114:$E114))),0)</f>
        <v>53091417.876166098</v>
      </c>
      <c r="AF114" s="31" cm="1">
        <f t="array" ref="AF114">AF$106+IF($C114&lt;&gt;0,SUMPRODUCT((AF$107:AF$108)*TRANSPOSE(($D114:$E114))),0)</f>
        <v>53091417.876166098</v>
      </c>
      <c r="AG114" s="31" cm="1">
        <f t="array" ref="AG114">AG$106+IF($C114&lt;&gt;0,SUMPRODUCT((AG$107:AG$108)*TRANSPOSE(($D114:$E114))),0)</f>
        <v>53091417.876166098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2sens</v>
      </c>
      <c r="I115" s="31" cm="1">
        <f t="array" ref="I115">I$106+IF($C115&lt;&gt;0,SUMPRODUCT((I$107:I$108)*TRANSPOSE(($D115:$E115))),0)</f>
        <v>435220.55363711715</v>
      </c>
      <c r="J115" s="31" cm="1">
        <f t="array" ref="J115">J$106+IF($C115&lt;&gt;0,SUMPRODUCT((J$107:J$108)*TRANSPOSE(($D115:$E115))),0)</f>
        <v>614243.39274005452</v>
      </c>
      <c r="K115" s="31" cm="1">
        <f t="array" ref="K115">K$106+IF($C115&lt;&gt;0,SUMPRODUCT((K$107:K$108)*TRANSPOSE(($D115:$E115))),0)</f>
        <v>358045.67820587481</v>
      </c>
      <c r="L115" s="31" cm="1">
        <f t="array" ref="L115">L$106+IF($C115&lt;&gt;0,SUMPRODUCT((L$107:L$108)*TRANSPOSE(($D115:$E115))),0)</f>
        <v>358045.67820587481</v>
      </c>
      <c r="M115" s="31" cm="1">
        <f t="array" ref="M115">M$106+IF($C115&lt;&gt;0,SUMPRODUCT((M$107:M$108)*TRANSPOSE(($D115:$E115))),0)</f>
        <v>358045.67820587481</v>
      </c>
      <c r="N115" s="31" cm="1">
        <f t="array" ref="N115">N$106+IF($C115&lt;&gt;0,SUMPRODUCT((N$107:N$108)*TRANSPOSE(($D115:$E115))),0)</f>
        <v>358045.67820587481</v>
      </c>
      <c r="O115" s="31" cm="1">
        <f t="array" ref="O115">O$106+IF($C115&lt;&gt;0,SUMPRODUCT((O$107:O$108)*TRANSPOSE(($D115:$E115))),0)</f>
        <v>358045.67820587481</v>
      </c>
      <c r="P115" s="31" cm="1">
        <f t="array" ref="P115">P$106+IF($C115&lt;&gt;0,SUMPRODUCT((P$107:P$108)*TRANSPOSE(($D115:$E115))),0)</f>
        <v>358045.67820587481</v>
      </c>
      <c r="Q115" s="31" cm="1">
        <f t="array" ref="Q115">Q$106+IF($C115&lt;&gt;0,SUMPRODUCT((Q$107:Q$108)*TRANSPOSE(($D115:$E115))),0)</f>
        <v>358045.67820587481</v>
      </c>
      <c r="R115" s="31" cm="1">
        <f t="array" ref="R115">R$106+IF($C115&lt;&gt;0,SUMPRODUCT((R$107:R$108)*TRANSPOSE(($D115:$E115))),0)</f>
        <v>358045.67820587481</v>
      </c>
      <c r="S115" s="31" cm="1">
        <f t="array" ref="S115">S$106+IF($C115&lt;&gt;0,SUMPRODUCT((S$107:S$108)*TRANSPOSE(($D115:$E115))),0)</f>
        <v>358045.67820587481</v>
      </c>
      <c r="T115" s="31" cm="1">
        <f t="array" ref="T115">T$106+IF($C115&lt;&gt;0,SUMPRODUCT((T$107:T$108)*TRANSPOSE(($D115:$E115))),0)</f>
        <v>358045.67820587481</v>
      </c>
      <c r="U115" s="31" cm="1">
        <f t="array" ref="U115">U$106+IF($C115&lt;&gt;0,SUMPRODUCT((U$107:U$108)*TRANSPOSE(($D115:$E115))),0)</f>
        <v>358045.67820587481</v>
      </c>
      <c r="V115" s="31" cm="1">
        <f t="array" ref="V115">V$106+IF($C115&lt;&gt;0,SUMPRODUCT((V$107:V$108)*TRANSPOSE(($D115:$E115))),0)</f>
        <v>358045.67820587481</v>
      </c>
      <c r="W115" s="31" cm="1">
        <f t="array" ref="W115">W$106+IF($C115&lt;&gt;0,SUMPRODUCT((W$107:W$108)*TRANSPOSE(($D115:$E115))),0)</f>
        <v>358045.67820587481</v>
      </c>
      <c r="X115" s="31" cm="1">
        <f t="array" ref="X115">X$106+IF($C115&lt;&gt;0,SUMPRODUCT((X$107:X$108)*TRANSPOSE(($D115:$E115))),0)</f>
        <v>358045.67820587481</v>
      </c>
      <c r="Y115" s="31" cm="1">
        <f t="array" ref="Y115">Y$106+IF($C115&lt;&gt;0,SUMPRODUCT((Y$107:Y$108)*TRANSPOSE(($D115:$E115))),0)</f>
        <v>358045.67820587481</v>
      </c>
      <c r="Z115" s="31" cm="1">
        <f t="array" ref="Z115">Z$106+IF($C115&lt;&gt;0,SUMPRODUCT((Z$107:Z$108)*TRANSPOSE(($D115:$E115))),0)</f>
        <v>358045.67820587481</v>
      </c>
      <c r="AA115" s="31" cm="1">
        <f t="array" ref="AA115">AA$106+IF($C115&lt;&gt;0,SUMPRODUCT((AA$107:AA$108)*TRANSPOSE(($D115:$E115))),0)</f>
        <v>358045.67820587481</v>
      </c>
      <c r="AB115" s="31" cm="1">
        <f t="array" ref="AB115">AB$106+IF($C115&lt;&gt;0,SUMPRODUCT((AB$107:AB$108)*TRANSPOSE(($D115:$E115))),0)</f>
        <v>358045.67820587481</v>
      </c>
      <c r="AC115" s="31" cm="1">
        <f t="array" ref="AC115">AC$106+IF($C115&lt;&gt;0,SUMPRODUCT((AC$107:AC$108)*TRANSPOSE(($D115:$E115))),0)</f>
        <v>59104329.957755297</v>
      </c>
      <c r="AD115" s="31" cm="1">
        <f t="array" ref="AD115">AD$106+IF($C115&lt;&gt;0,SUMPRODUCT((AD$107:AD$108)*TRANSPOSE(($D115:$E115))),0)</f>
        <v>59104329.957755297</v>
      </c>
      <c r="AE115" s="31" cm="1">
        <f t="array" ref="AE115">AE$106+IF($C115&lt;&gt;0,SUMPRODUCT((AE$107:AE$108)*TRANSPOSE(($D115:$E115))),0)</f>
        <v>59104329.957755297</v>
      </c>
      <c r="AF115" s="31" cm="1">
        <f t="array" ref="AF115">AF$106+IF($C115&lt;&gt;0,SUMPRODUCT((AF$107:AF$108)*TRANSPOSE(($D115:$E115))),0)</f>
        <v>59104329.957755297</v>
      </c>
      <c r="AG115" s="31" cm="1">
        <f t="array" ref="AG115">AG$106+IF($C115&lt;&gt;0,SUMPRODUCT((AG$107:AG$108)*TRANSPOSE(($D115:$E115))),0)</f>
        <v>59104329.957755297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2sens</v>
      </c>
      <c r="I116" s="31" cm="1">
        <f t="array" ref="I116">I$106+IF($C116&lt;&gt;0,SUMPRODUCT((I$107:I$108)*TRANSPOSE(($D116:$E116))),0)</f>
        <v>435220.55363711715</v>
      </c>
      <c r="J116" s="31" cm="1">
        <f t="array" ref="J116">J$106+IF($C116&lt;&gt;0,SUMPRODUCT((J$107:J$108)*TRANSPOSE(($D116:$E116))),0)</f>
        <v>614243.39274005452</v>
      </c>
      <c r="K116" s="31" cm="1">
        <f t="array" ref="K116">K$106+IF($C116&lt;&gt;0,SUMPRODUCT((K$107:K$108)*TRANSPOSE(($D116:$E116))),0)</f>
        <v>358045.67820587481</v>
      </c>
      <c r="L116" s="31" cm="1">
        <f t="array" ref="L116">L$106+IF($C116&lt;&gt;0,SUMPRODUCT((L$107:L$108)*TRANSPOSE(($D116:$E116))),0)</f>
        <v>358045.67820587481</v>
      </c>
      <c r="M116" s="31" cm="1">
        <f t="array" ref="M116">M$106+IF($C116&lt;&gt;0,SUMPRODUCT((M$107:M$108)*TRANSPOSE(($D116:$E116))),0)</f>
        <v>358045.67820587481</v>
      </c>
      <c r="N116" s="31" cm="1">
        <f t="array" ref="N116">N$106+IF($C116&lt;&gt;0,SUMPRODUCT((N$107:N$108)*TRANSPOSE(($D116:$E116))),0)</f>
        <v>358045.67820587481</v>
      </c>
      <c r="O116" s="31" cm="1">
        <f t="array" ref="O116">O$106+IF($C116&lt;&gt;0,SUMPRODUCT((O$107:O$108)*TRANSPOSE(($D116:$E116))),0)</f>
        <v>358045.67820587481</v>
      </c>
      <c r="P116" s="31" cm="1">
        <f t="array" ref="P116">P$106+IF($C116&lt;&gt;0,SUMPRODUCT((P$107:P$108)*TRANSPOSE(($D116:$E116))),0)</f>
        <v>358045.67820587481</v>
      </c>
      <c r="Q116" s="31" cm="1">
        <f t="array" ref="Q116">Q$106+IF($C116&lt;&gt;0,SUMPRODUCT((Q$107:Q$108)*TRANSPOSE(($D116:$E116))),0)</f>
        <v>358045.67820587481</v>
      </c>
      <c r="R116" s="31" cm="1">
        <f t="array" ref="R116">R$106+IF($C116&lt;&gt;0,SUMPRODUCT((R$107:R$108)*TRANSPOSE(($D116:$E116))),0)</f>
        <v>358045.67820587481</v>
      </c>
      <c r="S116" s="31" cm="1">
        <f t="array" ref="S116">S$106+IF($C116&lt;&gt;0,SUMPRODUCT((S$107:S$108)*TRANSPOSE(($D116:$E116))),0)</f>
        <v>358045.67820587481</v>
      </c>
      <c r="T116" s="31" cm="1">
        <f t="array" ref="T116">T$106+IF($C116&lt;&gt;0,SUMPRODUCT((T$107:T$108)*TRANSPOSE(($D116:$E116))),0)</f>
        <v>358045.67820587481</v>
      </c>
      <c r="U116" s="31" cm="1">
        <f t="array" ref="U116">U$106+IF($C116&lt;&gt;0,SUMPRODUCT((U$107:U$108)*TRANSPOSE(($D116:$E116))),0)</f>
        <v>358045.67820587481</v>
      </c>
      <c r="V116" s="31" cm="1">
        <f t="array" ref="V116">V$106+IF($C116&lt;&gt;0,SUMPRODUCT((V$107:V$108)*TRANSPOSE(($D116:$E116))),0)</f>
        <v>358045.67820587481</v>
      </c>
      <c r="W116" s="31" cm="1">
        <f t="array" ref="W116">W$106+IF($C116&lt;&gt;0,SUMPRODUCT((W$107:W$108)*TRANSPOSE(($D116:$E116))),0)</f>
        <v>358045.67820587481</v>
      </c>
      <c r="X116" s="31" cm="1">
        <f t="array" ref="X116">X$106+IF($C116&lt;&gt;0,SUMPRODUCT((X$107:X$108)*TRANSPOSE(($D116:$E116))),0)</f>
        <v>358045.67820587481</v>
      </c>
      <c r="Y116" s="31" cm="1">
        <f t="array" ref="Y116">Y$106+IF($C116&lt;&gt;0,SUMPRODUCT((Y$107:Y$108)*TRANSPOSE(($D116:$E116))),0)</f>
        <v>358045.67820587481</v>
      </c>
      <c r="Z116" s="31" cm="1">
        <f t="array" ref="Z116">Z$106+IF($C116&lt;&gt;0,SUMPRODUCT((Z$107:Z$108)*TRANSPOSE(($D116:$E116))),0)</f>
        <v>358045.67820587481</v>
      </c>
      <c r="AA116" s="31" cm="1">
        <f t="array" ref="AA116">AA$106+IF($C116&lt;&gt;0,SUMPRODUCT((AA$107:AA$108)*TRANSPOSE(($D116:$E116))),0)</f>
        <v>358045.67820587481</v>
      </c>
      <c r="AB116" s="31" cm="1">
        <f t="array" ref="AB116">AB$106+IF($C116&lt;&gt;0,SUMPRODUCT((AB$107:AB$108)*TRANSPOSE(($D116:$E116))),0)</f>
        <v>358045.67820587481</v>
      </c>
      <c r="AC116" s="31" cm="1">
        <f t="array" ref="AC116">AC$106+IF($C116&lt;&gt;0,SUMPRODUCT((AC$107:AC$108)*TRANSPOSE(($D116:$E116))),0)</f>
        <v>59104329.957755297</v>
      </c>
      <c r="AD116" s="31" cm="1">
        <f t="array" ref="AD116">AD$106+IF($C116&lt;&gt;0,SUMPRODUCT((AD$107:AD$108)*TRANSPOSE(($D116:$E116))),0)</f>
        <v>59104329.957755297</v>
      </c>
      <c r="AE116" s="31" cm="1">
        <f t="array" ref="AE116">AE$106+IF($C116&lt;&gt;0,SUMPRODUCT((AE$107:AE$108)*TRANSPOSE(($D116:$E116))),0)</f>
        <v>59104329.957755297</v>
      </c>
      <c r="AF116" s="31" cm="1">
        <f t="array" ref="AF116">AF$106+IF($C116&lt;&gt;0,SUMPRODUCT((AF$107:AF$108)*TRANSPOSE(($D116:$E116))),0)</f>
        <v>59104329.957755297</v>
      </c>
      <c r="AG116" s="31" cm="1">
        <f t="array" ref="AG116">AG$106+IF($C116&lt;&gt;0,SUMPRODUCT((AG$107:AG$108)*TRANSPOSE(($D116:$E116))),0)</f>
        <v>59104329.957755297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2sens</v>
      </c>
      <c r="I117" s="31" cm="1">
        <f t="array" ref="I117">I$106+IF($C117&lt;&gt;0,SUMPRODUCT((I$107:I$108)*TRANSPOSE(($D117:$E117))),0)</f>
        <v>435220.55363711715</v>
      </c>
      <c r="J117" s="31" cm="1">
        <f t="array" ref="J117">J$106+IF($C117&lt;&gt;0,SUMPRODUCT((J$107:J$108)*TRANSPOSE(($D117:$E117))),0)</f>
        <v>614243.39274005452</v>
      </c>
      <c r="K117" s="31" cm="1">
        <f t="array" ref="K117">K$106+IF($C117&lt;&gt;0,SUMPRODUCT((K$107:K$108)*TRANSPOSE(($D117:$E117))),0)</f>
        <v>358045.67820587481</v>
      </c>
      <c r="L117" s="31" cm="1">
        <f t="array" ref="L117">L$106+IF($C117&lt;&gt;0,SUMPRODUCT((L$107:L$108)*TRANSPOSE(($D117:$E117))),0)</f>
        <v>358045.67820587481</v>
      </c>
      <c r="M117" s="31" cm="1">
        <f t="array" ref="M117">M$106+IF($C117&lt;&gt;0,SUMPRODUCT((M$107:M$108)*TRANSPOSE(($D117:$E117))),0)</f>
        <v>358045.67820587481</v>
      </c>
      <c r="N117" s="31" cm="1">
        <f t="array" ref="N117">N$106+IF($C117&lt;&gt;0,SUMPRODUCT((N$107:N$108)*TRANSPOSE(($D117:$E117))),0)</f>
        <v>358045.67820587481</v>
      </c>
      <c r="O117" s="31" cm="1">
        <f t="array" ref="O117">O$106+IF($C117&lt;&gt;0,SUMPRODUCT((O$107:O$108)*TRANSPOSE(($D117:$E117))),0)</f>
        <v>358045.67820587481</v>
      </c>
      <c r="P117" s="31" cm="1">
        <f t="array" ref="P117">P$106+IF($C117&lt;&gt;0,SUMPRODUCT((P$107:P$108)*TRANSPOSE(($D117:$E117))),0)</f>
        <v>358045.67820587481</v>
      </c>
      <c r="Q117" s="31" cm="1">
        <f t="array" ref="Q117">Q$106+IF($C117&lt;&gt;0,SUMPRODUCT((Q$107:Q$108)*TRANSPOSE(($D117:$E117))),0)</f>
        <v>358045.67820587481</v>
      </c>
      <c r="R117" s="31" cm="1">
        <f t="array" ref="R117">R$106+IF($C117&lt;&gt;0,SUMPRODUCT((R$107:R$108)*TRANSPOSE(($D117:$E117))),0)</f>
        <v>358045.67820587481</v>
      </c>
      <c r="S117" s="31" cm="1">
        <f t="array" ref="S117">S$106+IF($C117&lt;&gt;0,SUMPRODUCT((S$107:S$108)*TRANSPOSE(($D117:$E117))),0)</f>
        <v>358045.67820587481</v>
      </c>
      <c r="T117" s="31" cm="1">
        <f t="array" ref="T117">T$106+IF($C117&lt;&gt;0,SUMPRODUCT((T$107:T$108)*TRANSPOSE(($D117:$E117))),0)</f>
        <v>358045.67820587481</v>
      </c>
      <c r="U117" s="31" cm="1">
        <f t="array" ref="U117">U$106+IF($C117&lt;&gt;0,SUMPRODUCT((U$107:U$108)*TRANSPOSE(($D117:$E117))),0)</f>
        <v>358045.67820587481</v>
      </c>
      <c r="V117" s="31" cm="1">
        <f t="array" ref="V117">V$106+IF($C117&lt;&gt;0,SUMPRODUCT((V$107:V$108)*TRANSPOSE(($D117:$E117))),0)</f>
        <v>358045.67820587481</v>
      </c>
      <c r="W117" s="31" cm="1">
        <f t="array" ref="W117">W$106+IF($C117&lt;&gt;0,SUMPRODUCT((W$107:W$108)*TRANSPOSE(($D117:$E117))),0)</f>
        <v>358045.67820587481</v>
      </c>
      <c r="X117" s="31" cm="1">
        <f t="array" ref="X117">X$106+IF($C117&lt;&gt;0,SUMPRODUCT((X$107:X$108)*TRANSPOSE(($D117:$E117))),0)</f>
        <v>358045.67820587481</v>
      </c>
      <c r="Y117" s="31" cm="1">
        <f t="array" ref="Y117">Y$106+IF($C117&lt;&gt;0,SUMPRODUCT((Y$107:Y$108)*TRANSPOSE(($D117:$E117))),0)</f>
        <v>358045.67820587481</v>
      </c>
      <c r="Z117" s="31" cm="1">
        <f t="array" ref="Z117">Z$106+IF($C117&lt;&gt;0,SUMPRODUCT((Z$107:Z$108)*TRANSPOSE(($D117:$E117))),0)</f>
        <v>358045.67820587481</v>
      </c>
      <c r="AA117" s="31" cm="1">
        <f t="array" ref="AA117">AA$106+IF($C117&lt;&gt;0,SUMPRODUCT((AA$107:AA$108)*TRANSPOSE(($D117:$E117))),0)</f>
        <v>358045.67820587481</v>
      </c>
      <c r="AB117" s="31" cm="1">
        <f t="array" ref="AB117">AB$106+IF($C117&lt;&gt;0,SUMPRODUCT((AB$107:AB$108)*TRANSPOSE(($D117:$E117))),0)</f>
        <v>358045.67820587481</v>
      </c>
      <c r="AC117" s="31" cm="1">
        <f t="array" ref="AC117">AC$106+IF($C117&lt;&gt;0,SUMPRODUCT((AC$107:AC$108)*TRANSPOSE(($D117:$E117))),0)</f>
        <v>59104329.957755297</v>
      </c>
      <c r="AD117" s="31" cm="1">
        <f t="array" ref="AD117">AD$106+IF($C117&lt;&gt;0,SUMPRODUCT((AD$107:AD$108)*TRANSPOSE(($D117:$E117))),0)</f>
        <v>59104329.957755297</v>
      </c>
      <c r="AE117" s="31" cm="1">
        <f t="array" ref="AE117">AE$106+IF($C117&lt;&gt;0,SUMPRODUCT((AE$107:AE$108)*TRANSPOSE(($D117:$E117))),0)</f>
        <v>59104329.957755297</v>
      </c>
      <c r="AF117" s="31" cm="1">
        <f t="array" ref="AF117">AF$106+IF($C117&lt;&gt;0,SUMPRODUCT((AF$107:AF$108)*TRANSPOSE(($D117:$E117))),0)</f>
        <v>59104329.957755297</v>
      </c>
      <c r="AG117" s="31" cm="1">
        <f t="array" ref="AG117">AG$106+IF($C117&lt;&gt;0,SUMPRODUCT((AG$107:AG$108)*TRANSPOSE(($D117:$E117))),0)</f>
        <v>59104329.957755297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I28" sqref="I28"/>
      <selection pane="topRight" activeCell="I28" sqref="I28"/>
      <selection pane="bottomLeft" activeCell="I28" sqref="I28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 xml:space="preserve">Minimise bushfire risk from bare 22kV non-REFCL lines in HBRA 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 xml:space="preserve">Install EFD on all bare 22kV non-REFCL lines lines in HBRA 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332</v>
      </c>
      <c r="D14"/>
      <c r="E14" s="148">
        <v>15</v>
      </c>
      <c r="G14" s="207">
        <f>input_dollars</f>
        <v>45291</v>
      </c>
      <c r="H14" s="149"/>
      <c r="I14" s="32">
        <f>Workings_costs!E43</f>
        <v>9010894.435960887</v>
      </c>
      <c r="J14" s="32">
        <f>Workings_costs!F43</f>
        <v>9010894.435960887</v>
      </c>
      <c r="K14" s="32">
        <f>Workings_costs!G43</f>
        <v>9010894.435960887</v>
      </c>
      <c r="L14" s="32">
        <f>Workings_costs!H43</f>
        <v>9010894.435960887</v>
      </c>
      <c r="M14" s="32">
        <f>Workings_costs!I43</f>
        <v>9010894.435960887</v>
      </c>
      <c r="N14" s="32">
        <f>Workings_costs!J43</f>
        <v>0</v>
      </c>
      <c r="O14" s="32">
        <f>Workings_costs!K43</f>
        <v>0</v>
      </c>
      <c r="P14" s="32">
        <f>Workings_costs!L43</f>
        <v>0</v>
      </c>
      <c r="Q14" s="32">
        <f>Workings_costs!M43</f>
        <v>0</v>
      </c>
      <c r="R14" s="32">
        <f>Workings_costs!N43</f>
        <v>0</v>
      </c>
      <c r="S14" s="32">
        <f>Workings_costs!O43</f>
        <v>0</v>
      </c>
      <c r="T14" s="32">
        <f>Workings_costs!P43</f>
        <v>0</v>
      </c>
      <c r="U14" s="32">
        <f>Workings_costs!Q43</f>
        <v>0</v>
      </c>
      <c r="V14" s="32">
        <f>Workings_costs!R43</f>
        <v>0</v>
      </c>
      <c r="W14" s="32">
        <f>Workings_costs!S43</f>
        <v>0</v>
      </c>
      <c r="X14" s="32">
        <f>Workings_costs!T43</f>
        <v>0</v>
      </c>
      <c r="Y14" s="32">
        <f>Workings_costs!U43</f>
        <v>0</v>
      </c>
      <c r="Z14" s="32">
        <f>Workings_costs!V43</f>
        <v>0</v>
      </c>
      <c r="AA14" s="32">
        <f>Workings_costs!W43</f>
        <v>0</v>
      </c>
      <c r="AB14" s="32">
        <f>Workings_costs!X43</f>
        <v>0</v>
      </c>
      <c r="AC14" s="32">
        <f>Workings_costs!Y43</f>
        <v>0</v>
      </c>
      <c r="AD14" s="32">
        <f>Workings_costs!Z43</f>
        <v>0</v>
      </c>
      <c r="AE14" s="32">
        <f>Workings_costs!AA43</f>
        <v>0</v>
      </c>
      <c r="AF14" s="32">
        <f>Workings_costs!AB43</f>
        <v>0</v>
      </c>
      <c r="AG14" s="32">
        <f>Workings_costs!AC43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9010894.435960887</v>
      </c>
      <c r="J17" s="106">
        <f t="shared" si="0"/>
        <v>9010894.435960887</v>
      </c>
      <c r="K17" s="106">
        <f t="shared" si="0"/>
        <v>9010894.435960887</v>
      </c>
      <c r="L17" s="106">
        <f t="shared" si="0"/>
        <v>9010894.435960887</v>
      </c>
      <c r="M17" s="106">
        <f t="shared" si="0"/>
        <v>9010894.435960887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f>Workings_costs!E44</f>
        <v>90841.631088152833</v>
      </c>
      <c r="J19" s="32">
        <f>Workings_costs!F44</f>
        <v>90841.631088152833</v>
      </c>
      <c r="K19" s="32">
        <f>Workings_costs!G44</f>
        <v>90841.631088152833</v>
      </c>
      <c r="L19" s="32">
        <f>Workings_costs!H44</f>
        <v>90841.631088152833</v>
      </c>
      <c r="M19" s="32">
        <f>Workings_costs!I44</f>
        <v>90841.631088152833</v>
      </c>
      <c r="N19" s="32">
        <f>Workings_costs!J44</f>
        <v>2147258.0117303832</v>
      </c>
      <c r="O19" s="32">
        <f>Workings_costs!K44</f>
        <v>2147258.0117303832</v>
      </c>
      <c r="P19" s="32">
        <f>Workings_costs!L44</f>
        <v>2147258.0117303832</v>
      </c>
      <c r="Q19" s="32">
        <f>Workings_costs!M44</f>
        <v>2625095.6670232341</v>
      </c>
      <c r="R19" s="32">
        <f>Workings_costs!N44</f>
        <v>2625095.6670232341</v>
      </c>
      <c r="S19" s="32">
        <f>Workings_costs!O44</f>
        <v>2625095.6670232341</v>
      </c>
      <c r="T19" s="32">
        <f>Workings_costs!P44</f>
        <v>2625095.6670232341</v>
      </c>
      <c r="U19" s="32">
        <f>Workings_costs!Q44</f>
        <v>2625095.6670232341</v>
      </c>
      <c r="V19" s="32">
        <f>Workings_costs!R44</f>
        <v>2147258.0117303832</v>
      </c>
      <c r="W19" s="32">
        <f>Workings_costs!S44</f>
        <v>2147258.0117303832</v>
      </c>
      <c r="X19" s="32">
        <f>Workings_costs!T44</f>
        <v>1717806.4093843065</v>
      </c>
      <c r="Y19" s="32">
        <f>Workings_costs!U44</f>
        <v>1288354.8070382299</v>
      </c>
      <c r="Z19" s="32">
        <f>Workings_costs!V44</f>
        <v>858903.20469215326</v>
      </c>
      <c r="AA19" s="32">
        <f>Workings_costs!W44</f>
        <v>429451.60234607663</v>
      </c>
      <c r="AB19" s="32">
        <f>Workings_costs!X44</f>
        <v>0</v>
      </c>
      <c r="AC19" s="32">
        <f>Workings_costs!Y44</f>
        <v>0</v>
      </c>
      <c r="AD19" s="32">
        <f>Workings_costs!Z44</f>
        <v>0</v>
      </c>
      <c r="AE19" s="32">
        <f>Workings_costs!AA44</f>
        <v>0</v>
      </c>
      <c r="AF19" s="32">
        <f>Workings_costs!AB44</f>
        <v>0</v>
      </c>
      <c r="AG19" s="32">
        <f>Workings_costs!AC44</f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32">
        <f>Workings_risks!E65</f>
        <v>41699221.498595089</v>
      </c>
      <c r="J28" s="32">
        <f>Workings_risks!F65</f>
        <v>41107143.302874669</v>
      </c>
      <c r="K28" s="32">
        <f>Workings_risks!G65</f>
        <v>40515065.10715425</v>
      </c>
      <c r="L28" s="32">
        <f>Workings_risks!H65</f>
        <v>39922986.911433831</v>
      </c>
      <c r="M28" s="32">
        <f>Workings_risks!I65</f>
        <v>39330908.715713412</v>
      </c>
      <c r="N28" s="32">
        <f>Workings_risks!J65</f>
        <v>39330908.715713412</v>
      </c>
      <c r="O28" s="32">
        <f>Workings_risks!K65</f>
        <v>39330908.715713412</v>
      </c>
      <c r="P28" s="32">
        <f>Workings_risks!L65</f>
        <v>39330908.715713412</v>
      </c>
      <c r="Q28" s="32">
        <f>Workings_risks!M65</f>
        <v>39330908.715713412</v>
      </c>
      <c r="R28" s="32">
        <f>Workings_risks!N65</f>
        <v>39330908.715713412</v>
      </c>
      <c r="S28" s="32">
        <f>Workings_risks!O65</f>
        <v>39330908.715713412</v>
      </c>
      <c r="T28" s="32">
        <f>Workings_risks!P65</f>
        <v>39330908.715713412</v>
      </c>
      <c r="U28" s="32">
        <f>Workings_risks!Q65</f>
        <v>39330908.715713412</v>
      </c>
      <c r="V28" s="32">
        <f>Workings_risks!R65</f>
        <v>39330908.715713412</v>
      </c>
      <c r="W28" s="32">
        <f>Workings_risks!S65</f>
        <v>39330908.715713412</v>
      </c>
      <c r="X28" s="32">
        <f>Workings_risks!T65</f>
        <v>39922986.911433831</v>
      </c>
      <c r="Y28" s="32">
        <f>Workings_risks!U65</f>
        <v>40515065.10715425</v>
      </c>
      <c r="Z28" s="32">
        <f>Workings_risks!V65</f>
        <v>41107143.302874669</v>
      </c>
      <c r="AA28" s="32">
        <f>Workings_risks!W65</f>
        <v>41699221.498595089</v>
      </c>
      <c r="AB28" s="32">
        <f>Workings_risks!X65</f>
        <v>42291299.694315508</v>
      </c>
      <c r="AC28" s="32">
        <f>Workings_risks!Y65</f>
        <v>0</v>
      </c>
      <c r="AD28" s="32">
        <f>Workings_risks!Z65</f>
        <v>0</v>
      </c>
      <c r="AE28" s="32">
        <f>Workings_risks!AA65</f>
        <v>0</v>
      </c>
      <c r="AF28" s="32">
        <f>Workings_risks!AB65</f>
        <v>0</v>
      </c>
      <c r="AG28" s="32">
        <f>Workings_risks!AC65</f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291</v>
      </c>
      <c r="D33" s="219"/>
      <c r="E33"/>
      <c r="G33" s="207">
        <f>input_dollars</f>
        <v>45291</v>
      </c>
      <c r="H33"/>
      <c r="I33" s="32">
        <f>Workings_risks!E64</f>
        <v>17082447.161454674</v>
      </c>
      <c r="J33" s="32">
        <f>Workings_risks!F64</f>
        <v>16839468.630401205</v>
      </c>
      <c r="K33" s="32">
        <f>Workings_risks!G64</f>
        <v>16596490.099347737</v>
      </c>
      <c r="L33" s="32">
        <f>Workings_risks!H64</f>
        <v>16353511.568294268</v>
      </c>
      <c r="M33" s="32">
        <f>Workings_risks!I64</f>
        <v>16110533.0372408</v>
      </c>
      <c r="N33" s="32">
        <f>Workings_risks!J64</f>
        <v>16110533.0372408</v>
      </c>
      <c r="O33" s="32">
        <f>Workings_risks!K64</f>
        <v>16110533.0372408</v>
      </c>
      <c r="P33" s="32">
        <f>Workings_risks!L64</f>
        <v>16110533.0372408</v>
      </c>
      <c r="Q33" s="32">
        <f>Workings_risks!M64</f>
        <v>16110533.0372408</v>
      </c>
      <c r="R33" s="32">
        <f>Workings_risks!N64</f>
        <v>16110533.0372408</v>
      </c>
      <c r="S33" s="32">
        <f>Workings_risks!O64</f>
        <v>16110533.0372408</v>
      </c>
      <c r="T33" s="32">
        <f>Workings_risks!P64</f>
        <v>16110533.0372408</v>
      </c>
      <c r="U33" s="32">
        <f>Workings_risks!Q64</f>
        <v>16110533.0372408</v>
      </c>
      <c r="V33" s="32">
        <f>Workings_risks!R64</f>
        <v>16110533.0372408</v>
      </c>
      <c r="W33" s="32">
        <f>Workings_risks!S64</f>
        <v>16110533.0372408</v>
      </c>
      <c r="X33" s="32">
        <f>Workings_risks!T64</f>
        <v>16353511.568294268</v>
      </c>
      <c r="Y33" s="32">
        <f>Workings_risks!U64</f>
        <v>16596490.099347737</v>
      </c>
      <c r="Z33" s="32">
        <f>Workings_risks!V64</f>
        <v>16839468.630401205</v>
      </c>
      <c r="AA33" s="32">
        <f>Workings_risks!W64</f>
        <v>17082447.161454674</v>
      </c>
      <c r="AB33" s="32">
        <f>Workings_risks!X64</f>
        <v>17325425.692508142</v>
      </c>
      <c r="AC33" s="32">
        <f>Workings_risks!Y64</f>
        <v>0</v>
      </c>
      <c r="AD33" s="32">
        <f>Workings_risks!Z64</f>
        <v>0</v>
      </c>
      <c r="AE33" s="32">
        <f>Workings_risks!AA64</f>
        <v>0</v>
      </c>
      <c r="AF33" s="32">
        <f>Workings_risks!AB64</f>
        <v>0</v>
      </c>
      <c r="AG33" s="32">
        <f>Workings_risks!AC64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58781668.660049766</v>
      </c>
      <c r="J36" s="170">
        <f t="shared" ref="J36:AB36" si="2">SUM(J28:J34)</f>
        <v>57946611.933275878</v>
      </c>
      <c r="K36" s="170">
        <f t="shared" si="2"/>
        <v>57111555.206501991</v>
      </c>
      <c r="L36" s="170">
        <f t="shared" si="2"/>
        <v>56276498.479728103</v>
      </c>
      <c r="M36" s="170">
        <f t="shared" si="2"/>
        <v>55441441.752954215</v>
      </c>
      <c r="N36" s="170">
        <f t="shared" si="2"/>
        <v>55441441.752954215</v>
      </c>
      <c r="O36" s="170">
        <f t="shared" si="2"/>
        <v>55441441.752954215</v>
      </c>
      <c r="P36" s="170">
        <f t="shared" si="2"/>
        <v>55441441.752954215</v>
      </c>
      <c r="Q36" s="170">
        <f t="shared" si="2"/>
        <v>55441441.752954215</v>
      </c>
      <c r="R36" s="170">
        <f t="shared" si="2"/>
        <v>55441441.752954215</v>
      </c>
      <c r="S36" s="170">
        <f t="shared" si="2"/>
        <v>55441441.752954215</v>
      </c>
      <c r="T36" s="170">
        <f t="shared" si="2"/>
        <v>55441441.752954215</v>
      </c>
      <c r="U36" s="170">
        <f t="shared" si="2"/>
        <v>55441441.752954215</v>
      </c>
      <c r="V36" s="170">
        <f t="shared" si="2"/>
        <v>55441441.752954215</v>
      </c>
      <c r="W36" s="170">
        <f t="shared" si="2"/>
        <v>55441441.752954215</v>
      </c>
      <c r="X36" s="170">
        <f t="shared" si="2"/>
        <v>56276498.479728103</v>
      </c>
      <c r="Y36" s="170">
        <f t="shared" si="2"/>
        <v>57111555.206501991</v>
      </c>
      <c r="Z36" s="170">
        <f t="shared" si="2"/>
        <v>57946611.933275878</v>
      </c>
      <c r="AA36" s="170">
        <f t="shared" si="2"/>
        <v>58781668.660049766</v>
      </c>
      <c r="AB36" s="170">
        <f t="shared" si="2"/>
        <v>59616725.386823654</v>
      </c>
      <c r="AC36" s="170">
        <f>SUM(AC28:AC34)</f>
        <v>0</v>
      </c>
      <c r="AD36" s="170">
        <f>SUM(AD28:AD34)</f>
        <v>0</v>
      </c>
      <c r="AE36" s="170">
        <f>SUM(AE28:AE34)</f>
        <v>0</v>
      </c>
      <c r="AF36" s="170">
        <f>SUM(AF28:AF34)</f>
        <v>0</v>
      </c>
      <c r="AG36" s="170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835056.72677388787</v>
      </c>
      <c r="J64" s="132">
        <f>(1-INDEX(Data!$C$9:$C$13, MATCH($A$3, options,0)))*('Option1 (base case)'!J36-J36)</f>
        <v>1670113.4535477757</v>
      </c>
      <c r="K64" s="132">
        <f>(1-INDEX(Data!$C$9:$C$13, MATCH($A$3, options,0)))*('Option1 (base case)'!K36-K36)</f>
        <v>2505170.1803216636</v>
      </c>
      <c r="L64" s="132">
        <f>(1-INDEX(Data!$C$9:$C$13, MATCH($A$3, options,0)))*('Option1 (base case)'!L36-L36)</f>
        <v>3340226.9070955515</v>
      </c>
      <c r="M64" s="132">
        <f>(1-INDEX(Data!$C$9:$C$13, MATCH($A$3, options,0)))*('Option1 (base case)'!M36-M36)</f>
        <v>4175283.6338694394</v>
      </c>
      <c r="N64" s="132">
        <f>(1-INDEX(Data!$C$9:$C$13, MATCH($A$3, options,0)))*('Option1 (base case)'!N36-N36)</f>
        <v>4175283.6338694394</v>
      </c>
      <c r="O64" s="132">
        <f>(1-INDEX(Data!$C$9:$C$13, MATCH($A$3, options,0)))*('Option1 (base case)'!O36-O36)</f>
        <v>4175283.6338694394</v>
      </c>
      <c r="P64" s="132">
        <f>(1-INDEX(Data!$C$9:$C$13, MATCH($A$3, options,0)))*('Option1 (base case)'!P36-P36)</f>
        <v>4175283.6338694394</v>
      </c>
      <c r="Q64" s="132">
        <f>(1-INDEX(Data!$C$9:$C$13, MATCH($A$3, options,0)))*('Option1 (base case)'!Q36-Q36)</f>
        <v>4175283.6338694394</v>
      </c>
      <c r="R64" s="132">
        <f>(1-INDEX(Data!$C$9:$C$13, MATCH($A$3, options,0)))*('Option1 (base case)'!R36-R36)</f>
        <v>4175283.6338694394</v>
      </c>
      <c r="S64" s="132">
        <f>(1-INDEX(Data!$C$9:$C$13, MATCH($A$3, options,0)))*('Option1 (base case)'!S36-S36)</f>
        <v>4175283.6338694394</v>
      </c>
      <c r="T64" s="132">
        <f>(1-INDEX(Data!$C$9:$C$13, MATCH($A$3, options,0)))*('Option1 (base case)'!T36-T36)</f>
        <v>4175283.6338694394</v>
      </c>
      <c r="U64" s="132">
        <f>(1-INDEX(Data!$C$9:$C$13, MATCH($A$3, options,0)))*('Option1 (base case)'!U36-U36)</f>
        <v>4175283.6338694394</v>
      </c>
      <c r="V64" s="132">
        <f>(1-INDEX(Data!$C$9:$C$13, MATCH($A$3, options,0)))*('Option1 (base case)'!V36-V36)</f>
        <v>4175283.6338694394</v>
      </c>
      <c r="W64" s="132">
        <f>(1-INDEX(Data!$C$9:$C$13, MATCH($A$3, options,0)))*('Option1 (base case)'!W36-W36)</f>
        <v>4175283.6338694394</v>
      </c>
      <c r="X64" s="132">
        <f>(1-INDEX(Data!$C$9:$C$13, MATCH($A$3, options,0)))*('Option1 (base case)'!X36-X36)</f>
        <v>3340226.9070955515</v>
      </c>
      <c r="Y64" s="132">
        <f>(1-INDEX(Data!$C$9:$C$13, MATCH($A$3, options,0)))*('Option1 (base case)'!Y36-Y36)</f>
        <v>2505170.1803216636</v>
      </c>
      <c r="Z64" s="132">
        <f>(1-INDEX(Data!$C$9:$C$13, MATCH($A$3, options,0)))*('Option1 (base case)'!Z36-Z36)</f>
        <v>1670113.4535477757</v>
      </c>
      <c r="AA64" s="132">
        <f>(1-INDEX(Data!$C$9:$C$13, MATCH($A$3, options,0)))*('Option1 (base case)'!AA36-AA36)</f>
        <v>835056.72677388787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59616725.386823654</v>
      </c>
      <c r="AD64" s="132">
        <f>(1-INDEX(Data!$C$9:$C$13, MATCH($A$3, options,0)))*('Option1 (base case)'!AD36-AD36)</f>
        <v>59616725.386823654</v>
      </c>
      <c r="AE64" s="132">
        <f>(1-INDEX(Data!$C$9:$C$13, MATCH($A$3, options,0)))*('Option1 (base case)'!AE36-AE36)</f>
        <v>59616725.386823654</v>
      </c>
      <c r="AF64" s="132">
        <f>(1-INDEX(Data!$C$9:$C$13, MATCH($A$3, options,0)))*('Option1 (base case)'!AF36-AF36)</f>
        <v>59616725.386823654</v>
      </c>
      <c r="AG64" s="132">
        <f>(1-INDEX(Data!$C$9:$C$13, MATCH($A$3, options,0)))*('Option1 (base case)'!AG36-AG36)</f>
        <v>59616725.386823654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EFD</v>
      </c>
      <c r="D67" s="38"/>
      <c r="F67" s="97"/>
      <c r="G67" s="210">
        <f>input_dollars</f>
        <v>45291</v>
      </c>
      <c r="H67" s="31"/>
      <c r="I67" s="119">
        <f t="shared" ref="I67:AG67" si="4">-I14</f>
        <v>-9010894.435960887</v>
      </c>
      <c r="J67" s="119">
        <f t="shared" si="4"/>
        <v>-9010894.435960887</v>
      </c>
      <c r="K67" s="119">
        <f t="shared" si="4"/>
        <v>-9010894.435960887</v>
      </c>
      <c r="L67" s="119">
        <f t="shared" si="4"/>
        <v>-9010894.435960887</v>
      </c>
      <c r="M67" s="119">
        <f t="shared" si="4"/>
        <v>-9010894.435960887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  <c r="AH67"/>
    </row>
    <row r="68" spans="1:34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  <c r="AH68"/>
    </row>
    <row r="69" spans="1:34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EFD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-9010894.435960887</v>
      </c>
      <c r="J72" s="119" cm="1">
        <f t="array" ref="J72">SUMPRODUCT(($I67:J67))-SUMPRODUCT(($I67:J67)*($I$6:J$6&lt;=(J$6-$E14)))</f>
        <v>-18021788.871921774</v>
      </c>
      <c r="K72" s="119" cm="1">
        <f t="array" ref="K72">SUMPRODUCT(($I67:K67))-SUMPRODUCT(($I67:K67)*($I$6:K$6&lt;=(K$6-$E14)))</f>
        <v>-27032683.307882659</v>
      </c>
      <c r="L72" s="119" cm="1">
        <f t="array" ref="L72">SUMPRODUCT(($I67:L67))-SUMPRODUCT(($I67:L67)*($I$6:L$6&lt;=(L$6-$E14)))</f>
        <v>-36043577.743843548</v>
      </c>
      <c r="M72" s="119" cm="1">
        <f t="array" ref="M72">SUMPRODUCT(($I67:M67))-SUMPRODUCT(($I67:M67)*($I$6:M$6&lt;=(M$6-$E14)))</f>
        <v>-45054472.179804437</v>
      </c>
      <c r="N72" s="119" cm="1">
        <f t="array" ref="N72">SUMPRODUCT(($I67:N67))-SUMPRODUCT(($I67:N67)*($I$6:N$6&lt;=(N$6-$E14)))</f>
        <v>-45054472.179804437</v>
      </c>
      <c r="O72" s="119" cm="1">
        <f t="array" ref="O72">SUMPRODUCT(($I67:O67))-SUMPRODUCT(($I67:O67)*($I$6:O$6&lt;=(O$6-$E14)))</f>
        <v>-45054472.179804437</v>
      </c>
      <c r="P72" s="119" cm="1">
        <f t="array" ref="P72">SUMPRODUCT(($I67:P67))-SUMPRODUCT(($I67:P67)*($I$6:P$6&lt;=(P$6-$E14)))</f>
        <v>-45054472.179804437</v>
      </c>
      <c r="Q72" s="119" cm="1">
        <f t="array" ref="Q72">SUMPRODUCT(($I67:Q67))-SUMPRODUCT(($I67:Q67)*($I$6:Q$6&lt;=(Q$6-$E14)))</f>
        <v>-45054472.179804437</v>
      </c>
      <c r="R72" s="119" cm="1">
        <f t="array" ref="R72">SUMPRODUCT(($I67:R67))-SUMPRODUCT(($I67:R67)*($I$6:R$6&lt;=(R$6-$E14)))</f>
        <v>-45054472.179804437</v>
      </c>
      <c r="S72" s="119" cm="1">
        <f t="array" ref="S72">SUMPRODUCT(($I67:S67))-SUMPRODUCT(($I67:S67)*($I$6:S$6&lt;=(S$6-$E14)))</f>
        <v>-45054472.179804437</v>
      </c>
      <c r="T72" s="119" cm="1">
        <f t="array" ref="T72">SUMPRODUCT(($I67:T67))-SUMPRODUCT(($I67:T67)*($I$6:T$6&lt;=(T$6-$E14)))</f>
        <v>-45054472.179804437</v>
      </c>
      <c r="U72" s="119" cm="1">
        <f t="array" ref="U72">SUMPRODUCT(($I67:U67))-SUMPRODUCT(($I67:U67)*($I$6:U$6&lt;=(U$6-$E14)))</f>
        <v>-45054472.179804437</v>
      </c>
      <c r="V72" s="119" cm="1">
        <f t="array" ref="V72">SUMPRODUCT(($I67:V67))-SUMPRODUCT(($I67:V67)*($I$6:V$6&lt;=(V$6-$E14)))</f>
        <v>-45054472.179804437</v>
      </c>
      <c r="W72" s="119" cm="1">
        <f t="array" ref="W72">SUMPRODUCT(($I67:W67))-SUMPRODUCT(($I67:W67)*($I$6:W$6&lt;=(W$6-$E14)))</f>
        <v>-45054472.179804437</v>
      </c>
      <c r="X72" s="119" cm="1">
        <f t="array" ref="X72">SUMPRODUCT(($I67:X67))-SUMPRODUCT(($I67:X67)*($I$6:X$6&lt;=(X$6-$E14)))</f>
        <v>-36043577.743843548</v>
      </c>
      <c r="Y72" s="119" cm="1">
        <f t="array" ref="Y72">SUMPRODUCT(($I67:Y67))-SUMPRODUCT(($I67:Y67)*($I$6:Y$6&lt;=(Y$6-$E14)))</f>
        <v>-27032683.307882663</v>
      </c>
      <c r="Z72" s="119" cm="1">
        <f t="array" ref="Z72">SUMPRODUCT(($I67:Z67))-SUMPRODUCT(($I67:Z67)*($I$6:Z$6&lt;=(Z$6-$E14)))</f>
        <v>-18021788.871921778</v>
      </c>
      <c r="AA72" s="119" cm="1">
        <f t="array" ref="AA72">SUMPRODUCT(($I67:AA67))-SUMPRODUCT(($I67:AA67)*($I$6:AA$6&lt;=(AA$6-$E14)))</f>
        <v>-9010894.4359608889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EFD</v>
      </c>
      <c r="D77" s="38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-782371.53445230448</v>
      </c>
      <c r="K77" s="119">
        <f t="shared" si="7"/>
        <v>-1564743.068904609</v>
      </c>
      <c r="L77" s="119">
        <f t="shared" si="7"/>
        <v>-2347114.6033569132</v>
      </c>
      <c r="M77" s="119">
        <f t="shared" si="7"/>
        <v>-3129486.1378092179</v>
      </c>
      <c r="N77" s="119">
        <f t="shared" si="7"/>
        <v>-3911857.6722615226</v>
      </c>
      <c r="O77" s="119">
        <f t="shared" si="7"/>
        <v>-3911857.6722615226</v>
      </c>
      <c r="P77" s="119">
        <f t="shared" si="7"/>
        <v>-3911857.6722615226</v>
      </c>
      <c r="Q77" s="119">
        <f t="shared" si="7"/>
        <v>-3911857.6722615226</v>
      </c>
      <c r="R77" s="119">
        <f t="shared" si="7"/>
        <v>-3911857.6722615226</v>
      </c>
      <c r="S77" s="119">
        <f t="shared" si="7"/>
        <v>-3911857.6722615226</v>
      </c>
      <c r="T77" s="119">
        <f t="shared" si="7"/>
        <v>-3911857.6722615226</v>
      </c>
      <c r="U77" s="119">
        <f t="shared" si="7"/>
        <v>-3911857.6722615226</v>
      </c>
      <c r="V77" s="119">
        <f t="shared" si="7"/>
        <v>-3911857.6722615226</v>
      </c>
      <c r="W77" s="119">
        <f t="shared" si="7"/>
        <v>-3911857.6722615226</v>
      </c>
      <c r="X77" s="119">
        <f t="shared" si="7"/>
        <v>-3911857.6722615226</v>
      </c>
      <c r="Y77" s="119">
        <f t="shared" si="7"/>
        <v>-3129486.1378092179</v>
      </c>
      <c r="Z77" s="119">
        <f t="shared" si="7"/>
        <v>-2347114.6033569137</v>
      </c>
      <c r="AA77" s="119">
        <f t="shared" si="7"/>
        <v>-1564743.0689046094</v>
      </c>
      <c r="AB77" s="119">
        <f t="shared" si="7"/>
        <v>-782371.53445230471</v>
      </c>
      <c r="AC77" s="119">
        <f t="shared" si="7"/>
        <v>0</v>
      </c>
      <c r="AD77" s="119">
        <f t="shared" si="7"/>
        <v>0</v>
      </c>
      <c r="AE77" s="119">
        <f t="shared" si="7"/>
        <v>0</v>
      </c>
      <c r="AF77" s="119">
        <f t="shared" si="7"/>
        <v>0</v>
      </c>
      <c r="AG77" s="119">
        <f t="shared" si="7"/>
        <v>0</v>
      </c>
      <c r="AH77"/>
    </row>
    <row r="78" spans="1:34" x14ac:dyDescent="0.2">
      <c r="A78" s="8"/>
      <c r="B78" s="8"/>
      <c r="C78" s="4" t="str">
        <f>$C$76&amp;" - "&amp;C15</f>
        <v>Annualised capex - &lt; Enter description &gt;</v>
      </c>
      <c r="D78" s="38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  <c r="AH78"/>
    </row>
    <row r="79" spans="1:34" x14ac:dyDescent="0.2">
      <c r="A79" s="8"/>
      <c r="B79" s="8"/>
      <c r="C79" s="4" t="str">
        <f>$C$76&amp;" - "&amp;C16</f>
        <v>Annualised capex - &lt; Enter description &gt;</v>
      </c>
      <c r="D79" s="38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  <c r="AH79"/>
    </row>
    <row r="80" spans="1:34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-782371.53445230448</v>
      </c>
      <c r="K80" s="176">
        <f t="shared" si="10"/>
        <v>-1564743.068904609</v>
      </c>
      <c r="L80" s="176">
        <f t="shared" si="10"/>
        <v>-2347114.6033569132</v>
      </c>
      <c r="M80" s="176">
        <f t="shared" si="10"/>
        <v>-3129486.1378092179</v>
      </c>
      <c r="N80" s="176">
        <f t="shared" si="10"/>
        <v>-3911857.6722615226</v>
      </c>
      <c r="O80" s="176">
        <f t="shared" si="10"/>
        <v>-3911857.6722615226</v>
      </c>
      <c r="P80" s="176">
        <f t="shared" si="10"/>
        <v>-3911857.6722615226</v>
      </c>
      <c r="Q80" s="176">
        <f t="shared" si="10"/>
        <v>-3911857.6722615226</v>
      </c>
      <c r="R80" s="176">
        <f t="shared" si="10"/>
        <v>-3911857.6722615226</v>
      </c>
      <c r="S80" s="176">
        <f t="shared" si="10"/>
        <v>-3911857.6722615226</v>
      </c>
      <c r="T80" s="176">
        <f t="shared" si="10"/>
        <v>-3911857.6722615226</v>
      </c>
      <c r="U80" s="176">
        <f t="shared" si="10"/>
        <v>-3911857.6722615226</v>
      </c>
      <c r="V80" s="176">
        <f t="shared" si="10"/>
        <v>-3911857.6722615226</v>
      </c>
      <c r="W80" s="176">
        <f t="shared" si="10"/>
        <v>-3911857.6722615226</v>
      </c>
      <c r="X80" s="176">
        <f t="shared" si="10"/>
        <v>-3911857.6722615226</v>
      </c>
      <c r="Y80" s="176">
        <f t="shared" si="10"/>
        <v>-3129486.1378092179</v>
      </c>
      <c r="Z80" s="176">
        <f t="shared" si="10"/>
        <v>-2347114.6033569137</v>
      </c>
      <c r="AA80" s="176">
        <f t="shared" si="10"/>
        <v>-1564743.0689046094</v>
      </c>
      <c r="AB80" s="176">
        <f t="shared" si="10"/>
        <v>-782371.53445230471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-782371.53445230448</v>
      </c>
      <c r="K82" s="119">
        <f t="shared" si="12"/>
        <v>-1564743.068904609</v>
      </c>
      <c r="L82" s="119">
        <f t="shared" si="12"/>
        <v>-2347114.6033569132</v>
      </c>
      <c r="M82" s="119">
        <f t="shared" si="12"/>
        <v>-3129486.1378092179</v>
      </c>
      <c r="N82" s="119">
        <f t="shared" si="12"/>
        <v>-3911857.6722615226</v>
      </c>
      <c r="O82" s="119">
        <f t="shared" si="12"/>
        <v>-3911857.6722615226</v>
      </c>
      <c r="P82" s="119">
        <f t="shared" si="12"/>
        <v>-3911857.6722615226</v>
      </c>
      <c r="Q82" s="119">
        <f t="shared" si="12"/>
        <v>-3911857.6722615226</v>
      </c>
      <c r="R82" s="119">
        <f t="shared" si="12"/>
        <v>-3911857.6722615226</v>
      </c>
      <c r="S82" s="119">
        <f t="shared" si="12"/>
        <v>-3911857.6722615226</v>
      </c>
      <c r="T82" s="119">
        <f t="shared" si="12"/>
        <v>-3911857.6722615226</v>
      </c>
      <c r="U82" s="119">
        <f t="shared" si="12"/>
        <v>-3911857.6722615226</v>
      </c>
      <c r="V82" s="119">
        <f t="shared" si="12"/>
        <v>-3911857.6722615226</v>
      </c>
      <c r="W82" s="119">
        <f t="shared" si="12"/>
        <v>-3911857.6722615226</v>
      </c>
      <c r="X82" s="119">
        <f t="shared" si="12"/>
        <v>-3911857.6722615226</v>
      </c>
      <c r="Y82" s="119">
        <f t="shared" si="12"/>
        <v>-3129486.1378092179</v>
      </c>
      <c r="Z82" s="119">
        <f t="shared" si="12"/>
        <v>-2347114.6033569137</v>
      </c>
      <c r="AA82" s="119">
        <f t="shared" si="12"/>
        <v>-1564743.0689046094</v>
      </c>
      <c r="AB82" s="119">
        <f t="shared" si="12"/>
        <v>-782371.53445230471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-90841.631088152833</v>
      </c>
      <c r="J83" s="31">
        <f t="shared" si="13"/>
        <v>-90841.631088152833</v>
      </c>
      <c r="K83" s="31">
        <f t="shared" si="13"/>
        <v>-90841.631088152833</v>
      </c>
      <c r="L83" s="31">
        <f t="shared" si="13"/>
        <v>-90841.631088152833</v>
      </c>
      <c r="M83" s="31">
        <f t="shared" si="13"/>
        <v>-90841.631088152833</v>
      </c>
      <c r="N83" s="31">
        <f t="shared" si="13"/>
        <v>-2147258.0117303832</v>
      </c>
      <c r="O83" s="31">
        <f t="shared" si="13"/>
        <v>-2147258.0117303832</v>
      </c>
      <c r="P83" s="31">
        <f t="shared" si="13"/>
        <v>-2147258.0117303832</v>
      </c>
      <c r="Q83" s="31">
        <f t="shared" si="13"/>
        <v>-2625095.6670232341</v>
      </c>
      <c r="R83" s="31">
        <f t="shared" si="13"/>
        <v>-2625095.6670232341</v>
      </c>
      <c r="S83" s="31">
        <f t="shared" si="13"/>
        <v>-2625095.6670232341</v>
      </c>
      <c r="T83" s="31">
        <f t="shared" si="13"/>
        <v>-2625095.6670232341</v>
      </c>
      <c r="U83" s="31">
        <f t="shared" si="13"/>
        <v>-2625095.6670232341</v>
      </c>
      <c r="V83" s="31">
        <f t="shared" si="13"/>
        <v>-2147258.0117303832</v>
      </c>
      <c r="W83" s="31">
        <f t="shared" si="13"/>
        <v>-2147258.0117303832</v>
      </c>
      <c r="X83" s="31">
        <f t="shared" si="13"/>
        <v>-1717806.4093843065</v>
      </c>
      <c r="Y83" s="31">
        <f t="shared" si="13"/>
        <v>-1288354.8070382299</v>
      </c>
      <c r="Z83" s="31">
        <f t="shared" si="13"/>
        <v>-858903.20469215326</v>
      </c>
      <c r="AA83" s="31">
        <f t="shared" si="13"/>
        <v>-429451.60234607663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  <c r="AH83"/>
    </row>
    <row r="84" spans="1:34" x14ac:dyDescent="0.2">
      <c r="A84" s="8"/>
      <c r="B84" s="8"/>
      <c r="C84" s="4" t="s">
        <v>139</v>
      </c>
      <c r="D84" s="38"/>
      <c r="F84" s="97"/>
      <c r="G84" s="210">
        <f t="shared" si="11"/>
        <v>45291</v>
      </c>
      <c r="H84" s="31"/>
      <c r="I84" s="31">
        <f t="shared" ref="I84:AG84" si="14">I64</f>
        <v>835056.72677388787</v>
      </c>
      <c r="J84" s="31">
        <f t="shared" si="14"/>
        <v>1670113.4535477757</v>
      </c>
      <c r="K84" s="31">
        <f t="shared" si="14"/>
        <v>2505170.1803216636</v>
      </c>
      <c r="L84" s="31">
        <f t="shared" si="14"/>
        <v>3340226.9070955515</v>
      </c>
      <c r="M84" s="31">
        <f t="shared" si="14"/>
        <v>4175283.6338694394</v>
      </c>
      <c r="N84" s="31">
        <f t="shared" si="14"/>
        <v>4175283.6338694394</v>
      </c>
      <c r="O84" s="31">
        <f t="shared" si="14"/>
        <v>4175283.6338694394</v>
      </c>
      <c r="P84" s="31">
        <f t="shared" si="14"/>
        <v>4175283.6338694394</v>
      </c>
      <c r="Q84" s="31">
        <f t="shared" si="14"/>
        <v>4175283.6338694394</v>
      </c>
      <c r="R84" s="31">
        <f t="shared" si="14"/>
        <v>4175283.6338694394</v>
      </c>
      <c r="S84" s="31">
        <f t="shared" si="14"/>
        <v>4175283.6338694394</v>
      </c>
      <c r="T84" s="31">
        <f t="shared" si="14"/>
        <v>4175283.6338694394</v>
      </c>
      <c r="U84" s="31">
        <f t="shared" si="14"/>
        <v>4175283.6338694394</v>
      </c>
      <c r="V84" s="31">
        <f t="shared" si="14"/>
        <v>4175283.6338694394</v>
      </c>
      <c r="W84" s="31">
        <f t="shared" si="14"/>
        <v>4175283.6338694394</v>
      </c>
      <c r="X84" s="31">
        <f t="shared" si="14"/>
        <v>3340226.9070955515</v>
      </c>
      <c r="Y84" s="31">
        <f t="shared" si="14"/>
        <v>2505170.1803216636</v>
      </c>
      <c r="Z84" s="31">
        <f t="shared" si="14"/>
        <v>1670113.4535477757</v>
      </c>
      <c r="AA84" s="31">
        <f t="shared" si="14"/>
        <v>835056.72677388787</v>
      </c>
      <c r="AB84" s="31">
        <f t="shared" si="14"/>
        <v>0</v>
      </c>
      <c r="AC84" s="31">
        <f t="shared" si="14"/>
        <v>59616725.386823654</v>
      </c>
      <c r="AD84" s="31">
        <f t="shared" si="14"/>
        <v>59616725.386823654</v>
      </c>
      <c r="AE84" s="31">
        <f t="shared" si="14"/>
        <v>59616725.386823654</v>
      </c>
      <c r="AF84" s="31">
        <f t="shared" si="14"/>
        <v>59616725.386823654</v>
      </c>
      <c r="AG84" s="31">
        <f t="shared" si="14"/>
        <v>59616725.386823654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186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744215.095685735</v>
      </c>
      <c r="J87" s="179">
        <f t="shared" si="16"/>
        <v>796900.28800731839</v>
      </c>
      <c r="K87" s="179">
        <f t="shared" si="16"/>
        <v>849585.4803289019</v>
      </c>
      <c r="L87" s="179">
        <f t="shared" si="16"/>
        <v>902270.6726504853</v>
      </c>
      <c r="M87" s="179">
        <f t="shared" si="16"/>
        <v>954955.86497206846</v>
      </c>
      <c r="N87" s="179">
        <f t="shared" si="16"/>
        <v>-1883832.0501224659</v>
      </c>
      <c r="O87" s="179">
        <f t="shared" si="16"/>
        <v>-1883832.0501224659</v>
      </c>
      <c r="P87" s="179">
        <f t="shared" si="16"/>
        <v>-1883832.0501224659</v>
      </c>
      <c r="Q87" s="179">
        <f t="shared" si="16"/>
        <v>-2361669.7054153178</v>
      </c>
      <c r="R87" s="179">
        <f t="shared" si="16"/>
        <v>-2361669.7054153178</v>
      </c>
      <c r="S87" s="179">
        <f t="shared" si="16"/>
        <v>-2361669.7054153178</v>
      </c>
      <c r="T87" s="179">
        <f t="shared" si="16"/>
        <v>-2361669.7054153178</v>
      </c>
      <c r="U87" s="179">
        <f t="shared" si="16"/>
        <v>-2361669.7054153178</v>
      </c>
      <c r="V87" s="179">
        <f t="shared" si="16"/>
        <v>-1883832.0501224659</v>
      </c>
      <c r="W87" s="179">
        <f t="shared" si="16"/>
        <v>-1883832.0501224659</v>
      </c>
      <c r="X87" s="179">
        <f t="shared" si="16"/>
        <v>-2289437.1745502781</v>
      </c>
      <c r="Y87" s="179">
        <f t="shared" si="16"/>
        <v>-1912670.7645257842</v>
      </c>
      <c r="Z87" s="179">
        <f t="shared" si="16"/>
        <v>-1535904.3545012912</v>
      </c>
      <c r="AA87" s="179">
        <f t="shared" si="16"/>
        <v>-1159137.9444767982</v>
      </c>
      <c r="AB87" s="179">
        <f t="shared" si="16"/>
        <v>-782371.53445230471</v>
      </c>
      <c r="AC87" s="179">
        <f>SUM(AC82:AC86)</f>
        <v>59616725.386823654</v>
      </c>
      <c r="AD87" s="179">
        <f>SUM(AD82:AD86)</f>
        <v>59616725.386823654</v>
      </c>
      <c r="AE87" s="179">
        <f>SUM(AE82:AE86)</f>
        <v>59616725.386823654</v>
      </c>
      <c r="AF87" s="179">
        <f>SUM(AF82:AF86)</f>
        <v>59616725.386823654</v>
      </c>
      <c r="AG87" s="179">
        <f>SUM(AG82:AG86)</f>
        <v>59616725.386823654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3NPV</v>
      </c>
      <c r="I106" s="31">
        <f>I87</f>
        <v>744215.095685735</v>
      </c>
      <c r="J106" s="31">
        <f t="shared" ref="J106:AG106" si="17">J87</f>
        <v>796900.28800731839</v>
      </c>
      <c r="K106" s="31">
        <f t="shared" si="17"/>
        <v>849585.4803289019</v>
      </c>
      <c r="L106" s="31">
        <f t="shared" si="17"/>
        <v>902270.6726504853</v>
      </c>
      <c r="M106" s="31">
        <f t="shared" si="17"/>
        <v>954955.86497206846</v>
      </c>
      <c r="N106" s="31">
        <f t="shared" si="17"/>
        <v>-1883832.0501224659</v>
      </c>
      <c r="O106" s="31">
        <f t="shared" si="17"/>
        <v>-1883832.0501224659</v>
      </c>
      <c r="P106" s="31">
        <f t="shared" si="17"/>
        <v>-1883832.0501224659</v>
      </c>
      <c r="Q106" s="31">
        <f t="shared" si="17"/>
        <v>-2361669.7054153178</v>
      </c>
      <c r="R106" s="31">
        <f t="shared" si="17"/>
        <v>-2361669.7054153178</v>
      </c>
      <c r="S106" s="31">
        <f t="shared" si="17"/>
        <v>-2361669.7054153178</v>
      </c>
      <c r="T106" s="31">
        <f t="shared" si="17"/>
        <v>-2361669.7054153178</v>
      </c>
      <c r="U106" s="31">
        <f t="shared" si="17"/>
        <v>-2361669.7054153178</v>
      </c>
      <c r="V106" s="31">
        <f t="shared" si="17"/>
        <v>-1883832.0501224659</v>
      </c>
      <c r="W106" s="31">
        <f t="shared" si="17"/>
        <v>-1883832.0501224659</v>
      </c>
      <c r="X106" s="31">
        <f t="shared" si="17"/>
        <v>-2289437.1745502781</v>
      </c>
      <c r="Y106" s="31">
        <f t="shared" si="17"/>
        <v>-1912670.7645257842</v>
      </c>
      <c r="Z106" s="31">
        <f t="shared" si="17"/>
        <v>-1535904.3545012912</v>
      </c>
      <c r="AA106" s="31">
        <f t="shared" si="17"/>
        <v>-1159137.9444767982</v>
      </c>
      <c r="AB106" s="31">
        <f t="shared" si="17"/>
        <v>-782371.53445230471</v>
      </c>
      <c r="AC106" s="31">
        <f t="shared" si="17"/>
        <v>59616725.386823654</v>
      </c>
      <c r="AD106" s="31">
        <f t="shared" si="17"/>
        <v>59616725.386823654</v>
      </c>
      <c r="AE106" s="31">
        <f t="shared" si="17"/>
        <v>59616725.386823654</v>
      </c>
      <c r="AF106" s="31">
        <f t="shared" si="17"/>
        <v>59616725.386823654</v>
      </c>
      <c r="AG106" s="31">
        <f t="shared" si="17"/>
        <v>59616725.386823654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8">J82</f>
        <v>-782371.53445230448</v>
      </c>
      <c r="K107" s="31">
        <f t="shared" si="18"/>
        <v>-1564743.068904609</v>
      </c>
      <c r="L107" s="31">
        <f t="shared" si="18"/>
        <v>-2347114.6033569132</v>
      </c>
      <c r="M107" s="31">
        <f t="shared" si="18"/>
        <v>-3129486.1378092179</v>
      </c>
      <c r="N107" s="31">
        <f t="shared" si="18"/>
        <v>-3911857.6722615226</v>
      </c>
      <c r="O107" s="31">
        <f t="shared" si="18"/>
        <v>-3911857.6722615226</v>
      </c>
      <c r="P107" s="31">
        <f t="shared" si="18"/>
        <v>-3911857.6722615226</v>
      </c>
      <c r="Q107" s="31">
        <f t="shared" si="18"/>
        <v>-3911857.6722615226</v>
      </c>
      <c r="R107" s="31">
        <f t="shared" si="18"/>
        <v>-3911857.6722615226</v>
      </c>
      <c r="S107" s="31">
        <f t="shared" si="18"/>
        <v>-3911857.6722615226</v>
      </c>
      <c r="T107" s="31">
        <f t="shared" si="18"/>
        <v>-3911857.6722615226</v>
      </c>
      <c r="U107" s="31">
        <f t="shared" si="18"/>
        <v>-3911857.6722615226</v>
      </c>
      <c r="V107" s="31">
        <f t="shared" si="18"/>
        <v>-3911857.6722615226</v>
      </c>
      <c r="W107" s="31">
        <f t="shared" si="18"/>
        <v>-3911857.6722615226</v>
      </c>
      <c r="X107" s="31">
        <f t="shared" si="18"/>
        <v>-3911857.6722615226</v>
      </c>
      <c r="Y107" s="31">
        <f t="shared" si="18"/>
        <v>-3129486.1378092179</v>
      </c>
      <c r="Z107" s="31">
        <f t="shared" si="18"/>
        <v>-2347114.6033569137</v>
      </c>
      <c r="AA107" s="31">
        <f t="shared" si="18"/>
        <v>-1564743.0689046094</v>
      </c>
      <c r="AB107" s="31">
        <f t="shared" si="18"/>
        <v>-782371.53445230471</v>
      </c>
      <c r="AC107" s="31">
        <f t="shared" si="18"/>
        <v>0</v>
      </c>
      <c r="AD107" s="31">
        <f t="shared" si="18"/>
        <v>0</v>
      </c>
      <c r="AE107" s="31">
        <f t="shared" si="18"/>
        <v>0</v>
      </c>
      <c r="AF107" s="31">
        <f t="shared" si="18"/>
        <v>0</v>
      </c>
      <c r="AG107" s="31">
        <f t="shared" si="18"/>
        <v>0</v>
      </c>
    </row>
    <row r="108" spans="1:43" x14ac:dyDescent="0.2">
      <c r="C108" s="1" t="s">
        <v>239</v>
      </c>
      <c r="D108"/>
      <c r="E108"/>
      <c r="F108"/>
      <c r="G108"/>
      <c r="I108" s="31">
        <f>SUM(I84:I85)</f>
        <v>835056.72677388787</v>
      </c>
      <c r="J108" s="31">
        <f t="shared" ref="J108:AG108" si="19">SUM(J84:J85)</f>
        <v>1670113.4535477757</v>
      </c>
      <c r="K108" s="31">
        <f t="shared" si="19"/>
        <v>2505170.1803216636</v>
      </c>
      <c r="L108" s="31">
        <f t="shared" si="19"/>
        <v>3340226.9070955515</v>
      </c>
      <c r="M108" s="31">
        <f t="shared" si="19"/>
        <v>4175283.6338694394</v>
      </c>
      <c r="N108" s="31">
        <f t="shared" si="19"/>
        <v>4175283.6338694394</v>
      </c>
      <c r="O108" s="31">
        <f t="shared" si="19"/>
        <v>4175283.6338694394</v>
      </c>
      <c r="P108" s="31">
        <f t="shared" si="19"/>
        <v>4175283.6338694394</v>
      </c>
      <c r="Q108" s="31">
        <f t="shared" si="19"/>
        <v>4175283.6338694394</v>
      </c>
      <c r="R108" s="31">
        <f t="shared" si="19"/>
        <v>4175283.6338694394</v>
      </c>
      <c r="S108" s="31">
        <f t="shared" si="19"/>
        <v>4175283.6338694394</v>
      </c>
      <c r="T108" s="31">
        <f t="shared" si="19"/>
        <v>4175283.6338694394</v>
      </c>
      <c r="U108" s="31">
        <f t="shared" si="19"/>
        <v>4175283.6338694394</v>
      </c>
      <c r="V108" s="31">
        <f t="shared" si="19"/>
        <v>4175283.6338694394</v>
      </c>
      <c r="W108" s="31">
        <f t="shared" si="19"/>
        <v>4175283.6338694394</v>
      </c>
      <c r="X108" s="31">
        <f t="shared" si="19"/>
        <v>3340226.9070955515</v>
      </c>
      <c r="Y108" s="31">
        <f t="shared" si="19"/>
        <v>2505170.1803216636</v>
      </c>
      <c r="Z108" s="31">
        <f t="shared" si="19"/>
        <v>1670113.4535477757</v>
      </c>
      <c r="AA108" s="31">
        <f t="shared" si="19"/>
        <v>835056.72677388787</v>
      </c>
      <c r="AB108" s="31">
        <f t="shared" si="19"/>
        <v>0</v>
      </c>
      <c r="AC108" s="31">
        <f t="shared" si="19"/>
        <v>59616725.386823654</v>
      </c>
      <c r="AD108" s="31">
        <f t="shared" si="19"/>
        <v>59616725.386823654</v>
      </c>
      <c r="AE108" s="31">
        <f t="shared" si="19"/>
        <v>59616725.386823654</v>
      </c>
      <c r="AF108" s="31">
        <f t="shared" si="19"/>
        <v>59616725.386823654</v>
      </c>
      <c r="AG108" s="31">
        <f t="shared" si="19"/>
        <v>59616725.386823654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744215.095685735</v>
      </c>
      <c r="J110" s="31" cm="1">
        <f t="array" ref="J110">J$106+IF($C110&lt;&gt;0,SUMPRODUCT((J$107:J$108)*TRANSPOSE(($D110:$E110))),0)</f>
        <v>718663.13456208794</v>
      </c>
      <c r="K110" s="31" cm="1">
        <f t="array" ref="K110">K$106+IF($C110&lt;&gt;0,SUMPRODUCT((K$107:K$108)*TRANSPOSE(($D110:$E110))),0)</f>
        <v>693111.17343844101</v>
      </c>
      <c r="L110" s="31" cm="1">
        <f t="array" ref="L110">L$106+IF($C110&lt;&gt;0,SUMPRODUCT((L$107:L$108)*TRANSPOSE(($D110:$E110))),0)</f>
        <v>667559.21231479396</v>
      </c>
      <c r="M110" s="31" cm="1">
        <f t="array" ref="M110">M$106+IF($C110&lt;&gt;0,SUMPRODUCT((M$107:M$108)*TRANSPOSE(($D110:$E110))),0)</f>
        <v>642007.25119114667</v>
      </c>
      <c r="N110" s="31" cm="1">
        <f t="array" ref="N110">N$106+IF($C110&lt;&gt;0,SUMPRODUCT((N$107:N$108)*TRANSPOSE(($D110:$E110))),0)</f>
        <v>-2275017.8173486181</v>
      </c>
      <c r="O110" s="31" cm="1">
        <f t="array" ref="O110">O$106+IF($C110&lt;&gt;0,SUMPRODUCT((O$107:O$108)*TRANSPOSE(($D110:$E110))),0)</f>
        <v>-2275017.8173486181</v>
      </c>
      <c r="P110" s="31" cm="1">
        <f t="array" ref="P110">P$106+IF($C110&lt;&gt;0,SUMPRODUCT((P$107:P$108)*TRANSPOSE(($D110:$E110))),0)</f>
        <v>-2275017.8173486181</v>
      </c>
      <c r="Q110" s="31" cm="1">
        <f t="array" ref="Q110">Q$106+IF($C110&lt;&gt;0,SUMPRODUCT((Q$107:Q$108)*TRANSPOSE(($D110:$E110))),0)</f>
        <v>-2752855.4726414699</v>
      </c>
      <c r="R110" s="31" cm="1">
        <f t="array" ref="R110">R$106+IF($C110&lt;&gt;0,SUMPRODUCT((R$107:R$108)*TRANSPOSE(($D110:$E110))),0)</f>
        <v>-2752855.4726414699</v>
      </c>
      <c r="S110" s="31" cm="1">
        <f t="array" ref="S110">S$106+IF($C110&lt;&gt;0,SUMPRODUCT((S$107:S$108)*TRANSPOSE(($D110:$E110))),0)</f>
        <v>-2752855.4726414699</v>
      </c>
      <c r="T110" s="31" cm="1">
        <f t="array" ref="T110">T$106+IF($C110&lt;&gt;0,SUMPRODUCT((T$107:T$108)*TRANSPOSE(($D110:$E110))),0)</f>
        <v>-2752855.4726414699</v>
      </c>
      <c r="U110" s="31" cm="1">
        <f t="array" ref="U110">U$106+IF($C110&lt;&gt;0,SUMPRODUCT((U$107:U$108)*TRANSPOSE(($D110:$E110))),0)</f>
        <v>-2752855.4726414699</v>
      </c>
      <c r="V110" s="31" cm="1">
        <f t="array" ref="V110">V$106+IF($C110&lt;&gt;0,SUMPRODUCT((V$107:V$108)*TRANSPOSE(($D110:$E110))),0)</f>
        <v>-2275017.8173486181</v>
      </c>
      <c r="W110" s="31" cm="1">
        <f t="array" ref="W110">W$106+IF($C110&lt;&gt;0,SUMPRODUCT((W$107:W$108)*TRANSPOSE(($D110:$E110))),0)</f>
        <v>-2275017.8173486181</v>
      </c>
      <c r="X110" s="31" cm="1">
        <f t="array" ref="X110">X$106+IF($C110&lt;&gt;0,SUMPRODUCT((X$107:X$108)*TRANSPOSE(($D110:$E110))),0)</f>
        <v>-2680622.9417764302</v>
      </c>
      <c r="Y110" s="31" cm="1">
        <f t="array" ref="Y110">Y$106+IF($C110&lt;&gt;0,SUMPRODUCT((Y$107:Y$108)*TRANSPOSE(($D110:$E110))),0)</f>
        <v>-2225619.378306706</v>
      </c>
      <c r="Z110" s="31" cm="1">
        <f t="array" ref="Z110">Z$106+IF($C110&lt;&gt;0,SUMPRODUCT((Z$107:Z$108)*TRANSPOSE(($D110:$E110))),0)</f>
        <v>-1770615.8148369826</v>
      </c>
      <c r="AA110" s="31" cm="1">
        <f t="array" ref="AA110">AA$106+IF($C110&lt;&gt;0,SUMPRODUCT((AA$107:AA$108)*TRANSPOSE(($D110:$E110))),0)</f>
        <v>-1315612.2513672591</v>
      </c>
      <c r="AB110" s="31" cm="1">
        <f t="array" ref="AB110">AB$106+IF($C110&lt;&gt;0,SUMPRODUCT((AB$107:AB$108)*TRANSPOSE(($D110:$E110))),0)</f>
        <v>-860608.68789753516</v>
      </c>
      <c r="AC110" s="31" cm="1">
        <f t="array" ref="AC110">AC$106+IF($C110&lt;&gt;0,SUMPRODUCT((AC$107:AC$108)*TRANSPOSE(($D110:$E110))),0)</f>
        <v>59616725.386823654</v>
      </c>
      <c r="AD110" s="31" cm="1">
        <f t="array" ref="AD110">AD$106+IF($C110&lt;&gt;0,SUMPRODUCT((AD$107:AD$108)*TRANSPOSE(($D110:$E110))),0)</f>
        <v>59616725.386823654</v>
      </c>
      <c r="AE110" s="31" cm="1">
        <f t="array" ref="AE110">AE$106+IF($C110&lt;&gt;0,SUMPRODUCT((AE$107:AE$108)*TRANSPOSE(($D110:$E110))),0)</f>
        <v>59616725.386823654</v>
      </c>
      <c r="AF110" s="31" cm="1">
        <f t="array" ref="AF110">AF$106+IF($C110&lt;&gt;0,SUMPRODUCT((AF$107:AF$108)*TRANSPOSE(($D110:$E110))),0)</f>
        <v>59616725.386823654</v>
      </c>
      <c r="AG110" s="31" cm="1">
        <f t="array" ref="AG110">AG$106+IF($C110&lt;&gt;0,SUMPRODUCT((AG$107:AG$108)*TRANSPOSE(($D110:$E110))),0)</f>
        <v>59616725.386823654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3sens2</v>
      </c>
      <c r="I111" s="31" cm="1">
        <f t="array" ref="I111">I$106+IF($C111&lt;&gt;0,SUMPRODUCT((I$107:I$108)*TRANSPOSE(($D111:$E111))),0)</f>
        <v>744215.095685735</v>
      </c>
      <c r="J111" s="31" cm="1">
        <f t="array" ref="J111">J$106+IF($C111&lt;&gt;0,SUMPRODUCT((J$107:J$108)*TRANSPOSE(($D111:$E111))),0)</f>
        <v>875137.44145254884</v>
      </c>
      <c r="K111" s="31" cm="1">
        <f t="array" ref="K111">K$106+IF($C111&lt;&gt;0,SUMPRODUCT((K$107:K$108)*TRANSPOSE(($D111:$E111))),0)</f>
        <v>1006059.7872193628</v>
      </c>
      <c r="L111" s="31" cm="1">
        <f t="array" ref="L111">L$106+IF($C111&lt;&gt;0,SUMPRODUCT((L$107:L$108)*TRANSPOSE(($D111:$E111))),0)</f>
        <v>1136982.1329861768</v>
      </c>
      <c r="M111" s="31" cm="1">
        <f t="array" ref="M111">M$106+IF($C111&lt;&gt;0,SUMPRODUCT((M$107:M$108)*TRANSPOSE(($D111:$E111))),0)</f>
        <v>1267904.4787529903</v>
      </c>
      <c r="N111" s="31" cm="1">
        <f t="array" ref="N111">N$106+IF($C111&lt;&gt;0,SUMPRODUCT((N$107:N$108)*TRANSPOSE(($D111:$E111))),0)</f>
        <v>-1492646.2828963136</v>
      </c>
      <c r="O111" s="31" cm="1">
        <f t="array" ref="O111">O$106+IF($C111&lt;&gt;0,SUMPRODUCT((O$107:O$108)*TRANSPOSE(($D111:$E111))),0)</f>
        <v>-1492646.2828963136</v>
      </c>
      <c r="P111" s="31" cm="1">
        <f t="array" ref="P111">P$106+IF($C111&lt;&gt;0,SUMPRODUCT((P$107:P$108)*TRANSPOSE(($D111:$E111))),0)</f>
        <v>-1492646.2828963136</v>
      </c>
      <c r="Q111" s="31" cm="1">
        <f t="array" ref="Q111">Q$106+IF($C111&lt;&gt;0,SUMPRODUCT((Q$107:Q$108)*TRANSPOSE(($D111:$E111))),0)</f>
        <v>-1970483.9381891654</v>
      </c>
      <c r="R111" s="31" cm="1">
        <f t="array" ref="R111">R$106+IF($C111&lt;&gt;0,SUMPRODUCT((R$107:R$108)*TRANSPOSE(($D111:$E111))),0)</f>
        <v>-1970483.9381891654</v>
      </c>
      <c r="S111" s="31" cm="1">
        <f t="array" ref="S111">S$106+IF($C111&lt;&gt;0,SUMPRODUCT((S$107:S$108)*TRANSPOSE(($D111:$E111))),0)</f>
        <v>-1970483.9381891654</v>
      </c>
      <c r="T111" s="31" cm="1">
        <f t="array" ref="T111">T$106+IF($C111&lt;&gt;0,SUMPRODUCT((T$107:T$108)*TRANSPOSE(($D111:$E111))),0)</f>
        <v>-1970483.9381891654</v>
      </c>
      <c r="U111" s="31" cm="1">
        <f t="array" ref="U111">U$106+IF($C111&lt;&gt;0,SUMPRODUCT((U$107:U$108)*TRANSPOSE(($D111:$E111))),0)</f>
        <v>-1970483.9381891654</v>
      </c>
      <c r="V111" s="31" cm="1">
        <f t="array" ref="V111">V$106+IF($C111&lt;&gt;0,SUMPRODUCT((V$107:V$108)*TRANSPOSE(($D111:$E111))),0)</f>
        <v>-1492646.2828963136</v>
      </c>
      <c r="W111" s="31" cm="1">
        <f t="array" ref="W111">W$106+IF($C111&lt;&gt;0,SUMPRODUCT((W$107:W$108)*TRANSPOSE(($D111:$E111))),0)</f>
        <v>-1492646.2828963136</v>
      </c>
      <c r="X111" s="31" cm="1">
        <f t="array" ref="X111">X$106+IF($C111&lt;&gt;0,SUMPRODUCT((X$107:X$108)*TRANSPOSE(($D111:$E111))),0)</f>
        <v>-1898251.4073241258</v>
      </c>
      <c r="Y111" s="31" cm="1">
        <f t="array" ref="Y111">Y$106+IF($C111&lt;&gt;0,SUMPRODUCT((Y$107:Y$108)*TRANSPOSE(($D111:$E111))),0)</f>
        <v>-1599722.1507448624</v>
      </c>
      <c r="Z111" s="31" cm="1">
        <f t="array" ref="Z111">Z$106+IF($C111&lt;&gt;0,SUMPRODUCT((Z$107:Z$108)*TRANSPOSE(($D111:$E111))),0)</f>
        <v>-1301192.8941655997</v>
      </c>
      <c r="AA111" s="31" cm="1">
        <f t="array" ref="AA111">AA$106+IF($C111&lt;&gt;0,SUMPRODUCT((AA$107:AA$108)*TRANSPOSE(($D111:$E111))),0)</f>
        <v>-1002663.6375863373</v>
      </c>
      <c r="AB111" s="31" cm="1">
        <f t="array" ref="AB111">AB$106+IF($C111&lt;&gt;0,SUMPRODUCT((AB$107:AB$108)*TRANSPOSE(($D111:$E111))),0)</f>
        <v>-704134.38100707426</v>
      </c>
      <c r="AC111" s="31" cm="1">
        <f t="array" ref="AC111">AC$106+IF($C111&lt;&gt;0,SUMPRODUCT((AC$107:AC$108)*TRANSPOSE(($D111:$E111))),0)</f>
        <v>59616725.386823654</v>
      </c>
      <c r="AD111" s="31" cm="1">
        <f t="array" ref="AD111">AD$106+IF($C111&lt;&gt;0,SUMPRODUCT((AD$107:AD$108)*TRANSPOSE(($D111:$E111))),0)</f>
        <v>59616725.386823654</v>
      </c>
      <c r="AE111" s="31" cm="1">
        <f t="array" ref="AE111">AE$106+IF($C111&lt;&gt;0,SUMPRODUCT((AE$107:AE$108)*TRANSPOSE(($D111:$E111))),0)</f>
        <v>59616725.386823654</v>
      </c>
      <c r="AF111" s="31" cm="1">
        <f t="array" ref="AF111">AF$106+IF($C111&lt;&gt;0,SUMPRODUCT((AF$107:AF$108)*TRANSPOSE(($D111:$E111))),0)</f>
        <v>59616725.386823654</v>
      </c>
      <c r="AG111" s="31" cm="1">
        <f t="array" ref="AG111">AG$106+IF($C111&lt;&gt;0,SUMPRODUCT((AG$107:AG$108)*TRANSPOSE(($D111:$E111))),0)</f>
        <v>59616725.386823654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3sens3</v>
      </c>
      <c r="I112" s="31" cm="1">
        <f t="array" ref="I112">I$106+IF($C112&lt;&gt;0,SUMPRODUCT((I$107:I$108)*TRANSPOSE(($D112:$E112))),0)</f>
        <v>827720.76836312376</v>
      </c>
      <c r="J112" s="31" cm="1">
        <f t="array" ref="J112">J$106+IF($C112&lt;&gt;0,SUMPRODUCT((J$107:J$108)*TRANSPOSE(($D112:$E112))),0)</f>
        <v>963911.63336209604</v>
      </c>
      <c r="K112" s="31" cm="1">
        <f t="array" ref="K112">K$106+IF($C112&lt;&gt;0,SUMPRODUCT((K$107:K$108)*TRANSPOSE(($D112:$E112))),0)</f>
        <v>1100102.4983610683</v>
      </c>
      <c r="L112" s="31" cm="1">
        <f t="array" ref="L112">L$106+IF($C112&lt;&gt;0,SUMPRODUCT((L$107:L$108)*TRANSPOSE(($D112:$E112))),0)</f>
        <v>1236293.3633600404</v>
      </c>
      <c r="M112" s="31" cm="1">
        <f t="array" ref="M112">M$106+IF($C112&lt;&gt;0,SUMPRODUCT((M$107:M$108)*TRANSPOSE(($D112:$E112))),0)</f>
        <v>1372484.2283590124</v>
      </c>
      <c r="N112" s="31" cm="1">
        <f t="array" ref="N112">N$106+IF($C112&lt;&gt;0,SUMPRODUCT((N$107:N$108)*TRANSPOSE(($D112:$E112))),0)</f>
        <v>-1466303.686735522</v>
      </c>
      <c r="O112" s="31" cm="1">
        <f t="array" ref="O112">O$106+IF($C112&lt;&gt;0,SUMPRODUCT((O$107:O$108)*TRANSPOSE(($D112:$E112))),0)</f>
        <v>-1466303.686735522</v>
      </c>
      <c r="P112" s="31" cm="1">
        <f t="array" ref="P112">P$106+IF($C112&lt;&gt;0,SUMPRODUCT((P$107:P$108)*TRANSPOSE(($D112:$E112))),0)</f>
        <v>-1466303.686735522</v>
      </c>
      <c r="Q112" s="31" cm="1">
        <f t="array" ref="Q112">Q$106+IF($C112&lt;&gt;0,SUMPRODUCT((Q$107:Q$108)*TRANSPOSE(($D112:$E112))),0)</f>
        <v>-1944141.3420283739</v>
      </c>
      <c r="R112" s="31" cm="1">
        <f t="array" ref="R112">R$106+IF($C112&lt;&gt;0,SUMPRODUCT((R$107:R$108)*TRANSPOSE(($D112:$E112))),0)</f>
        <v>-1944141.3420283739</v>
      </c>
      <c r="S112" s="31" cm="1">
        <f t="array" ref="S112">S$106+IF($C112&lt;&gt;0,SUMPRODUCT((S$107:S$108)*TRANSPOSE(($D112:$E112))),0)</f>
        <v>-1944141.3420283739</v>
      </c>
      <c r="T112" s="31" cm="1">
        <f t="array" ref="T112">T$106+IF($C112&lt;&gt;0,SUMPRODUCT((T$107:T$108)*TRANSPOSE(($D112:$E112))),0)</f>
        <v>-1944141.3420283739</v>
      </c>
      <c r="U112" s="31" cm="1">
        <f t="array" ref="U112">U$106+IF($C112&lt;&gt;0,SUMPRODUCT((U$107:U$108)*TRANSPOSE(($D112:$E112))),0)</f>
        <v>-1944141.3420283739</v>
      </c>
      <c r="V112" s="31" cm="1">
        <f t="array" ref="V112">V$106+IF($C112&lt;&gt;0,SUMPRODUCT((V$107:V$108)*TRANSPOSE(($D112:$E112))),0)</f>
        <v>-1466303.686735522</v>
      </c>
      <c r="W112" s="31" cm="1">
        <f t="array" ref="W112">W$106+IF($C112&lt;&gt;0,SUMPRODUCT((W$107:W$108)*TRANSPOSE(($D112:$E112))),0)</f>
        <v>-1466303.686735522</v>
      </c>
      <c r="X112" s="31" cm="1">
        <f t="array" ref="X112">X$106+IF($C112&lt;&gt;0,SUMPRODUCT((X$107:X$108)*TRANSPOSE(($D112:$E112))),0)</f>
        <v>-1955414.4838407231</v>
      </c>
      <c r="Y112" s="31" cm="1">
        <f t="array" ref="Y112">Y$106+IF($C112&lt;&gt;0,SUMPRODUCT((Y$107:Y$108)*TRANSPOSE(($D112:$E112))),0)</f>
        <v>-1662153.7464936178</v>
      </c>
      <c r="Z112" s="31" cm="1">
        <f t="array" ref="Z112">Z$106+IF($C112&lt;&gt;0,SUMPRODUCT((Z$107:Z$108)*TRANSPOSE(($D112:$E112))),0)</f>
        <v>-1368893.0091465137</v>
      </c>
      <c r="AA112" s="31" cm="1">
        <f t="array" ref="AA112">AA$106+IF($C112&lt;&gt;0,SUMPRODUCT((AA$107:AA$108)*TRANSPOSE(($D112:$E112))),0)</f>
        <v>-1075632.2717994093</v>
      </c>
      <c r="AB112" s="31" cm="1">
        <f t="array" ref="AB112">AB$106+IF($C112&lt;&gt;0,SUMPRODUCT((AB$107:AB$108)*TRANSPOSE(($D112:$E112))),0)</f>
        <v>-782371.53445230471</v>
      </c>
      <c r="AC112" s="31" cm="1">
        <f t="array" ref="AC112">AC$106+IF($C112&lt;&gt;0,SUMPRODUCT((AC$107:AC$108)*TRANSPOSE(($D112:$E112))),0)</f>
        <v>65578397.925506018</v>
      </c>
      <c r="AD112" s="31" cm="1">
        <f t="array" ref="AD112">AD$106+IF($C112&lt;&gt;0,SUMPRODUCT((AD$107:AD$108)*TRANSPOSE(($D112:$E112))),0)</f>
        <v>65578397.925506018</v>
      </c>
      <c r="AE112" s="31" cm="1">
        <f t="array" ref="AE112">AE$106+IF($C112&lt;&gt;0,SUMPRODUCT((AE$107:AE$108)*TRANSPOSE(($D112:$E112))),0)</f>
        <v>65578397.925506018</v>
      </c>
      <c r="AF112" s="31" cm="1">
        <f t="array" ref="AF112">AF$106+IF($C112&lt;&gt;0,SUMPRODUCT((AF$107:AF$108)*TRANSPOSE(($D112:$E112))),0)</f>
        <v>65578397.925506018</v>
      </c>
      <c r="AG112" s="31" cm="1">
        <f t="array" ref="AG112">AG$106+IF($C112&lt;&gt;0,SUMPRODUCT((AG$107:AG$108)*TRANSPOSE(($D112:$E112))),0)</f>
        <v>65578397.925506018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3sens4</v>
      </c>
      <c r="I113" s="31" cm="1">
        <f t="array" ref="I113">I$106+IF($C113&lt;&gt;0,SUMPRODUCT((I$107:I$108)*TRANSPOSE(($D113:$E113))),0)</f>
        <v>660709.42300834623</v>
      </c>
      <c r="J113" s="31" cm="1">
        <f t="array" ref="J113">J$106+IF($C113&lt;&gt;0,SUMPRODUCT((J$107:J$108)*TRANSPOSE(($D113:$E113))),0)</f>
        <v>629888.94265254075</v>
      </c>
      <c r="K113" s="31" cm="1">
        <f t="array" ref="K113">K$106+IF($C113&lt;&gt;0,SUMPRODUCT((K$107:K$108)*TRANSPOSE(($D113:$E113))),0)</f>
        <v>599068.4622967355</v>
      </c>
      <c r="L113" s="31" cm="1">
        <f t="array" ref="L113">L$106+IF($C113&lt;&gt;0,SUMPRODUCT((L$107:L$108)*TRANSPOSE(($D113:$E113))),0)</f>
        <v>568247.98194093013</v>
      </c>
      <c r="M113" s="31" cm="1">
        <f t="array" ref="M113">M$106+IF($C113&lt;&gt;0,SUMPRODUCT((M$107:M$108)*TRANSPOSE(($D113:$E113))),0)</f>
        <v>537427.50158512453</v>
      </c>
      <c r="N113" s="31" cm="1">
        <f t="array" ref="N113">N$106+IF($C113&lt;&gt;0,SUMPRODUCT((N$107:N$108)*TRANSPOSE(($D113:$E113))),0)</f>
        <v>-2301360.4135094099</v>
      </c>
      <c r="O113" s="31" cm="1">
        <f t="array" ref="O113">O$106+IF($C113&lt;&gt;0,SUMPRODUCT((O$107:O$108)*TRANSPOSE(($D113:$E113))),0)</f>
        <v>-2301360.4135094099</v>
      </c>
      <c r="P113" s="31" cm="1">
        <f t="array" ref="P113">P$106+IF($C113&lt;&gt;0,SUMPRODUCT((P$107:P$108)*TRANSPOSE(($D113:$E113))),0)</f>
        <v>-2301360.4135094099</v>
      </c>
      <c r="Q113" s="31" cm="1">
        <f t="array" ref="Q113">Q$106+IF($C113&lt;&gt;0,SUMPRODUCT((Q$107:Q$108)*TRANSPOSE(($D113:$E113))),0)</f>
        <v>-2779198.0688022617</v>
      </c>
      <c r="R113" s="31" cm="1">
        <f t="array" ref="R113">R$106+IF($C113&lt;&gt;0,SUMPRODUCT((R$107:R$108)*TRANSPOSE(($D113:$E113))),0)</f>
        <v>-2779198.0688022617</v>
      </c>
      <c r="S113" s="31" cm="1">
        <f t="array" ref="S113">S$106+IF($C113&lt;&gt;0,SUMPRODUCT((S$107:S$108)*TRANSPOSE(($D113:$E113))),0)</f>
        <v>-2779198.0688022617</v>
      </c>
      <c r="T113" s="31" cm="1">
        <f t="array" ref="T113">T$106+IF($C113&lt;&gt;0,SUMPRODUCT((T$107:T$108)*TRANSPOSE(($D113:$E113))),0)</f>
        <v>-2779198.0688022617</v>
      </c>
      <c r="U113" s="31" cm="1">
        <f t="array" ref="U113">U$106+IF($C113&lt;&gt;0,SUMPRODUCT((U$107:U$108)*TRANSPOSE(($D113:$E113))),0)</f>
        <v>-2779198.0688022617</v>
      </c>
      <c r="V113" s="31" cm="1">
        <f t="array" ref="V113">V$106+IF($C113&lt;&gt;0,SUMPRODUCT((V$107:V$108)*TRANSPOSE(($D113:$E113))),0)</f>
        <v>-2301360.4135094099</v>
      </c>
      <c r="W113" s="31" cm="1">
        <f t="array" ref="W113">W$106+IF($C113&lt;&gt;0,SUMPRODUCT((W$107:W$108)*TRANSPOSE(($D113:$E113))),0)</f>
        <v>-2301360.4135094099</v>
      </c>
      <c r="X113" s="31" cm="1">
        <f t="array" ref="X113">X$106+IF($C113&lt;&gt;0,SUMPRODUCT((X$107:X$108)*TRANSPOSE(($D113:$E113))),0)</f>
        <v>-2623459.8652598332</v>
      </c>
      <c r="Y113" s="31" cm="1">
        <f t="array" ref="Y113">Y$106+IF($C113&lt;&gt;0,SUMPRODUCT((Y$107:Y$108)*TRANSPOSE(($D113:$E113))),0)</f>
        <v>-2163187.7825579504</v>
      </c>
      <c r="Z113" s="31" cm="1">
        <f t="array" ref="Z113">Z$106+IF($C113&lt;&gt;0,SUMPRODUCT((Z$107:Z$108)*TRANSPOSE(($D113:$E113))),0)</f>
        <v>-1702915.6998560687</v>
      </c>
      <c r="AA113" s="31" cm="1">
        <f t="array" ref="AA113">AA$106+IF($C113&lt;&gt;0,SUMPRODUCT((AA$107:AA$108)*TRANSPOSE(($D113:$E113))),0)</f>
        <v>-1242643.6171541871</v>
      </c>
      <c r="AB113" s="31" cm="1">
        <f t="array" ref="AB113">AB$106+IF($C113&lt;&gt;0,SUMPRODUCT((AB$107:AB$108)*TRANSPOSE(($D113:$E113))),0)</f>
        <v>-782371.53445230471</v>
      </c>
      <c r="AC113" s="31" cm="1">
        <f t="array" ref="AC113">AC$106+IF($C113&lt;&gt;0,SUMPRODUCT((AC$107:AC$108)*TRANSPOSE(($D113:$E113))),0)</f>
        <v>53655052.84814129</v>
      </c>
      <c r="AD113" s="31" cm="1">
        <f t="array" ref="AD113">AD$106+IF($C113&lt;&gt;0,SUMPRODUCT((AD$107:AD$108)*TRANSPOSE(($D113:$E113))),0)</f>
        <v>53655052.84814129</v>
      </c>
      <c r="AE113" s="31" cm="1">
        <f t="array" ref="AE113">AE$106+IF($C113&lt;&gt;0,SUMPRODUCT((AE$107:AE$108)*TRANSPOSE(($D113:$E113))),0)</f>
        <v>53655052.84814129</v>
      </c>
      <c r="AF113" s="31" cm="1">
        <f t="array" ref="AF113">AF$106+IF($C113&lt;&gt;0,SUMPRODUCT((AF$107:AF$108)*TRANSPOSE(($D113:$E113))),0)</f>
        <v>53655052.84814129</v>
      </c>
      <c r="AG113" s="31" cm="1">
        <f t="array" ref="AG113">AG$106+IF($C113&lt;&gt;0,SUMPRODUCT((AG$107:AG$108)*TRANSPOSE(($D113:$E113))),0)</f>
        <v>53655052.84814129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3sens5</v>
      </c>
      <c r="I114" s="31" cm="1">
        <f t="array" ref="I114">I$106+IF($C114&lt;&gt;0,SUMPRODUCT((I$107:I$108)*TRANSPOSE(($D114:$E114))),0)</f>
        <v>660709.42300834623</v>
      </c>
      <c r="J114" s="31" cm="1">
        <f t="array" ref="J114">J$106+IF($C114&lt;&gt;0,SUMPRODUCT((J$107:J$108)*TRANSPOSE(($D114:$E114))),0)</f>
        <v>551651.78920731042</v>
      </c>
      <c r="K114" s="31" cm="1">
        <f t="array" ref="K114">K$106+IF($C114&lt;&gt;0,SUMPRODUCT((K$107:K$108)*TRANSPOSE(($D114:$E114))),0)</f>
        <v>442594.1554062746</v>
      </c>
      <c r="L114" s="31" cm="1">
        <f t="array" ref="L114">L$106+IF($C114&lt;&gt;0,SUMPRODUCT((L$107:L$108)*TRANSPOSE(($D114:$E114))),0)</f>
        <v>333536.52160523878</v>
      </c>
      <c r="M114" s="31" cm="1">
        <f t="array" ref="M114">M$106+IF($C114&lt;&gt;0,SUMPRODUCT((M$107:M$108)*TRANSPOSE(($D114:$E114))),0)</f>
        <v>224478.88780420274</v>
      </c>
      <c r="N114" s="31" cm="1">
        <f t="array" ref="N114">N$106+IF($C114&lt;&gt;0,SUMPRODUCT((N$107:N$108)*TRANSPOSE(($D114:$E114))),0)</f>
        <v>-2692546.180735562</v>
      </c>
      <c r="O114" s="31" cm="1">
        <f t="array" ref="O114">O$106+IF($C114&lt;&gt;0,SUMPRODUCT((O$107:O$108)*TRANSPOSE(($D114:$E114))),0)</f>
        <v>-2692546.180735562</v>
      </c>
      <c r="P114" s="31" cm="1">
        <f t="array" ref="P114">P$106+IF($C114&lt;&gt;0,SUMPRODUCT((P$107:P$108)*TRANSPOSE(($D114:$E114))),0)</f>
        <v>-2692546.180735562</v>
      </c>
      <c r="Q114" s="31" cm="1">
        <f t="array" ref="Q114">Q$106+IF($C114&lt;&gt;0,SUMPRODUCT((Q$107:Q$108)*TRANSPOSE(($D114:$E114))),0)</f>
        <v>-3170383.8360284138</v>
      </c>
      <c r="R114" s="31" cm="1">
        <f t="array" ref="R114">R$106+IF($C114&lt;&gt;0,SUMPRODUCT((R$107:R$108)*TRANSPOSE(($D114:$E114))),0)</f>
        <v>-3170383.8360284138</v>
      </c>
      <c r="S114" s="31" cm="1">
        <f t="array" ref="S114">S$106+IF($C114&lt;&gt;0,SUMPRODUCT((S$107:S$108)*TRANSPOSE(($D114:$E114))),0)</f>
        <v>-3170383.8360284138</v>
      </c>
      <c r="T114" s="31" cm="1">
        <f t="array" ref="T114">T$106+IF($C114&lt;&gt;0,SUMPRODUCT((T$107:T$108)*TRANSPOSE(($D114:$E114))),0)</f>
        <v>-3170383.8360284138</v>
      </c>
      <c r="U114" s="31" cm="1">
        <f t="array" ref="U114">U$106+IF($C114&lt;&gt;0,SUMPRODUCT((U$107:U$108)*TRANSPOSE(($D114:$E114))),0)</f>
        <v>-3170383.8360284138</v>
      </c>
      <c r="V114" s="31" cm="1">
        <f t="array" ref="V114">V$106+IF($C114&lt;&gt;0,SUMPRODUCT((V$107:V$108)*TRANSPOSE(($D114:$E114))),0)</f>
        <v>-2692546.180735562</v>
      </c>
      <c r="W114" s="31" cm="1">
        <f t="array" ref="W114">W$106+IF($C114&lt;&gt;0,SUMPRODUCT((W$107:W$108)*TRANSPOSE(($D114:$E114))),0)</f>
        <v>-2692546.180735562</v>
      </c>
      <c r="X114" s="31" cm="1">
        <f t="array" ref="X114">X$106+IF($C114&lt;&gt;0,SUMPRODUCT((X$107:X$108)*TRANSPOSE(($D114:$E114))),0)</f>
        <v>-3014645.6324859858</v>
      </c>
      <c r="Y114" s="31" cm="1">
        <f t="array" ref="Y114">Y$106+IF($C114&lt;&gt;0,SUMPRODUCT((Y$107:Y$108)*TRANSPOSE(($D114:$E114))),0)</f>
        <v>-2476136.3963388726</v>
      </c>
      <c r="Z114" s="31" cm="1">
        <f t="array" ref="Z114">Z$106+IF($C114&lt;&gt;0,SUMPRODUCT((Z$107:Z$108)*TRANSPOSE(($D114:$E114))),0)</f>
        <v>-1937627.1601917602</v>
      </c>
      <c r="AA114" s="31" cm="1">
        <f t="array" ref="AA114">AA$106+IF($C114&lt;&gt;0,SUMPRODUCT((AA$107:AA$108)*TRANSPOSE(($D114:$E114))),0)</f>
        <v>-1399117.924044648</v>
      </c>
      <c r="AB114" s="31" cm="1">
        <f t="array" ref="AB114">AB$106+IF($C114&lt;&gt;0,SUMPRODUCT((AB$107:AB$108)*TRANSPOSE(($D114:$E114))),0)</f>
        <v>-860608.68789753516</v>
      </c>
      <c r="AC114" s="31" cm="1">
        <f t="array" ref="AC114">AC$106+IF($C114&lt;&gt;0,SUMPRODUCT((AC$107:AC$108)*TRANSPOSE(($D114:$E114))),0)</f>
        <v>53655052.84814129</v>
      </c>
      <c r="AD114" s="31" cm="1">
        <f t="array" ref="AD114">AD$106+IF($C114&lt;&gt;0,SUMPRODUCT((AD$107:AD$108)*TRANSPOSE(($D114:$E114))),0)</f>
        <v>53655052.84814129</v>
      </c>
      <c r="AE114" s="31" cm="1">
        <f t="array" ref="AE114">AE$106+IF($C114&lt;&gt;0,SUMPRODUCT((AE$107:AE$108)*TRANSPOSE(($D114:$E114))),0)</f>
        <v>53655052.84814129</v>
      </c>
      <c r="AF114" s="31" cm="1">
        <f t="array" ref="AF114">AF$106+IF($C114&lt;&gt;0,SUMPRODUCT((AF$107:AF$108)*TRANSPOSE(($D114:$E114))),0)</f>
        <v>53655052.84814129</v>
      </c>
      <c r="AG114" s="31" cm="1">
        <f t="array" ref="AG114">AG$106+IF($C114&lt;&gt;0,SUMPRODUCT((AG$107:AG$108)*TRANSPOSE(($D114:$E114))),0)</f>
        <v>53655052.84814129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3sens</v>
      </c>
      <c r="I115" s="31" cm="1">
        <f t="array" ref="I115">I$106+IF($C115&lt;&gt;0,SUMPRODUCT((I$107:I$108)*TRANSPOSE(($D115:$E115))),0)</f>
        <v>744215.095685735</v>
      </c>
      <c r="J115" s="31" cm="1">
        <f t="array" ref="J115">J$106+IF($C115&lt;&gt;0,SUMPRODUCT((J$107:J$108)*TRANSPOSE(($D115:$E115))),0)</f>
        <v>796900.28800731839</v>
      </c>
      <c r="K115" s="31" cm="1">
        <f t="array" ref="K115">K$106+IF($C115&lt;&gt;0,SUMPRODUCT((K$107:K$108)*TRANSPOSE(($D115:$E115))),0)</f>
        <v>849585.4803289019</v>
      </c>
      <c r="L115" s="31" cm="1">
        <f t="array" ref="L115">L$106+IF($C115&lt;&gt;0,SUMPRODUCT((L$107:L$108)*TRANSPOSE(($D115:$E115))),0)</f>
        <v>902270.6726504853</v>
      </c>
      <c r="M115" s="31" cm="1">
        <f t="array" ref="M115">M$106+IF($C115&lt;&gt;0,SUMPRODUCT((M$107:M$108)*TRANSPOSE(($D115:$E115))),0)</f>
        <v>954955.86497206846</v>
      </c>
      <c r="N115" s="31" cm="1">
        <f t="array" ref="N115">N$106+IF($C115&lt;&gt;0,SUMPRODUCT((N$107:N$108)*TRANSPOSE(($D115:$E115))),0)</f>
        <v>-1883832.0501224659</v>
      </c>
      <c r="O115" s="31" cm="1">
        <f t="array" ref="O115">O$106+IF($C115&lt;&gt;0,SUMPRODUCT((O$107:O$108)*TRANSPOSE(($D115:$E115))),0)</f>
        <v>-1883832.0501224659</v>
      </c>
      <c r="P115" s="31" cm="1">
        <f t="array" ref="P115">P$106+IF($C115&lt;&gt;0,SUMPRODUCT((P$107:P$108)*TRANSPOSE(($D115:$E115))),0)</f>
        <v>-1883832.0501224659</v>
      </c>
      <c r="Q115" s="31" cm="1">
        <f t="array" ref="Q115">Q$106+IF($C115&lt;&gt;0,SUMPRODUCT((Q$107:Q$108)*TRANSPOSE(($D115:$E115))),0)</f>
        <v>-2361669.7054153178</v>
      </c>
      <c r="R115" s="31" cm="1">
        <f t="array" ref="R115">R$106+IF($C115&lt;&gt;0,SUMPRODUCT((R$107:R$108)*TRANSPOSE(($D115:$E115))),0)</f>
        <v>-2361669.7054153178</v>
      </c>
      <c r="S115" s="31" cm="1">
        <f t="array" ref="S115">S$106+IF($C115&lt;&gt;0,SUMPRODUCT((S$107:S$108)*TRANSPOSE(($D115:$E115))),0)</f>
        <v>-2361669.7054153178</v>
      </c>
      <c r="T115" s="31" cm="1">
        <f t="array" ref="T115">T$106+IF($C115&lt;&gt;0,SUMPRODUCT((T$107:T$108)*TRANSPOSE(($D115:$E115))),0)</f>
        <v>-2361669.7054153178</v>
      </c>
      <c r="U115" s="31" cm="1">
        <f t="array" ref="U115">U$106+IF($C115&lt;&gt;0,SUMPRODUCT((U$107:U$108)*TRANSPOSE(($D115:$E115))),0)</f>
        <v>-2361669.7054153178</v>
      </c>
      <c r="V115" s="31" cm="1">
        <f t="array" ref="V115">V$106+IF($C115&lt;&gt;0,SUMPRODUCT((V$107:V$108)*TRANSPOSE(($D115:$E115))),0)</f>
        <v>-1883832.0501224659</v>
      </c>
      <c r="W115" s="31" cm="1">
        <f t="array" ref="W115">W$106+IF($C115&lt;&gt;0,SUMPRODUCT((W$107:W$108)*TRANSPOSE(($D115:$E115))),0)</f>
        <v>-1883832.0501224659</v>
      </c>
      <c r="X115" s="31" cm="1">
        <f t="array" ref="X115">X$106+IF($C115&lt;&gt;0,SUMPRODUCT((X$107:X$108)*TRANSPOSE(($D115:$E115))),0)</f>
        <v>-2289437.1745502781</v>
      </c>
      <c r="Y115" s="31" cm="1">
        <f t="array" ref="Y115">Y$106+IF($C115&lt;&gt;0,SUMPRODUCT((Y$107:Y$108)*TRANSPOSE(($D115:$E115))),0)</f>
        <v>-1912670.7645257842</v>
      </c>
      <c r="Z115" s="31" cm="1">
        <f t="array" ref="Z115">Z$106+IF($C115&lt;&gt;0,SUMPRODUCT((Z$107:Z$108)*TRANSPOSE(($D115:$E115))),0)</f>
        <v>-1535904.3545012912</v>
      </c>
      <c r="AA115" s="31" cm="1">
        <f t="array" ref="AA115">AA$106+IF($C115&lt;&gt;0,SUMPRODUCT((AA$107:AA$108)*TRANSPOSE(($D115:$E115))),0)</f>
        <v>-1159137.9444767982</v>
      </c>
      <c r="AB115" s="31" cm="1">
        <f t="array" ref="AB115">AB$106+IF($C115&lt;&gt;0,SUMPRODUCT((AB$107:AB$108)*TRANSPOSE(($D115:$E115))),0)</f>
        <v>-782371.53445230471</v>
      </c>
      <c r="AC115" s="31" cm="1">
        <f t="array" ref="AC115">AC$106+IF($C115&lt;&gt;0,SUMPRODUCT((AC$107:AC$108)*TRANSPOSE(($D115:$E115))),0)</f>
        <v>59616725.386823654</v>
      </c>
      <c r="AD115" s="31" cm="1">
        <f t="array" ref="AD115">AD$106+IF($C115&lt;&gt;0,SUMPRODUCT((AD$107:AD$108)*TRANSPOSE(($D115:$E115))),0)</f>
        <v>59616725.386823654</v>
      </c>
      <c r="AE115" s="31" cm="1">
        <f t="array" ref="AE115">AE$106+IF($C115&lt;&gt;0,SUMPRODUCT((AE$107:AE$108)*TRANSPOSE(($D115:$E115))),0)</f>
        <v>59616725.386823654</v>
      </c>
      <c r="AF115" s="31" cm="1">
        <f t="array" ref="AF115">AF$106+IF($C115&lt;&gt;0,SUMPRODUCT((AF$107:AF$108)*TRANSPOSE(($D115:$E115))),0)</f>
        <v>59616725.386823654</v>
      </c>
      <c r="AG115" s="31" cm="1">
        <f t="array" ref="AG115">AG$106+IF($C115&lt;&gt;0,SUMPRODUCT((AG$107:AG$108)*TRANSPOSE(($D115:$E115))),0)</f>
        <v>59616725.386823654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3sens</v>
      </c>
      <c r="I116" s="31" cm="1">
        <f t="array" ref="I116">I$106+IF($C116&lt;&gt;0,SUMPRODUCT((I$107:I$108)*TRANSPOSE(($D116:$E116))),0)</f>
        <v>744215.095685735</v>
      </c>
      <c r="J116" s="31" cm="1">
        <f t="array" ref="J116">J$106+IF($C116&lt;&gt;0,SUMPRODUCT((J$107:J$108)*TRANSPOSE(($D116:$E116))),0)</f>
        <v>796900.28800731839</v>
      </c>
      <c r="K116" s="31" cm="1">
        <f t="array" ref="K116">K$106+IF($C116&lt;&gt;0,SUMPRODUCT((K$107:K$108)*TRANSPOSE(($D116:$E116))),0)</f>
        <v>849585.4803289019</v>
      </c>
      <c r="L116" s="31" cm="1">
        <f t="array" ref="L116">L$106+IF($C116&lt;&gt;0,SUMPRODUCT((L$107:L$108)*TRANSPOSE(($D116:$E116))),0)</f>
        <v>902270.6726504853</v>
      </c>
      <c r="M116" s="31" cm="1">
        <f t="array" ref="M116">M$106+IF($C116&lt;&gt;0,SUMPRODUCT((M$107:M$108)*TRANSPOSE(($D116:$E116))),0)</f>
        <v>954955.86497206846</v>
      </c>
      <c r="N116" s="31" cm="1">
        <f t="array" ref="N116">N$106+IF($C116&lt;&gt;0,SUMPRODUCT((N$107:N$108)*TRANSPOSE(($D116:$E116))),0)</f>
        <v>-1883832.0501224659</v>
      </c>
      <c r="O116" s="31" cm="1">
        <f t="array" ref="O116">O$106+IF($C116&lt;&gt;0,SUMPRODUCT((O$107:O$108)*TRANSPOSE(($D116:$E116))),0)</f>
        <v>-1883832.0501224659</v>
      </c>
      <c r="P116" s="31" cm="1">
        <f t="array" ref="P116">P$106+IF($C116&lt;&gt;0,SUMPRODUCT((P$107:P$108)*TRANSPOSE(($D116:$E116))),0)</f>
        <v>-1883832.0501224659</v>
      </c>
      <c r="Q116" s="31" cm="1">
        <f t="array" ref="Q116">Q$106+IF($C116&lt;&gt;0,SUMPRODUCT((Q$107:Q$108)*TRANSPOSE(($D116:$E116))),0)</f>
        <v>-2361669.7054153178</v>
      </c>
      <c r="R116" s="31" cm="1">
        <f t="array" ref="R116">R$106+IF($C116&lt;&gt;0,SUMPRODUCT((R$107:R$108)*TRANSPOSE(($D116:$E116))),0)</f>
        <v>-2361669.7054153178</v>
      </c>
      <c r="S116" s="31" cm="1">
        <f t="array" ref="S116">S$106+IF($C116&lt;&gt;0,SUMPRODUCT((S$107:S$108)*TRANSPOSE(($D116:$E116))),0)</f>
        <v>-2361669.7054153178</v>
      </c>
      <c r="T116" s="31" cm="1">
        <f t="array" ref="T116">T$106+IF($C116&lt;&gt;0,SUMPRODUCT((T$107:T$108)*TRANSPOSE(($D116:$E116))),0)</f>
        <v>-2361669.7054153178</v>
      </c>
      <c r="U116" s="31" cm="1">
        <f t="array" ref="U116">U$106+IF($C116&lt;&gt;0,SUMPRODUCT((U$107:U$108)*TRANSPOSE(($D116:$E116))),0)</f>
        <v>-2361669.7054153178</v>
      </c>
      <c r="V116" s="31" cm="1">
        <f t="array" ref="V116">V$106+IF($C116&lt;&gt;0,SUMPRODUCT((V$107:V$108)*TRANSPOSE(($D116:$E116))),0)</f>
        <v>-1883832.0501224659</v>
      </c>
      <c r="W116" s="31" cm="1">
        <f t="array" ref="W116">W$106+IF($C116&lt;&gt;0,SUMPRODUCT((W$107:W$108)*TRANSPOSE(($D116:$E116))),0)</f>
        <v>-1883832.0501224659</v>
      </c>
      <c r="X116" s="31" cm="1">
        <f t="array" ref="X116">X$106+IF($C116&lt;&gt;0,SUMPRODUCT((X$107:X$108)*TRANSPOSE(($D116:$E116))),0)</f>
        <v>-2289437.1745502781</v>
      </c>
      <c r="Y116" s="31" cm="1">
        <f t="array" ref="Y116">Y$106+IF($C116&lt;&gt;0,SUMPRODUCT((Y$107:Y$108)*TRANSPOSE(($D116:$E116))),0)</f>
        <v>-1912670.7645257842</v>
      </c>
      <c r="Z116" s="31" cm="1">
        <f t="array" ref="Z116">Z$106+IF($C116&lt;&gt;0,SUMPRODUCT((Z$107:Z$108)*TRANSPOSE(($D116:$E116))),0)</f>
        <v>-1535904.3545012912</v>
      </c>
      <c r="AA116" s="31" cm="1">
        <f t="array" ref="AA116">AA$106+IF($C116&lt;&gt;0,SUMPRODUCT((AA$107:AA$108)*TRANSPOSE(($D116:$E116))),0)</f>
        <v>-1159137.9444767982</v>
      </c>
      <c r="AB116" s="31" cm="1">
        <f t="array" ref="AB116">AB$106+IF($C116&lt;&gt;0,SUMPRODUCT((AB$107:AB$108)*TRANSPOSE(($D116:$E116))),0)</f>
        <v>-782371.53445230471</v>
      </c>
      <c r="AC116" s="31" cm="1">
        <f t="array" ref="AC116">AC$106+IF($C116&lt;&gt;0,SUMPRODUCT((AC$107:AC$108)*TRANSPOSE(($D116:$E116))),0)</f>
        <v>59616725.386823654</v>
      </c>
      <c r="AD116" s="31" cm="1">
        <f t="array" ref="AD116">AD$106+IF($C116&lt;&gt;0,SUMPRODUCT((AD$107:AD$108)*TRANSPOSE(($D116:$E116))),0)</f>
        <v>59616725.386823654</v>
      </c>
      <c r="AE116" s="31" cm="1">
        <f t="array" ref="AE116">AE$106+IF($C116&lt;&gt;0,SUMPRODUCT((AE$107:AE$108)*TRANSPOSE(($D116:$E116))),0)</f>
        <v>59616725.386823654</v>
      </c>
      <c r="AF116" s="31" cm="1">
        <f t="array" ref="AF116">AF$106+IF($C116&lt;&gt;0,SUMPRODUCT((AF$107:AF$108)*TRANSPOSE(($D116:$E116))),0)</f>
        <v>59616725.386823654</v>
      </c>
      <c r="AG116" s="31" cm="1">
        <f t="array" ref="AG116">AG$106+IF($C116&lt;&gt;0,SUMPRODUCT((AG$107:AG$108)*TRANSPOSE(($D116:$E116))),0)</f>
        <v>59616725.386823654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3sens</v>
      </c>
      <c r="I117" s="31" cm="1">
        <f t="array" ref="I117">I$106+IF($C117&lt;&gt;0,SUMPRODUCT((I$107:I$108)*TRANSPOSE(($D117:$E117))),0)</f>
        <v>744215.095685735</v>
      </c>
      <c r="J117" s="31" cm="1">
        <f t="array" ref="J117">J$106+IF($C117&lt;&gt;0,SUMPRODUCT((J$107:J$108)*TRANSPOSE(($D117:$E117))),0)</f>
        <v>796900.28800731839</v>
      </c>
      <c r="K117" s="31" cm="1">
        <f t="array" ref="K117">K$106+IF($C117&lt;&gt;0,SUMPRODUCT((K$107:K$108)*TRANSPOSE(($D117:$E117))),0)</f>
        <v>849585.4803289019</v>
      </c>
      <c r="L117" s="31" cm="1">
        <f t="array" ref="L117">L$106+IF($C117&lt;&gt;0,SUMPRODUCT((L$107:L$108)*TRANSPOSE(($D117:$E117))),0)</f>
        <v>902270.6726504853</v>
      </c>
      <c r="M117" s="31" cm="1">
        <f t="array" ref="M117">M$106+IF($C117&lt;&gt;0,SUMPRODUCT((M$107:M$108)*TRANSPOSE(($D117:$E117))),0)</f>
        <v>954955.86497206846</v>
      </c>
      <c r="N117" s="31" cm="1">
        <f t="array" ref="N117">N$106+IF($C117&lt;&gt;0,SUMPRODUCT((N$107:N$108)*TRANSPOSE(($D117:$E117))),0)</f>
        <v>-1883832.0501224659</v>
      </c>
      <c r="O117" s="31" cm="1">
        <f t="array" ref="O117">O$106+IF($C117&lt;&gt;0,SUMPRODUCT((O$107:O$108)*TRANSPOSE(($D117:$E117))),0)</f>
        <v>-1883832.0501224659</v>
      </c>
      <c r="P117" s="31" cm="1">
        <f t="array" ref="P117">P$106+IF($C117&lt;&gt;0,SUMPRODUCT((P$107:P$108)*TRANSPOSE(($D117:$E117))),0)</f>
        <v>-1883832.0501224659</v>
      </c>
      <c r="Q117" s="31" cm="1">
        <f t="array" ref="Q117">Q$106+IF($C117&lt;&gt;0,SUMPRODUCT((Q$107:Q$108)*TRANSPOSE(($D117:$E117))),0)</f>
        <v>-2361669.7054153178</v>
      </c>
      <c r="R117" s="31" cm="1">
        <f t="array" ref="R117">R$106+IF($C117&lt;&gt;0,SUMPRODUCT((R$107:R$108)*TRANSPOSE(($D117:$E117))),0)</f>
        <v>-2361669.7054153178</v>
      </c>
      <c r="S117" s="31" cm="1">
        <f t="array" ref="S117">S$106+IF($C117&lt;&gt;0,SUMPRODUCT((S$107:S$108)*TRANSPOSE(($D117:$E117))),0)</f>
        <v>-2361669.7054153178</v>
      </c>
      <c r="T117" s="31" cm="1">
        <f t="array" ref="T117">T$106+IF($C117&lt;&gt;0,SUMPRODUCT((T$107:T$108)*TRANSPOSE(($D117:$E117))),0)</f>
        <v>-2361669.7054153178</v>
      </c>
      <c r="U117" s="31" cm="1">
        <f t="array" ref="U117">U$106+IF($C117&lt;&gt;0,SUMPRODUCT((U$107:U$108)*TRANSPOSE(($D117:$E117))),0)</f>
        <v>-2361669.7054153178</v>
      </c>
      <c r="V117" s="31" cm="1">
        <f t="array" ref="V117">V$106+IF($C117&lt;&gt;0,SUMPRODUCT((V$107:V$108)*TRANSPOSE(($D117:$E117))),0)</f>
        <v>-1883832.0501224659</v>
      </c>
      <c r="W117" s="31" cm="1">
        <f t="array" ref="W117">W$106+IF($C117&lt;&gt;0,SUMPRODUCT((W$107:W$108)*TRANSPOSE(($D117:$E117))),0)</f>
        <v>-1883832.0501224659</v>
      </c>
      <c r="X117" s="31" cm="1">
        <f t="array" ref="X117">X$106+IF($C117&lt;&gt;0,SUMPRODUCT((X$107:X$108)*TRANSPOSE(($D117:$E117))),0)</f>
        <v>-2289437.1745502781</v>
      </c>
      <c r="Y117" s="31" cm="1">
        <f t="array" ref="Y117">Y$106+IF($C117&lt;&gt;0,SUMPRODUCT((Y$107:Y$108)*TRANSPOSE(($D117:$E117))),0)</f>
        <v>-1912670.7645257842</v>
      </c>
      <c r="Z117" s="31" cm="1">
        <f t="array" ref="Z117">Z$106+IF($C117&lt;&gt;0,SUMPRODUCT((Z$107:Z$108)*TRANSPOSE(($D117:$E117))),0)</f>
        <v>-1535904.3545012912</v>
      </c>
      <c r="AA117" s="31" cm="1">
        <f t="array" ref="AA117">AA$106+IF($C117&lt;&gt;0,SUMPRODUCT((AA$107:AA$108)*TRANSPOSE(($D117:$E117))),0)</f>
        <v>-1159137.9444767982</v>
      </c>
      <c r="AB117" s="31" cm="1">
        <f t="array" ref="AB117">AB$106+IF($C117&lt;&gt;0,SUMPRODUCT((AB$107:AB$108)*TRANSPOSE(($D117:$E117))),0)</f>
        <v>-782371.53445230471</v>
      </c>
      <c r="AC117" s="31" cm="1">
        <f t="array" ref="AC117">AC$106+IF($C117&lt;&gt;0,SUMPRODUCT((AC$107:AC$108)*TRANSPOSE(($D117:$E117))),0)</f>
        <v>59616725.386823654</v>
      </c>
      <c r="AD117" s="31" cm="1">
        <f t="array" ref="AD117">AD$106+IF($C117&lt;&gt;0,SUMPRODUCT((AD$107:AD$108)*TRANSPOSE(($D117:$E117))),0)</f>
        <v>59616725.386823654</v>
      </c>
      <c r="AE117" s="31" cm="1">
        <f t="array" ref="AE117">AE$106+IF($C117&lt;&gt;0,SUMPRODUCT((AE$107:AE$108)*TRANSPOSE(($D117:$E117))),0)</f>
        <v>59616725.386823654</v>
      </c>
      <c r="AF117" s="31" cm="1">
        <f t="array" ref="AF117">AF$106+IF($C117&lt;&gt;0,SUMPRODUCT((AF$107:AF$108)*TRANSPOSE(($D117:$E117))),0)</f>
        <v>59616725.386823654</v>
      </c>
      <c r="AG117" s="31" cm="1">
        <f t="array" ref="AG117">AG$106+IF($C117&lt;&gt;0,SUMPRODUCT((AG$107:AG$108)*TRANSPOSE(($D117:$E117))),0)</f>
        <v>59616725.386823654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I28" sqref="I28"/>
      <selection pane="topRight" activeCell="I28" sqref="I28"/>
      <selection pane="bottomLeft" activeCell="I28" sqref="I28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 xml:space="preserve">Minimise bushfire risk from bare 22kV non-REFCL lines in HBRA 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 t="str">
        <f>INDEX(Assumptions!$E$14:$E$18, MATCH(A3,_xlfn.ANCHORARRAY( Assumptions!$C$14),0))</f>
        <v xml:space="preserve">Targeted installation of EFD on bare 22kV non-REFCL lines lines in HBRA 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332</v>
      </c>
      <c r="D14"/>
      <c r="E14" s="148">
        <v>15</v>
      </c>
      <c r="G14" s="207">
        <f>input_dollars</f>
        <v>45291</v>
      </c>
      <c r="H14" s="149"/>
      <c r="I14" s="32">
        <f>Workings_costs!E59</f>
        <v>3842052.7725813901</v>
      </c>
      <c r="J14" s="32">
        <f>Workings_costs!F59</f>
        <v>3842052.7725813901</v>
      </c>
      <c r="K14" s="32">
        <f>Workings_costs!G59</f>
        <v>0</v>
      </c>
      <c r="L14" s="32">
        <f>Workings_costs!H59</f>
        <v>0</v>
      </c>
      <c r="M14" s="32">
        <f>Workings_costs!I59</f>
        <v>0</v>
      </c>
      <c r="N14" s="32">
        <f>Workings_costs!J59</f>
        <v>0</v>
      </c>
      <c r="O14" s="32">
        <f>Workings_costs!K59</f>
        <v>0</v>
      </c>
      <c r="P14" s="32">
        <f>Workings_costs!L59</f>
        <v>0</v>
      </c>
      <c r="Q14" s="32">
        <f>Workings_costs!M59</f>
        <v>0</v>
      </c>
      <c r="R14" s="32">
        <f>Workings_costs!N59</f>
        <v>0</v>
      </c>
      <c r="S14" s="32">
        <f>Workings_costs!O59</f>
        <v>0</v>
      </c>
      <c r="T14" s="32">
        <f>Workings_costs!P59</f>
        <v>0</v>
      </c>
      <c r="U14" s="32">
        <f>Workings_costs!Q59</f>
        <v>0</v>
      </c>
      <c r="V14" s="32">
        <f>Workings_costs!R59</f>
        <v>0</v>
      </c>
      <c r="W14" s="32">
        <f>Workings_costs!S59</f>
        <v>0</v>
      </c>
      <c r="X14" s="32">
        <f>Workings_costs!T59</f>
        <v>0</v>
      </c>
      <c r="Y14" s="32">
        <f>Workings_costs!U59</f>
        <v>0</v>
      </c>
      <c r="Z14" s="32">
        <f>Workings_costs!V59</f>
        <v>0</v>
      </c>
      <c r="AA14" s="32">
        <f>Workings_costs!W59</f>
        <v>0</v>
      </c>
      <c r="AB14" s="32">
        <f>Workings_costs!X59</f>
        <v>0</v>
      </c>
      <c r="AC14" s="32">
        <f>Workings_costs!Y59</f>
        <v>0</v>
      </c>
      <c r="AD14" s="32">
        <f>Workings_costs!Z59</f>
        <v>0</v>
      </c>
      <c r="AE14" s="32">
        <f>Workings_costs!AA59</f>
        <v>0</v>
      </c>
      <c r="AF14" s="32">
        <f>Workings_costs!AB59</f>
        <v>0</v>
      </c>
      <c r="AG14" s="32">
        <f>Workings_costs!AC59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3842052.7725813901</v>
      </c>
      <c r="J17" s="106">
        <f t="shared" si="0"/>
        <v>3842052.7725813901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f>Workings_costs!E60</f>
        <v>15493.171874045396</v>
      </c>
      <c r="J19" s="32">
        <f>Workings_costs!F60</f>
        <v>15493.171874045396</v>
      </c>
      <c r="K19" s="32">
        <f>Workings_costs!G60</f>
        <v>15493.171874045396</v>
      </c>
      <c r="L19" s="32">
        <f>Workings_costs!H60</f>
        <v>15493.171874045396</v>
      </c>
      <c r="M19" s="32">
        <f>Workings_costs!I60</f>
        <v>15493.171874045396</v>
      </c>
      <c r="N19" s="32">
        <f>Workings_costs!J60</f>
        <v>366217.96675333421</v>
      </c>
      <c r="O19" s="32">
        <f>Workings_costs!K60</f>
        <v>366217.96675333421</v>
      </c>
      <c r="P19" s="32">
        <f>Workings_costs!L60</f>
        <v>366217.96675333421</v>
      </c>
      <c r="Q19" s="32">
        <f>Workings_costs!M60</f>
        <v>569957.72881680098</v>
      </c>
      <c r="R19" s="32">
        <f>Workings_costs!N60</f>
        <v>569957.72881680098</v>
      </c>
      <c r="S19" s="32">
        <f>Workings_costs!O60</f>
        <v>366217.96675333421</v>
      </c>
      <c r="T19" s="32">
        <f>Workings_costs!P60</f>
        <v>366217.96675333421</v>
      </c>
      <c r="U19" s="32">
        <f>Workings_costs!Q60</f>
        <v>366217.96675333421</v>
      </c>
      <c r="V19" s="32">
        <f>Workings_costs!R60</f>
        <v>366217.96675333421</v>
      </c>
      <c r="W19" s="32">
        <f>Workings_costs!S60</f>
        <v>366217.96675333421</v>
      </c>
      <c r="X19" s="32">
        <f>Workings_costs!T60</f>
        <v>183108.98337666711</v>
      </c>
      <c r="Y19" s="32">
        <f>Workings_costs!U60</f>
        <v>0</v>
      </c>
      <c r="Z19" s="32">
        <f>Workings_costs!V60</f>
        <v>0</v>
      </c>
      <c r="AA19" s="32">
        <f>Workings_costs!W60</f>
        <v>0</v>
      </c>
      <c r="AB19" s="32">
        <f>Workings_costs!X60</f>
        <v>0</v>
      </c>
      <c r="AC19" s="32">
        <f>Workings_costs!Y60</f>
        <v>0</v>
      </c>
      <c r="AD19" s="32">
        <f>Workings_costs!Z60</f>
        <v>0</v>
      </c>
      <c r="AE19" s="32">
        <f>Workings_costs!AA60</f>
        <v>0</v>
      </c>
      <c r="AF19" s="32">
        <f>Workings_costs!AB60</f>
        <v>0</v>
      </c>
      <c r="AG19" s="32">
        <f>Workings_costs!AC60</f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32">
        <f>Workings_risks!E87</f>
        <v>42038850.207794577</v>
      </c>
      <c r="J28" s="32">
        <f>Workings_risks!F87</f>
        <v>41786400.721273646</v>
      </c>
      <c r="K28" s="32">
        <f>Workings_risks!G87</f>
        <v>41786400.721273646</v>
      </c>
      <c r="L28" s="32">
        <f>Workings_risks!H87</f>
        <v>41786400.721273646</v>
      </c>
      <c r="M28" s="32">
        <f>Workings_risks!I87</f>
        <v>41786400.721273646</v>
      </c>
      <c r="N28" s="32">
        <f>Workings_risks!J87</f>
        <v>41786400.721273646</v>
      </c>
      <c r="O28" s="32">
        <f>Workings_risks!K87</f>
        <v>41786400.721273646</v>
      </c>
      <c r="P28" s="32">
        <f>Workings_risks!L87</f>
        <v>41786400.721273646</v>
      </c>
      <c r="Q28" s="32">
        <f>Workings_risks!M87</f>
        <v>41786400.721273646</v>
      </c>
      <c r="R28" s="32">
        <f>Workings_risks!N87</f>
        <v>41786400.721273646</v>
      </c>
      <c r="S28" s="32">
        <f>Workings_risks!O87</f>
        <v>41786400.721273646</v>
      </c>
      <c r="T28" s="32">
        <f>Workings_risks!P87</f>
        <v>41786400.721273646</v>
      </c>
      <c r="U28" s="32">
        <f>Workings_risks!Q87</f>
        <v>41786400.721273646</v>
      </c>
      <c r="V28" s="32">
        <f>Workings_risks!R87</f>
        <v>41786400.721273646</v>
      </c>
      <c r="W28" s="32">
        <f>Workings_risks!S87</f>
        <v>41786400.721273646</v>
      </c>
      <c r="X28" s="32">
        <f>Workings_risks!T87</f>
        <v>42038850.207794577</v>
      </c>
      <c r="Y28" s="32">
        <f>Workings_risks!U87</f>
        <v>42291299.694315508</v>
      </c>
      <c r="Z28" s="32">
        <f>Workings_risks!V87</f>
        <v>42291299.694315508</v>
      </c>
      <c r="AA28" s="32">
        <f>Workings_risks!W87</f>
        <v>42291299.694315508</v>
      </c>
      <c r="AB28" s="32">
        <f>Workings_risks!X87</f>
        <v>42291299.694315508</v>
      </c>
      <c r="AC28" s="32">
        <f>Workings_risks!Y87</f>
        <v>0</v>
      </c>
      <c r="AD28" s="32">
        <f>Workings_risks!Z87</f>
        <v>0</v>
      </c>
      <c r="AE28" s="32">
        <f>Workings_risks!AA87</f>
        <v>0</v>
      </c>
      <c r="AF28" s="32">
        <f>Workings_risks!AB87</f>
        <v>0</v>
      </c>
      <c r="AG28" s="32">
        <f>Workings_risks!AC87</f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291</v>
      </c>
      <c r="D33" s="219"/>
      <c r="E33"/>
      <c r="G33" s="207">
        <f>input_dollars</f>
        <v>45291</v>
      </c>
      <c r="H33"/>
      <c r="I33" s="32">
        <f>Workings_risks!E86</f>
        <v>17174356.431896638</v>
      </c>
      <c r="J33" s="32">
        <f>Workings_risks!F86</f>
        <v>17023287.171285134</v>
      </c>
      <c r="K33" s="32">
        <f>Workings_risks!G86</f>
        <v>17023287.171285134</v>
      </c>
      <c r="L33" s="32">
        <f>Workings_risks!H86</f>
        <v>17023287.171285134</v>
      </c>
      <c r="M33" s="32">
        <f>Workings_risks!I86</f>
        <v>17023287.171285134</v>
      </c>
      <c r="N33" s="32">
        <f>Workings_risks!J86</f>
        <v>17023287.171285134</v>
      </c>
      <c r="O33" s="32">
        <f>Workings_risks!K86</f>
        <v>17023287.171285134</v>
      </c>
      <c r="P33" s="32">
        <f>Workings_risks!L86</f>
        <v>17023287.171285134</v>
      </c>
      <c r="Q33" s="32">
        <f>Workings_risks!M86</f>
        <v>17023287.171285134</v>
      </c>
      <c r="R33" s="32">
        <f>Workings_risks!N86</f>
        <v>17023287.171285134</v>
      </c>
      <c r="S33" s="32">
        <f>Workings_risks!O86</f>
        <v>17023287.171285134</v>
      </c>
      <c r="T33" s="32">
        <f>Workings_risks!P86</f>
        <v>17023287.171285134</v>
      </c>
      <c r="U33" s="32">
        <f>Workings_risks!Q86</f>
        <v>17023287.171285134</v>
      </c>
      <c r="V33" s="32">
        <f>Workings_risks!R86</f>
        <v>17023287.171285134</v>
      </c>
      <c r="W33" s="32">
        <f>Workings_risks!S86</f>
        <v>17023287.171285134</v>
      </c>
      <c r="X33" s="32">
        <f>Workings_risks!T86</f>
        <v>17174356.431896638</v>
      </c>
      <c r="Y33" s="32">
        <f>Workings_risks!U86</f>
        <v>17325425.692508142</v>
      </c>
      <c r="Z33" s="32">
        <f>Workings_risks!V86</f>
        <v>17325425.692508142</v>
      </c>
      <c r="AA33" s="32">
        <f>Workings_risks!W86</f>
        <v>17325425.692508142</v>
      </c>
      <c r="AB33" s="32">
        <f>Workings_risks!X86</f>
        <v>17325425.692508142</v>
      </c>
      <c r="AC33" s="32">
        <f>Workings_risks!Y86</f>
        <v>0</v>
      </c>
      <c r="AD33" s="32">
        <f>Workings_risks!Z86</f>
        <v>0</v>
      </c>
      <c r="AE33" s="32">
        <f>Workings_risks!AA86</f>
        <v>0</v>
      </c>
      <c r="AF33" s="32">
        <f>Workings_risks!AB86</f>
        <v>0</v>
      </c>
      <c r="AG33" s="32">
        <f>Workings_risks!AC86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59213206.639691219</v>
      </c>
      <c r="J36" s="170">
        <f t="shared" ref="J36:AG36" si="2">SUM(J28:J34)</f>
        <v>58809687.892558783</v>
      </c>
      <c r="K36" s="170">
        <f t="shared" si="2"/>
        <v>58809687.892558783</v>
      </c>
      <c r="L36" s="170">
        <f t="shared" si="2"/>
        <v>58809687.892558783</v>
      </c>
      <c r="M36" s="170">
        <f t="shared" si="2"/>
        <v>58809687.892558783</v>
      </c>
      <c r="N36" s="170">
        <f t="shared" si="2"/>
        <v>58809687.892558783</v>
      </c>
      <c r="O36" s="170">
        <f t="shared" si="2"/>
        <v>58809687.892558783</v>
      </c>
      <c r="P36" s="170">
        <f t="shared" si="2"/>
        <v>58809687.892558783</v>
      </c>
      <c r="Q36" s="170">
        <f t="shared" si="2"/>
        <v>58809687.892558783</v>
      </c>
      <c r="R36" s="170">
        <f t="shared" si="2"/>
        <v>58809687.892558783</v>
      </c>
      <c r="S36" s="170">
        <f t="shared" si="2"/>
        <v>58809687.892558783</v>
      </c>
      <c r="T36" s="170">
        <f t="shared" si="2"/>
        <v>58809687.892558783</v>
      </c>
      <c r="U36" s="170">
        <f t="shared" si="2"/>
        <v>58809687.892558783</v>
      </c>
      <c r="V36" s="170">
        <f t="shared" si="2"/>
        <v>58809687.892558783</v>
      </c>
      <c r="W36" s="170">
        <f t="shared" si="2"/>
        <v>58809687.892558783</v>
      </c>
      <c r="X36" s="170">
        <f t="shared" si="2"/>
        <v>59213206.639691219</v>
      </c>
      <c r="Y36" s="170">
        <f t="shared" si="2"/>
        <v>59616725.386823654</v>
      </c>
      <c r="Z36" s="170">
        <f t="shared" si="2"/>
        <v>59616725.386823654</v>
      </c>
      <c r="AA36" s="170">
        <f t="shared" si="2"/>
        <v>59616725.386823654</v>
      </c>
      <c r="AB36" s="170">
        <f t="shared" si="2"/>
        <v>59616725.386823654</v>
      </c>
      <c r="AC36" s="170">
        <f t="shared" si="2"/>
        <v>0</v>
      </c>
      <c r="AD36" s="170">
        <f t="shared" si="2"/>
        <v>0</v>
      </c>
      <c r="AE36" s="170">
        <f t="shared" si="2"/>
        <v>0</v>
      </c>
      <c r="AF36" s="170">
        <f t="shared" si="2"/>
        <v>0</v>
      </c>
      <c r="AG36" s="170">
        <f t="shared" si="2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403518.74713243544</v>
      </c>
      <c r="J64" s="132">
        <f>(1-INDEX(Data!$C$9:$C$13, MATCH($A$3, options,0)))*('Option1 (base case)'!J36-J36)</f>
        <v>807037.49426487088</v>
      </c>
      <c r="K64" s="132">
        <f>(1-INDEX(Data!$C$9:$C$13, MATCH($A$3, options,0)))*('Option1 (base case)'!K36-K36)</f>
        <v>807037.49426487088</v>
      </c>
      <c r="L64" s="132">
        <f>(1-INDEX(Data!$C$9:$C$13, MATCH($A$3, options,0)))*('Option1 (base case)'!L36-L36)</f>
        <v>807037.49426487088</v>
      </c>
      <c r="M64" s="132">
        <f>(1-INDEX(Data!$C$9:$C$13, MATCH($A$3, options,0)))*('Option1 (base case)'!M36-M36)</f>
        <v>807037.49426487088</v>
      </c>
      <c r="N64" s="132">
        <f>(1-INDEX(Data!$C$9:$C$13, MATCH($A$3, options,0)))*('Option1 (base case)'!N36-N36)</f>
        <v>807037.49426487088</v>
      </c>
      <c r="O64" s="132">
        <f>(1-INDEX(Data!$C$9:$C$13, MATCH($A$3, options,0)))*('Option1 (base case)'!O36-O36)</f>
        <v>807037.49426487088</v>
      </c>
      <c r="P64" s="132">
        <f>(1-INDEX(Data!$C$9:$C$13, MATCH($A$3, options,0)))*('Option1 (base case)'!P36-P36)</f>
        <v>807037.49426487088</v>
      </c>
      <c r="Q64" s="132">
        <f>(1-INDEX(Data!$C$9:$C$13, MATCH($A$3, options,0)))*('Option1 (base case)'!Q36-Q36)</f>
        <v>807037.49426487088</v>
      </c>
      <c r="R64" s="132">
        <f>(1-INDEX(Data!$C$9:$C$13, MATCH($A$3, options,0)))*('Option1 (base case)'!R36-R36)</f>
        <v>807037.49426487088</v>
      </c>
      <c r="S64" s="132">
        <f>(1-INDEX(Data!$C$9:$C$13, MATCH($A$3, options,0)))*('Option1 (base case)'!S36-S36)</f>
        <v>807037.49426487088</v>
      </c>
      <c r="T64" s="132">
        <f>(1-INDEX(Data!$C$9:$C$13, MATCH($A$3, options,0)))*('Option1 (base case)'!T36-T36)</f>
        <v>807037.49426487088</v>
      </c>
      <c r="U64" s="132">
        <f>(1-INDEX(Data!$C$9:$C$13, MATCH($A$3, options,0)))*('Option1 (base case)'!U36-U36)</f>
        <v>807037.49426487088</v>
      </c>
      <c r="V64" s="132">
        <f>(1-INDEX(Data!$C$9:$C$13, MATCH($A$3, options,0)))*('Option1 (base case)'!V36-V36)</f>
        <v>807037.49426487088</v>
      </c>
      <c r="W64" s="132">
        <f>(1-INDEX(Data!$C$9:$C$13, MATCH($A$3, options,0)))*('Option1 (base case)'!W36-W36)</f>
        <v>807037.49426487088</v>
      </c>
      <c r="X64" s="132">
        <f>(1-INDEX(Data!$C$9:$C$13, MATCH($A$3, options,0)))*('Option1 (base case)'!X36-X36)</f>
        <v>403518.74713243544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59616725.386823654</v>
      </c>
      <c r="AD64" s="132">
        <f>(1-INDEX(Data!$C$9:$C$13, MATCH($A$3, options,0)))*('Option1 (base case)'!AD36-AD36)</f>
        <v>59616725.386823654</v>
      </c>
      <c r="AE64" s="132">
        <f>(1-INDEX(Data!$C$9:$C$13, MATCH($A$3, options,0)))*('Option1 (base case)'!AE36-AE36)</f>
        <v>59616725.386823654</v>
      </c>
      <c r="AF64" s="132">
        <f>(1-INDEX(Data!$C$9:$C$13, MATCH($A$3, options,0)))*('Option1 (base case)'!AF36-AF36)</f>
        <v>59616725.386823654</v>
      </c>
      <c r="AG64" s="132">
        <f>(1-INDEX(Data!$C$9:$C$13, MATCH($A$3, options,0)))*('Option1 (base case)'!AG36-AG36)</f>
        <v>59616725.386823654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EFD</v>
      </c>
      <c r="D67" s="38"/>
      <c r="F67" s="97"/>
      <c r="G67" s="210">
        <f>input_dollars</f>
        <v>45291</v>
      </c>
      <c r="H67" s="31"/>
      <c r="I67" s="119">
        <f t="shared" ref="I67:AG67" si="4">-I14</f>
        <v>-3842052.7725813901</v>
      </c>
      <c r="J67" s="119">
        <f t="shared" si="4"/>
        <v>-3842052.7725813901</v>
      </c>
      <c r="K67" s="119">
        <f t="shared" si="4"/>
        <v>0</v>
      </c>
      <c r="L67" s="119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EFD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-3842052.7725813901</v>
      </c>
      <c r="J72" s="119" cm="1">
        <f t="array" ref="J72">SUMPRODUCT(($I67:J67))-SUMPRODUCT(($I67:J67)*($I$6:J$6&lt;=(J$6-$E14)))</f>
        <v>-7684105.5451627802</v>
      </c>
      <c r="K72" s="119" cm="1">
        <f t="array" ref="K72">SUMPRODUCT(($I67:K67))-SUMPRODUCT(($I67:K67)*($I$6:K$6&lt;=(K$6-$E14)))</f>
        <v>-7684105.5451627802</v>
      </c>
      <c r="L72" s="119" cm="1">
        <f t="array" ref="L72">SUMPRODUCT(($I67:L67))-SUMPRODUCT(($I67:L67)*($I$6:L$6&lt;=(L$6-$E14)))</f>
        <v>-7684105.5451627802</v>
      </c>
      <c r="M72" s="119" cm="1">
        <f t="array" ref="M72">SUMPRODUCT(($I67:M67))-SUMPRODUCT(($I67:M67)*($I$6:M$6&lt;=(M$6-$E14)))</f>
        <v>-7684105.5451627802</v>
      </c>
      <c r="N72" s="119" cm="1">
        <f t="array" ref="N72">SUMPRODUCT(($I67:N67))-SUMPRODUCT(($I67:N67)*($I$6:N$6&lt;=(N$6-$E14)))</f>
        <v>-7684105.5451627802</v>
      </c>
      <c r="O72" s="119" cm="1">
        <f t="array" ref="O72">SUMPRODUCT(($I67:O67))-SUMPRODUCT(($I67:O67)*($I$6:O$6&lt;=(O$6-$E14)))</f>
        <v>-7684105.5451627802</v>
      </c>
      <c r="P72" s="119" cm="1">
        <f t="array" ref="P72">SUMPRODUCT(($I67:P67))-SUMPRODUCT(($I67:P67)*($I$6:P$6&lt;=(P$6-$E14)))</f>
        <v>-7684105.5451627802</v>
      </c>
      <c r="Q72" s="119" cm="1">
        <f t="array" ref="Q72">SUMPRODUCT(($I67:Q67))-SUMPRODUCT(($I67:Q67)*($I$6:Q$6&lt;=(Q$6-$E14)))</f>
        <v>-7684105.5451627802</v>
      </c>
      <c r="R72" s="119" cm="1">
        <f t="array" ref="R72">SUMPRODUCT(($I67:R67))-SUMPRODUCT(($I67:R67)*($I$6:R$6&lt;=(R$6-$E14)))</f>
        <v>-7684105.5451627802</v>
      </c>
      <c r="S72" s="119" cm="1">
        <f t="array" ref="S72">SUMPRODUCT(($I67:S67))-SUMPRODUCT(($I67:S67)*($I$6:S$6&lt;=(S$6-$E14)))</f>
        <v>-7684105.5451627802</v>
      </c>
      <c r="T72" s="119" cm="1">
        <f t="array" ref="T72">SUMPRODUCT(($I67:T67))-SUMPRODUCT(($I67:T67)*($I$6:T$6&lt;=(T$6-$E14)))</f>
        <v>-7684105.5451627802</v>
      </c>
      <c r="U72" s="119" cm="1">
        <f t="array" ref="U72">SUMPRODUCT(($I67:U67))-SUMPRODUCT(($I67:U67)*($I$6:U$6&lt;=(U$6-$E14)))</f>
        <v>-7684105.5451627802</v>
      </c>
      <c r="V72" s="119" cm="1">
        <f t="array" ref="V72">SUMPRODUCT(($I67:V67))-SUMPRODUCT(($I67:V67)*($I$6:V$6&lt;=(V$6-$E14)))</f>
        <v>-7684105.5451627802</v>
      </c>
      <c r="W72" s="119" cm="1">
        <f t="array" ref="W72">SUMPRODUCT(($I67:W67))-SUMPRODUCT(($I67:W67)*($I$6:W$6&lt;=(W$6-$E14)))</f>
        <v>-7684105.5451627802</v>
      </c>
      <c r="X72" s="119" cm="1">
        <f t="array" ref="X72">SUMPRODUCT(($I67:X67))-SUMPRODUCT(($I67:X67)*($I$6:X$6&lt;=(X$6-$E14)))</f>
        <v>-3842052.7725813901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EFD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-333586.49848733848</v>
      </c>
      <c r="K77" s="119">
        <f t="shared" si="7"/>
        <v>-667172.99697467696</v>
      </c>
      <c r="L77" s="119">
        <f t="shared" si="7"/>
        <v>-667172.99697467696</v>
      </c>
      <c r="M77" s="119">
        <f t="shared" si="7"/>
        <v>-667172.99697467696</v>
      </c>
      <c r="N77" s="119">
        <f t="shared" si="7"/>
        <v>-667172.99697467696</v>
      </c>
      <c r="O77" s="119">
        <f t="shared" si="7"/>
        <v>-667172.99697467696</v>
      </c>
      <c r="P77" s="119">
        <f t="shared" si="7"/>
        <v>-667172.99697467696</v>
      </c>
      <c r="Q77" s="119">
        <f t="shared" si="7"/>
        <v>-667172.99697467696</v>
      </c>
      <c r="R77" s="119">
        <f t="shared" si="7"/>
        <v>-667172.99697467696</v>
      </c>
      <c r="S77" s="119">
        <f t="shared" si="7"/>
        <v>-667172.99697467696</v>
      </c>
      <c r="T77" s="119">
        <f t="shared" si="7"/>
        <v>-667172.99697467696</v>
      </c>
      <c r="U77" s="119">
        <f t="shared" si="7"/>
        <v>-667172.99697467696</v>
      </c>
      <c r="V77" s="119">
        <f t="shared" si="7"/>
        <v>-667172.99697467696</v>
      </c>
      <c r="W77" s="119">
        <f t="shared" si="7"/>
        <v>-667172.99697467696</v>
      </c>
      <c r="X77" s="119">
        <f t="shared" si="7"/>
        <v>-667172.99697467696</v>
      </c>
      <c r="Y77" s="119">
        <f t="shared" si="7"/>
        <v>-333586.49848733848</v>
      </c>
      <c r="Z77" s="119">
        <f t="shared" si="7"/>
        <v>0</v>
      </c>
      <c r="AA77" s="119">
        <f t="shared" si="7"/>
        <v>0</v>
      </c>
      <c r="AB77" s="119">
        <f t="shared" si="7"/>
        <v>0</v>
      </c>
      <c r="AC77" s="119">
        <f t="shared" si="7"/>
        <v>0</v>
      </c>
      <c r="AD77" s="119">
        <f t="shared" si="7"/>
        <v>0</v>
      </c>
      <c r="AE77" s="119">
        <f t="shared" si="7"/>
        <v>0</v>
      </c>
      <c r="AF77" s="119">
        <f t="shared" si="7"/>
        <v>0</v>
      </c>
      <c r="AG77" s="119">
        <f t="shared" si="7"/>
        <v>0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-333586.49848733848</v>
      </c>
      <c r="K80" s="176">
        <f t="shared" si="10"/>
        <v>-667172.99697467696</v>
      </c>
      <c r="L80" s="176">
        <f t="shared" si="10"/>
        <v>-667172.99697467696</v>
      </c>
      <c r="M80" s="176">
        <f t="shared" si="10"/>
        <v>-667172.99697467696</v>
      </c>
      <c r="N80" s="176">
        <f t="shared" si="10"/>
        <v>-667172.99697467696</v>
      </c>
      <c r="O80" s="176">
        <f t="shared" si="10"/>
        <v>-667172.99697467696</v>
      </c>
      <c r="P80" s="176">
        <f t="shared" si="10"/>
        <v>-667172.99697467696</v>
      </c>
      <c r="Q80" s="176">
        <f t="shared" si="10"/>
        <v>-667172.99697467696</v>
      </c>
      <c r="R80" s="176">
        <f t="shared" si="10"/>
        <v>-667172.99697467696</v>
      </c>
      <c r="S80" s="176">
        <f t="shared" si="10"/>
        <v>-667172.99697467696</v>
      </c>
      <c r="T80" s="176">
        <f t="shared" si="10"/>
        <v>-667172.99697467696</v>
      </c>
      <c r="U80" s="176">
        <f t="shared" si="10"/>
        <v>-667172.99697467696</v>
      </c>
      <c r="V80" s="176">
        <f t="shared" si="10"/>
        <v>-667172.99697467696</v>
      </c>
      <c r="W80" s="176">
        <f t="shared" si="10"/>
        <v>-667172.99697467696</v>
      </c>
      <c r="X80" s="176">
        <f t="shared" si="10"/>
        <v>-667172.99697467696</v>
      </c>
      <c r="Y80" s="176">
        <f t="shared" si="10"/>
        <v>-333586.49848733848</v>
      </c>
      <c r="Z80" s="176">
        <f t="shared" si="10"/>
        <v>0</v>
      </c>
      <c r="AA80" s="176">
        <f t="shared" si="10"/>
        <v>0</v>
      </c>
      <c r="AB80" s="176">
        <f t="shared" si="10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-333586.49848733848</v>
      </c>
      <c r="K82" s="119">
        <f t="shared" si="12"/>
        <v>-667172.99697467696</v>
      </c>
      <c r="L82" s="119">
        <f t="shared" si="12"/>
        <v>-667172.99697467696</v>
      </c>
      <c r="M82" s="119">
        <f t="shared" si="12"/>
        <v>-667172.99697467696</v>
      </c>
      <c r="N82" s="119">
        <f t="shared" si="12"/>
        <v>-667172.99697467696</v>
      </c>
      <c r="O82" s="119">
        <f t="shared" si="12"/>
        <v>-667172.99697467696</v>
      </c>
      <c r="P82" s="119">
        <f t="shared" si="12"/>
        <v>-667172.99697467696</v>
      </c>
      <c r="Q82" s="119">
        <f t="shared" si="12"/>
        <v>-667172.99697467696</v>
      </c>
      <c r="R82" s="119">
        <f t="shared" si="12"/>
        <v>-667172.99697467696</v>
      </c>
      <c r="S82" s="119">
        <f t="shared" si="12"/>
        <v>-667172.99697467696</v>
      </c>
      <c r="T82" s="119">
        <f t="shared" si="12"/>
        <v>-667172.99697467696</v>
      </c>
      <c r="U82" s="119">
        <f t="shared" si="12"/>
        <v>-667172.99697467696</v>
      </c>
      <c r="V82" s="119">
        <f t="shared" si="12"/>
        <v>-667172.99697467696</v>
      </c>
      <c r="W82" s="119">
        <f t="shared" si="12"/>
        <v>-667172.99697467696</v>
      </c>
      <c r="X82" s="119">
        <f t="shared" si="12"/>
        <v>-667172.99697467696</v>
      </c>
      <c r="Y82" s="119">
        <f t="shared" si="12"/>
        <v>-333586.49848733848</v>
      </c>
      <c r="Z82" s="119">
        <f t="shared" si="12"/>
        <v>0</v>
      </c>
      <c r="AA82" s="119">
        <f t="shared" si="12"/>
        <v>0</v>
      </c>
      <c r="AB82" s="119">
        <f t="shared" si="12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-15493.171874045396</v>
      </c>
      <c r="J83" s="31">
        <f t="shared" si="13"/>
        <v>-15493.171874045396</v>
      </c>
      <c r="K83" s="31">
        <f t="shared" si="13"/>
        <v>-15493.171874045396</v>
      </c>
      <c r="L83" s="31">
        <f t="shared" si="13"/>
        <v>-15493.171874045396</v>
      </c>
      <c r="M83" s="31">
        <f t="shared" si="13"/>
        <v>-15493.171874045396</v>
      </c>
      <c r="N83" s="31">
        <f t="shared" si="13"/>
        <v>-366217.96675333421</v>
      </c>
      <c r="O83" s="31">
        <f t="shared" si="13"/>
        <v>-366217.96675333421</v>
      </c>
      <c r="P83" s="31">
        <f t="shared" si="13"/>
        <v>-366217.96675333421</v>
      </c>
      <c r="Q83" s="31">
        <f t="shared" si="13"/>
        <v>-569957.72881680098</v>
      </c>
      <c r="R83" s="31">
        <f t="shared" si="13"/>
        <v>-569957.72881680098</v>
      </c>
      <c r="S83" s="31">
        <f t="shared" si="13"/>
        <v>-366217.96675333421</v>
      </c>
      <c r="T83" s="31">
        <f t="shared" si="13"/>
        <v>-366217.96675333421</v>
      </c>
      <c r="U83" s="31">
        <f t="shared" si="13"/>
        <v>-366217.96675333421</v>
      </c>
      <c r="V83" s="31">
        <f t="shared" si="13"/>
        <v>-366217.96675333421</v>
      </c>
      <c r="W83" s="31">
        <f t="shared" si="13"/>
        <v>-366217.96675333421</v>
      </c>
      <c r="X83" s="31">
        <f t="shared" si="13"/>
        <v>-183108.98337666711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1"/>
        <v>45291</v>
      </c>
      <c r="H84" s="31"/>
      <c r="I84" s="31">
        <f>I64</f>
        <v>403518.74713243544</v>
      </c>
      <c r="J84" s="31">
        <f t="shared" ref="J84:AB84" si="14">J64</f>
        <v>807037.49426487088</v>
      </c>
      <c r="K84" s="31">
        <f t="shared" si="14"/>
        <v>807037.49426487088</v>
      </c>
      <c r="L84" s="31">
        <f t="shared" si="14"/>
        <v>807037.49426487088</v>
      </c>
      <c r="M84" s="31">
        <f t="shared" si="14"/>
        <v>807037.49426487088</v>
      </c>
      <c r="N84" s="31">
        <f t="shared" si="14"/>
        <v>807037.49426487088</v>
      </c>
      <c r="O84" s="31">
        <f t="shared" si="14"/>
        <v>807037.49426487088</v>
      </c>
      <c r="P84" s="31">
        <f t="shared" si="14"/>
        <v>807037.49426487088</v>
      </c>
      <c r="Q84" s="31">
        <f t="shared" si="14"/>
        <v>807037.49426487088</v>
      </c>
      <c r="R84" s="31">
        <f t="shared" si="14"/>
        <v>807037.49426487088</v>
      </c>
      <c r="S84" s="31">
        <f t="shared" si="14"/>
        <v>807037.49426487088</v>
      </c>
      <c r="T84" s="31">
        <f t="shared" si="14"/>
        <v>807037.49426487088</v>
      </c>
      <c r="U84" s="31">
        <f t="shared" si="14"/>
        <v>807037.49426487088</v>
      </c>
      <c r="V84" s="31">
        <f t="shared" si="14"/>
        <v>807037.49426487088</v>
      </c>
      <c r="W84" s="31">
        <f t="shared" si="14"/>
        <v>807037.49426487088</v>
      </c>
      <c r="X84" s="31">
        <f t="shared" si="14"/>
        <v>403518.74713243544</v>
      </c>
      <c r="Y84" s="31">
        <f t="shared" si="14"/>
        <v>0</v>
      </c>
      <c r="Z84" s="31">
        <f t="shared" si="14"/>
        <v>0</v>
      </c>
      <c r="AA84" s="31">
        <f t="shared" si="14"/>
        <v>0</v>
      </c>
      <c r="AB84" s="31">
        <f t="shared" si="14"/>
        <v>0</v>
      </c>
      <c r="AC84" s="31">
        <f>AC64</f>
        <v>59616725.386823654</v>
      </c>
      <c r="AD84" s="31">
        <f>AD64</f>
        <v>59616725.386823654</v>
      </c>
      <c r="AE84" s="31">
        <f>AE64</f>
        <v>59616725.386823654</v>
      </c>
      <c r="AF84" s="31">
        <f>AF64</f>
        <v>59616725.386823654</v>
      </c>
      <c r="AG84" s="31">
        <f>AG64</f>
        <v>59616725.386823654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388025.57525839005</v>
      </c>
      <c r="J87" s="179">
        <f t="shared" si="16"/>
        <v>457957.82390348701</v>
      </c>
      <c r="K87" s="179">
        <f t="shared" si="16"/>
        <v>124371.32541614852</v>
      </c>
      <c r="L87" s="179">
        <f t="shared" si="16"/>
        <v>124371.32541614852</v>
      </c>
      <c r="M87" s="179">
        <f t="shared" si="16"/>
        <v>124371.32541614852</v>
      </c>
      <c r="N87" s="179">
        <f t="shared" si="16"/>
        <v>-226353.46946314024</v>
      </c>
      <c r="O87" s="179">
        <f t="shared" si="16"/>
        <v>-226353.46946314024</v>
      </c>
      <c r="P87" s="179">
        <f t="shared" si="16"/>
        <v>-226353.46946314024</v>
      </c>
      <c r="Q87" s="179">
        <f t="shared" si="16"/>
        <v>-430093.23152660718</v>
      </c>
      <c r="R87" s="179">
        <f t="shared" si="16"/>
        <v>-430093.23152660718</v>
      </c>
      <c r="S87" s="179">
        <f t="shared" si="16"/>
        <v>-226353.46946314024</v>
      </c>
      <c r="T87" s="179">
        <f t="shared" si="16"/>
        <v>-226353.46946314024</v>
      </c>
      <c r="U87" s="179">
        <f t="shared" si="16"/>
        <v>-226353.46946314024</v>
      </c>
      <c r="V87" s="179">
        <f t="shared" si="16"/>
        <v>-226353.46946314024</v>
      </c>
      <c r="W87" s="179">
        <f t="shared" si="16"/>
        <v>-226353.46946314024</v>
      </c>
      <c r="X87" s="179">
        <f t="shared" si="16"/>
        <v>-446763.23321890866</v>
      </c>
      <c r="Y87" s="179">
        <f t="shared" si="16"/>
        <v>-333586.49848733848</v>
      </c>
      <c r="Z87" s="179">
        <f t="shared" si="16"/>
        <v>0</v>
      </c>
      <c r="AA87" s="179">
        <f t="shared" si="16"/>
        <v>0</v>
      </c>
      <c r="AB87" s="179">
        <f t="shared" si="16"/>
        <v>0</v>
      </c>
      <c r="AC87" s="179">
        <f>SUM(AC82:AC86)</f>
        <v>59616725.386823654</v>
      </c>
      <c r="AD87" s="179">
        <f>SUM(AD82:AD86)</f>
        <v>59616725.386823654</v>
      </c>
      <c r="AE87" s="179">
        <f>SUM(AE82:AE86)</f>
        <v>59616725.386823654</v>
      </c>
      <c r="AF87" s="179">
        <f>SUM(AF82:AF86)</f>
        <v>59616725.386823654</v>
      </c>
      <c r="AG87" s="179">
        <f>SUM(AG82:AG86)</f>
        <v>59616725.386823654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4NPV</v>
      </c>
      <c r="I106" s="31">
        <f>I87</f>
        <v>388025.57525839005</v>
      </c>
      <c r="J106" s="31">
        <f t="shared" ref="J106:AG106" si="17">J87</f>
        <v>457957.82390348701</v>
      </c>
      <c r="K106" s="31">
        <f t="shared" si="17"/>
        <v>124371.32541614852</v>
      </c>
      <c r="L106" s="31">
        <f t="shared" si="17"/>
        <v>124371.32541614852</v>
      </c>
      <c r="M106" s="31">
        <f t="shared" si="17"/>
        <v>124371.32541614852</v>
      </c>
      <c r="N106" s="31">
        <f t="shared" si="17"/>
        <v>-226353.46946314024</v>
      </c>
      <c r="O106" s="31">
        <f t="shared" si="17"/>
        <v>-226353.46946314024</v>
      </c>
      <c r="P106" s="31">
        <f t="shared" si="17"/>
        <v>-226353.46946314024</v>
      </c>
      <c r="Q106" s="31">
        <f t="shared" si="17"/>
        <v>-430093.23152660718</v>
      </c>
      <c r="R106" s="31">
        <f t="shared" si="17"/>
        <v>-430093.23152660718</v>
      </c>
      <c r="S106" s="31">
        <f t="shared" si="17"/>
        <v>-226353.46946314024</v>
      </c>
      <c r="T106" s="31">
        <f t="shared" si="17"/>
        <v>-226353.46946314024</v>
      </c>
      <c r="U106" s="31">
        <f t="shared" si="17"/>
        <v>-226353.46946314024</v>
      </c>
      <c r="V106" s="31">
        <f t="shared" si="17"/>
        <v>-226353.46946314024</v>
      </c>
      <c r="W106" s="31">
        <f t="shared" si="17"/>
        <v>-226353.46946314024</v>
      </c>
      <c r="X106" s="31">
        <f t="shared" si="17"/>
        <v>-446763.23321890866</v>
      </c>
      <c r="Y106" s="31">
        <f t="shared" si="17"/>
        <v>-333586.49848733848</v>
      </c>
      <c r="Z106" s="31">
        <f t="shared" si="17"/>
        <v>0</v>
      </c>
      <c r="AA106" s="31">
        <f t="shared" si="17"/>
        <v>0</v>
      </c>
      <c r="AB106" s="31">
        <f t="shared" si="17"/>
        <v>0</v>
      </c>
      <c r="AC106" s="31">
        <f t="shared" si="17"/>
        <v>59616725.386823654</v>
      </c>
      <c r="AD106" s="31">
        <f t="shared" si="17"/>
        <v>59616725.386823654</v>
      </c>
      <c r="AE106" s="31">
        <f t="shared" si="17"/>
        <v>59616725.386823654</v>
      </c>
      <c r="AF106" s="31">
        <f t="shared" si="17"/>
        <v>59616725.386823654</v>
      </c>
      <c r="AG106" s="31">
        <f t="shared" si="17"/>
        <v>59616725.386823654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8">J82</f>
        <v>-333586.49848733848</v>
      </c>
      <c r="K107" s="31">
        <f t="shared" si="18"/>
        <v>-667172.99697467696</v>
      </c>
      <c r="L107" s="31">
        <f t="shared" si="18"/>
        <v>-667172.99697467696</v>
      </c>
      <c r="M107" s="31">
        <f t="shared" si="18"/>
        <v>-667172.99697467696</v>
      </c>
      <c r="N107" s="31">
        <f t="shared" si="18"/>
        <v>-667172.99697467696</v>
      </c>
      <c r="O107" s="31">
        <f t="shared" si="18"/>
        <v>-667172.99697467696</v>
      </c>
      <c r="P107" s="31">
        <f t="shared" si="18"/>
        <v>-667172.99697467696</v>
      </c>
      <c r="Q107" s="31">
        <f t="shared" si="18"/>
        <v>-667172.99697467696</v>
      </c>
      <c r="R107" s="31">
        <f t="shared" si="18"/>
        <v>-667172.99697467696</v>
      </c>
      <c r="S107" s="31">
        <f t="shared" si="18"/>
        <v>-667172.99697467696</v>
      </c>
      <c r="T107" s="31">
        <f t="shared" si="18"/>
        <v>-667172.99697467696</v>
      </c>
      <c r="U107" s="31">
        <f t="shared" si="18"/>
        <v>-667172.99697467696</v>
      </c>
      <c r="V107" s="31">
        <f t="shared" si="18"/>
        <v>-667172.99697467696</v>
      </c>
      <c r="W107" s="31">
        <f t="shared" si="18"/>
        <v>-667172.99697467696</v>
      </c>
      <c r="X107" s="31">
        <f t="shared" si="18"/>
        <v>-667172.99697467696</v>
      </c>
      <c r="Y107" s="31">
        <f t="shared" si="18"/>
        <v>-333586.49848733848</v>
      </c>
      <c r="Z107" s="31">
        <f t="shared" si="18"/>
        <v>0</v>
      </c>
      <c r="AA107" s="31">
        <f t="shared" si="18"/>
        <v>0</v>
      </c>
      <c r="AB107" s="31">
        <f t="shared" si="18"/>
        <v>0</v>
      </c>
      <c r="AC107" s="31">
        <f t="shared" si="18"/>
        <v>0</v>
      </c>
      <c r="AD107" s="31">
        <f t="shared" si="18"/>
        <v>0</v>
      </c>
      <c r="AE107" s="31">
        <f t="shared" si="18"/>
        <v>0</v>
      </c>
      <c r="AF107" s="31">
        <f t="shared" si="18"/>
        <v>0</v>
      </c>
      <c r="AG107" s="31">
        <f t="shared" si="18"/>
        <v>0</v>
      </c>
    </row>
    <row r="108" spans="1:43" x14ac:dyDescent="0.2">
      <c r="C108" s="1" t="s">
        <v>239</v>
      </c>
      <c r="D108"/>
      <c r="E108"/>
      <c r="F108"/>
      <c r="G108"/>
      <c r="I108" s="31">
        <f>SUM(I84:I85)</f>
        <v>403518.74713243544</v>
      </c>
      <c r="J108" s="31">
        <f t="shared" ref="J108:AG108" si="19">SUM(J84:J85)</f>
        <v>807037.49426487088</v>
      </c>
      <c r="K108" s="31">
        <f t="shared" si="19"/>
        <v>807037.49426487088</v>
      </c>
      <c r="L108" s="31">
        <f t="shared" si="19"/>
        <v>807037.49426487088</v>
      </c>
      <c r="M108" s="31">
        <f t="shared" si="19"/>
        <v>807037.49426487088</v>
      </c>
      <c r="N108" s="31">
        <f t="shared" si="19"/>
        <v>807037.49426487088</v>
      </c>
      <c r="O108" s="31">
        <f t="shared" si="19"/>
        <v>807037.49426487088</v>
      </c>
      <c r="P108" s="31">
        <f t="shared" si="19"/>
        <v>807037.49426487088</v>
      </c>
      <c r="Q108" s="31">
        <f t="shared" si="19"/>
        <v>807037.49426487088</v>
      </c>
      <c r="R108" s="31">
        <f t="shared" si="19"/>
        <v>807037.49426487088</v>
      </c>
      <c r="S108" s="31">
        <f t="shared" si="19"/>
        <v>807037.49426487088</v>
      </c>
      <c r="T108" s="31">
        <f t="shared" si="19"/>
        <v>807037.49426487088</v>
      </c>
      <c r="U108" s="31">
        <f t="shared" si="19"/>
        <v>807037.49426487088</v>
      </c>
      <c r="V108" s="31">
        <f t="shared" si="19"/>
        <v>807037.49426487088</v>
      </c>
      <c r="W108" s="31">
        <f t="shared" si="19"/>
        <v>807037.49426487088</v>
      </c>
      <c r="X108" s="31">
        <f t="shared" si="19"/>
        <v>403518.74713243544</v>
      </c>
      <c r="Y108" s="31">
        <f t="shared" si="19"/>
        <v>0</v>
      </c>
      <c r="Z108" s="31">
        <f t="shared" si="19"/>
        <v>0</v>
      </c>
      <c r="AA108" s="31">
        <f t="shared" si="19"/>
        <v>0</v>
      </c>
      <c r="AB108" s="31">
        <f t="shared" si="19"/>
        <v>0</v>
      </c>
      <c r="AC108" s="31">
        <f t="shared" si="19"/>
        <v>59616725.386823654</v>
      </c>
      <c r="AD108" s="31">
        <f t="shared" si="19"/>
        <v>59616725.386823654</v>
      </c>
      <c r="AE108" s="31">
        <f t="shared" si="19"/>
        <v>59616725.386823654</v>
      </c>
      <c r="AF108" s="31">
        <f t="shared" si="19"/>
        <v>59616725.386823654</v>
      </c>
      <c r="AG108" s="31">
        <f t="shared" si="19"/>
        <v>59616725.386823654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388025.57525839005</v>
      </c>
      <c r="J110" s="31" cm="1">
        <f t="array" ref="J110">J$106+IF($C110&lt;&gt;0,SUMPRODUCT((J$107:J$108)*TRANSPOSE(($D110:$E110))),0)</f>
        <v>424599.17405475315</v>
      </c>
      <c r="K110" s="31" cm="1">
        <f t="array" ref="K110">K$106+IF($C110&lt;&gt;0,SUMPRODUCT((K$107:K$108)*TRANSPOSE(($D110:$E110))),0)</f>
        <v>57654.02571868083</v>
      </c>
      <c r="L110" s="31" cm="1">
        <f t="array" ref="L110">L$106+IF($C110&lt;&gt;0,SUMPRODUCT((L$107:L$108)*TRANSPOSE(($D110:$E110))),0)</f>
        <v>57654.02571868083</v>
      </c>
      <c r="M110" s="31" cm="1">
        <f t="array" ref="M110">M$106+IF($C110&lt;&gt;0,SUMPRODUCT((M$107:M$108)*TRANSPOSE(($D110:$E110))),0)</f>
        <v>57654.02571868083</v>
      </c>
      <c r="N110" s="31" cm="1">
        <f t="array" ref="N110">N$106+IF($C110&lt;&gt;0,SUMPRODUCT((N$107:N$108)*TRANSPOSE(($D110:$E110))),0)</f>
        <v>-293070.76916060795</v>
      </c>
      <c r="O110" s="31" cm="1">
        <f t="array" ref="O110">O$106+IF($C110&lt;&gt;0,SUMPRODUCT((O$107:O$108)*TRANSPOSE(($D110:$E110))),0)</f>
        <v>-293070.76916060795</v>
      </c>
      <c r="P110" s="31" cm="1">
        <f t="array" ref="P110">P$106+IF($C110&lt;&gt;0,SUMPRODUCT((P$107:P$108)*TRANSPOSE(($D110:$E110))),0)</f>
        <v>-293070.76916060795</v>
      </c>
      <c r="Q110" s="31" cm="1">
        <f t="array" ref="Q110">Q$106+IF($C110&lt;&gt;0,SUMPRODUCT((Q$107:Q$108)*TRANSPOSE(($D110:$E110))),0)</f>
        <v>-496810.53122407489</v>
      </c>
      <c r="R110" s="31" cm="1">
        <f t="array" ref="R110">R$106+IF($C110&lt;&gt;0,SUMPRODUCT((R$107:R$108)*TRANSPOSE(($D110:$E110))),0)</f>
        <v>-496810.53122407489</v>
      </c>
      <c r="S110" s="31" cm="1">
        <f t="array" ref="S110">S$106+IF($C110&lt;&gt;0,SUMPRODUCT((S$107:S$108)*TRANSPOSE(($D110:$E110))),0)</f>
        <v>-293070.76916060795</v>
      </c>
      <c r="T110" s="31" cm="1">
        <f t="array" ref="T110">T$106+IF($C110&lt;&gt;0,SUMPRODUCT((T$107:T$108)*TRANSPOSE(($D110:$E110))),0)</f>
        <v>-293070.76916060795</v>
      </c>
      <c r="U110" s="31" cm="1">
        <f t="array" ref="U110">U$106+IF($C110&lt;&gt;0,SUMPRODUCT((U$107:U$108)*TRANSPOSE(($D110:$E110))),0)</f>
        <v>-293070.76916060795</v>
      </c>
      <c r="V110" s="31" cm="1">
        <f t="array" ref="V110">V$106+IF($C110&lt;&gt;0,SUMPRODUCT((V$107:V$108)*TRANSPOSE(($D110:$E110))),0)</f>
        <v>-293070.76916060795</v>
      </c>
      <c r="W110" s="31" cm="1">
        <f t="array" ref="W110">W$106+IF($C110&lt;&gt;0,SUMPRODUCT((W$107:W$108)*TRANSPOSE(($D110:$E110))),0)</f>
        <v>-293070.76916060795</v>
      </c>
      <c r="X110" s="31" cm="1">
        <f t="array" ref="X110">X$106+IF($C110&lt;&gt;0,SUMPRODUCT((X$107:X$108)*TRANSPOSE(($D110:$E110))),0)</f>
        <v>-513480.53291637637</v>
      </c>
      <c r="Y110" s="31" cm="1">
        <f t="array" ref="Y110">Y$106+IF($C110&lt;&gt;0,SUMPRODUCT((Y$107:Y$108)*TRANSPOSE(($D110:$E110))),0)</f>
        <v>-366945.14833607234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59616725.386823654</v>
      </c>
      <c r="AD110" s="31" cm="1">
        <f t="array" ref="AD110">AD$106+IF($C110&lt;&gt;0,SUMPRODUCT((AD$107:AD$108)*TRANSPOSE(($D110:$E110))),0)</f>
        <v>59616725.386823654</v>
      </c>
      <c r="AE110" s="31" cm="1">
        <f t="array" ref="AE110">AE$106+IF($C110&lt;&gt;0,SUMPRODUCT((AE$107:AE$108)*TRANSPOSE(($D110:$E110))),0)</f>
        <v>59616725.386823654</v>
      </c>
      <c r="AF110" s="31" cm="1">
        <f t="array" ref="AF110">AF$106+IF($C110&lt;&gt;0,SUMPRODUCT((AF$107:AF$108)*TRANSPOSE(($D110:$E110))),0)</f>
        <v>59616725.386823654</v>
      </c>
      <c r="AG110" s="31" cm="1">
        <f t="array" ref="AG110">AG$106+IF($C110&lt;&gt;0,SUMPRODUCT((AG$107:AG$108)*TRANSPOSE(($D110:$E110))),0)</f>
        <v>59616725.386823654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4sens2</v>
      </c>
      <c r="I111" s="31" cm="1">
        <f t="array" ref="I111">I$106+IF($C111&lt;&gt;0,SUMPRODUCT((I$107:I$108)*TRANSPOSE(($D111:$E111))),0)</f>
        <v>388025.57525839005</v>
      </c>
      <c r="J111" s="31" cm="1">
        <f t="array" ref="J111">J$106+IF($C111&lt;&gt;0,SUMPRODUCT((J$107:J$108)*TRANSPOSE(($D111:$E111))),0)</f>
        <v>491316.47375222086</v>
      </c>
      <c r="K111" s="31" cm="1">
        <f t="array" ref="K111">K$106+IF($C111&lt;&gt;0,SUMPRODUCT((K$107:K$108)*TRANSPOSE(($D111:$E111))),0)</f>
        <v>191088.62511361623</v>
      </c>
      <c r="L111" s="31" cm="1">
        <f t="array" ref="L111">L$106+IF($C111&lt;&gt;0,SUMPRODUCT((L$107:L$108)*TRANSPOSE(($D111:$E111))),0)</f>
        <v>191088.62511361623</v>
      </c>
      <c r="M111" s="31" cm="1">
        <f t="array" ref="M111">M$106+IF($C111&lt;&gt;0,SUMPRODUCT((M$107:M$108)*TRANSPOSE(($D111:$E111))),0)</f>
        <v>191088.62511361623</v>
      </c>
      <c r="N111" s="31" cm="1">
        <f t="array" ref="N111">N$106+IF($C111&lt;&gt;0,SUMPRODUCT((N$107:N$108)*TRANSPOSE(($D111:$E111))),0)</f>
        <v>-159636.16976567253</v>
      </c>
      <c r="O111" s="31" cm="1">
        <f t="array" ref="O111">O$106+IF($C111&lt;&gt;0,SUMPRODUCT((O$107:O$108)*TRANSPOSE(($D111:$E111))),0)</f>
        <v>-159636.16976567253</v>
      </c>
      <c r="P111" s="31" cm="1">
        <f t="array" ref="P111">P$106+IF($C111&lt;&gt;0,SUMPRODUCT((P$107:P$108)*TRANSPOSE(($D111:$E111))),0)</f>
        <v>-159636.16976567253</v>
      </c>
      <c r="Q111" s="31" cm="1">
        <f t="array" ref="Q111">Q$106+IF($C111&lt;&gt;0,SUMPRODUCT((Q$107:Q$108)*TRANSPOSE(($D111:$E111))),0)</f>
        <v>-363375.93182913947</v>
      </c>
      <c r="R111" s="31" cm="1">
        <f t="array" ref="R111">R$106+IF($C111&lt;&gt;0,SUMPRODUCT((R$107:R$108)*TRANSPOSE(($D111:$E111))),0)</f>
        <v>-363375.93182913947</v>
      </c>
      <c r="S111" s="31" cm="1">
        <f t="array" ref="S111">S$106+IF($C111&lt;&gt;0,SUMPRODUCT((S$107:S$108)*TRANSPOSE(($D111:$E111))),0)</f>
        <v>-159636.16976567253</v>
      </c>
      <c r="T111" s="31" cm="1">
        <f t="array" ref="T111">T$106+IF($C111&lt;&gt;0,SUMPRODUCT((T$107:T$108)*TRANSPOSE(($D111:$E111))),0)</f>
        <v>-159636.16976567253</v>
      </c>
      <c r="U111" s="31" cm="1">
        <f t="array" ref="U111">U$106+IF($C111&lt;&gt;0,SUMPRODUCT((U$107:U$108)*TRANSPOSE(($D111:$E111))),0)</f>
        <v>-159636.16976567253</v>
      </c>
      <c r="V111" s="31" cm="1">
        <f t="array" ref="V111">V$106+IF($C111&lt;&gt;0,SUMPRODUCT((V$107:V$108)*TRANSPOSE(($D111:$E111))),0)</f>
        <v>-159636.16976567253</v>
      </c>
      <c r="W111" s="31" cm="1">
        <f t="array" ref="W111">W$106+IF($C111&lt;&gt;0,SUMPRODUCT((W$107:W$108)*TRANSPOSE(($D111:$E111))),0)</f>
        <v>-159636.16976567253</v>
      </c>
      <c r="X111" s="31" cm="1">
        <f t="array" ref="X111">X$106+IF($C111&lt;&gt;0,SUMPRODUCT((X$107:X$108)*TRANSPOSE(($D111:$E111))),0)</f>
        <v>-380045.93352144095</v>
      </c>
      <c r="Y111" s="31" cm="1">
        <f t="array" ref="Y111">Y$106+IF($C111&lt;&gt;0,SUMPRODUCT((Y$107:Y$108)*TRANSPOSE(($D111:$E111))),0)</f>
        <v>-300227.84863860463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59616725.386823654</v>
      </c>
      <c r="AD111" s="31" cm="1">
        <f t="array" ref="AD111">AD$106+IF($C111&lt;&gt;0,SUMPRODUCT((AD$107:AD$108)*TRANSPOSE(($D111:$E111))),0)</f>
        <v>59616725.386823654</v>
      </c>
      <c r="AE111" s="31" cm="1">
        <f t="array" ref="AE111">AE$106+IF($C111&lt;&gt;0,SUMPRODUCT((AE$107:AE$108)*TRANSPOSE(($D111:$E111))),0)</f>
        <v>59616725.386823654</v>
      </c>
      <c r="AF111" s="31" cm="1">
        <f t="array" ref="AF111">AF$106+IF($C111&lt;&gt;0,SUMPRODUCT((AF$107:AF$108)*TRANSPOSE(($D111:$E111))),0)</f>
        <v>59616725.386823654</v>
      </c>
      <c r="AG111" s="31" cm="1">
        <f t="array" ref="AG111">AG$106+IF($C111&lt;&gt;0,SUMPRODUCT((AG$107:AG$108)*TRANSPOSE(($D111:$E111))),0)</f>
        <v>59616725.386823654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4sens3</v>
      </c>
      <c r="I112" s="31" cm="1">
        <f t="array" ref="I112">I$106+IF($C112&lt;&gt;0,SUMPRODUCT((I$107:I$108)*TRANSPOSE(($D112:$E112))),0)</f>
        <v>428377.44997163361</v>
      </c>
      <c r="J112" s="31" cm="1">
        <f t="array" ref="J112">J$106+IF($C112&lt;&gt;0,SUMPRODUCT((J$107:J$108)*TRANSPOSE(($D112:$E112))),0)</f>
        <v>538661.57332997408</v>
      </c>
      <c r="K112" s="31" cm="1">
        <f t="array" ref="K112">K$106+IF($C112&lt;&gt;0,SUMPRODUCT((K$107:K$108)*TRANSPOSE(($D112:$E112))),0)</f>
        <v>205075.0748426356</v>
      </c>
      <c r="L112" s="31" cm="1">
        <f t="array" ref="L112">L$106+IF($C112&lt;&gt;0,SUMPRODUCT((L$107:L$108)*TRANSPOSE(($D112:$E112))),0)</f>
        <v>205075.0748426356</v>
      </c>
      <c r="M112" s="31" cm="1">
        <f t="array" ref="M112">M$106+IF($C112&lt;&gt;0,SUMPRODUCT((M$107:M$108)*TRANSPOSE(($D112:$E112))),0)</f>
        <v>205075.0748426356</v>
      </c>
      <c r="N112" s="31" cm="1">
        <f t="array" ref="N112">N$106+IF($C112&lt;&gt;0,SUMPRODUCT((N$107:N$108)*TRANSPOSE(($D112:$E112))),0)</f>
        <v>-145649.72003665316</v>
      </c>
      <c r="O112" s="31" cm="1">
        <f t="array" ref="O112">O$106+IF($C112&lt;&gt;0,SUMPRODUCT((O$107:O$108)*TRANSPOSE(($D112:$E112))),0)</f>
        <v>-145649.72003665316</v>
      </c>
      <c r="P112" s="31" cm="1">
        <f t="array" ref="P112">P$106+IF($C112&lt;&gt;0,SUMPRODUCT((P$107:P$108)*TRANSPOSE(($D112:$E112))),0)</f>
        <v>-145649.72003665316</v>
      </c>
      <c r="Q112" s="31" cm="1">
        <f t="array" ref="Q112">Q$106+IF($C112&lt;&gt;0,SUMPRODUCT((Q$107:Q$108)*TRANSPOSE(($D112:$E112))),0)</f>
        <v>-349389.48210012011</v>
      </c>
      <c r="R112" s="31" cm="1">
        <f t="array" ref="R112">R$106+IF($C112&lt;&gt;0,SUMPRODUCT((R$107:R$108)*TRANSPOSE(($D112:$E112))),0)</f>
        <v>-349389.48210012011</v>
      </c>
      <c r="S112" s="31" cm="1">
        <f t="array" ref="S112">S$106+IF($C112&lt;&gt;0,SUMPRODUCT((S$107:S$108)*TRANSPOSE(($D112:$E112))),0)</f>
        <v>-145649.72003665316</v>
      </c>
      <c r="T112" s="31" cm="1">
        <f t="array" ref="T112">T$106+IF($C112&lt;&gt;0,SUMPRODUCT((T$107:T$108)*TRANSPOSE(($D112:$E112))),0)</f>
        <v>-145649.72003665316</v>
      </c>
      <c r="U112" s="31" cm="1">
        <f t="array" ref="U112">U$106+IF($C112&lt;&gt;0,SUMPRODUCT((U$107:U$108)*TRANSPOSE(($D112:$E112))),0)</f>
        <v>-145649.72003665316</v>
      </c>
      <c r="V112" s="31" cm="1">
        <f t="array" ref="V112">V$106+IF($C112&lt;&gt;0,SUMPRODUCT((V$107:V$108)*TRANSPOSE(($D112:$E112))),0)</f>
        <v>-145649.72003665316</v>
      </c>
      <c r="W112" s="31" cm="1">
        <f t="array" ref="W112">W$106+IF($C112&lt;&gt;0,SUMPRODUCT((W$107:W$108)*TRANSPOSE(($D112:$E112))),0)</f>
        <v>-145649.72003665316</v>
      </c>
      <c r="X112" s="31" cm="1">
        <f t="array" ref="X112">X$106+IF($C112&lt;&gt;0,SUMPRODUCT((X$107:X$108)*TRANSPOSE(($D112:$E112))),0)</f>
        <v>-406411.35850566509</v>
      </c>
      <c r="Y112" s="31" cm="1">
        <f t="array" ref="Y112">Y$106+IF($C112&lt;&gt;0,SUMPRODUCT((Y$107:Y$108)*TRANSPOSE(($D112:$E112))),0)</f>
        <v>-333586.49848733848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65578397.925506018</v>
      </c>
      <c r="AD112" s="31" cm="1">
        <f t="array" ref="AD112">AD$106+IF($C112&lt;&gt;0,SUMPRODUCT((AD$107:AD$108)*TRANSPOSE(($D112:$E112))),0)</f>
        <v>65578397.925506018</v>
      </c>
      <c r="AE112" s="31" cm="1">
        <f t="array" ref="AE112">AE$106+IF($C112&lt;&gt;0,SUMPRODUCT((AE$107:AE$108)*TRANSPOSE(($D112:$E112))),0)</f>
        <v>65578397.925506018</v>
      </c>
      <c r="AF112" s="31" cm="1">
        <f t="array" ref="AF112">AF$106+IF($C112&lt;&gt;0,SUMPRODUCT((AF$107:AF$108)*TRANSPOSE(($D112:$E112))),0)</f>
        <v>65578397.925506018</v>
      </c>
      <c r="AG112" s="31" cm="1">
        <f t="array" ref="AG112">AG$106+IF($C112&lt;&gt;0,SUMPRODUCT((AG$107:AG$108)*TRANSPOSE(($D112:$E112))),0)</f>
        <v>65578397.925506018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4sens4</v>
      </c>
      <c r="I113" s="31" cm="1">
        <f t="array" ref="I113">I$106+IF($C113&lt;&gt;0,SUMPRODUCT((I$107:I$108)*TRANSPOSE(($D113:$E113))),0)</f>
        <v>347673.70054514648</v>
      </c>
      <c r="J113" s="31" cm="1">
        <f t="array" ref="J113">J$106+IF($C113&lt;&gt;0,SUMPRODUCT((J$107:J$108)*TRANSPOSE(($D113:$E113))),0)</f>
        <v>377254.07447699993</v>
      </c>
      <c r="K113" s="31" cm="1">
        <f t="array" ref="K113">K$106+IF($C113&lt;&gt;0,SUMPRODUCT((K$107:K$108)*TRANSPOSE(($D113:$E113))),0)</f>
        <v>43667.575989661433</v>
      </c>
      <c r="L113" s="31" cm="1">
        <f t="array" ref="L113">L$106+IF($C113&lt;&gt;0,SUMPRODUCT((L$107:L$108)*TRANSPOSE(($D113:$E113))),0)</f>
        <v>43667.575989661433</v>
      </c>
      <c r="M113" s="31" cm="1">
        <f t="array" ref="M113">M$106+IF($C113&lt;&gt;0,SUMPRODUCT((M$107:M$108)*TRANSPOSE(($D113:$E113))),0)</f>
        <v>43667.575989661433</v>
      </c>
      <c r="N113" s="31" cm="1">
        <f t="array" ref="N113">N$106+IF($C113&lt;&gt;0,SUMPRODUCT((N$107:N$108)*TRANSPOSE(($D113:$E113))),0)</f>
        <v>-307057.21888962731</v>
      </c>
      <c r="O113" s="31" cm="1">
        <f t="array" ref="O113">O$106+IF($C113&lt;&gt;0,SUMPRODUCT((O$107:O$108)*TRANSPOSE(($D113:$E113))),0)</f>
        <v>-307057.21888962731</v>
      </c>
      <c r="P113" s="31" cm="1">
        <f t="array" ref="P113">P$106+IF($C113&lt;&gt;0,SUMPRODUCT((P$107:P$108)*TRANSPOSE(($D113:$E113))),0)</f>
        <v>-307057.21888962731</v>
      </c>
      <c r="Q113" s="31" cm="1">
        <f t="array" ref="Q113">Q$106+IF($C113&lt;&gt;0,SUMPRODUCT((Q$107:Q$108)*TRANSPOSE(($D113:$E113))),0)</f>
        <v>-510796.98095309426</v>
      </c>
      <c r="R113" s="31" cm="1">
        <f t="array" ref="R113">R$106+IF($C113&lt;&gt;0,SUMPRODUCT((R$107:R$108)*TRANSPOSE(($D113:$E113))),0)</f>
        <v>-510796.98095309426</v>
      </c>
      <c r="S113" s="31" cm="1">
        <f t="array" ref="S113">S$106+IF($C113&lt;&gt;0,SUMPRODUCT((S$107:S$108)*TRANSPOSE(($D113:$E113))),0)</f>
        <v>-307057.21888962731</v>
      </c>
      <c r="T113" s="31" cm="1">
        <f t="array" ref="T113">T$106+IF($C113&lt;&gt;0,SUMPRODUCT((T$107:T$108)*TRANSPOSE(($D113:$E113))),0)</f>
        <v>-307057.21888962731</v>
      </c>
      <c r="U113" s="31" cm="1">
        <f t="array" ref="U113">U$106+IF($C113&lt;&gt;0,SUMPRODUCT((U$107:U$108)*TRANSPOSE(($D113:$E113))),0)</f>
        <v>-307057.21888962731</v>
      </c>
      <c r="V113" s="31" cm="1">
        <f t="array" ref="V113">V$106+IF($C113&lt;&gt;0,SUMPRODUCT((V$107:V$108)*TRANSPOSE(($D113:$E113))),0)</f>
        <v>-307057.21888962731</v>
      </c>
      <c r="W113" s="31" cm="1">
        <f t="array" ref="W113">W$106+IF($C113&lt;&gt;0,SUMPRODUCT((W$107:W$108)*TRANSPOSE(($D113:$E113))),0)</f>
        <v>-307057.21888962731</v>
      </c>
      <c r="X113" s="31" cm="1">
        <f t="array" ref="X113">X$106+IF($C113&lt;&gt;0,SUMPRODUCT((X$107:X$108)*TRANSPOSE(($D113:$E113))),0)</f>
        <v>-487115.10793215223</v>
      </c>
      <c r="Y113" s="31" cm="1">
        <f t="array" ref="Y113">Y$106+IF($C113&lt;&gt;0,SUMPRODUCT((Y$107:Y$108)*TRANSPOSE(($D113:$E113))),0)</f>
        <v>-333586.49848733848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53655052.84814129</v>
      </c>
      <c r="AD113" s="31" cm="1">
        <f t="array" ref="AD113">AD$106+IF($C113&lt;&gt;0,SUMPRODUCT((AD$107:AD$108)*TRANSPOSE(($D113:$E113))),0)</f>
        <v>53655052.84814129</v>
      </c>
      <c r="AE113" s="31" cm="1">
        <f t="array" ref="AE113">AE$106+IF($C113&lt;&gt;0,SUMPRODUCT((AE$107:AE$108)*TRANSPOSE(($D113:$E113))),0)</f>
        <v>53655052.84814129</v>
      </c>
      <c r="AF113" s="31" cm="1">
        <f t="array" ref="AF113">AF$106+IF($C113&lt;&gt;0,SUMPRODUCT((AF$107:AF$108)*TRANSPOSE(($D113:$E113))),0)</f>
        <v>53655052.84814129</v>
      </c>
      <c r="AG113" s="31" cm="1">
        <f t="array" ref="AG113">AG$106+IF($C113&lt;&gt;0,SUMPRODUCT((AG$107:AG$108)*TRANSPOSE(($D113:$E113))),0)</f>
        <v>53655052.84814129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4sens5</v>
      </c>
      <c r="I114" s="31" cm="1">
        <f t="array" ref="I114">I$106+IF($C114&lt;&gt;0,SUMPRODUCT((I$107:I$108)*TRANSPOSE(($D114:$E114))),0)</f>
        <v>347673.70054514648</v>
      </c>
      <c r="J114" s="31" cm="1">
        <f t="array" ref="J114">J$106+IF($C114&lt;&gt;0,SUMPRODUCT((J$107:J$108)*TRANSPOSE(($D114:$E114))),0)</f>
        <v>343895.42462826608</v>
      </c>
      <c r="K114" s="31" cm="1">
        <f t="array" ref="K114">K$106+IF($C114&lt;&gt;0,SUMPRODUCT((K$107:K$108)*TRANSPOSE(($D114:$E114))),0)</f>
        <v>-23049.723707806261</v>
      </c>
      <c r="L114" s="31" cm="1">
        <f t="array" ref="L114">L$106+IF($C114&lt;&gt;0,SUMPRODUCT((L$107:L$108)*TRANSPOSE(($D114:$E114))),0)</f>
        <v>-23049.723707806261</v>
      </c>
      <c r="M114" s="31" cm="1">
        <f t="array" ref="M114">M$106+IF($C114&lt;&gt;0,SUMPRODUCT((M$107:M$108)*TRANSPOSE(($D114:$E114))),0)</f>
        <v>-23049.723707806261</v>
      </c>
      <c r="N114" s="31" cm="1">
        <f t="array" ref="N114">N$106+IF($C114&lt;&gt;0,SUMPRODUCT((N$107:N$108)*TRANSPOSE(($D114:$E114))),0)</f>
        <v>-373774.51858709502</v>
      </c>
      <c r="O114" s="31" cm="1">
        <f t="array" ref="O114">O$106+IF($C114&lt;&gt;0,SUMPRODUCT((O$107:O$108)*TRANSPOSE(($D114:$E114))),0)</f>
        <v>-373774.51858709502</v>
      </c>
      <c r="P114" s="31" cm="1">
        <f t="array" ref="P114">P$106+IF($C114&lt;&gt;0,SUMPRODUCT((P$107:P$108)*TRANSPOSE(($D114:$E114))),0)</f>
        <v>-373774.51858709502</v>
      </c>
      <c r="Q114" s="31" cm="1">
        <f t="array" ref="Q114">Q$106+IF($C114&lt;&gt;0,SUMPRODUCT((Q$107:Q$108)*TRANSPOSE(($D114:$E114))),0)</f>
        <v>-577514.28065056191</v>
      </c>
      <c r="R114" s="31" cm="1">
        <f t="array" ref="R114">R$106+IF($C114&lt;&gt;0,SUMPRODUCT((R$107:R$108)*TRANSPOSE(($D114:$E114))),0)</f>
        <v>-577514.28065056191</v>
      </c>
      <c r="S114" s="31" cm="1">
        <f t="array" ref="S114">S$106+IF($C114&lt;&gt;0,SUMPRODUCT((S$107:S$108)*TRANSPOSE(($D114:$E114))),0)</f>
        <v>-373774.51858709502</v>
      </c>
      <c r="T114" s="31" cm="1">
        <f t="array" ref="T114">T$106+IF($C114&lt;&gt;0,SUMPRODUCT((T$107:T$108)*TRANSPOSE(($D114:$E114))),0)</f>
        <v>-373774.51858709502</v>
      </c>
      <c r="U114" s="31" cm="1">
        <f t="array" ref="U114">U$106+IF($C114&lt;&gt;0,SUMPRODUCT((U$107:U$108)*TRANSPOSE(($D114:$E114))),0)</f>
        <v>-373774.51858709502</v>
      </c>
      <c r="V114" s="31" cm="1">
        <f t="array" ref="V114">V$106+IF($C114&lt;&gt;0,SUMPRODUCT((V$107:V$108)*TRANSPOSE(($D114:$E114))),0)</f>
        <v>-373774.51858709502</v>
      </c>
      <c r="W114" s="31" cm="1">
        <f t="array" ref="W114">W$106+IF($C114&lt;&gt;0,SUMPRODUCT((W$107:W$108)*TRANSPOSE(($D114:$E114))),0)</f>
        <v>-373774.51858709502</v>
      </c>
      <c r="X114" s="31" cm="1">
        <f t="array" ref="X114">X$106+IF($C114&lt;&gt;0,SUMPRODUCT((X$107:X$108)*TRANSPOSE(($D114:$E114))),0)</f>
        <v>-553832.40762961993</v>
      </c>
      <c r="Y114" s="31" cm="1">
        <f t="array" ref="Y114">Y$106+IF($C114&lt;&gt;0,SUMPRODUCT((Y$107:Y$108)*TRANSPOSE(($D114:$E114))),0)</f>
        <v>-366945.14833607234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53655052.84814129</v>
      </c>
      <c r="AD114" s="31" cm="1">
        <f t="array" ref="AD114">AD$106+IF($C114&lt;&gt;0,SUMPRODUCT((AD$107:AD$108)*TRANSPOSE(($D114:$E114))),0)</f>
        <v>53655052.84814129</v>
      </c>
      <c r="AE114" s="31" cm="1">
        <f t="array" ref="AE114">AE$106+IF($C114&lt;&gt;0,SUMPRODUCT((AE$107:AE$108)*TRANSPOSE(($D114:$E114))),0)</f>
        <v>53655052.84814129</v>
      </c>
      <c r="AF114" s="31" cm="1">
        <f t="array" ref="AF114">AF$106+IF($C114&lt;&gt;0,SUMPRODUCT((AF$107:AF$108)*TRANSPOSE(($D114:$E114))),0)</f>
        <v>53655052.84814129</v>
      </c>
      <c r="AG114" s="31" cm="1">
        <f t="array" ref="AG114">AG$106+IF($C114&lt;&gt;0,SUMPRODUCT((AG$107:AG$108)*TRANSPOSE(($D114:$E114))),0)</f>
        <v>53655052.84814129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4sens</v>
      </c>
      <c r="I115" s="31" cm="1">
        <f t="array" ref="I115">I$106+IF($C115&lt;&gt;0,SUMPRODUCT((I$107:I$108)*TRANSPOSE(($D115:$E115))),0)</f>
        <v>388025.57525839005</v>
      </c>
      <c r="J115" s="31" cm="1">
        <f t="array" ref="J115">J$106+IF($C115&lt;&gt;0,SUMPRODUCT((J$107:J$108)*TRANSPOSE(($D115:$E115))),0)</f>
        <v>457957.82390348701</v>
      </c>
      <c r="K115" s="31" cm="1">
        <f t="array" ref="K115">K$106+IF($C115&lt;&gt;0,SUMPRODUCT((K$107:K$108)*TRANSPOSE(($D115:$E115))),0)</f>
        <v>124371.32541614852</v>
      </c>
      <c r="L115" s="31" cm="1">
        <f t="array" ref="L115">L$106+IF($C115&lt;&gt;0,SUMPRODUCT((L$107:L$108)*TRANSPOSE(($D115:$E115))),0)</f>
        <v>124371.32541614852</v>
      </c>
      <c r="M115" s="31" cm="1">
        <f t="array" ref="M115">M$106+IF($C115&lt;&gt;0,SUMPRODUCT((M$107:M$108)*TRANSPOSE(($D115:$E115))),0)</f>
        <v>124371.32541614852</v>
      </c>
      <c r="N115" s="31" cm="1">
        <f t="array" ref="N115">N$106+IF($C115&lt;&gt;0,SUMPRODUCT((N$107:N$108)*TRANSPOSE(($D115:$E115))),0)</f>
        <v>-226353.46946314024</v>
      </c>
      <c r="O115" s="31" cm="1">
        <f t="array" ref="O115">O$106+IF($C115&lt;&gt;0,SUMPRODUCT((O$107:O$108)*TRANSPOSE(($D115:$E115))),0)</f>
        <v>-226353.46946314024</v>
      </c>
      <c r="P115" s="31" cm="1">
        <f t="array" ref="P115">P$106+IF($C115&lt;&gt;0,SUMPRODUCT((P$107:P$108)*TRANSPOSE(($D115:$E115))),0)</f>
        <v>-226353.46946314024</v>
      </c>
      <c r="Q115" s="31" cm="1">
        <f t="array" ref="Q115">Q$106+IF($C115&lt;&gt;0,SUMPRODUCT((Q$107:Q$108)*TRANSPOSE(($D115:$E115))),0)</f>
        <v>-430093.23152660718</v>
      </c>
      <c r="R115" s="31" cm="1">
        <f t="array" ref="R115">R$106+IF($C115&lt;&gt;0,SUMPRODUCT((R$107:R$108)*TRANSPOSE(($D115:$E115))),0)</f>
        <v>-430093.23152660718</v>
      </c>
      <c r="S115" s="31" cm="1">
        <f t="array" ref="S115">S$106+IF($C115&lt;&gt;0,SUMPRODUCT((S$107:S$108)*TRANSPOSE(($D115:$E115))),0)</f>
        <v>-226353.46946314024</v>
      </c>
      <c r="T115" s="31" cm="1">
        <f t="array" ref="T115">T$106+IF($C115&lt;&gt;0,SUMPRODUCT((T$107:T$108)*TRANSPOSE(($D115:$E115))),0)</f>
        <v>-226353.46946314024</v>
      </c>
      <c r="U115" s="31" cm="1">
        <f t="array" ref="U115">U$106+IF($C115&lt;&gt;0,SUMPRODUCT((U$107:U$108)*TRANSPOSE(($D115:$E115))),0)</f>
        <v>-226353.46946314024</v>
      </c>
      <c r="V115" s="31" cm="1">
        <f t="array" ref="V115">V$106+IF($C115&lt;&gt;0,SUMPRODUCT((V$107:V$108)*TRANSPOSE(($D115:$E115))),0)</f>
        <v>-226353.46946314024</v>
      </c>
      <c r="W115" s="31" cm="1">
        <f t="array" ref="W115">W$106+IF($C115&lt;&gt;0,SUMPRODUCT((W$107:W$108)*TRANSPOSE(($D115:$E115))),0)</f>
        <v>-226353.46946314024</v>
      </c>
      <c r="X115" s="31" cm="1">
        <f t="array" ref="X115">X$106+IF($C115&lt;&gt;0,SUMPRODUCT((X$107:X$108)*TRANSPOSE(($D115:$E115))),0)</f>
        <v>-446763.23321890866</v>
      </c>
      <c r="Y115" s="31" cm="1">
        <f t="array" ref="Y115">Y$106+IF($C115&lt;&gt;0,SUMPRODUCT((Y$107:Y$108)*TRANSPOSE(($D115:$E115))),0)</f>
        <v>-333586.49848733848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59616725.386823654</v>
      </c>
      <c r="AD115" s="31" cm="1">
        <f t="array" ref="AD115">AD$106+IF($C115&lt;&gt;0,SUMPRODUCT((AD$107:AD$108)*TRANSPOSE(($D115:$E115))),0)</f>
        <v>59616725.386823654</v>
      </c>
      <c r="AE115" s="31" cm="1">
        <f t="array" ref="AE115">AE$106+IF($C115&lt;&gt;0,SUMPRODUCT((AE$107:AE$108)*TRANSPOSE(($D115:$E115))),0)</f>
        <v>59616725.386823654</v>
      </c>
      <c r="AF115" s="31" cm="1">
        <f t="array" ref="AF115">AF$106+IF($C115&lt;&gt;0,SUMPRODUCT((AF$107:AF$108)*TRANSPOSE(($D115:$E115))),0)</f>
        <v>59616725.386823654</v>
      </c>
      <c r="AG115" s="31" cm="1">
        <f t="array" ref="AG115">AG$106+IF($C115&lt;&gt;0,SUMPRODUCT((AG$107:AG$108)*TRANSPOSE(($D115:$E115))),0)</f>
        <v>59616725.386823654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4sens</v>
      </c>
      <c r="I116" s="31" cm="1">
        <f t="array" ref="I116">I$106+IF($C116&lt;&gt;0,SUMPRODUCT((I$107:I$108)*TRANSPOSE(($D116:$E116))),0)</f>
        <v>388025.57525839005</v>
      </c>
      <c r="J116" s="31" cm="1">
        <f t="array" ref="J116">J$106+IF($C116&lt;&gt;0,SUMPRODUCT((J$107:J$108)*TRANSPOSE(($D116:$E116))),0)</f>
        <v>457957.82390348701</v>
      </c>
      <c r="K116" s="31" cm="1">
        <f t="array" ref="K116">K$106+IF($C116&lt;&gt;0,SUMPRODUCT((K$107:K$108)*TRANSPOSE(($D116:$E116))),0)</f>
        <v>124371.32541614852</v>
      </c>
      <c r="L116" s="31" cm="1">
        <f t="array" ref="L116">L$106+IF($C116&lt;&gt;0,SUMPRODUCT((L$107:L$108)*TRANSPOSE(($D116:$E116))),0)</f>
        <v>124371.32541614852</v>
      </c>
      <c r="M116" s="31" cm="1">
        <f t="array" ref="M116">M$106+IF($C116&lt;&gt;0,SUMPRODUCT((M$107:M$108)*TRANSPOSE(($D116:$E116))),0)</f>
        <v>124371.32541614852</v>
      </c>
      <c r="N116" s="31" cm="1">
        <f t="array" ref="N116">N$106+IF($C116&lt;&gt;0,SUMPRODUCT((N$107:N$108)*TRANSPOSE(($D116:$E116))),0)</f>
        <v>-226353.46946314024</v>
      </c>
      <c r="O116" s="31" cm="1">
        <f t="array" ref="O116">O$106+IF($C116&lt;&gt;0,SUMPRODUCT((O$107:O$108)*TRANSPOSE(($D116:$E116))),0)</f>
        <v>-226353.46946314024</v>
      </c>
      <c r="P116" s="31" cm="1">
        <f t="array" ref="P116">P$106+IF($C116&lt;&gt;0,SUMPRODUCT((P$107:P$108)*TRANSPOSE(($D116:$E116))),0)</f>
        <v>-226353.46946314024</v>
      </c>
      <c r="Q116" s="31" cm="1">
        <f t="array" ref="Q116">Q$106+IF($C116&lt;&gt;0,SUMPRODUCT((Q$107:Q$108)*TRANSPOSE(($D116:$E116))),0)</f>
        <v>-430093.23152660718</v>
      </c>
      <c r="R116" s="31" cm="1">
        <f t="array" ref="R116">R$106+IF($C116&lt;&gt;0,SUMPRODUCT((R$107:R$108)*TRANSPOSE(($D116:$E116))),0)</f>
        <v>-430093.23152660718</v>
      </c>
      <c r="S116" s="31" cm="1">
        <f t="array" ref="S116">S$106+IF($C116&lt;&gt;0,SUMPRODUCT((S$107:S$108)*TRANSPOSE(($D116:$E116))),0)</f>
        <v>-226353.46946314024</v>
      </c>
      <c r="T116" s="31" cm="1">
        <f t="array" ref="T116">T$106+IF($C116&lt;&gt;0,SUMPRODUCT((T$107:T$108)*TRANSPOSE(($D116:$E116))),0)</f>
        <v>-226353.46946314024</v>
      </c>
      <c r="U116" s="31" cm="1">
        <f t="array" ref="U116">U$106+IF($C116&lt;&gt;0,SUMPRODUCT((U$107:U$108)*TRANSPOSE(($D116:$E116))),0)</f>
        <v>-226353.46946314024</v>
      </c>
      <c r="V116" s="31" cm="1">
        <f t="array" ref="V116">V$106+IF($C116&lt;&gt;0,SUMPRODUCT((V$107:V$108)*TRANSPOSE(($D116:$E116))),0)</f>
        <v>-226353.46946314024</v>
      </c>
      <c r="W116" s="31" cm="1">
        <f t="array" ref="W116">W$106+IF($C116&lt;&gt;0,SUMPRODUCT((W$107:W$108)*TRANSPOSE(($D116:$E116))),0)</f>
        <v>-226353.46946314024</v>
      </c>
      <c r="X116" s="31" cm="1">
        <f t="array" ref="X116">X$106+IF($C116&lt;&gt;0,SUMPRODUCT((X$107:X$108)*TRANSPOSE(($D116:$E116))),0)</f>
        <v>-446763.23321890866</v>
      </c>
      <c r="Y116" s="31" cm="1">
        <f t="array" ref="Y116">Y$106+IF($C116&lt;&gt;0,SUMPRODUCT((Y$107:Y$108)*TRANSPOSE(($D116:$E116))),0)</f>
        <v>-333586.49848733848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59616725.386823654</v>
      </c>
      <c r="AD116" s="31" cm="1">
        <f t="array" ref="AD116">AD$106+IF($C116&lt;&gt;0,SUMPRODUCT((AD$107:AD$108)*TRANSPOSE(($D116:$E116))),0)</f>
        <v>59616725.386823654</v>
      </c>
      <c r="AE116" s="31" cm="1">
        <f t="array" ref="AE116">AE$106+IF($C116&lt;&gt;0,SUMPRODUCT((AE$107:AE$108)*TRANSPOSE(($D116:$E116))),0)</f>
        <v>59616725.386823654</v>
      </c>
      <c r="AF116" s="31" cm="1">
        <f t="array" ref="AF116">AF$106+IF($C116&lt;&gt;0,SUMPRODUCT((AF$107:AF$108)*TRANSPOSE(($D116:$E116))),0)</f>
        <v>59616725.386823654</v>
      </c>
      <c r="AG116" s="31" cm="1">
        <f t="array" ref="AG116">AG$106+IF($C116&lt;&gt;0,SUMPRODUCT((AG$107:AG$108)*TRANSPOSE(($D116:$E116))),0)</f>
        <v>59616725.386823654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4sens</v>
      </c>
      <c r="I117" s="31" cm="1">
        <f t="array" ref="I117">I$106+IF($C117&lt;&gt;0,SUMPRODUCT((I$107:I$108)*TRANSPOSE(($D117:$E117))),0)</f>
        <v>388025.57525839005</v>
      </c>
      <c r="J117" s="31" cm="1">
        <f t="array" ref="J117">J$106+IF($C117&lt;&gt;0,SUMPRODUCT((J$107:J$108)*TRANSPOSE(($D117:$E117))),0)</f>
        <v>457957.82390348701</v>
      </c>
      <c r="K117" s="31" cm="1">
        <f t="array" ref="K117">K$106+IF($C117&lt;&gt;0,SUMPRODUCT((K$107:K$108)*TRANSPOSE(($D117:$E117))),0)</f>
        <v>124371.32541614852</v>
      </c>
      <c r="L117" s="31" cm="1">
        <f t="array" ref="L117">L$106+IF($C117&lt;&gt;0,SUMPRODUCT((L$107:L$108)*TRANSPOSE(($D117:$E117))),0)</f>
        <v>124371.32541614852</v>
      </c>
      <c r="M117" s="31" cm="1">
        <f t="array" ref="M117">M$106+IF($C117&lt;&gt;0,SUMPRODUCT((M$107:M$108)*TRANSPOSE(($D117:$E117))),0)</f>
        <v>124371.32541614852</v>
      </c>
      <c r="N117" s="31" cm="1">
        <f t="array" ref="N117">N$106+IF($C117&lt;&gt;0,SUMPRODUCT((N$107:N$108)*TRANSPOSE(($D117:$E117))),0)</f>
        <v>-226353.46946314024</v>
      </c>
      <c r="O117" s="31" cm="1">
        <f t="array" ref="O117">O$106+IF($C117&lt;&gt;0,SUMPRODUCT((O$107:O$108)*TRANSPOSE(($D117:$E117))),0)</f>
        <v>-226353.46946314024</v>
      </c>
      <c r="P117" s="31" cm="1">
        <f t="array" ref="P117">P$106+IF($C117&lt;&gt;0,SUMPRODUCT((P$107:P$108)*TRANSPOSE(($D117:$E117))),0)</f>
        <v>-226353.46946314024</v>
      </c>
      <c r="Q117" s="31" cm="1">
        <f t="array" ref="Q117">Q$106+IF($C117&lt;&gt;0,SUMPRODUCT((Q$107:Q$108)*TRANSPOSE(($D117:$E117))),0)</f>
        <v>-430093.23152660718</v>
      </c>
      <c r="R117" s="31" cm="1">
        <f t="array" ref="R117">R$106+IF($C117&lt;&gt;0,SUMPRODUCT((R$107:R$108)*TRANSPOSE(($D117:$E117))),0)</f>
        <v>-430093.23152660718</v>
      </c>
      <c r="S117" s="31" cm="1">
        <f t="array" ref="S117">S$106+IF($C117&lt;&gt;0,SUMPRODUCT((S$107:S$108)*TRANSPOSE(($D117:$E117))),0)</f>
        <v>-226353.46946314024</v>
      </c>
      <c r="T117" s="31" cm="1">
        <f t="array" ref="T117">T$106+IF($C117&lt;&gt;0,SUMPRODUCT((T$107:T$108)*TRANSPOSE(($D117:$E117))),0)</f>
        <v>-226353.46946314024</v>
      </c>
      <c r="U117" s="31" cm="1">
        <f t="array" ref="U117">U$106+IF($C117&lt;&gt;0,SUMPRODUCT((U$107:U$108)*TRANSPOSE(($D117:$E117))),0)</f>
        <v>-226353.46946314024</v>
      </c>
      <c r="V117" s="31" cm="1">
        <f t="array" ref="V117">V$106+IF($C117&lt;&gt;0,SUMPRODUCT((V$107:V$108)*TRANSPOSE(($D117:$E117))),0)</f>
        <v>-226353.46946314024</v>
      </c>
      <c r="W117" s="31" cm="1">
        <f t="array" ref="W117">W$106+IF($C117&lt;&gt;0,SUMPRODUCT((W$107:W$108)*TRANSPOSE(($D117:$E117))),0)</f>
        <v>-226353.46946314024</v>
      </c>
      <c r="X117" s="31" cm="1">
        <f t="array" ref="X117">X$106+IF($C117&lt;&gt;0,SUMPRODUCT((X$107:X$108)*TRANSPOSE(($D117:$E117))),0)</f>
        <v>-446763.23321890866</v>
      </c>
      <c r="Y117" s="31" cm="1">
        <f t="array" ref="Y117">Y$106+IF($C117&lt;&gt;0,SUMPRODUCT((Y$107:Y$108)*TRANSPOSE(($D117:$E117))),0)</f>
        <v>-333586.49848733848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59616725.386823654</v>
      </c>
      <c r="AD117" s="31" cm="1">
        <f t="array" ref="AD117">AD$106+IF($C117&lt;&gt;0,SUMPRODUCT((AD$107:AD$108)*TRANSPOSE(($D117:$E117))),0)</f>
        <v>59616725.386823654</v>
      </c>
      <c r="AE117" s="31" cm="1">
        <f t="array" ref="AE117">AE$106+IF($C117&lt;&gt;0,SUMPRODUCT((AE$107:AE$108)*TRANSPOSE(($D117:$E117))),0)</f>
        <v>59616725.386823654</v>
      </c>
      <c r="AF117" s="31" cm="1">
        <f t="array" ref="AF117">AF$106+IF($C117&lt;&gt;0,SUMPRODUCT((AF$107:AF$108)*TRANSPOSE(($D117:$E117))),0)</f>
        <v>59616725.386823654</v>
      </c>
      <c r="AG117" s="31" cm="1">
        <f t="array" ref="AG117">AG$106+IF($C117&lt;&gt;0,SUMPRODUCT((AG$107:AG$108)*TRANSPOSE(($D117:$E117))),0)</f>
        <v>59616725.386823654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I28" sqref="I28"/>
      <selection pane="topRight" activeCell="I28" sqref="I28"/>
      <selection pane="bottomLeft" activeCell="I28" sqref="I28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 xml:space="preserve">Minimise bushfire risk from bare 22kV non-REFCL lines in HBRA 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183</v>
      </c>
      <c r="B3" s="5"/>
      <c r="C3" s="200" t="str">
        <f>INDEX(Assumptions!$E$14:$E$18, MATCH(A3,_xlfn.ANCHORARRAY( Assumptions!$C$14),0))</f>
        <v xml:space="preserve">Targeted installation of covered conductor and EFD on bare 22kV non-REFCL lines lines in HBRA 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331</v>
      </c>
      <c r="D14"/>
      <c r="E14" s="148">
        <v>30</v>
      </c>
      <c r="G14" s="207">
        <f>input_dollars</f>
        <v>45291</v>
      </c>
      <c r="H14" s="149"/>
      <c r="I14" s="32">
        <f>Workings_costs!E84</f>
        <v>4712000</v>
      </c>
      <c r="J14" s="32">
        <f>Workings_costs!F84</f>
        <v>4712000</v>
      </c>
      <c r="K14" s="32">
        <f>Workings_costs!G84</f>
        <v>0</v>
      </c>
      <c r="L14" s="32">
        <f>Workings_costs!H84</f>
        <v>0</v>
      </c>
      <c r="M14" s="32">
        <f>Workings_costs!I84</f>
        <v>0</v>
      </c>
      <c r="N14" s="32">
        <f>Workings_costs!J84</f>
        <v>0</v>
      </c>
      <c r="O14" s="32">
        <f>Workings_costs!K84</f>
        <v>0</v>
      </c>
      <c r="P14" s="32">
        <f>Workings_costs!L84</f>
        <v>0</v>
      </c>
      <c r="Q14" s="32">
        <f>Workings_costs!M84</f>
        <v>0</v>
      </c>
      <c r="R14" s="32">
        <f>Workings_costs!N84</f>
        <v>0</v>
      </c>
      <c r="S14" s="32">
        <f>Workings_costs!O84</f>
        <v>0</v>
      </c>
      <c r="T14" s="32">
        <f>Workings_costs!P84</f>
        <v>0</v>
      </c>
      <c r="U14" s="32">
        <f>Workings_costs!Q84</f>
        <v>0</v>
      </c>
      <c r="V14" s="32">
        <f>Workings_costs!R84</f>
        <v>0</v>
      </c>
      <c r="W14" s="32">
        <f>Workings_costs!S84</f>
        <v>0</v>
      </c>
      <c r="X14" s="32">
        <f>Workings_costs!T84</f>
        <v>0</v>
      </c>
      <c r="Y14" s="32">
        <f>Workings_costs!U84</f>
        <v>0</v>
      </c>
      <c r="Z14" s="32">
        <f>Workings_costs!V84</f>
        <v>0</v>
      </c>
      <c r="AA14" s="32">
        <f>Workings_costs!W84</f>
        <v>0</v>
      </c>
      <c r="AB14" s="32">
        <f>Workings_costs!X84</f>
        <v>0</v>
      </c>
      <c r="AC14" s="32">
        <f>Workings_costs!Y84</f>
        <v>0</v>
      </c>
      <c r="AD14" s="32">
        <f>Workings_costs!Z84</f>
        <v>0</v>
      </c>
      <c r="AE14" s="32">
        <f>Workings_costs!AA84</f>
        <v>0</v>
      </c>
      <c r="AF14" s="32">
        <f>Workings_costs!AB84</f>
        <v>0</v>
      </c>
      <c r="AG14" s="32">
        <f>Workings_costs!AC84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332</v>
      </c>
      <c r="D15"/>
      <c r="E15" s="148">
        <v>15</v>
      </c>
      <c r="G15" s="207">
        <f>input_dollars</f>
        <v>45291</v>
      </c>
      <c r="H15" s="2"/>
      <c r="I15" s="32">
        <f>Workings_costs!E83</f>
        <v>3842052.7725813901</v>
      </c>
      <c r="J15" s="32">
        <f>Workings_costs!F83</f>
        <v>3842052.7725813901</v>
      </c>
      <c r="K15" s="32">
        <f>Workings_costs!G83</f>
        <v>0</v>
      </c>
      <c r="L15" s="32">
        <f>Workings_costs!H83</f>
        <v>0</v>
      </c>
      <c r="M15" s="32">
        <f>Workings_costs!I83</f>
        <v>0</v>
      </c>
      <c r="N15" s="32">
        <f>Workings_costs!J83</f>
        <v>0</v>
      </c>
      <c r="O15" s="32">
        <f>Workings_costs!K83</f>
        <v>0</v>
      </c>
      <c r="P15" s="32">
        <f>Workings_costs!L83</f>
        <v>0</v>
      </c>
      <c r="Q15" s="32">
        <f>Workings_costs!M83</f>
        <v>0</v>
      </c>
      <c r="R15" s="32">
        <f>Workings_costs!N83</f>
        <v>0</v>
      </c>
      <c r="S15" s="32">
        <f>Workings_costs!O83</f>
        <v>0</v>
      </c>
      <c r="T15" s="32">
        <f>Workings_costs!P83</f>
        <v>0</v>
      </c>
      <c r="U15" s="32">
        <f>Workings_costs!Q83</f>
        <v>0</v>
      </c>
      <c r="V15" s="32">
        <f>Workings_costs!R83</f>
        <v>0</v>
      </c>
      <c r="W15" s="32">
        <f>Workings_costs!S83</f>
        <v>0</v>
      </c>
      <c r="X15" s="32">
        <f>Workings_costs!T83</f>
        <v>0</v>
      </c>
      <c r="Y15" s="32">
        <f>Workings_costs!U83</f>
        <v>0</v>
      </c>
      <c r="Z15" s="32">
        <f>Workings_costs!V83</f>
        <v>0</v>
      </c>
      <c r="AA15" s="32">
        <f>Workings_costs!W83</f>
        <v>0</v>
      </c>
      <c r="AB15" s="32">
        <f>Workings_costs!X83</f>
        <v>0</v>
      </c>
      <c r="AC15" s="32">
        <f>Workings_costs!Y83</f>
        <v>0</v>
      </c>
      <c r="AD15" s="32">
        <f>Workings_costs!Z83</f>
        <v>0</v>
      </c>
      <c r="AE15" s="32">
        <f>Workings_costs!AA83</f>
        <v>0</v>
      </c>
      <c r="AF15" s="32">
        <f>Workings_costs!AB83</f>
        <v>0</v>
      </c>
      <c r="AG15" s="32">
        <f>Workings_costs!AC83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8554052.772581391</v>
      </c>
      <c r="J17" s="106">
        <f t="shared" si="0"/>
        <v>8554052.772581391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f>Workings_costs!E85</f>
        <v>15493.171874045396</v>
      </c>
      <c r="J19" s="32">
        <f>Workings_costs!F85</f>
        <v>15493.171874045396</v>
      </c>
      <c r="K19" s="32">
        <f>Workings_costs!G85</f>
        <v>15493.171874045396</v>
      </c>
      <c r="L19" s="32">
        <f>Workings_costs!H85</f>
        <v>15493.171874045396</v>
      </c>
      <c r="M19" s="32">
        <f>Workings_costs!I85</f>
        <v>15493.171874045396</v>
      </c>
      <c r="N19" s="32">
        <f>Workings_costs!J85</f>
        <v>366217.96675333421</v>
      </c>
      <c r="O19" s="32">
        <f>Workings_costs!K85</f>
        <v>366217.96675333421</v>
      </c>
      <c r="P19" s="32">
        <f>Workings_costs!L85</f>
        <v>366217.96675333421</v>
      </c>
      <c r="Q19" s="32">
        <f>Workings_costs!M85</f>
        <v>569957.72881680098</v>
      </c>
      <c r="R19" s="32">
        <f>Workings_costs!N85</f>
        <v>569957.72881680098</v>
      </c>
      <c r="S19" s="32">
        <f>Workings_costs!O85</f>
        <v>366217.96675333421</v>
      </c>
      <c r="T19" s="32">
        <f>Workings_costs!P85</f>
        <v>366217.96675333421</v>
      </c>
      <c r="U19" s="32">
        <f>Workings_costs!Q85</f>
        <v>366217.96675333421</v>
      </c>
      <c r="V19" s="32">
        <f>Workings_costs!R85</f>
        <v>366217.96675333421</v>
      </c>
      <c r="W19" s="32">
        <f>Workings_costs!S85</f>
        <v>366217.96675333421</v>
      </c>
      <c r="X19" s="32">
        <f>Workings_costs!T85</f>
        <v>183108.98337666711</v>
      </c>
      <c r="Y19" s="32">
        <f>Workings_costs!U85</f>
        <v>0</v>
      </c>
      <c r="Z19" s="32">
        <f>Workings_costs!V85</f>
        <v>0</v>
      </c>
      <c r="AA19" s="32">
        <f>Workings_costs!W85</f>
        <v>0</v>
      </c>
      <c r="AB19" s="32">
        <f>Workings_costs!X85</f>
        <v>0</v>
      </c>
      <c r="AC19" s="32">
        <f>Workings_costs!Y85</f>
        <v>0</v>
      </c>
      <c r="AD19" s="32">
        <f>Workings_costs!Z85</f>
        <v>0</v>
      </c>
      <c r="AE19" s="32">
        <f>Workings_costs!AA85</f>
        <v>0</v>
      </c>
      <c r="AF19" s="32">
        <f>Workings_costs!AB85</f>
        <v>0</v>
      </c>
      <c r="AG19" s="32">
        <f>Workings_costs!AC85</f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68">
        <f>Workings_risks!E114</f>
        <v>41889784.796706028</v>
      </c>
      <c r="J28" s="168">
        <f>Workings_risks!F114</f>
        <v>41488269.899096549</v>
      </c>
      <c r="K28" s="168">
        <f>Workings_risks!G114</f>
        <v>41488269.899096549</v>
      </c>
      <c r="L28" s="168">
        <f>Workings_risks!H114</f>
        <v>41488269.899096549</v>
      </c>
      <c r="M28" s="168">
        <f>Workings_risks!I114</f>
        <v>41488269.899096549</v>
      </c>
      <c r="N28" s="168">
        <f>Workings_risks!J114</f>
        <v>41488269.899096549</v>
      </c>
      <c r="O28" s="168">
        <f>Workings_risks!K114</f>
        <v>41488269.899096549</v>
      </c>
      <c r="P28" s="168">
        <f>Workings_risks!L114</f>
        <v>41488269.899096549</v>
      </c>
      <c r="Q28" s="168">
        <f>Workings_risks!M114</f>
        <v>41488269.899096549</v>
      </c>
      <c r="R28" s="168">
        <f>Workings_risks!N114</f>
        <v>41488269.899096549</v>
      </c>
      <c r="S28" s="168">
        <f>Workings_risks!O114</f>
        <v>41488269.899096549</v>
      </c>
      <c r="T28" s="168">
        <f>Workings_risks!P114</f>
        <v>41488269.899096549</v>
      </c>
      <c r="U28" s="168">
        <f>Workings_risks!Q114</f>
        <v>41488269.899096549</v>
      </c>
      <c r="V28" s="168">
        <f>Workings_risks!R114</f>
        <v>41488269.899096549</v>
      </c>
      <c r="W28" s="168">
        <f>Workings_risks!S114</f>
        <v>41488269.899096549</v>
      </c>
      <c r="X28" s="168">
        <f>Workings_risks!T114</f>
        <v>41740719.38561748</v>
      </c>
      <c r="Y28" s="168">
        <f>Workings_risks!U114</f>
        <v>41993168.872138411</v>
      </c>
      <c r="Z28" s="168">
        <f>Workings_risks!V114</f>
        <v>41993168.872138411</v>
      </c>
      <c r="AA28" s="168">
        <f>Workings_risks!W114</f>
        <v>41993168.872138411</v>
      </c>
      <c r="AB28" s="168">
        <f>Workings_risks!X114</f>
        <v>41993168.872138411</v>
      </c>
      <c r="AC28" s="168">
        <f>Workings_risks!Y114</f>
        <v>0</v>
      </c>
      <c r="AD28" s="168">
        <f>Workings_risks!Z114</f>
        <v>0</v>
      </c>
      <c r="AE28" s="168">
        <f>Workings_risks!AA114</f>
        <v>0</v>
      </c>
      <c r="AF28" s="168">
        <f>Workings_risks!AB114</f>
        <v>0</v>
      </c>
      <c r="AG28" s="168">
        <f>Workings_risks!AC114</f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291</v>
      </c>
      <c r="D33" s="219"/>
      <c r="E33"/>
      <c r="G33" s="207">
        <f>input_dollars</f>
        <v>45291</v>
      </c>
      <c r="H33"/>
      <c r="I33" s="32">
        <f>Workings_risks!E113</f>
        <v>16888201.289348073</v>
      </c>
      <c r="J33" s="32">
        <f>Workings_risks!F113</f>
        <v>16450976.886188002</v>
      </c>
      <c r="K33" s="32">
        <f>Workings_risks!G113</f>
        <v>16450976.886188002</v>
      </c>
      <c r="L33" s="32">
        <f>Workings_risks!H113</f>
        <v>16450976.886188002</v>
      </c>
      <c r="M33" s="32">
        <f>Workings_risks!I113</f>
        <v>16450976.886188002</v>
      </c>
      <c r="N33" s="32">
        <f>Workings_risks!J113</f>
        <v>16450976.886188002</v>
      </c>
      <c r="O33" s="32">
        <f>Workings_risks!K113</f>
        <v>16450976.886188002</v>
      </c>
      <c r="P33" s="32">
        <f>Workings_risks!L113</f>
        <v>16450976.886188002</v>
      </c>
      <c r="Q33" s="32">
        <f>Workings_risks!M113</f>
        <v>16450976.886188002</v>
      </c>
      <c r="R33" s="32">
        <f>Workings_risks!N113</f>
        <v>16450976.886188002</v>
      </c>
      <c r="S33" s="32">
        <f>Workings_risks!O113</f>
        <v>16450976.886188002</v>
      </c>
      <c r="T33" s="32">
        <f>Workings_risks!P113</f>
        <v>16450976.886188002</v>
      </c>
      <c r="U33" s="32">
        <f>Workings_risks!Q113</f>
        <v>16450976.886188002</v>
      </c>
      <c r="V33" s="32">
        <f>Workings_risks!R113</f>
        <v>16450976.886188002</v>
      </c>
      <c r="W33" s="32">
        <f>Workings_risks!S113</f>
        <v>16450976.886188002</v>
      </c>
      <c r="X33" s="32">
        <f>Workings_risks!T113</f>
        <v>16602046.146799507</v>
      </c>
      <c r="Y33" s="32">
        <f>Workings_risks!U113</f>
        <v>16753115.407411011</v>
      </c>
      <c r="Z33" s="32">
        <f>Workings_risks!V113</f>
        <v>16753115.407411011</v>
      </c>
      <c r="AA33" s="32">
        <f>Workings_risks!W113</f>
        <v>16753115.407411011</v>
      </c>
      <c r="AB33" s="32">
        <f>Workings_risks!X113</f>
        <v>16753115.407411011</v>
      </c>
      <c r="AC33" s="32">
        <f>Workings_risks!Y113</f>
        <v>0</v>
      </c>
      <c r="AD33" s="32">
        <f>Workings_risks!Z113</f>
        <v>0</v>
      </c>
      <c r="AE33" s="32">
        <f>Workings_risks!AA113</f>
        <v>0</v>
      </c>
      <c r="AF33" s="32">
        <f>Workings_risks!AB113</f>
        <v>0</v>
      </c>
      <c r="AG33" s="32">
        <f>Workings_risks!AC113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58777986.086054102</v>
      </c>
      <c r="J36" s="170">
        <f t="shared" ref="J36:AG36" si="2">SUM(J28:J34)</f>
        <v>57939246.785284549</v>
      </c>
      <c r="K36" s="170">
        <f t="shared" si="2"/>
        <v>57939246.785284549</v>
      </c>
      <c r="L36" s="170">
        <f t="shared" si="2"/>
        <v>57939246.785284549</v>
      </c>
      <c r="M36" s="170">
        <f t="shared" si="2"/>
        <v>57939246.785284549</v>
      </c>
      <c r="N36" s="170">
        <f t="shared" si="2"/>
        <v>57939246.785284549</v>
      </c>
      <c r="O36" s="170">
        <f t="shared" si="2"/>
        <v>57939246.785284549</v>
      </c>
      <c r="P36" s="170">
        <f t="shared" si="2"/>
        <v>57939246.785284549</v>
      </c>
      <c r="Q36" s="170">
        <f t="shared" si="2"/>
        <v>57939246.785284549</v>
      </c>
      <c r="R36" s="170">
        <f t="shared" si="2"/>
        <v>57939246.785284549</v>
      </c>
      <c r="S36" s="170">
        <f t="shared" si="2"/>
        <v>57939246.785284549</v>
      </c>
      <c r="T36" s="170">
        <f t="shared" si="2"/>
        <v>57939246.785284549</v>
      </c>
      <c r="U36" s="170">
        <f t="shared" si="2"/>
        <v>57939246.785284549</v>
      </c>
      <c r="V36" s="170">
        <f t="shared" si="2"/>
        <v>57939246.785284549</v>
      </c>
      <c r="W36" s="170">
        <f t="shared" si="2"/>
        <v>57939246.785284549</v>
      </c>
      <c r="X36" s="170">
        <f t="shared" si="2"/>
        <v>58342765.532416984</v>
      </c>
      <c r="Y36" s="170">
        <f t="shared" si="2"/>
        <v>58746284.27954942</v>
      </c>
      <c r="Z36" s="170">
        <f t="shared" si="2"/>
        <v>58746284.27954942</v>
      </c>
      <c r="AA36" s="170">
        <f t="shared" si="2"/>
        <v>58746284.27954942</v>
      </c>
      <c r="AB36" s="170">
        <f t="shared" si="2"/>
        <v>58746284.27954942</v>
      </c>
      <c r="AC36" s="170">
        <f t="shared" si="2"/>
        <v>0</v>
      </c>
      <c r="AD36" s="170">
        <f t="shared" si="2"/>
        <v>0</v>
      </c>
      <c r="AE36" s="170">
        <f t="shared" si="2"/>
        <v>0</v>
      </c>
      <c r="AF36" s="170">
        <f t="shared" si="2"/>
        <v>0</v>
      </c>
      <c r="AG36" s="170">
        <f t="shared" si="2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838739.30076955259</v>
      </c>
      <c r="J64" s="132">
        <f>(1-INDEX(Data!$C$9:$C$13, MATCH($A$3, options,0)))*('Option1 (base case)'!J36-J36)</f>
        <v>1677478.6015391052</v>
      </c>
      <c r="K64" s="132">
        <f>(1-INDEX(Data!$C$9:$C$13, MATCH($A$3, options,0)))*('Option1 (base case)'!K36-K36)</f>
        <v>1677478.6015391052</v>
      </c>
      <c r="L64" s="132">
        <f>(1-INDEX(Data!$C$9:$C$13, MATCH($A$3, options,0)))*('Option1 (base case)'!L36-L36)</f>
        <v>1677478.6015391052</v>
      </c>
      <c r="M64" s="132">
        <f>(1-INDEX(Data!$C$9:$C$13, MATCH($A$3, options,0)))*('Option1 (base case)'!M36-M36)</f>
        <v>1677478.6015391052</v>
      </c>
      <c r="N64" s="132">
        <f>(1-INDEX(Data!$C$9:$C$13, MATCH($A$3, options,0)))*('Option1 (base case)'!N36-N36)</f>
        <v>1677478.6015391052</v>
      </c>
      <c r="O64" s="132">
        <f>(1-INDEX(Data!$C$9:$C$13, MATCH($A$3, options,0)))*('Option1 (base case)'!O36-O36)</f>
        <v>1677478.6015391052</v>
      </c>
      <c r="P64" s="132">
        <f>(1-INDEX(Data!$C$9:$C$13, MATCH($A$3, options,0)))*('Option1 (base case)'!P36-P36)</f>
        <v>1677478.6015391052</v>
      </c>
      <c r="Q64" s="132">
        <f>(1-INDEX(Data!$C$9:$C$13, MATCH($A$3, options,0)))*('Option1 (base case)'!Q36-Q36)</f>
        <v>1677478.6015391052</v>
      </c>
      <c r="R64" s="132">
        <f>(1-INDEX(Data!$C$9:$C$13, MATCH($A$3, options,0)))*('Option1 (base case)'!R36-R36)</f>
        <v>1677478.6015391052</v>
      </c>
      <c r="S64" s="132">
        <f>(1-INDEX(Data!$C$9:$C$13, MATCH($A$3, options,0)))*('Option1 (base case)'!S36-S36)</f>
        <v>1677478.6015391052</v>
      </c>
      <c r="T64" s="132">
        <f>(1-INDEX(Data!$C$9:$C$13, MATCH($A$3, options,0)))*('Option1 (base case)'!T36-T36)</f>
        <v>1677478.6015391052</v>
      </c>
      <c r="U64" s="132">
        <f>(1-INDEX(Data!$C$9:$C$13, MATCH($A$3, options,0)))*('Option1 (base case)'!U36-U36)</f>
        <v>1677478.6015391052</v>
      </c>
      <c r="V64" s="132">
        <f>(1-INDEX(Data!$C$9:$C$13, MATCH($A$3, options,0)))*('Option1 (base case)'!V36-V36)</f>
        <v>1677478.6015391052</v>
      </c>
      <c r="W64" s="132">
        <f>(1-INDEX(Data!$C$9:$C$13, MATCH($A$3, options,0)))*('Option1 (base case)'!W36-W36)</f>
        <v>1677478.6015391052</v>
      </c>
      <c r="X64" s="132">
        <f>(1-INDEX(Data!$C$9:$C$13, MATCH($A$3, options,0)))*('Option1 (base case)'!X36-X36)</f>
        <v>1273959.8544066697</v>
      </c>
      <c r="Y64" s="132">
        <f>(1-INDEX(Data!$C$9:$C$13, MATCH($A$3, options,0)))*('Option1 (base case)'!Y36-Y36)</f>
        <v>870441.10727423429</v>
      </c>
      <c r="Z64" s="132">
        <f>(1-INDEX(Data!$C$9:$C$13, MATCH($A$3, options,0)))*('Option1 (base case)'!Z36-Z36)</f>
        <v>870441.10727423429</v>
      </c>
      <c r="AA64" s="132">
        <f>(1-INDEX(Data!$C$9:$C$13, MATCH($A$3, options,0)))*('Option1 (base case)'!AA36-AA36)</f>
        <v>870441.10727423429</v>
      </c>
      <c r="AB64" s="132">
        <f>(1-INDEX(Data!$C$9:$C$13, MATCH($A$3, options,0)))*('Option1 (base case)'!AB36-AB36)</f>
        <v>870441.10727423429</v>
      </c>
      <c r="AC64" s="132">
        <f>(1-INDEX(Data!$C$9:$C$13, MATCH($A$3, options,0)))*('Option1 (base case)'!AC36-AC36)</f>
        <v>59616725.386823654</v>
      </c>
      <c r="AD64" s="132">
        <f>(1-INDEX(Data!$C$9:$C$13, MATCH($A$3, options,0)))*('Option1 (base case)'!AD36-AD36)</f>
        <v>59616725.386823654</v>
      </c>
      <c r="AE64" s="132">
        <f>(1-INDEX(Data!$C$9:$C$13, MATCH($A$3, options,0)))*('Option1 (base case)'!AE36-AE36)</f>
        <v>59616725.386823654</v>
      </c>
      <c r="AF64" s="132">
        <f>(1-INDEX(Data!$C$9:$C$13, MATCH($A$3, options,0)))*('Option1 (base case)'!AF36-AF36)</f>
        <v>59616725.386823654</v>
      </c>
      <c r="AG64" s="132">
        <f>(1-INDEX(Data!$C$9:$C$13, MATCH($A$3, options,0)))*('Option1 (base case)'!AG36-AG36)</f>
        <v>59616725.386823654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Covered conductor</v>
      </c>
      <c r="D67" s="38"/>
      <c r="F67" s="97"/>
      <c r="G67" s="210">
        <f>input_dollars</f>
        <v>45291</v>
      </c>
      <c r="H67" s="31"/>
      <c r="I67" s="119">
        <f t="shared" ref="I67:AG67" si="4">-I14</f>
        <v>-4712000</v>
      </c>
      <c r="J67" s="119">
        <f t="shared" si="4"/>
        <v>-4712000</v>
      </c>
      <c r="K67" s="119">
        <f t="shared" si="4"/>
        <v>0</v>
      </c>
      <c r="L67" s="119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2">
      <c r="A68" s="8"/>
      <c r="B68" s="8"/>
      <c r="C68" s="4" t="str">
        <f>C15</f>
        <v>EFD</v>
      </c>
      <c r="D68" s="38"/>
      <c r="F68" s="97"/>
      <c r="G68" s="210">
        <f>input_dollars</f>
        <v>45291</v>
      </c>
      <c r="H68" s="31"/>
      <c r="I68" s="119">
        <f t="shared" ref="I68:AG68" si="5">-I15</f>
        <v>-3842052.7725813901</v>
      </c>
      <c r="J68" s="119">
        <f t="shared" si="5"/>
        <v>-3842052.7725813901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Covered conductor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-4712000</v>
      </c>
      <c r="J72" s="119" cm="1">
        <f t="array" ref="J72">SUMPRODUCT(($I67:J67))-SUMPRODUCT(($I67:J67)*($I$6:J$6&lt;=(J$6-$E14)))</f>
        <v>-9424000</v>
      </c>
      <c r="K72" s="119" cm="1">
        <f t="array" ref="K72">SUMPRODUCT(($I67:K67))-SUMPRODUCT(($I67:K67)*($I$6:K$6&lt;=(K$6-$E14)))</f>
        <v>-9424000</v>
      </c>
      <c r="L72" s="119" cm="1">
        <f t="array" ref="L72">SUMPRODUCT(($I67:L67))-SUMPRODUCT(($I67:L67)*($I$6:L$6&lt;=(L$6-$E14)))</f>
        <v>-9424000</v>
      </c>
      <c r="M72" s="119" cm="1">
        <f t="array" ref="M72">SUMPRODUCT(($I67:M67))-SUMPRODUCT(($I67:M67)*($I$6:M$6&lt;=(M$6-$E14)))</f>
        <v>-9424000</v>
      </c>
      <c r="N72" s="119" cm="1">
        <f t="array" ref="N72">SUMPRODUCT(($I67:N67))-SUMPRODUCT(($I67:N67)*($I$6:N$6&lt;=(N$6-$E14)))</f>
        <v>-9424000</v>
      </c>
      <c r="O72" s="119" cm="1">
        <f t="array" ref="O72">SUMPRODUCT(($I67:O67))-SUMPRODUCT(($I67:O67)*($I$6:O$6&lt;=(O$6-$E14)))</f>
        <v>-9424000</v>
      </c>
      <c r="P72" s="119" cm="1">
        <f t="array" ref="P72">SUMPRODUCT(($I67:P67))-SUMPRODUCT(($I67:P67)*($I$6:P$6&lt;=(P$6-$E14)))</f>
        <v>-9424000</v>
      </c>
      <c r="Q72" s="119" cm="1">
        <f t="array" ref="Q72">SUMPRODUCT(($I67:Q67))-SUMPRODUCT(($I67:Q67)*($I$6:Q$6&lt;=(Q$6-$E14)))</f>
        <v>-9424000</v>
      </c>
      <c r="R72" s="119" cm="1">
        <f t="array" ref="R72">SUMPRODUCT(($I67:R67))-SUMPRODUCT(($I67:R67)*($I$6:R$6&lt;=(R$6-$E14)))</f>
        <v>-9424000</v>
      </c>
      <c r="S72" s="119" cm="1">
        <f t="array" ref="S72">SUMPRODUCT(($I67:S67))-SUMPRODUCT(($I67:S67)*($I$6:S$6&lt;=(S$6-$E14)))</f>
        <v>-9424000</v>
      </c>
      <c r="T72" s="119" cm="1">
        <f t="array" ref="T72">SUMPRODUCT(($I67:T67))-SUMPRODUCT(($I67:T67)*($I$6:T$6&lt;=(T$6-$E14)))</f>
        <v>-9424000</v>
      </c>
      <c r="U72" s="119" cm="1">
        <f t="array" ref="U72">SUMPRODUCT(($I67:U67))-SUMPRODUCT(($I67:U67)*($I$6:U$6&lt;=(U$6-$E14)))</f>
        <v>-9424000</v>
      </c>
      <c r="V72" s="119" cm="1">
        <f t="array" ref="V72">SUMPRODUCT(($I67:V67))-SUMPRODUCT(($I67:V67)*($I$6:V$6&lt;=(V$6-$E14)))</f>
        <v>-9424000</v>
      </c>
      <c r="W72" s="119" cm="1">
        <f t="array" ref="W72">SUMPRODUCT(($I67:W67))-SUMPRODUCT(($I67:W67)*($I$6:W$6&lt;=(W$6-$E14)))</f>
        <v>-9424000</v>
      </c>
      <c r="X72" s="119" cm="1">
        <f t="array" ref="X72">SUMPRODUCT(($I67:X67))-SUMPRODUCT(($I67:X67)*($I$6:X$6&lt;=(X$6-$E14)))</f>
        <v>-9424000</v>
      </c>
      <c r="Y72" s="119" cm="1">
        <f t="array" ref="Y72">SUMPRODUCT(($I67:Y67))-SUMPRODUCT(($I67:Y67)*($I$6:Y$6&lt;=(Y$6-$E14)))</f>
        <v>-9424000</v>
      </c>
      <c r="Z72" s="119" cm="1">
        <f t="array" ref="Z72">SUMPRODUCT(($I67:Z67))-SUMPRODUCT(($I67:Z67)*($I$6:Z$6&lt;=(Z$6-$E14)))</f>
        <v>-9424000</v>
      </c>
      <c r="AA72" s="119" cm="1">
        <f t="array" ref="AA72">SUMPRODUCT(($I67:AA67))-SUMPRODUCT(($I67:AA67)*($I$6:AA$6&lt;=(AA$6-$E14)))</f>
        <v>-9424000</v>
      </c>
      <c r="AB72" s="119" cm="1">
        <f t="array" ref="AB72">SUMPRODUCT(($I67:AB67))-SUMPRODUCT(($I67:AB67)*($I$6:AB$6&lt;=(AB$6-$E14)))</f>
        <v>-9424000</v>
      </c>
      <c r="AC72" s="119" cm="1">
        <f t="array" ref="AC72">SUMPRODUCT(($I67:AC67))-SUMPRODUCT(($I67:AC67)*($I$6:AC$6&lt;=(AC$6-$E14)))</f>
        <v>-9424000</v>
      </c>
      <c r="AD72" s="119" cm="1">
        <f t="array" ref="AD72">SUMPRODUCT(($I67:AD67))-SUMPRODUCT(($I67:AD67)*($I$6:AD$6&lt;=(AD$6-$E14)))</f>
        <v>-9424000</v>
      </c>
      <c r="AE72" s="119" cm="1">
        <f t="array" ref="AE72">SUMPRODUCT(($I67:AE67))-SUMPRODUCT(($I67:AE67)*($I$6:AE$6&lt;=(AE$6-$E14)))</f>
        <v>-9424000</v>
      </c>
      <c r="AF72" s="119" cm="1">
        <f t="array" ref="AF72">SUMPRODUCT(($I67:AF67))-SUMPRODUCT(($I67:AF67)*($I$6:AF$6&lt;=(AF$6-$E14)))</f>
        <v>-9424000</v>
      </c>
      <c r="AG72" s="119" cm="1">
        <f t="array" ref="AG72">SUMPRODUCT(($I67:AG67))-SUMPRODUCT(($I67:AG67)*($I$6:AG$6&lt;=(AG$6-$E14)))</f>
        <v>-9424000</v>
      </c>
    </row>
    <row r="73" spans="1:33" x14ac:dyDescent="0.2">
      <c r="A73" s="8"/>
      <c r="B73" s="8"/>
      <c r="C73" s="4" t="str">
        <f>C15</f>
        <v>EFD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-3842052.7725813901</v>
      </c>
      <c r="J73" s="119" cm="1">
        <f t="array" ref="J73">SUMPRODUCT(($I68:J68))-SUMPRODUCT(($I68:J68)*($I$6:J$6&lt;=(J$6-$E15)))</f>
        <v>-7684105.5451627802</v>
      </c>
      <c r="K73" s="119" cm="1">
        <f t="array" ref="K73">SUMPRODUCT(($I68:K68))-SUMPRODUCT(($I68:K68)*($I$6:K$6&lt;=(K$6-$E15)))</f>
        <v>-7684105.5451627802</v>
      </c>
      <c r="L73" s="119" cm="1">
        <f t="array" ref="L73">SUMPRODUCT(($I68:L68))-SUMPRODUCT(($I68:L68)*($I$6:L$6&lt;=(L$6-$E15)))</f>
        <v>-7684105.5451627802</v>
      </c>
      <c r="M73" s="119" cm="1">
        <f t="array" ref="M73">SUMPRODUCT(($I68:M68))-SUMPRODUCT(($I68:M68)*($I$6:M$6&lt;=(M$6-$E15)))</f>
        <v>-7684105.5451627802</v>
      </c>
      <c r="N73" s="119" cm="1">
        <f t="array" ref="N73">SUMPRODUCT(($I68:N68))-SUMPRODUCT(($I68:N68)*($I$6:N$6&lt;=(N$6-$E15)))</f>
        <v>-7684105.5451627802</v>
      </c>
      <c r="O73" s="119" cm="1">
        <f t="array" ref="O73">SUMPRODUCT(($I68:O68))-SUMPRODUCT(($I68:O68)*($I$6:O$6&lt;=(O$6-$E15)))</f>
        <v>-7684105.5451627802</v>
      </c>
      <c r="P73" s="119" cm="1">
        <f t="array" ref="P73">SUMPRODUCT(($I68:P68))-SUMPRODUCT(($I68:P68)*($I$6:P$6&lt;=(P$6-$E15)))</f>
        <v>-7684105.5451627802</v>
      </c>
      <c r="Q73" s="119" cm="1">
        <f t="array" ref="Q73">SUMPRODUCT(($I68:Q68))-SUMPRODUCT(($I68:Q68)*($I$6:Q$6&lt;=(Q$6-$E15)))</f>
        <v>-7684105.5451627802</v>
      </c>
      <c r="R73" s="119" cm="1">
        <f t="array" ref="R73">SUMPRODUCT(($I68:R68))-SUMPRODUCT(($I68:R68)*($I$6:R$6&lt;=(R$6-$E15)))</f>
        <v>-7684105.5451627802</v>
      </c>
      <c r="S73" s="119" cm="1">
        <f t="array" ref="S73">SUMPRODUCT(($I68:S68))-SUMPRODUCT(($I68:S68)*($I$6:S$6&lt;=(S$6-$E15)))</f>
        <v>-7684105.5451627802</v>
      </c>
      <c r="T73" s="119" cm="1">
        <f t="array" ref="T73">SUMPRODUCT(($I68:T68))-SUMPRODUCT(($I68:T68)*($I$6:T$6&lt;=(T$6-$E15)))</f>
        <v>-7684105.5451627802</v>
      </c>
      <c r="U73" s="119" cm="1">
        <f t="array" ref="U73">SUMPRODUCT(($I68:U68))-SUMPRODUCT(($I68:U68)*($I$6:U$6&lt;=(U$6-$E15)))</f>
        <v>-7684105.5451627802</v>
      </c>
      <c r="V73" s="119" cm="1">
        <f t="array" ref="V73">SUMPRODUCT(($I68:V68))-SUMPRODUCT(($I68:V68)*($I$6:V$6&lt;=(V$6-$E15)))</f>
        <v>-7684105.5451627802</v>
      </c>
      <c r="W73" s="119" cm="1">
        <f t="array" ref="W73">SUMPRODUCT(($I68:W68))-SUMPRODUCT(($I68:W68)*($I$6:W$6&lt;=(W$6-$E15)))</f>
        <v>-7684105.5451627802</v>
      </c>
      <c r="X73" s="119" cm="1">
        <f t="array" ref="X73">SUMPRODUCT(($I68:X68))-SUMPRODUCT(($I68:X68)*($I$6:X$6&lt;=(X$6-$E15)))</f>
        <v>-3842052.7725813901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Covered conductor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-256197.71453417974</v>
      </c>
      <c r="K77" s="119">
        <f t="shared" si="7"/>
        <v>-512395.42906835949</v>
      </c>
      <c r="L77" s="119">
        <f t="shared" si="7"/>
        <v>-512395.42906835949</v>
      </c>
      <c r="M77" s="119">
        <f t="shared" si="7"/>
        <v>-512395.42906835949</v>
      </c>
      <c r="N77" s="119">
        <f t="shared" si="7"/>
        <v>-512395.42906835949</v>
      </c>
      <c r="O77" s="119">
        <f t="shared" si="7"/>
        <v>-512395.42906835949</v>
      </c>
      <c r="P77" s="119">
        <f t="shared" si="7"/>
        <v>-512395.42906835949</v>
      </c>
      <c r="Q77" s="119">
        <f t="shared" si="7"/>
        <v>-512395.42906835949</v>
      </c>
      <c r="R77" s="119">
        <f t="shared" si="7"/>
        <v>-512395.42906835949</v>
      </c>
      <c r="S77" s="119">
        <f t="shared" si="7"/>
        <v>-512395.42906835949</v>
      </c>
      <c r="T77" s="119">
        <f t="shared" si="7"/>
        <v>-512395.42906835949</v>
      </c>
      <c r="U77" s="119">
        <f t="shared" si="7"/>
        <v>-512395.42906835949</v>
      </c>
      <c r="V77" s="119">
        <f t="shared" si="7"/>
        <v>-512395.42906835949</v>
      </c>
      <c r="W77" s="119">
        <f t="shared" si="7"/>
        <v>-512395.42906835949</v>
      </c>
      <c r="X77" s="119">
        <f t="shared" si="7"/>
        <v>-512395.42906835949</v>
      </c>
      <c r="Y77" s="119">
        <f t="shared" si="7"/>
        <v>-512395.42906835949</v>
      </c>
      <c r="Z77" s="119">
        <f t="shared" si="7"/>
        <v>-512395.42906835949</v>
      </c>
      <c r="AA77" s="119">
        <f t="shared" si="7"/>
        <v>-512395.42906835949</v>
      </c>
      <c r="AB77" s="119">
        <f t="shared" si="7"/>
        <v>-512395.42906835949</v>
      </c>
      <c r="AC77" s="119">
        <f t="shared" si="7"/>
        <v>-512395.42906835949</v>
      </c>
      <c r="AD77" s="119">
        <f t="shared" si="7"/>
        <v>-512395.42906835949</v>
      </c>
      <c r="AE77" s="119">
        <f t="shared" si="7"/>
        <v>-512395.42906835949</v>
      </c>
      <c r="AF77" s="119">
        <f t="shared" si="7"/>
        <v>-512395.42906835949</v>
      </c>
      <c r="AG77" s="119">
        <f t="shared" si="7"/>
        <v>-512395.42906835949</v>
      </c>
    </row>
    <row r="78" spans="1:33" x14ac:dyDescent="0.2">
      <c r="A78" s="8"/>
      <c r="B78" s="8"/>
      <c r="C78" s="4" t="str">
        <f>$C$76&amp;" - "&amp;C15</f>
        <v>Annualised capex - EFD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-333586.49848733848</v>
      </c>
      <c r="K78" s="119">
        <f t="shared" si="8"/>
        <v>-667172.99697467696</v>
      </c>
      <c r="L78" s="119">
        <f t="shared" si="8"/>
        <v>-667172.99697467696</v>
      </c>
      <c r="M78" s="119">
        <f t="shared" si="8"/>
        <v>-667172.99697467696</v>
      </c>
      <c r="N78" s="119">
        <f t="shared" si="8"/>
        <v>-667172.99697467696</v>
      </c>
      <c r="O78" s="119">
        <f t="shared" si="8"/>
        <v>-667172.99697467696</v>
      </c>
      <c r="P78" s="119">
        <f t="shared" si="8"/>
        <v>-667172.99697467696</v>
      </c>
      <c r="Q78" s="119">
        <f t="shared" si="8"/>
        <v>-667172.99697467696</v>
      </c>
      <c r="R78" s="119">
        <f t="shared" si="8"/>
        <v>-667172.99697467696</v>
      </c>
      <c r="S78" s="119">
        <f t="shared" si="8"/>
        <v>-667172.99697467696</v>
      </c>
      <c r="T78" s="119">
        <f t="shared" si="8"/>
        <v>-667172.99697467696</v>
      </c>
      <c r="U78" s="119">
        <f t="shared" si="8"/>
        <v>-667172.99697467696</v>
      </c>
      <c r="V78" s="119">
        <f t="shared" si="8"/>
        <v>-667172.99697467696</v>
      </c>
      <c r="W78" s="119">
        <f t="shared" si="8"/>
        <v>-667172.99697467696</v>
      </c>
      <c r="X78" s="119">
        <f t="shared" si="8"/>
        <v>-667172.99697467696</v>
      </c>
      <c r="Y78" s="119">
        <f t="shared" si="8"/>
        <v>-333586.49848733848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-589784.2130215182</v>
      </c>
      <c r="K80" s="176">
        <f t="shared" si="10"/>
        <v>-1179568.4260430364</v>
      </c>
      <c r="L80" s="176">
        <f t="shared" si="10"/>
        <v>-1179568.4260430364</v>
      </c>
      <c r="M80" s="176">
        <f t="shared" si="10"/>
        <v>-1179568.4260430364</v>
      </c>
      <c r="N80" s="176">
        <f t="shared" si="10"/>
        <v>-1179568.4260430364</v>
      </c>
      <c r="O80" s="176">
        <f t="shared" si="10"/>
        <v>-1179568.4260430364</v>
      </c>
      <c r="P80" s="176">
        <f t="shared" si="10"/>
        <v>-1179568.4260430364</v>
      </c>
      <c r="Q80" s="176">
        <f t="shared" si="10"/>
        <v>-1179568.4260430364</v>
      </c>
      <c r="R80" s="176">
        <f t="shared" si="10"/>
        <v>-1179568.4260430364</v>
      </c>
      <c r="S80" s="176">
        <f t="shared" si="10"/>
        <v>-1179568.4260430364</v>
      </c>
      <c r="T80" s="176">
        <f t="shared" si="10"/>
        <v>-1179568.4260430364</v>
      </c>
      <c r="U80" s="176">
        <f t="shared" si="10"/>
        <v>-1179568.4260430364</v>
      </c>
      <c r="V80" s="176">
        <f t="shared" si="10"/>
        <v>-1179568.4260430364</v>
      </c>
      <c r="W80" s="176">
        <f t="shared" si="10"/>
        <v>-1179568.4260430364</v>
      </c>
      <c r="X80" s="176">
        <f t="shared" si="10"/>
        <v>-1179568.4260430364</v>
      </c>
      <c r="Y80" s="176">
        <f t="shared" si="10"/>
        <v>-845981.92755569797</v>
      </c>
      <c r="Z80" s="176">
        <f t="shared" si="10"/>
        <v>-512395.42906835949</v>
      </c>
      <c r="AA80" s="176">
        <f t="shared" si="10"/>
        <v>-512395.42906835949</v>
      </c>
      <c r="AB80" s="176">
        <f t="shared" si="10"/>
        <v>-512395.42906835949</v>
      </c>
      <c r="AC80" s="176">
        <f>SUM(AC77:AC79)</f>
        <v>-512395.42906835949</v>
      </c>
      <c r="AD80" s="176">
        <f>SUM(AD77:AD79)</f>
        <v>-512395.42906835949</v>
      </c>
      <c r="AE80" s="176">
        <f>SUM(AE77:AE79)</f>
        <v>-512395.42906835949</v>
      </c>
      <c r="AF80" s="176">
        <f>SUM(AF77:AF79)</f>
        <v>-512395.42906835949</v>
      </c>
      <c r="AG80" s="176">
        <f>SUM(AG77:AG79)</f>
        <v>-512395.42906835949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-589784.2130215182</v>
      </c>
      <c r="K82" s="119">
        <f t="shared" si="12"/>
        <v>-1179568.4260430364</v>
      </c>
      <c r="L82" s="119">
        <f t="shared" si="12"/>
        <v>-1179568.4260430364</v>
      </c>
      <c r="M82" s="119">
        <f t="shared" si="12"/>
        <v>-1179568.4260430364</v>
      </c>
      <c r="N82" s="119">
        <f t="shared" si="12"/>
        <v>-1179568.4260430364</v>
      </c>
      <c r="O82" s="119">
        <f t="shared" si="12"/>
        <v>-1179568.4260430364</v>
      </c>
      <c r="P82" s="119">
        <f t="shared" si="12"/>
        <v>-1179568.4260430364</v>
      </c>
      <c r="Q82" s="119">
        <f t="shared" si="12"/>
        <v>-1179568.4260430364</v>
      </c>
      <c r="R82" s="119">
        <f t="shared" si="12"/>
        <v>-1179568.4260430364</v>
      </c>
      <c r="S82" s="119">
        <f t="shared" si="12"/>
        <v>-1179568.4260430364</v>
      </c>
      <c r="T82" s="119">
        <f t="shared" si="12"/>
        <v>-1179568.4260430364</v>
      </c>
      <c r="U82" s="119">
        <f t="shared" si="12"/>
        <v>-1179568.4260430364</v>
      </c>
      <c r="V82" s="119">
        <f t="shared" si="12"/>
        <v>-1179568.4260430364</v>
      </c>
      <c r="W82" s="119">
        <f t="shared" si="12"/>
        <v>-1179568.4260430364</v>
      </c>
      <c r="X82" s="119">
        <f t="shared" si="12"/>
        <v>-1179568.4260430364</v>
      </c>
      <c r="Y82" s="119">
        <f t="shared" si="12"/>
        <v>-845981.92755569797</v>
      </c>
      <c r="Z82" s="119">
        <f t="shared" si="12"/>
        <v>-512395.42906835949</v>
      </c>
      <c r="AA82" s="119">
        <f t="shared" si="12"/>
        <v>-512395.42906835949</v>
      </c>
      <c r="AB82" s="119">
        <f t="shared" si="12"/>
        <v>-512395.42906835949</v>
      </c>
      <c r="AC82" s="119">
        <f>AC80</f>
        <v>-512395.42906835949</v>
      </c>
      <c r="AD82" s="119">
        <f>AD80</f>
        <v>-512395.42906835949</v>
      </c>
      <c r="AE82" s="119">
        <f>AE80</f>
        <v>-512395.42906835949</v>
      </c>
      <c r="AF82" s="119">
        <f>AF80</f>
        <v>-512395.42906835949</v>
      </c>
      <c r="AG82" s="119">
        <f>AG80</f>
        <v>-512395.42906835949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-15493.171874045396</v>
      </c>
      <c r="J83" s="31">
        <f t="shared" si="13"/>
        <v>-15493.171874045396</v>
      </c>
      <c r="K83" s="31">
        <f t="shared" si="13"/>
        <v>-15493.171874045396</v>
      </c>
      <c r="L83" s="31">
        <f t="shared" si="13"/>
        <v>-15493.171874045396</v>
      </c>
      <c r="M83" s="31">
        <f t="shared" si="13"/>
        <v>-15493.171874045396</v>
      </c>
      <c r="N83" s="31">
        <f t="shared" si="13"/>
        <v>-366217.96675333421</v>
      </c>
      <c r="O83" s="31">
        <f t="shared" si="13"/>
        <v>-366217.96675333421</v>
      </c>
      <c r="P83" s="31">
        <f t="shared" si="13"/>
        <v>-366217.96675333421</v>
      </c>
      <c r="Q83" s="31">
        <f t="shared" si="13"/>
        <v>-569957.72881680098</v>
      </c>
      <c r="R83" s="31">
        <f t="shared" si="13"/>
        <v>-569957.72881680098</v>
      </c>
      <c r="S83" s="31">
        <f t="shared" si="13"/>
        <v>-366217.96675333421</v>
      </c>
      <c r="T83" s="31">
        <f t="shared" si="13"/>
        <v>-366217.96675333421</v>
      </c>
      <c r="U83" s="31">
        <f t="shared" si="13"/>
        <v>-366217.96675333421</v>
      </c>
      <c r="V83" s="31">
        <f t="shared" si="13"/>
        <v>-366217.96675333421</v>
      </c>
      <c r="W83" s="31">
        <f t="shared" si="13"/>
        <v>-366217.96675333421</v>
      </c>
      <c r="X83" s="31">
        <f t="shared" si="13"/>
        <v>-183108.98337666711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1"/>
        <v>45291</v>
      </c>
      <c r="H84" s="31"/>
      <c r="I84" s="31">
        <f>I64</f>
        <v>838739.30076955259</v>
      </c>
      <c r="J84" s="31">
        <f t="shared" ref="J84:AB84" si="14">J64</f>
        <v>1677478.6015391052</v>
      </c>
      <c r="K84" s="31">
        <f t="shared" si="14"/>
        <v>1677478.6015391052</v>
      </c>
      <c r="L84" s="31">
        <f t="shared" si="14"/>
        <v>1677478.6015391052</v>
      </c>
      <c r="M84" s="31">
        <f t="shared" si="14"/>
        <v>1677478.6015391052</v>
      </c>
      <c r="N84" s="31">
        <f t="shared" si="14"/>
        <v>1677478.6015391052</v>
      </c>
      <c r="O84" s="31">
        <f t="shared" si="14"/>
        <v>1677478.6015391052</v>
      </c>
      <c r="P84" s="31">
        <f t="shared" si="14"/>
        <v>1677478.6015391052</v>
      </c>
      <c r="Q84" s="31">
        <f t="shared" si="14"/>
        <v>1677478.6015391052</v>
      </c>
      <c r="R84" s="31">
        <f t="shared" si="14"/>
        <v>1677478.6015391052</v>
      </c>
      <c r="S84" s="31">
        <f t="shared" si="14"/>
        <v>1677478.6015391052</v>
      </c>
      <c r="T84" s="31">
        <f t="shared" si="14"/>
        <v>1677478.6015391052</v>
      </c>
      <c r="U84" s="31">
        <f t="shared" si="14"/>
        <v>1677478.6015391052</v>
      </c>
      <c r="V84" s="31">
        <f t="shared" si="14"/>
        <v>1677478.6015391052</v>
      </c>
      <c r="W84" s="31">
        <f t="shared" si="14"/>
        <v>1677478.6015391052</v>
      </c>
      <c r="X84" s="31">
        <f t="shared" si="14"/>
        <v>1273959.8544066697</v>
      </c>
      <c r="Y84" s="31">
        <f t="shared" si="14"/>
        <v>870441.10727423429</v>
      </c>
      <c r="Z84" s="31">
        <f t="shared" si="14"/>
        <v>870441.10727423429</v>
      </c>
      <c r="AA84" s="31">
        <f t="shared" si="14"/>
        <v>870441.10727423429</v>
      </c>
      <c r="AB84" s="31">
        <f t="shared" si="14"/>
        <v>870441.10727423429</v>
      </c>
      <c r="AC84" s="31">
        <f>AC64</f>
        <v>59616725.386823654</v>
      </c>
      <c r="AD84" s="31">
        <f>AD64</f>
        <v>59616725.386823654</v>
      </c>
      <c r="AE84" s="31">
        <f>AE64</f>
        <v>59616725.386823654</v>
      </c>
      <c r="AF84" s="31">
        <f>AF64</f>
        <v>59616725.386823654</v>
      </c>
      <c r="AG84" s="31">
        <f>AG64</f>
        <v>59616725.386823654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823246.12889550719</v>
      </c>
      <c r="J87" s="179">
        <f t="shared" si="16"/>
        <v>1072201.2166435416</v>
      </c>
      <c r="K87" s="179">
        <f t="shared" si="16"/>
        <v>482417.00362202339</v>
      </c>
      <c r="L87" s="179">
        <f t="shared" si="16"/>
        <v>482417.00362202339</v>
      </c>
      <c r="M87" s="179">
        <f t="shared" si="16"/>
        <v>482417.00362202339</v>
      </c>
      <c r="N87" s="179">
        <f t="shared" si="16"/>
        <v>131692.20874273451</v>
      </c>
      <c r="O87" s="179">
        <f t="shared" si="16"/>
        <v>131692.20874273451</v>
      </c>
      <c r="P87" s="179">
        <f t="shared" si="16"/>
        <v>131692.20874273451</v>
      </c>
      <c r="Q87" s="179">
        <f t="shared" si="16"/>
        <v>-72047.553320732201</v>
      </c>
      <c r="R87" s="179">
        <f t="shared" si="16"/>
        <v>-72047.553320732201</v>
      </c>
      <c r="S87" s="179">
        <f t="shared" si="16"/>
        <v>131692.20874273451</v>
      </c>
      <c r="T87" s="179">
        <f t="shared" si="16"/>
        <v>131692.20874273451</v>
      </c>
      <c r="U87" s="179">
        <f t="shared" si="16"/>
        <v>131692.20874273451</v>
      </c>
      <c r="V87" s="179">
        <f t="shared" si="16"/>
        <v>131692.20874273451</v>
      </c>
      <c r="W87" s="179">
        <f t="shared" si="16"/>
        <v>131692.20874273451</v>
      </c>
      <c r="X87" s="179">
        <f t="shared" si="16"/>
        <v>-88717.555013033794</v>
      </c>
      <c r="Y87" s="179">
        <f t="shared" si="16"/>
        <v>24459.179718536325</v>
      </c>
      <c r="Z87" s="179">
        <f t="shared" si="16"/>
        <v>358045.67820587481</v>
      </c>
      <c r="AA87" s="179">
        <f t="shared" si="16"/>
        <v>358045.67820587481</v>
      </c>
      <c r="AB87" s="179">
        <f t="shared" si="16"/>
        <v>358045.67820587481</v>
      </c>
      <c r="AC87" s="179">
        <f>SUM(AC82:AC86)</f>
        <v>59104329.957755297</v>
      </c>
      <c r="AD87" s="179">
        <f>SUM(AD82:AD86)</f>
        <v>59104329.957755297</v>
      </c>
      <c r="AE87" s="179">
        <f>SUM(AE82:AE86)</f>
        <v>59104329.957755297</v>
      </c>
      <c r="AF87" s="179">
        <f>SUM(AF82:AF86)</f>
        <v>59104329.957755297</v>
      </c>
      <c r="AG87" s="179">
        <f>SUM(AG82:AG86)</f>
        <v>59104329.957755297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5NPV</v>
      </c>
      <c r="I106" s="31">
        <f>I87</f>
        <v>823246.12889550719</v>
      </c>
      <c r="J106" s="31">
        <f t="shared" ref="J106:AG106" si="17">J87</f>
        <v>1072201.2166435416</v>
      </c>
      <c r="K106" s="31">
        <f t="shared" si="17"/>
        <v>482417.00362202339</v>
      </c>
      <c r="L106" s="31">
        <f t="shared" si="17"/>
        <v>482417.00362202339</v>
      </c>
      <c r="M106" s="31">
        <f t="shared" si="17"/>
        <v>482417.00362202339</v>
      </c>
      <c r="N106" s="31">
        <f t="shared" si="17"/>
        <v>131692.20874273451</v>
      </c>
      <c r="O106" s="31">
        <f t="shared" si="17"/>
        <v>131692.20874273451</v>
      </c>
      <c r="P106" s="31">
        <f t="shared" si="17"/>
        <v>131692.20874273451</v>
      </c>
      <c r="Q106" s="31">
        <f t="shared" si="17"/>
        <v>-72047.553320732201</v>
      </c>
      <c r="R106" s="31">
        <f t="shared" si="17"/>
        <v>-72047.553320732201</v>
      </c>
      <c r="S106" s="31">
        <f t="shared" si="17"/>
        <v>131692.20874273451</v>
      </c>
      <c r="T106" s="31">
        <f t="shared" si="17"/>
        <v>131692.20874273451</v>
      </c>
      <c r="U106" s="31">
        <f t="shared" si="17"/>
        <v>131692.20874273451</v>
      </c>
      <c r="V106" s="31">
        <f t="shared" si="17"/>
        <v>131692.20874273451</v>
      </c>
      <c r="W106" s="31">
        <f t="shared" si="17"/>
        <v>131692.20874273451</v>
      </c>
      <c r="X106" s="31">
        <f t="shared" si="17"/>
        <v>-88717.555013033794</v>
      </c>
      <c r="Y106" s="31">
        <f t="shared" si="17"/>
        <v>24459.179718536325</v>
      </c>
      <c r="Z106" s="31">
        <f t="shared" si="17"/>
        <v>358045.67820587481</v>
      </c>
      <c r="AA106" s="31">
        <f t="shared" si="17"/>
        <v>358045.67820587481</v>
      </c>
      <c r="AB106" s="31">
        <f t="shared" si="17"/>
        <v>358045.67820587481</v>
      </c>
      <c r="AC106" s="31">
        <f t="shared" si="17"/>
        <v>59104329.957755297</v>
      </c>
      <c r="AD106" s="31">
        <f t="shared" si="17"/>
        <v>59104329.957755297</v>
      </c>
      <c r="AE106" s="31">
        <f t="shared" si="17"/>
        <v>59104329.957755297</v>
      </c>
      <c r="AF106" s="31">
        <f t="shared" si="17"/>
        <v>59104329.957755297</v>
      </c>
      <c r="AG106" s="31">
        <f t="shared" si="17"/>
        <v>59104329.957755297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8">J82</f>
        <v>-589784.2130215182</v>
      </c>
      <c r="K107" s="31">
        <f t="shared" si="18"/>
        <v>-1179568.4260430364</v>
      </c>
      <c r="L107" s="31">
        <f t="shared" si="18"/>
        <v>-1179568.4260430364</v>
      </c>
      <c r="M107" s="31">
        <f t="shared" si="18"/>
        <v>-1179568.4260430364</v>
      </c>
      <c r="N107" s="31">
        <f t="shared" si="18"/>
        <v>-1179568.4260430364</v>
      </c>
      <c r="O107" s="31">
        <f t="shared" si="18"/>
        <v>-1179568.4260430364</v>
      </c>
      <c r="P107" s="31">
        <f t="shared" si="18"/>
        <v>-1179568.4260430364</v>
      </c>
      <c r="Q107" s="31">
        <f t="shared" si="18"/>
        <v>-1179568.4260430364</v>
      </c>
      <c r="R107" s="31">
        <f t="shared" si="18"/>
        <v>-1179568.4260430364</v>
      </c>
      <c r="S107" s="31">
        <f t="shared" si="18"/>
        <v>-1179568.4260430364</v>
      </c>
      <c r="T107" s="31">
        <f t="shared" si="18"/>
        <v>-1179568.4260430364</v>
      </c>
      <c r="U107" s="31">
        <f t="shared" si="18"/>
        <v>-1179568.4260430364</v>
      </c>
      <c r="V107" s="31">
        <f t="shared" si="18"/>
        <v>-1179568.4260430364</v>
      </c>
      <c r="W107" s="31">
        <f t="shared" si="18"/>
        <v>-1179568.4260430364</v>
      </c>
      <c r="X107" s="31">
        <f t="shared" si="18"/>
        <v>-1179568.4260430364</v>
      </c>
      <c r="Y107" s="31">
        <f t="shared" si="18"/>
        <v>-845981.92755569797</v>
      </c>
      <c r="Z107" s="31">
        <f t="shared" si="18"/>
        <v>-512395.42906835949</v>
      </c>
      <c r="AA107" s="31">
        <f t="shared" si="18"/>
        <v>-512395.42906835949</v>
      </c>
      <c r="AB107" s="31">
        <f t="shared" si="18"/>
        <v>-512395.42906835949</v>
      </c>
      <c r="AC107" s="31">
        <f t="shared" si="18"/>
        <v>-512395.42906835949</v>
      </c>
      <c r="AD107" s="31">
        <f t="shared" si="18"/>
        <v>-512395.42906835949</v>
      </c>
      <c r="AE107" s="31">
        <f t="shared" si="18"/>
        <v>-512395.42906835949</v>
      </c>
      <c r="AF107" s="31">
        <f t="shared" si="18"/>
        <v>-512395.42906835949</v>
      </c>
      <c r="AG107" s="31">
        <f t="shared" si="18"/>
        <v>-512395.42906835949</v>
      </c>
    </row>
    <row r="108" spans="1:43" x14ac:dyDescent="0.2">
      <c r="C108" s="1" t="s">
        <v>239</v>
      </c>
      <c r="D108"/>
      <c r="E108"/>
      <c r="F108"/>
      <c r="G108"/>
      <c r="I108" s="31">
        <f>SUM(I84:I85)</f>
        <v>838739.30076955259</v>
      </c>
      <c r="J108" s="31">
        <f t="shared" ref="J108:AG108" si="19">SUM(J84:J85)</f>
        <v>1677478.6015391052</v>
      </c>
      <c r="K108" s="31">
        <f t="shared" si="19"/>
        <v>1677478.6015391052</v>
      </c>
      <c r="L108" s="31">
        <f t="shared" si="19"/>
        <v>1677478.6015391052</v>
      </c>
      <c r="M108" s="31">
        <f t="shared" si="19"/>
        <v>1677478.6015391052</v>
      </c>
      <c r="N108" s="31">
        <f t="shared" si="19"/>
        <v>1677478.6015391052</v>
      </c>
      <c r="O108" s="31">
        <f t="shared" si="19"/>
        <v>1677478.6015391052</v>
      </c>
      <c r="P108" s="31">
        <f t="shared" si="19"/>
        <v>1677478.6015391052</v>
      </c>
      <c r="Q108" s="31">
        <f t="shared" si="19"/>
        <v>1677478.6015391052</v>
      </c>
      <c r="R108" s="31">
        <f t="shared" si="19"/>
        <v>1677478.6015391052</v>
      </c>
      <c r="S108" s="31">
        <f t="shared" si="19"/>
        <v>1677478.6015391052</v>
      </c>
      <c r="T108" s="31">
        <f t="shared" si="19"/>
        <v>1677478.6015391052</v>
      </c>
      <c r="U108" s="31">
        <f t="shared" si="19"/>
        <v>1677478.6015391052</v>
      </c>
      <c r="V108" s="31">
        <f t="shared" si="19"/>
        <v>1677478.6015391052</v>
      </c>
      <c r="W108" s="31">
        <f t="shared" si="19"/>
        <v>1677478.6015391052</v>
      </c>
      <c r="X108" s="31">
        <f t="shared" si="19"/>
        <v>1273959.8544066697</v>
      </c>
      <c r="Y108" s="31">
        <f t="shared" si="19"/>
        <v>870441.10727423429</v>
      </c>
      <c r="Z108" s="31">
        <f t="shared" si="19"/>
        <v>870441.10727423429</v>
      </c>
      <c r="AA108" s="31">
        <f t="shared" si="19"/>
        <v>870441.10727423429</v>
      </c>
      <c r="AB108" s="31">
        <f t="shared" si="19"/>
        <v>870441.10727423429</v>
      </c>
      <c r="AC108" s="31">
        <f t="shared" si="19"/>
        <v>59616725.386823654</v>
      </c>
      <c r="AD108" s="31">
        <f t="shared" si="19"/>
        <v>59616725.386823654</v>
      </c>
      <c r="AE108" s="31">
        <f t="shared" si="19"/>
        <v>59616725.386823654</v>
      </c>
      <c r="AF108" s="31">
        <f t="shared" si="19"/>
        <v>59616725.386823654</v>
      </c>
      <c r="AG108" s="31">
        <f t="shared" si="19"/>
        <v>59616725.386823654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823246.12889550719</v>
      </c>
      <c r="J110" s="31" cm="1">
        <f t="array" ref="J110">J$106+IF($C110&lt;&gt;0,SUMPRODUCT((J$107:J$108)*TRANSPOSE(($D110:$E110))),0)</f>
        <v>1013222.7953413897</v>
      </c>
      <c r="K110" s="31" cm="1">
        <f t="array" ref="K110">K$106+IF($C110&lt;&gt;0,SUMPRODUCT((K$107:K$108)*TRANSPOSE(($D110:$E110))),0)</f>
        <v>364460.16101771977</v>
      </c>
      <c r="L110" s="31" cm="1">
        <f t="array" ref="L110">L$106+IF($C110&lt;&gt;0,SUMPRODUCT((L$107:L$108)*TRANSPOSE(($D110:$E110))),0)</f>
        <v>364460.16101771977</v>
      </c>
      <c r="M110" s="31" cm="1">
        <f t="array" ref="M110">M$106+IF($C110&lt;&gt;0,SUMPRODUCT((M$107:M$108)*TRANSPOSE(($D110:$E110))),0)</f>
        <v>364460.16101771977</v>
      </c>
      <c r="N110" s="31" cm="1">
        <f t="array" ref="N110">N$106+IF($C110&lt;&gt;0,SUMPRODUCT((N$107:N$108)*TRANSPOSE(($D110:$E110))),0)</f>
        <v>13735.366138430865</v>
      </c>
      <c r="O110" s="31" cm="1">
        <f t="array" ref="O110">O$106+IF($C110&lt;&gt;0,SUMPRODUCT((O$107:O$108)*TRANSPOSE(($D110:$E110))),0)</f>
        <v>13735.366138430865</v>
      </c>
      <c r="P110" s="31" cm="1">
        <f t="array" ref="P110">P$106+IF($C110&lt;&gt;0,SUMPRODUCT((P$107:P$108)*TRANSPOSE(($D110:$E110))),0)</f>
        <v>13735.366138430865</v>
      </c>
      <c r="Q110" s="31" cm="1">
        <f t="array" ref="Q110">Q$106+IF($C110&lt;&gt;0,SUMPRODUCT((Q$107:Q$108)*TRANSPOSE(($D110:$E110))),0)</f>
        <v>-190004.39592503585</v>
      </c>
      <c r="R110" s="31" cm="1">
        <f t="array" ref="R110">R$106+IF($C110&lt;&gt;0,SUMPRODUCT((R$107:R$108)*TRANSPOSE(($D110:$E110))),0)</f>
        <v>-190004.39592503585</v>
      </c>
      <c r="S110" s="31" cm="1">
        <f t="array" ref="S110">S$106+IF($C110&lt;&gt;0,SUMPRODUCT((S$107:S$108)*TRANSPOSE(($D110:$E110))),0)</f>
        <v>13735.366138430865</v>
      </c>
      <c r="T110" s="31" cm="1">
        <f t="array" ref="T110">T$106+IF($C110&lt;&gt;0,SUMPRODUCT((T$107:T$108)*TRANSPOSE(($D110:$E110))),0)</f>
        <v>13735.366138430865</v>
      </c>
      <c r="U110" s="31" cm="1">
        <f t="array" ref="U110">U$106+IF($C110&lt;&gt;0,SUMPRODUCT((U$107:U$108)*TRANSPOSE(($D110:$E110))),0)</f>
        <v>13735.366138430865</v>
      </c>
      <c r="V110" s="31" cm="1">
        <f t="array" ref="V110">V$106+IF($C110&lt;&gt;0,SUMPRODUCT((V$107:V$108)*TRANSPOSE(($D110:$E110))),0)</f>
        <v>13735.366138430865</v>
      </c>
      <c r="W110" s="31" cm="1">
        <f t="array" ref="W110">W$106+IF($C110&lt;&gt;0,SUMPRODUCT((W$107:W$108)*TRANSPOSE(($D110:$E110))),0)</f>
        <v>13735.366138430865</v>
      </c>
      <c r="X110" s="31" cm="1">
        <f t="array" ref="X110">X$106+IF($C110&lt;&gt;0,SUMPRODUCT((X$107:X$108)*TRANSPOSE(($D110:$E110))),0)</f>
        <v>-206674.39761733744</v>
      </c>
      <c r="Y110" s="31" cm="1">
        <f t="array" ref="Y110">Y$106+IF($C110&lt;&gt;0,SUMPRODUCT((Y$107:Y$108)*TRANSPOSE(($D110:$E110))),0)</f>
        <v>-60139.013037033481</v>
      </c>
      <c r="Z110" s="31" cm="1">
        <f t="array" ref="Z110">Z$106+IF($C110&lt;&gt;0,SUMPRODUCT((Z$107:Z$108)*TRANSPOSE(($D110:$E110))),0)</f>
        <v>306806.13529903884</v>
      </c>
      <c r="AA110" s="31" cm="1">
        <f t="array" ref="AA110">AA$106+IF($C110&lt;&gt;0,SUMPRODUCT((AA$107:AA$108)*TRANSPOSE(($D110:$E110))),0)</f>
        <v>306806.13529903884</v>
      </c>
      <c r="AB110" s="31" cm="1">
        <f t="array" ref="AB110">AB$106+IF($C110&lt;&gt;0,SUMPRODUCT((AB$107:AB$108)*TRANSPOSE(($D110:$E110))),0)</f>
        <v>306806.13529903884</v>
      </c>
      <c r="AC110" s="31" cm="1">
        <f t="array" ref="AC110">AC$106+IF($C110&lt;&gt;0,SUMPRODUCT((AC$107:AC$108)*TRANSPOSE(($D110:$E110))),0)</f>
        <v>59053090.414848462</v>
      </c>
      <c r="AD110" s="31" cm="1">
        <f t="array" ref="AD110">AD$106+IF($C110&lt;&gt;0,SUMPRODUCT((AD$107:AD$108)*TRANSPOSE(($D110:$E110))),0)</f>
        <v>59053090.414848462</v>
      </c>
      <c r="AE110" s="31" cm="1">
        <f t="array" ref="AE110">AE$106+IF($C110&lt;&gt;0,SUMPRODUCT((AE$107:AE$108)*TRANSPOSE(($D110:$E110))),0)</f>
        <v>59053090.414848462</v>
      </c>
      <c r="AF110" s="31" cm="1">
        <f t="array" ref="AF110">AF$106+IF($C110&lt;&gt;0,SUMPRODUCT((AF$107:AF$108)*TRANSPOSE(($D110:$E110))),0)</f>
        <v>59053090.414848462</v>
      </c>
      <c r="AG110" s="31" cm="1">
        <f t="array" ref="AG110">AG$106+IF($C110&lt;&gt;0,SUMPRODUCT((AG$107:AG$108)*TRANSPOSE(($D110:$E110))),0)</f>
        <v>59053090.414848462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5sens2</v>
      </c>
      <c r="I111" s="31" cm="1">
        <f t="array" ref="I111">I$106+IF($C111&lt;&gt;0,SUMPRODUCT((I$107:I$108)*TRANSPOSE(($D111:$E111))),0)</f>
        <v>823246.12889550719</v>
      </c>
      <c r="J111" s="31" cm="1">
        <f t="array" ref="J111">J$106+IF($C111&lt;&gt;0,SUMPRODUCT((J$107:J$108)*TRANSPOSE(($D111:$E111))),0)</f>
        <v>1131179.6379456935</v>
      </c>
      <c r="K111" s="31" cm="1">
        <f t="array" ref="K111">K$106+IF($C111&lt;&gt;0,SUMPRODUCT((K$107:K$108)*TRANSPOSE(($D111:$E111))),0)</f>
        <v>600373.846226327</v>
      </c>
      <c r="L111" s="31" cm="1">
        <f t="array" ref="L111">L$106+IF($C111&lt;&gt;0,SUMPRODUCT((L$107:L$108)*TRANSPOSE(($D111:$E111))),0)</f>
        <v>600373.846226327</v>
      </c>
      <c r="M111" s="31" cm="1">
        <f t="array" ref="M111">M$106+IF($C111&lt;&gt;0,SUMPRODUCT((M$107:M$108)*TRANSPOSE(($D111:$E111))),0)</f>
        <v>600373.846226327</v>
      </c>
      <c r="N111" s="31" cm="1">
        <f t="array" ref="N111">N$106+IF($C111&lt;&gt;0,SUMPRODUCT((N$107:N$108)*TRANSPOSE(($D111:$E111))),0)</f>
        <v>249649.05134703816</v>
      </c>
      <c r="O111" s="31" cm="1">
        <f t="array" ref="O111">O$106+IF($C111&lt;&gt;0,SUMPRODUCT((O$107:O$108)*TRANSPOSE(($D111:$E111))),0)</f>
        <v>249649.05134703816</v>
      </c>
      <c r="P111" s="31" cm="1">
        <f t="array" ref="P111">P$106+IF($C111&lt;&gt;0,SUMPRODUCT((P$107:P$108)*TRANSPOSE(($D111:$E111))),0)</f>
        <v>249649.05134703816</v>
      </c>
      <c r="Q111" s="31" cm="1">
        <f t="array" ref="Q111">Q$106+IF($C111&lt;&gt;0,SUMPRODUCT((Q$107:Q$108)*TRANSPOSE(($D111:$E111))),0)</f>
        <v>45909.289283571445</v>
      </c>
      <c r="R111" s="31" cm="1">
        <f t="array" ref="R111">R$106+IF($C111&lt;&gt;0,SUMPRODUCT((R$107:R$108)*TRANSPOSE(($D111:$E111))),0)</f>
        <v>45909.289283571445</v>
      </c>
      <c r="S111" s="31" cm="1">
        <f t="array" ref="S111">S$106+IF($C111&lt;&gt;0,SUMPRODUCT((S$107:S$108)*TRANSPOSE(($D111:$E111))),0)</f>
        <v>249649.05134703816</v>
      </c>
      <c r="T111" s="31" cm="1">
        <f t="array" ref="T111">T$106+IF($C111&lt;&gt;0,SUMPRODUCT((T$107:T$108)*TRANSPOSE(($D111:$E111))),0)</f>
        <v>249649.05134703816</v>
      </c>
      <c r="U111" s="31" cm="1">
        <f t="array" ref="U111">U$106+IF($C111&lt;&gt;0,SUMPRODUCT((U$107:U$108)*TRANSPOSE(($D111:$E111))),0)</f>
        <v>249649.05134703816</v>
      </c>
      <c r="V111" s="31" cm="1">
        <f t="array" ref="V111">V$106+IF($C111&lt;&gt;0,SUMPRODUCT((V$107:V$108)*TRANSPOSE(($D111:$E111))),0)</f>
        <v>249649.05134703816</v>
      </c>
      <c r="W111" s="31" cm="1">
        <f t="array" ref="W111">W$106+IF($C111&lt;&gt;0,SUMPRODUCT((W$107:W$108)*TRANSPOSE(($D111:$E111))),0)</f>
        <v>249649.05134703816</v>
      </c>
      <c r="X111" s="31" cm="1">
        <f t="array" ref="X111">X$106+IF($C111&lt;&gt;0,SUMPRODUCT((X$107:X$108)*TRANSPOSE(($D111:$E111))),0)</f>
        <v>29239.287591269851</v>
      </c>
      <c r="Y111" s="31" cm="1">
        <f t="array" ref="Y111">Y$106+IF($C111&lt;&gt;0,SUMPRODUCT((Y$107:Y$108)*TRANSPOSE(($D111:$E111))),0)</f>
        <v>109057.37247410613</v>
      </c>
      <c r="Z111" s="31" cm="1">
        <f t="array" ref="Z111">Z$106+IF($C111&lt;&gt;0,SUMPRODUCT((Z$107:Z$108)*TRANSPOSE(($D111:$E111))),0)</f>
        <v>409285.22111271077</v>
      </c>
      <c r="AA111" s="31" cm="1">
        <f t="array" ref="AA111">AA$106+IF($C111&lt;&gt;0,SUMPRODUCT((AA$107:AA$108)*TRANSPOSE(($D111:$E111))),0)</f>
        <v>409285.22111271077</v>
      </c>
      <c r="AB111" s="31" cm="1">
        <f t="array" ref="AB111">AB$106+IF($C111&lt;&gt;0,SUMPRODUCT((AB$107:AB$108)*TRANSPOSE(($D111:$E111))),0)</f>
        <v>409285.22111271077</v>
      </c>
      <c r="AC111" s="31" cm="1">
        <f t="array" ref="AC111">AC$106+IF($C111&lt;&gt;0,SUMPRODUCT((AC$107:AC$108)*TRANSPOSE(($D111:$E111))),0)</f>
        <v>59155569.500662133</v>
      </c>
      <c r="AD111" s="31" cm="1">
        <f t="array" ref="AD111">AD$106+IF($C111&lt;&gt;0,SUMPRODUCT((AD$107:AD$108)*TRANSPOSE(($D111:$E111))),0)</f>
        <v>59155569.500662133</v>
      </c>
      <c r="AE111" s="31" cm="1">
        <f t="array" ref="AE111">AE$106+IF($C111&lt;&gt;0,SUMPRODUCT((AE$107:AE$108)*TRANSPOSE(($D111:$E111))),0)</f>
        <v>59155569.500662133</v>
      </c>
      <c r="AF111" s="31" cm="1">
        <f t="array" ref="AF111">AF$106+IF($C111&lt;&gt;0,SUMPRODUCT((AF$107:AF$108)*TRANSPOSE(($D111:$E111))),0)</f>
        <v>59155569.500662133</v>
      </c>
      <c r="AG111" s="31" cm="1">
        <f t="array" ref="AG111">AG$106+IF($C111&lt;&gt;0,SUMPRODUCT((AG$107:AG$108)*TRANSPOSE(($D111:$E111))),0)</f>
        <v>59155569.500662133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5sens3</v>
      </c>
      <c r="I112" s="31" cm="1">
        <f t="array" ref="I112">I$106+IF($C112&lt;&gt;0,SUMPRODUCT((I$107:I$108)*TRANSPOSE(($D112:$E112))),0)</f>
        <v>907120.05897246243</v>
      </c>
      <c r="J112" s="31" cm="1">
        <f t="array" ref="J112">J$106+IF($C112&lt;&gt;0,SUMPRODUCT((J$107:J$108)*TRANSPOSE(($D112:$E112))),0)</f>
        <v>1239949.0767974521</v>
      </c>
      <c r="K112" s="31" cm="1">
        <f t="array" ref="K112">K$106+IF($C112&lt;&gt;0,SUMPRODUCT((K$107:K$108)*TRANSPOSE(($D112:$E112))),0)</f>
        <v>650164.86377593386</v>
      </c>
      <c r="L112" s="31" cm="1">
        <f t="array" ref="L112">L$106+IF($C112&lt;&gt;0,SUMPRODUCT((L$107:L$108)*TRANSPOSE(($D112:$E112))),0)</f>
        <v>650164.86377593386</v>
      </c>
      <c r="M112" s="31" cm="1">
        <f t="array" ref="M112">M$106+IF($C112&lt;&gt;0,SUMPRODUCT((M$107:M$108)*TRANSPOSE(($D112:$E112))),0)</f>
        <v>650164.86377593386</v>
      </c>
      <c r="N112" s="31" cm="1">
        <f t="array" ref="N112">N$106+IF($C112&lt;&gt;0,SUMPRODUCT((N$107:N$108)*TRANSPOSE(($D112:$E112))),0)</f>
        <v>299440.06889664504</v>
      </c>
      <c r="O112" s="31" cm="1">
        <f t="array" ref="O112">O$106+IF($C112&lt;&gt;0,SUMPRODUCT((O$107:O$108)*TRANSPOSE(($D112:$E112))),0)</f>
        <v>299440.06889664504</v>
      </c>
      <c r="P112" s="31" cm="1">
        <f t="array" ref="P112">P$106+IF($C112&lt;&gt;0,SUMPRODUCT((P$107:P$108)*TRANSPOSE(($D112:$E112))),0)</f>
        <v>299440.06889664504</v>
      </c>
      <c r="Q112" s="31" cm="1">
        <f t="array" ref="Q112">Q$106+IF($C112&lt;&gt;0,SUMPRODUCT((Q$107:Q$108)*TRANSPOSE(($D112:$E112))),0)</f>
        <v>95700.306833178329</v>
      </c>
      <c r="R112" s="31" cm="1">
        <f t="array" ref="R112">R$106+IF($C112&lt;&gt;0,SUMPRODUCT((R$107:R$108)*TRANSPOSE(($D112:$E112))),0)</f>
        <v>95700.306833178329</v>
      </c>
      <c r="S112" s="31" cm="1">
        <f t="array" ref="S112">S$106+IF($C112&lt;&gt;0,SUMPRODUCT((S$107:S$108)*TRANSPOSE(($D112:$E112))),0)</f>
        <v>299440.06889664504</v>
      </c>
      <c r="T112" s="31" cm="1">
        <f t="array" ref="T112">T$106+IF($C112&lt;&gt;0,SUMPRODUCT((T$107:T$108)*TRANSPOSE(($D112:$E112))),0)</f>
        <v>299440.06889664504</v>
      </c>
      <c r="U112" s="31" cm="1">
        <f t="array" ref="U112">U$106+IF($C112&lt;&gt;0,SUMPRODUCT((U$107:U$108)*TRANSPOSE(($D112:$E112))),0)</f>
        <v>299440.06889664504</v>
      </c>
      <c r="V112" s="31" cm="1">
        <f t="array" ref="V112">V$106+IF($C112&lt;&gt;0,SUMPRODUCT((V$107:V$108)*TRANSPOSE(($D112:$E112))),0)</f>
        <v>299440.06889664504</v>
      </c>
      <c r="W112" s="31" cm="1">
        <f t="array" ref="W112">W$106+IF($C112&lt;&gt;0,SUMPRODUCT((W$107:W$108)*TRANSPOSE(($D112:$E112))),0)</f>
        <v>299440.06889664504</v>
      </c>
      <c r="X112" s="31" cm="1">
        <f t="array" ref="X112">X$106+IF($C112&lt;&gt;0,SUMPRODUCT((X$107:X$108)*TRANSPOSE(($D112:$E112))),0)</f>
        <v>38678.430427633182</v>
      </c>
      <c r="Y112" s="31" cm="1">
        <f t="array" ref="Y112">Y$106+IF($C112&lt;&gt;0,SUMPRODUCT((Y$107:Y$108)*TRANSPOSE(($D112:$E112))),0)</f>
        <v>111503.29044595976</v>
      </c>
      <c r="Z112" s="31" cm="1">
        <f t="array" ref="Z112">Z$106+IF($C112&lt;&gt;0,SUMPRODUCT((Z$107:Z$108)*TRANSPOSE(($D112:$E112))),0)</f>
        <v>445089.78893329826</v>
      </c>
      <c r="AA112" s="31" cm="1">
        <f t="array" ref="AA112">AA$106+IF($C112&lt;&gt;0,SUMPRODUCT((AA$107:AA$108)*TRANSPOSE(($D112:$E112))),0)</f>
        <v>445089.78893329826</v>
      </c>
      <c r="AB112" s="31" cm="1">
        <f t="array" ref="AB112">AB$106+IF($C112&lt;&gt;0,SUMPRODUCT((AB$107:AB$108)*TRANSPOSE(($D112:$E112))),0)</f>
        <v>445089.78893329826</v>
      </c>
      <c r="AC112" s="31" cm="1">
        <f t="array" ref="AC112">AC$106+IF($C112&lt;&gt;0,SUMPRODUCT((AC$107:AC$108)*TRANSPOSE(($D112:$E112))),0)</f>
        <v>65066002.496437661</v>
      </c>
      <c r="AD112" s="31" cm="1">
        <f t="array" ref="AD112">AD$106+IF($C112&lt;&gt;0,SUMPRODUCT((AD$107:AD$108)*TRANSPOSE(($D112:$E112))),0)</f>
        <v>65066002.496437661</v>
      </c>
      <c r="AE112" s="31" cm="1">
        <f t="array" ref="AE112">AE$106+IF($C112&lt;&gt;0,SUMPRODUCT((AE$107:AE$108)*TRANSPOSE(($D112:$E112))),0)</f>
        <v>65066002.496437661</v>
      </c>
      <c r="AF112" s="31" cm="1">
        <f t="array" ref="AF112">AF$106+IF($C112&lt;&gt;0,SUMPRODUCT((AF$107:AF$108)*TRANSPOSE(($D112:$E112))),0)</f>
        <v>65066002.496437661</v>
      </c>
      <c r="AG112" s="31" cm="1">
        <f t="array" ref="AG112">AG$106+IF($C112&lt;&gt;0,SUMPRODUCT((AG$107:AG$108)*TRANSPOSE(($D112:$E112))),0)</f>
        <v>65066002.496437661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5sens4</v>
      </c>
      <c r="I113" s="31" cm="1">
        <f t="array" ref="I113">I$106+IF($C113&lt;&gt;0,SUMPRODUCT((I$107:I$108)*TRANSPOSE(($D113:$E113))),0)</f>
        <v>739372.19881855196</v>
      </c>
      <c r="J113" s="31" cm="1">
        <f t="array" ref="J113">J$106+IF($C113&lt;&gt;0,SUMPRODUCT((J$107:J$108)*TRANSPOSE(($D113:$E113))),0)</f>
        <v>904453.35648963111</v>
      </c>
      <c r="K113" s="31" cm="1">
        <f t="array" ref="K113">K$106+IF($C113&lt;&gt;0,SUMPRODUCT((K$107:K$108)*TRANSPOSE(($D113:$E113))),0)</f>
        <v>314669.14346811286</v>
      </c>
      <c r="L113" s="31" cm="1">
        <f t="array" ref="L113">L$106+IF($C113&lt;&gt;0,SUMPRODUCT((L$107:L$108)*TRANSPOSE(($D113:$E113))),0)</f>
        <v>314669.14346811286</v>
      </c>
      <c r="M113" s="31" cm="1">
        <f t="array" ref="M113">M$106+IF($C113&lt;&gt;0,SUMPRODUCT((M$107:M$108)*TRANSPOSE(($D113:$E113))),0)</f>
        <v>314669.14346811286</v>
      </c>
      <c r="N113" s="31" cm="1">
        <f t="array" ref="N113">N$106+IF($C113&lt;&gt;0,SUMPRODUCT((N$107:N$108)*TRANSPOSE(($D113:$E113))),0)</f>
        <v>-36055.651411176019</v>
      </c>
      <c r="O113" s="31" cm="1">
        <f t="array" ref="O113">O$106+IF($C113&lt;&gt;0,SUMPRODUCT((O$107:O$108)*TRANSPOSE(($D113:$E113))),0)</f>
        <v>-36055.651411176019</v>
      </c>
      <c r="P113" s="31" cm="1">
        <f t="array" ref="P113">P$106+IF($C113&lt;&gt;0,SUMPRODUCT((P$107:P$108)*TRANSPOSE(($D113:$E113))),0)</f>
        <v>-36055.651411176019</v>
      </c>
      <c r="Q113" s="31" cm="1">
        <f t="array" ref="Q113">Q$106+IF($C113&lt;&gt;0,SUMPRODUCT((Q$107:Q$108)*TRANSPOSE(($D113:$E113))),0)</f>
        <v>-239795.41347464273</v>
      </c>
      <c r="R113" s="31" cm="1">
        <f t="array" ref="R113">R$106+IF($C113&lt;&gt;0,SUMPRODUCT((R$107:R$108)*TRANSPOSE(($D113:$E113))),0)</f>
        <v>-239795.41347464273</v>
      </c>
      <c r="S113" s="31" cm="1">
        <f t="array" ref="S113">S$106+IF($C113&lt;&gt;0,SUMPRODUCT((S$107:S$108)*TRANSPOSE(($D113:$E113))),0)</f>
        <v>-36055.651411176019</v>
      </c>
      <c r="T113" s="31" cm="1">
        <f t="array" ref="T113">T$106+IF($C113&lt;&gt;0,SUMPRODUCT((T$107:T$108)*TRANSPOSE(($D113:$E113))),0)</f>
        <v>-36055.651411176019</v>
      </c>
      <c r="U113" s="31" cm="1">
        <f t="array" ref="U113">U$106+IF($C113&lt;&gt;0,SUMPRODUCT((U$107:U$108)*TRANSPOSE(($D113:$E113))),0)</f>
        <v>-36055.651411176019</v>
      </c>
      <c r="V113" s="31" cm="1">
        <f t="array" ref="V113">V$106+IF($C113&lt;&gt;0,SUMPRODUCT((V$107:V$108)*TRANSPOSE(($D113:$E113))),0)</f>
        <v>-36055.651411176019</v>
      </c>
      <c r="W113" s="31" cm="1">
        <f t="array" ref="W113">W$106+IF($C113&lt;&gt;0,SUMPRODUCT((W$107:W$108)*TRANSPOSE(($D113:$E113))),0)</f>
        <v>-36055.651411176019</v>
      </c>
      <c r="X113" s="31" cm="1">
        <f t="array" ref="X113">X$106+IF($C113&lt;&gt;0,SUMPRODUCT((X$107:X$108)*TRANSPOSE(($D113:$E113))),0)</f>
        <v>-216113.54045370076</v>
      </c>
      <c r="Y113" s="31" cm="1">
        <f t="array" ref="Y113">Y$106+IF($C113&lt;&gt;0,SUMPRODUCT((Y$107:Y$108)*TRANSPOSE(($D113:$E113))),0)</f>
        <v>-62584.931008887113</v>
      </c>
      <c r="Z113" s="31" cm="1">
        <f t="array" ref="Z113">Z$106+IF($C113&lt;&gt;0,SUMPRODUCT((Z$107:Z$108)*TRANSPOSE(($D113:$E113))),0)</f>
        <v>271001.56747845135</v>
      </c>
      <c r="AA113" s="31" cm="1">
        <f t="array" ref="AA113">AA$106+IF($C113&lt;&gt;0,SUMPRODUCT((AA$107:AA$108)*TRANSPOSE(($D113:$E113))),0)</f>
        <v>271001.56747845135</v>
      </c>
      <c r="AB113" s="31" cm="1">
        <f t="array" ref="AB113">AB$106+IF($C113&lt;&gt;0,SUMPRODUCT((AB$107:AB$108)*TRANSPOSE(($D113:$E113))),0)</f>
        <v>271001.56747845135</v>
      </c>
      <c r="AC113" s="31" cm="1">
        <f t="array" ref="AC113">AC$106+IF($C113&lt;&gt;0,SUMPRODUCT((AC$107:AC$108)*TRANSPOSE(($D113:$E113))),0)</f>
        <v>53142657.419072933</v>
      </c>
      <c r="AD113" s="31" cm="1">
        <f t="array" ref="AD113">AD$106+IF($C113&lt;&gt;0,SUMPRODUCT((AD$107:AD$108)*TRANSPOSE(($D113:$E113))),0)</f>
        <v>53142657.419072933</v>
      </c>
      <c r="AE113" s="31" cm="1">
        <f t="array" ref="AE113">AE$106+IF($C113&lt;&gt;0,SUMPRODUCT((AE$107:AE$108)*TRANSPOSE(($D113:$E113))),0)</f>
        <v>53142657.419072933</v>
      </c>
      <c r="AF113" s="31" cm="1">
        <f t="array" ref="AF113">AF$106+IF($C113&lt;&gt;0,SUMPRODUCT((AF$107:AF$108)*TRANSPOSE(($D113:$E113))),0)</f>
        <v>53142657.419072933</v>
      </c>
      <c r="AG113" s="31" cm="1">
        <f t="array" ref="AG113">AG$106+IF($C113&lt;&gt;0,SUMPRODUCT((AG$107:AG$108)*TRANSPOSE(($D113:$E113))),0)</f>
        <v>53142657.419072933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5sens5</v>
      </c>
      <c r="I114" s="31" cm="1">
        <f t="array" ref="I114">I$106+IF($C114&lt;&gt;0,SUMPRODUCT((I$107:I$108)*TRANSPOSE(($D114:$E114))),0)</f>
        <v>739372.19881855196</v>
      </c>
      <c r="J114" s="31" cm="1">
        <f t="array" ref="J114">J$106+IF($C114&lt;&gt;0,SUMPRODUCT((J$107:J$108)*TRANSPOSE(($D114:$E114))),0)</f>
        <v>845474.93518747925</v>
      </c>
      <c r="K114" s="31" cm="1">
        <f t="array" ref="K114">K$106+IF($C114&lt;&gt;0,SUMPRODUCT((K$107:K$108)*TRANSPOSE(($D114:$E114))),0)</f>
        <v>196712.30086380919</v>
      </c>
      <c r="L114" s="31" cm="1">
        <f t="array" ref="L114">L$106+IF($C114&lt;&gt;0,SUMPRODUCT((L$107:L$108)*TRANSPOSE(($D114:$E114))),0)</f>
        <v>196712.30086380919</v>
      </c>
      <c r="M114" s="31" cm="1">
        <f t="array" ref="M114">M$106+IF($C114&lt;&gt;0,SUMPRODUCT((M$107:M$108)*TRANSPOSE(($D114:$E114))),0)</f>
        <v>196712.30086380919</v>
      </c>
      <c r="N114" s="31" cm="1">
        <f t="array" ref="N114">N$106+IF($C114&lt;&gt;0,SUMPRODUCT((N$107:N$108)*TRANSPOSE(($D114:$E114))),0)</f>
        <v>-154012.49401547969</v>
      </c>
      <c r="O114" s="31" cm="1">
        <f t="array" ref="O114">O$106+IF($C114&lt;&gt;0,SUMPRODUCT((O$107:O$108)*TRANSPOSE(($D114:$E114))),0)</f>
        <v>-154012.49401547969</v>
      </c>
      <c r="P114" s="31" cm="1">
        <f t="array" ref="P114">P$106+IF($C114&lt;&gt;0,SUMPRODUCT((P$107:P$108)*TRANSPOSE(($D114:$E114))),0)</f>
        <v>-154012.49401547969</v>
      </c>
      <c r="Q114" s="31" cm="1">
        <f t="array" ref="Q114">Q$106+IF($C114&lt;&gt;0,SUMPRODUCT((Q$107:Q$108)*TRANSPOSE(($D114:$E114))),0)</f>
        <v>-357752.2560789464</v>
      </c>
      <c r="R114" s="31" cm="1">
        <f t="array" ref="R114">R$106+IF($C114&lt;&gt;0,SUMPRODUCT((R$107:R$108)*TRANSPOSE(($D114:$E114))),0)</f>
        <v>-357752.2560789464</v>
      </c>
      <c r="S114" s="31" cm="1">
        <f t="array" ref="S114">S$106+IF($C114&lt;&gt;0,SUMPRODUCT((S$107:S$108)*TRANSPOSE(($D114:$E114))),0)</f>
        <v>-154012.49401547969</v>
      </c>
      <c r="T114" s="31" cm="1">
        <f t="array" ref="T114">T$106+IF($C114&lt;&gt;0,SUMPRODUCT((T$107:T$108)*TRANSPOSE(($D114:$E114))),0)</f>
        <v>-154012.49401547969</v>
      </c>
      <c r="U114" s="31" cm="1">
        <f t="array" ref="U114">U$106+IF($C114&lt;&gt;0,SUMPRODUCT((U$107:U$108)*TRANSPOSE(($D114:$E114))),0)</f>
        <v>-154012.49401547969</v>
      </c>
      <c r="V114" s="31" cm="1">
        <f t="array" ref="V114">V$106+IF($C114&lt;&gt;0,SUMPRODUCT((V$107:V$108)*TRANSPOSE(($D114:$E114))),0)</f>
        <v>-154012.49401547969</v>
      </c>
      <c r="W114" s="31" cm="1">
        <f t="array" ref="W114">W$106+IF($C114&lt;&gt;0,SUMPRODUCT((W$107:W$108)*TRANSPOSE(($D114:$E114))),0)</f>
        <v>-154012.49401547969</v>
      </c>
      <c r="X114" s="31" cm="1">
        <f t="array" ref="X114">X$106+IF($C114&lt;&gt;0,SUMPRODUCT((X$107:X$108)*TRANSPOSE(($D114:$E114))),0)</f>
        <v>-334070.38305800443</v>
      </c>
      <c r="Y114" s="31" cm="1">
        <f t="array" ref="Y114">Y$106+IF($C114&lt;&gt;0,SUMPRODUCT((Y$107:Y$108)*TRANSPOSE(($D114:$E114))),0)</f>
        <v>-147183.12376445692</v>
      </c>
      <c r="Z114" s="31" cm="1">
        <f t="array" ref="Z114">Z$106+IF($C114&lt;&gt;0,SUMPRODUCT((Z$107:Z$108)*TRANSPOSE(($D114:$E114))),0)</f>
        <v>219762.02457161542</v>
      </c>
      <c r="AA114" s="31" cm="1">
        <f t="array" ref="AA114">AA$106+IF($C114&lt;&gt;0,SUMPRODUCT((AA$107:AA$108)*TRANSPOSE(($D114:$E114))),0)</f>
        <v>219762.02457161542</v>
      </c>
      <c r="AB114" s="31" cm="1">
        <f t="array" ref="AB114">AB$106+IF($C114&lt;&gt;0,SUMPRODUCT((AB$107:AB$108)*TRANSPOSE(($D114:$E114))),0)</f>
        <v>219762.02457161542</v>
      </c>
      <c r="AC114" s="31" cm="1">
        <f t="array" ref="AC114">AC$106+IF($C114&lt;&gt;0,SUMPRODUCT((AC$107:AC$108)*TRANSPOSE(($D114:$E114))),0)</f>
        <v>53091417.876166098</v>
      </c>
      <c r="AD114" s="31" cm="1">
        <f t="array" ref="AD114">AD$106+IF($C114&lt;&gt;0,SUMPRODUCT((AD$107:AD$108)*TRANSPOSE(($D114:$E114))),0)</f>
        <v>53091417.876166098</v>
      </c>
      <c r="AE114" s="31" cm="1">
        <f t="array" ref="AE114">AE$106+IF($C114&lt;&gt;0,SUMPRODUCT((AE$107:AE$108)*TRANSPOSE(($D114:$E114))),0)</f>
        <v>53091417.876166098</v>
      </c>
      <c r="AF114" s="31" cm="1">
        <f t="array" ref="AF114">AF$106+IF($C114&lt;&gt;0,SUMPRODUCT((AF$107:AF$108)*TRANSPOSE(($D114:$E114))),0)</f>
        <v>53091417.876166098</v>
      </c>
      <c r="AG114" s="31" cm="1">
        <f t="array" ref="AG114">AG$106+IF($C114&lt;&gt;0,SUMPRODUCT((AG$107:AG$108)*TRANSPOSE(($D114:$E114))),0)</f>
        <v>53091417.876166098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5sens</v>
      </c>
      <c r="I115" s="31" cm="1">
        <f t="array" ref="I115">I$106+IF($C115&lt;&gt;0,SUMPRODUCT((I$107:I$108)*TRANSPOSE(($D115:$E115))),0)</f>
        <v>823246.12889550719</v>
      </c>
      <c r="J115" s="31" cm="1">
        <f t="array" ref="J115">J$106+IF($C115&lt;&gt;0,SUMPRODUCT((J$107:J$108)*TRANSPOSE(($D115:$E115))),0)</f>
        <v>1072201.2166435416</v>
      </c>
      <c r="K115" s="31" cm="1">
        <f t="array" ref="K115">K$106+IF($C115&lt;&gt;0,SUMPRODUCT((K$107:K$108)*TRANSPOSE(($D115:$E115))),0)</f>
        <v>482417.00362202339</v>
      </c>
      <c r="L115" s="31" cm="1">
        <f t="array" ref="L115">L$106+IF($C115&lt;&gt;0,SUMPRODUCT((L$107:L$108)*TRANSPOSE(($D115:$E115))),0)</f>
        <v>482417.00362202339</v>
      </c>
      <c r="M115" s="31" cm="1">
        <f t="array" ref="M115">M$106+IF($C115&lt;&gt;0,SUMPRODUCT((M$107:M$108)*TRANSPOSE(($D115:$E115))),0)</f>
        <v>482417.00362202339</v>
      </c>
      <c r="N115" s="31" cm="1">
        <f t="array" ref="N115">N$106+IF($C115&lt;&gt;0,SUMPRODUCT((N$107:N$108)*TRANSPOSE(($D115:$E115))),0)</f>
        <v>131692.20874273451</v>
      </c>
      <c r="O115" s="31" cm="1">
        <f t="array" ref="O115">O$106+IF($C115&lt;&gt;0,SUMPRODUCT((O$107:O$108)*TRANSPOSE(($D115:$E115))),0)</f>
        <v>131692.20874273451</v>
      </c>
      <c r="P115" s="31" cm="1">
        <f t="array" ref="P115">P$106+IF($C115&lt;&gt;0,SUMPRODUCT((P$107:P$108)*TRANSPOSE(($D115:$E115))),0)</f>
        <v>131692.20874273451</v>
      </c>
      <c r="Q115" s="31" cm="1">
        <f t="array" ref="Q115">Q$106+IF($C115&lt;&gt;0,SUMPRODUCT((Q$107:Q$108)*TRANSPOSE(($D115:$E115))),0)</f>
        <v>-72047.553320732201</v>
      </c>
      <c r="R115" s="31" cm="1">
        <f t="array" ref="R115">R$106+IF($C115&lt;&gt;0,SUMPRODUCT((R$107:R$108)*TRANSPOSE(($D115:$E115))),0)</f>
        <v>-72047.553320732201</v>
      </c>
      <c r="S115" s="31" cm="1">
        <f t="array" ref="S115">S$106+IF($C115&lt;&gt;0,SUMPRODUCT((S$107:S$108)*TRANSPOSE(($D115:$E115))),0)</f>
        <v>131692.20874273451</v>
      </c>
      <c r="T115" s="31" cm="1">
        <f t="array" ref="T115">T$106+IF($C115&lt;&gt;0,SUMPRODUCT((T$107:T$108)*TRANSPOSE(($D115:$E115))),0)</f>
        <v>131692.20874273451</v>
      </c>
      <c r="U115" s="31" cm="1">
        <f t="array" ref="U115">U$106+IF($C115&lt;&gt;0,SUMPRODUCT((U$107:U$108)*TRANSPOSE(($D115:$E115))),0)</f>
        <v>131692.20874273451</v>
      </c>
      <c r="V115" s="31" cm="1">
        <f t="array" ref="V115">V$106+IF($C115&lt;&gt;0,SUMPRODUCT((V$107:V$108)*TRANSPOSE(($D115:$E115))),0)</f>
        <v>131692.20874273451</v>
      </c>
      <c r="W115" s="31" cm="1">
        <f t="array" ref="W115">W$106+IF($C115&lt;&gt;0,SUMPRODUCT((W$107:W$108)*TRANSPOSE(($D115:$E115))),0)</f>
        <v>131692.20874273451</v>
      </c>
      <c r="X115" s="31" cm="1">
        <f t="array" ref="X115">X$106+IF($C115&lt;&gt;0,SUMPRODUCT((X$107:X$108)*TRANSPOSE(($D115:$E115))),0)</f>
        <v>-88717.555013033794</v>
      </c>
      <c r="Y115" s="31" cm="1">
        <f t="array" ref="Y115">Y$106+IF($C115&lt;&gt;0,SUMPRODUCT((Y$107:Y$108)*TRANSPOSE(($D115:$E115))),0)</f>
        <v>24459.179718536325</v>
      </c>
      <c r="Z115" s="31" cm="1">
        <f t="array" ref="Z115">Z$106+IF($C115&lt;&gt;0,SUMPRODUCT((Z$107:Z$108)*TRANSPOSE(($D115:$E115))),0)</f>
        <v>358045.67820587481</v>
      </c>
      <c r="AA115" s="31" cm="1">
        <f t="array" ref="AA115">AA$106+IF($C115&lt;&gt;0,SUMPRODUCT((AA$107:AA$108)*TRANSPOSE(($D115:$E115))),0)</f>
        <v>358045.67820587481</v>
      </c>
      <c r="AB115" s="31" cm="1">
        <f t="array" ref="AB115">AB$106+IF($C115&lt;&gt;0,SUMPRODUCT((AB$107:AB$108)*TRANSPOSE(($D115:$E115))),0)</f>
        <v>358045.67820587481</v>
      </c>
      <c r="AC115" s="31" cm="1">
        <f t="array" ref="AC115">AC$106+IF($C115&lt;&gt;0,SUMPRODUCT((AC$107:AC$108)*TRANSPOSE(($D115:$E115))),0)</f>
        <v>59104329.957755297</v>
      </c>
      <c r="AD115" s="31" cm="1">
        <f t="array" ref="AD115">AD$106+IF($C115&lt;&gt;0,SUMPRODUCT((AD$107:AD$108)*TRANSPOSE(($D115:$E115))),0)</f>
        <v>59104329.957755297</v>
      </c>
      <c r="AE115" s="31" cm="1">
        <f t="array" ref="AE115">AE$106+IF($C115&lt;&gt;0,SUMPRODUCT((AE$107:AE$108)*TRANSPOSE(($D115:$E115))),0)</f>
        <v>59104329.957755297</v>
      </c>
      <c r="AF115" s="31" cm="1">
        <f t="array" ref="AF115">AF$106+IF($C115&lt;&gt;0,SUMPRODUCT((AF$107:AF$108)*TRANSPOSE(($D115:$E115))),0)</f>
        <v>59104329.957755297</v>
      </c>
      <c r="AG115" s="31" cm="1">
        <f t="array" ref="AG115">AG$106+IF($C115&lt;&gt;0,SUMPRODUCT((AG$107:AG$108)*TRANSPOSE(($D115:$E115))),0)</f>
        <v>59104329.957755297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5sens</v>
      </c>
      <c r="I116" s="31" cm="1">
        <f t="array" ref="I116">I$106+IF($C116&lt;&gt;0,SUMPRODUCT((I$107:I$108)*TRANSPOSE(($D116:$E116))),0)</f>
        <v>823246.12889550719</v>
      </c>
      <c r="J116" s="31" cm="1">
        <f t="array" ref="J116">J$106+IF($C116&lt;&gt;0,SUMPRODUCT((J$107:J$108)*TRANSPOSE(($D116:$E116))),0)</f>
        <v>1072201.2166435416</v>
      </c>
      <c r="K116" s="31" cm="1">
        <f t="array" ref="K116">K$106+IF($C116&lt;&gt;0,SUMPRODUCT((K$107:K$108)*TRANSPOSE(($D116:$E116))),0)</f>
        <v>482417.00362202339</v>
      </c>
      <c r="L116" s="31" cm="1">
        <f t="array" ref="L116">L$106+IF($C116&lt;&gt;0,SUMPRODUCT((L$107:L$108)*TRANSPOSE(($D116:$E116))),0)</f>
        <v>482417.00362202339</v>
      </c>
      <c r="M116" s="31" cm="1">
        <f t="array" ref="M116">M$106+IF($C116&lt;&gt;0,SUMPRODUCT((M$107:M$108)*TRANSPOSE(($D116:$E116))),0)</f>
        <v>482417.00362202339</v>
      </c>
      <c r="N116" s="31" cm="1">
        <f t="array" ref="N116">N$106+IF($C116&lt;&gt;0,SUMPRODUCT((N$107:N$108)*TRANSPOSE(($D116:$E116))),0)</f>
        <v>131692.20874273451</v>
      </c>
      <c r="O116" s="31" cm="1">
        <f t="array" ref="O116">O$106+IF($C116&lt;&gt;0,SUMPRODUCT((O$107:O$108)*TRANSPOSE(($D116:$E116))),0)</f>
        <v>131692.20874273451</v>
      </c>
      <c r="P116" s="31" cm="1">
        <f t="array" ref="P116">P$106+IF($C116&lt;&gt;0,SUMPRODUCT((P$107:P$108)*TRANSPOSE(($D116:$E116))),0)</f>
        <v>131692.20874273451</v>
      </c>
      <c r="Q116" s="31" cm="1">
        <f t="array" ref="Q116">Q$106+IF($C116&lt;&gt;0,SUMPRODUCT((Q$107:Q$108)*TRANSPOSE(($D116:$E116))),0)</f>
        <v>-72047.553320732201</v>
      </c>
      <c r="R116" s="31" cm="1">
        <f t="array" ref="R116">R$106+IF($C116&lt;&gt;0,SUMPRODUCT((R$107:R$108)*TRANSPOSE(($D116:$E116))),0)</f>
        <v>-72047.553320732201</v>
      </c>
      <c r="S116" s="31" cm="1">
        <f t="array" ref="S116">S$106+IF($C116&lt;&gt;0,SUMPRODUCT((S$107:S$108)*TRANSPOSE(($D116:$E116))),0)</f>
        <v>131692.20874273451</v>
      </c>
      <c r="T116" s="31" cm="1">
        <f t="array" ref="T116">T$106+IF($C116&lt;&gt;0,SUMPRODUCT((T$107:T$108)*TRANSPOSE(($D116:$E116))),0)</f>
        <v>131692.20874273451</v>
      </c>
      <c r="U116" s="31" cm="1">
        <f t="array" ref="U116">U$106+IF($C116&lt;&gt;0,SUMPRODUCT((U$107:U$108)*TRANSPOSE(($D116:$E116))),0)</f>
        <v>131692.20874273451</v>
      </c>
      <c r="V116" s="31" cm="1">
        <f t="array" ref="V116">V$106+IF($C116&lt;&gt;0,SUMPRODUCT((V$107:V$108)*TRANSPOSE(($D116:$E116))),0)</f>
        <v>131692.20874273451</v>
      </c>
      <c r="W116" s="31" cm="1">
        <f t="array" ref="W116">W$106+IF($C116&lt;&gt;0,SUMPRODUCT((W$107:W$108)*TRANSPOSE(($D116:$E116))),0)</f>
        <v>131692.20874273451</v>
      </c>
      <c r="X116" s="31" cm="1">
        <f t="array" ref="X116">X$106+IF($C116&lt;&gt;0,SUMPRODUCT((X$107:X$108)*TRANSPOSE(($D116:$E116))),0)</f>
        <v>-88717.555013033794</v>
      </c>
      <c r="Y116" s="31" cm="1">
        <f t="array" ref="Y116">Y$106+IF($C116&lt;&gt;0,SUMPRODUCT((Y$107:Y$108)*TRANSPOSE(($D116:$E116))),0)</f>
        <v>24459.179718536325</v>
      </c>
      <c r="Z116" s="31" cm="1">
        <f t="array" ref="Z116">Z$106+IF($C116&lt;&gt;0,SUMPRODUCT((Z$107:Z$108)*TRANSPOSE(($D116:$E116))),0)</f>
        <v>358045.67820587481</v>
      </c>
      <c r="AA116" s="31" cm="1">
        <f t="array" ref="AA116">AA$106+IF($C116&lt;&gt;0,SUMPRODUCT((AA$107:AA$108)*TRANSPOSE(($D116:$E116))),0)</f>
        <v>358045.67820587481</v>
      </c>
      <c r="AB116" s="31" cm="1">
        <f t="array" ref="AB116">AB$106+IF($C116&lt;&gt;0,SUMPRODUCT((AB$107:AB$108)*TRANSPOSE(($D116:$E116))),0)</f>
        <v>358045.67820587481</v>
      </c>
      <c r="AC116" s="31" cm="1">
        <f t="array" ref="AC116">AC$106+IF($C116&lt;&gt;0,SUMPRODUCT((AC$107:AC$108)*TRANSPOSE(($D116:$E116))),0)</f>
        <v>59104329.957755297</v>
      </c>
      <c r="AD116" s="31" cm="1">
        <f t="array" ref="AD116">AD$106+IF($C116&lt;&gt;0,SUMPRODUCT((AD$107:AD$108)*TRANSPOSE(($D116:$E116))),0)</f>
        <v>59104329.957755297</v>
      </c>
      <c r="AE116" s="31" cm="1">
        <f t="array" ref="AE116">AE$106+IF($C116&lt;&gt;0,SUMPRODUCT((AE$107:AE$108)*TRANSPOSE(($D116:$E116))),0)</f>
        <v>59104329.957755297</v>
      </c>
      <c r="AF116" s="31" cm="1">
        <f t="array" ref="AF116">AF$106+IF($C116&lt;&gt;0,SUMPRODUCT((AF$107:AF$108)*TRANSPOSE(($D116:$E116))),0)</f>
        <v>59104329.957755297</v>
      </c>
      <c r="AG116" s="31" cm="1">
        <f t="array" ref="AG116">AG$106+IF($C116&lt;&gt;0,SUMPRODUCT((AG$107:AG$108)*TRANSPOSE(($D116:$E116))),0)</f>
        <v>59104329.957755297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5sens</v>
      </c>
      <c r="I117" s="31" cm="1">
        <f t="array" ref="I117">I$106+IF($C117&lt;&gt;0,SUMPRODUCT((I$107:I$108)*TRANSPOSE(($D117:$E117))),0)</f>
        <v>823246.12889550719</v>
      </c>
      <c r="J117" s="31" cm="1">
        <f t="array" ref="J117">J$106+IF($C117&lt;&gt;0,SUMPRODUCT((J$107:J$108)*TRANSPOSE(($D117:$E117))),0)</f>
        <v>1072201.2166435416</v>
      </c>
      <c r="K117" s="31" cm="1">
        <f t="array" ref="K117">K$106+IF($C117&lt;&gt;0,SUMPRODUCT((K$107:K$108)*TRANSPOSE(($D117:$E117))),0)</f>
        <v>482417.00362202339</v>
      </c>
      <c r="L117" s="31" cm="1">
        <f t="array" ref="L117">L$106+IF($C117&lt;&gt;0,SUMPRODUCT((L$107:L$108)*TRANSPOSE(($D117:$E117))),0)</f>
        <v>482417.00362202339</v>
      </c>
      <c r="M117" s="31" cm="1">
        <f t="array" ref="M117">M$106+IF($C117&lt;&gt;0,SUMPRODUCT((M$107:M$108)*TRANSPOSE(($D117:$E117))),0)</f>
        <v>482417.00362202339</v>
      </c>
      <c r="N117" s="31" cm="1">
        <f t="array" ref="N117">N$106+IF($C117&lt;&gt;0,SUMPRODUCT((N$107:N$108)*TRANSPOSE(($D117:$E117))),0)</f>
        <v>131692.20874273451</v>
      </c>
      <c r="O117" s="31" cm="1">
        <f t="array" ref="O117">O$106+IF($C117&lt;&gt;0,SUMPRODUCT((O$107:O$108)*TRANSPOSE(($D117:$E117))),0)</f>
        <v>131692.20874273451</v>
      </c>
      <c r="P117" s="31" cm="1">
        <f t="array" ref="P117">P$106+IF($C117&lt;&gt;0,SUMPRODUCT((P$107:P$108)*TRANSPOSE(($D117:$E117))),0)</f>
        <v>131692.20874273451</v>
      </c>
      <c r="Q117" s="31" cm="1">
        <f t="array" ref="Q117">Q$106+IF($C117&lt;&gt;0,SUMPRODUCT((Q$107:Q$108)*TRANSPOSE(($D117:$E117))),0)</f>
        <v>-72047.553320732201</v>
      </c>
      <c r="R117" s="31" cm="1">
        <f t="array" ref="R117">R$106+IF($C117&lt;&gt;0,SUMPRODUCT((R$107:R$108)*TRANSPOSE(($D117:$E117))),0)</f>
        <v>-72047.553320732201</v>
      </c>
      <c r="S117" s="31" cm="1">
        <f t="array" ref="S117">S$106+IF($C117&lt;&gt;0,SUMPRODUCT((S$107:S$108)*TRANSPOSE(($D117:$E117))),0)</f>
        <v>131692.20874273451</v>
      </c>
      <c r="T117" s="31" cm="1">
        <f t="array" ref="T117">T$106+IF($C117&lt;&gt;0,SUMPRODUCT((T$107:T$108)*TRANSPOSE(($D117:$E117))),0)</f>
        <v>131692.20874273451</v>
      </c>
      <c r="U117" s="31" cm="1">
        <f t="array" ref="U117">U$106+IF($C117&lt;&gt;0,SUMPRODUCT((U$107:U$108)*TRANSPOSE(($D117:$E117))),0)</f>
        <v>131692.20874273451</v>
      </c>
      <c r="V117" s="31" cm="1">
        <f t="array" ref="V117">V$106+IF($C117&lt;&gt;0,SUMPRODUCT((V$107:V$108)*TRANSPOSE(($D117:$E117))),0)</f>
        <v>131692.20874273451</v>
      </c>
      <c r="W117" s="31" cm="1">
        <f t="array" ref="W117">W$106+IF($C117&lt;&gt;0,SUMPRODUCT((W$107:W$108)*TRANSPOSE(($D117:$E117))),0)</f>
        <v>131692.20874273451</v>
      </c>
      <c r="X117" s="31" cm="1">
        <f t="array" ref="X117">X$106+IF($C117&lt;&gt;0,SUMPRODUCT((X$107:X$108)*TRANSPOSE(($D117:$E117))),0)</f>
        <v>-88717.555013033794</v>
      </c>
      <c r="Y117" s="31" cm="1">
        <f t="array" ref="Y117">Y$106+IF($C117&lt;&gt;0,SUMPRODUCT((Y$107:Y$108)*TRANSPOSE(($D117:$E117))),0)</f>
        <v>24459.179718536325</v>
      </c>
      <c r="Z117" s="31" cm="1">
        <f t="array" ref="Z117">Z$106+IF($C117&lt;&gt;0,SUMPRODUCT((Z$107:Z$108)*TRANSPOSE(($D117:$E117))),0)</f>
        <v>358045.67820587481</v>
      </c>
      <c r="AA117" s="31" cm="1">
        <f t="array" ref="AA117">AA$106+IF($C117&lt;&gt;0,SUMPRODUCT((AA$107:AA$108)*TRANSPOSE(($D117:$E117))),0)</f>
        <v>358045.67820587481</v>
      </c>
      <c r="AB117" s="31" cm="1">
        <f t="array" ref="AB117">AB$106+IF($C117&lt;&gt;0,SUMPRODUCT((AB$107:AB$108)*TRANSPOSE(($D117:$E117))),0)</f>
        <v>358045.67820587481</v>
      </c>
      <c r="AC117" s="31" cm="1">
        <f t="array" ref="AC117">AC$106+IF($C117&lt;&gt;0,SUMPRODUCT((AC$107:AC$108)*TRANSPOSE(($D117:$E117))),0)</f>
        <v>59104329.957755297</v>
      </c>
      <c r="AD117" s="31" cm="1">
        <f t="array" ref="AD117">AD$106+IF($C117&lt;&gt;0,SUMPRODUCT((AD$107:AD$108)*TRANSPOSE(($D117:$E117))),0)</f>
        <v>59104329.957755297</v>
      </c>
      <c r="AE117" s="31" cm="1">
        <f t="array" ref="AE117">AE$106+IF($C117&lt;&gt;0,SUMPRODUCT((AE$107:AE$108)*TRANSPOSE(($D117:$E117))),0)</f>
        <v>59104329.957755297</v>
      </c>
      <c r="AF117" s="31" cm="1">
        <f t="array" ref="AF117">AF$106+IF($C117&lt;&gt;0,SUMPRODUCT((AF$107:AF$108)*TRANSPOSE(($D117:$E117))),0)</f>
        <v>59104329.957755297</v>
      </c>
      <c r="AG117" s="31" cm="1">
        <f t="array" ref="AG117">AG$106+IF($C117&lt;&gt;0,SUMPRODUCT((AG$107:AG$108)*TRANSPOSE(($D117:$E117))),0)</f>
        <v>59104329.957755297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 xml:space="preserve">Minimise bushfire risk from bare 22kV non-REFCL lines in HBRA 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192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193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789186057.06177568</v>
      </c>
      <c r="G14" s="271">
        <f>output_dollars</f>
        <v>46203</v>
      </c>
      <c r="H14" s="272"/>
      <c r="I14" s="31">
        <f>'Option1 (base case)'!I$28*conv_2026</f>
        <v>47066522.263198085</v>
      </c>
      <c r="J14" s="31">
        <f>'Option1 (base case)'!J$28*conv_2026</f>
        <v>47066522.263198085</v>
      </c>
      <c r="K14" s="31">
        <f>'Option1 (base case)'!K$28*conv_2026</f>
        <v>47066522.263198085</v>
      </c>
      <c r="L14" s="31">
        <f>'Option1 (base case)'!L$28*conv_2026</f>
        <v>47066522.263198085</v>
      </c>
      <c r="M14" s="31">
        <f>'Option1 (base case)'!M$28*conv_2026</f>
        <v>47066522.263198085</v>
      </c>
      <c r="N14" s="31">
        <f>'Option1 (base case)'!N$28*conv_2026</f>
        <v>47066522.263198085</v>
      </c>
      <c r="O14" s="31">
        <f>'Option1 (base case)'!O$28*conv_2026</f>
        <v>47066522.263198085</v>
      </c>
      <c r="P14" s="31">
        <f>'Option1 (base case)'!P$28*conv_2026</f>
        <v>47066522.263198085</v>
      </c>
      <c r="Q14" s="31">
        <f>'Option1 (base case)'!Q$28*conv_2026</f>
        <v>47066522.263198085</v>
      </c>
      <c r="R14" s="31">
        <f>'Option1 (base case)'!R$28*conv_2026</f>
        <v>47066522.263198085</v>
      </c>
      <c r="S14" s="31">
        <f>'Option1 (base case)'!S$28*conv_2026</f>
        <v>47066522.263198085</v>
      </c>
      <c r="T14" s="31">
        <f>'Option1 (base case)'!T$28*conv_2026</f>
        <v>47066522.263198085</v>
      </c>
      <c r="U14" s="31">
        <f>'Option1 (base case)'!U$28*conv_2026</f>
        <v>47066522.263198085</v>
      </c>
      <c r="V14" s="31">
        <f>'Option1 (base case)'!V$28*conv_2026</f>
        <v>47066522.263198085</v>
      </c>
      <c r="W14" s="31">
        <f>'Option1 (base case)'!W$28*conv_2026</f>
        <v>47066522.263198085</v>
      </c>
      <c r="X14" s="31">
        <f>'Option1 (base case)'!X$28*conv_2026</f>
        <v>47066522.263198085</v>
      </c>
      <c r="Y14" s="31">
        <f>'Option1 (base case)'!Y$28*conv_2026</f>
        <v>47066522.263198085</v>
      </c>
      <c r="Z14" s="31">
        <f>'Option1 (base case)'!Z$28*conv_2026</f>
        <v>47066522.263198085</v>
      </c>
      <c r="AA14" s="31">
        <f>'Option1 (base case)'!AA$28*conv_2026</f>
        <v>47066522.263198085</v>
      </c>
      <c r="AB14" s="31">
        <f>'Option1 (base case)'!AB$28*conv_2026</f>
        <v>47066522.263198085</v>
      </c>
      <c r="AC14" s="31">
        <f>'Option1 (base case)'!AC$28*conv_2026</f>
        <v>47066522.263198085</v>
      </c>
      <c r="AD14" s="31">
        <f>'Option1 (base case)'!AD$28*conv_2026</f>
        <v>47066522.263198085</v>
      </c>
      <c r="AE14" s="31">
        <f>'Option1 (base case)'!AE$28*conv_2026</f>
        <v>47066522.263198085</v>
      </c>
      <c r="AF14" s="31">
        <f>'Option1 (base case)'!AF$28*conv_2026</f>
        <v>47066522.263198085</v>
      </c>
      <c r="AG14" s="31">
        <f>'Option1 (base case)'!AG$28*conv_2026</f>
        <v>47066522.263198085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959327497.06586659</v>
      </c>
      <c r="G16" s="225">
        <f>output_dollars</f>
        <v>46203</v>
      </c>
      <c r="H16" s="31"/>
      <c r="I16" s="31">
        <f>'Option1 (base case)'!I$36*conv_2026</f>
        <v>66348207.620941423</v>
      </c>
      <c r="J16" s="31">
        <f>'Option1 (base case)'!J$36*conv_2026</f>
        <v>66348207.620941423</v>
      </c>
      <c r="K16" s="31">
        <f>'Option1 (base case)'!K$36*conv_2026</f>
        <v>66348207.620941423</v>
      </c>
      <c r="L16" s="31">
        <f>'Option1 (base case)'!L$36*conv_2026</f>
        <v>66348207.620941423</v>
      </c>
      <c r="M16" s="31">
        <f>'Option1 (base case)'!M$36*conv_2026</f>
        <v>66348207.620941423</v>
      </c>
      <c r="N16" s="31">
        <f>'Option1 (base case)'!N$36*conv_2026</f>
        <v>66348207.620941423</v>
      </c>
      <c r="O16" s="31">
        <f>'Option1 (base case)'!O$36*conv_2026</f>
        <v>66348207.620941423</v>
      </c>
      <c r="P16" s="31">
        <f>'Option1 (base case)'!P$36*conv_2026</f>
        <v>66348207.620941423</v>
      </c>
      <c r="Q16" s="31">
        <f>'Option1 (base case)'!Q$36*conv_2026</f>
        <v>66348207.620941423</v>
      </c>
      <c r="R16" s="31">
        <f>'Option1 (base case)'!R$36*conv_2026</f>
        <v>66348207.620941423</v>
      </c>
      <c r="S16" s="31">
        <f>'Option1 (base case)'!S$36*conv_2026</f>
        <v>66348207.620941423</v>
      </c>
      <c r="T16" s="31">
        <f>'Option1 (base case)'!T$36*conv_2026</f>
        <v>66348207.620941423</v>
      </c>
      <c r="U16" s="31">
        <f>'Option1 (base case)'!U$36*conv_2026</f>
        <v>66348207.620941423</v>
      </c>
      <c r="V16" s="31">
        <f>'Option1 (base case)'!V$36*conv_2026</f>
        <v>66348207.620941423</v>
      </c>
      <c r="W16" s="31">
        <f>'Option1 (base case)'!W$36*conv_2026</f>
        <v>66348207.620941423</v>
      </c>
      <c r="X16" s="31">
        <f>'Option1 (base case)'!X$36*conv_2026</f>
        <v>66348207.620941423</v>
      </c>
      <c r="Y16" s="31">
        <f>'Option1 (base case)'!Y$36*conv_2026</f>
        <v>66348207.620941423</v>
      </c>
      <c r="Z16" s="31">
        <f>'Option1 (base case)'!Z$36*conv_2026</f>
        <v>66348207.620941423</v>
      </c>
      <c r="AA16" s="31">
        <f>'Option1 (base case)'!AA$36*conv_2026</f>
        <v>66348207.620941423</v>
      </c>
      <c r="AB16" s="31">
        <f>'Option1 (base case)'!AB$36*conv_2026</f>
        <v>66348207.620941423</v>
      </c>
      <c r="AC16" s="31">
        <f>'Option1 (base case)'!AC$36*conv_2026</f>
        <v>66348207.620941423</v>
      </c>
      <c r="AD16" s="31">
        <f>'Option1 (base case)'!AD$36*conv_2026</f>
        <v>66348207.620941423</v>
      </c>
      <c r="AE16" s="31">
        <f>'Option1 (base case)'!AE$36*conv_2026</f>
        <v>66348207.620941423</v>
      </c>
      <c r="AF16" s="31">
        <f>'Option1 (base case)'!AF$36*conv_2026</f>
        <v>66348207.620941423</v>
      </c>
      <c r="AG16" s="31">
        <f>'Option1 (base case)'!AG$36*conv_2026</f>
        <v>66348207.620941423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187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188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675899638.65349901</v>
      </c>
      <c r="G28" s="271">
        <f>output_dollars</f>
        <v>46203</v>
      </c>
      <c r="H28" s="272"/>
      <c r="I28" s="31">
        <f>Option2!I$28*conv_2026</f>
        <v>46900625.482054353</v>
      </c>
      <c r="J28" s="31">
        <f>Option2!J$28*conv_2026</f>
        <v>46734728.700910613</v>
      </c>
      <c r="K28" s="31">
        <f>Option2!K$28*conv_2026</f>
        <v>46734728.700910613</v>
      </c>
      <c r="L28" s="31">
        <f>Option2!L$28*conv_2026</f>
        <v>46734728.700910613</v>
      </c>
      <c r="M28" s="31">
        <f>Option2!M$28*conv_2026</f>
        <v>46734728.700910613</v>
      </c>
      <c r="N28" s="31">
        <f>Option2!N$28*conv_2026</f>
        <v>46734728.700910613</v>
      </c>
      <c r="O28" s="31">
        <f>Option2!O$28*conv_2026</f>
        <v>46734728.700910613</v>
      </c>
      <c r="P28" s="31">
        <f>Option2!P$28*conv_2026</f>
        <v>46734728.700910613</v>
      </c>
      <c r="Q28" s="31">
        <f>Option2!Q$28*conv_2026</f>
        <v>46734728.700910613</v>
      </c>
      <c r="R28" s="31">
        <f>Option2!R$28*conv_2026</f>
        <v>46734728.700910613</v>
      </c>
      <c r="S28" s="31">
        <f>Option2!S$28*conv_2026</f>
        <v>46734728.700910613</v>
      </c>
      <c r="T28" s="31">
        <f>Option2!T$28*conv_2026</f>
        <v>46734728.700910613</v>
      </c>
      <c r="U28" s="31">
        <f>Option2!U$28*conv_2026</f>
        <v>46734728.700910613</v>
      </c>
      <c r="V28" s="31">
        <f>Option2!V$28*conv_2026</f>
        <v>46734728.700910613</v>
      </c>
      <c r="W28" s="31">
        <f>Option2!W$28*conv_2026</f>
        <v>46734728.700910613</v>
      </c>
      <c r="X28" s="31">
        <f>Option2!X$28*conv_2026</f>
        <v>46734728.700910613</v>
      </c>
      <c r="Y28" s="31">
        <f>Option2!Y$28*conv_2026</f>
        <v>46734728.700910613</v>
      </c>
      <c r="Z28" s="31">
        <f>Option2!Z$28*conv_2026</f>
        <v>46734728.700910613</v>
      </c>
      <c r="AA28" s="31">
        <f>Option2!AA$28*conv_2026</f>
        <v>46734728.700910613</v>
      </c>
      <c r="AB28" s="31">
        <f>Option2!AB$28*conv_2026</f>
        <v>46734728.700910613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-10134918.207599299</v>
      </c>
      <c r="G29" s="225">
        <f>output_dollars</f>
        <v>46203</v>
      </c>
      <c r="H29" s="31"/>
      <c r="I29" s="31">
        <f>SUM(Option2!I$67:I$69)*conv_2026*I$7</f>
        <v>-5244044.3899150044</v>
      </c>
      <c r="J29" s="31">
        <f>SUM(Option2!J$67:J$69)*conv_2026*J$7</f>
        <v>-5244044.3899150044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945796823.88382697</v>
      </c>
      <c r="G30" s="225">
        <f>output_dollars</f>
        <v>46203</v>
      </c>
      <c r="H30" s="31"/>
      <c r="I30" s="31">
        <f>Option2!I$36*conv_2026*I$7</f>
        <v>65863845.162818246</v>
      </c>
      <c r="J30" s="31">
        <f>Option2!J$36*conv_2026*J$7</f>
        <v>65379482.704695061</v>
      </c>
      <c r="K30" s="31">
        <f>Option2!K$36*conv_2026*K$7</f>
        <v>65379482.704695061</v>
      </c>
      <c r="L30" s="31">
        <f>Option2!L$36*conv_2026*L$7</f>
        <v>65379482.704695061</v>
      </c>
      <c r="M30" s="31">
        <f>Option2!M$36*conv_2026*M$7</f>
        <v>65379482.704695061</v>
      </c>
      <c r="N30" s="31">
        <f>Option2!N$36*conv_2026*N$7</f>
        <v>65379482.704695061</v>
      </c>
      <c r="O30" s="31">
        <f>Option2!O$36*conv_2026*O$7</f>
        <v>65379482.704695061</v>
      </c>
      <c r="P30" s="31">
        <f>Option2!P$36*conv_2026*P$7</f>
        <v>65379482.704695061</v>
      </c>
      <c r="Q30" s="31">
        <f>Option2!Q$36*conv_2026*Q$7</f>
        <v>65379482.704695061</v>
      </c>
      <c r="R30" s="31">
        <f>Option2!R$36*conv_2026*R$7</f>
        <v>65379482.704695061</v>
      </c>
      <c r="S30" s="31">
        <f>Option2!S$36*conv_2026*S$7</f>
        <v>65379482.704695061</v>
      </c>
      <c r="T30" s="31">
        <f>Option2!T$36*conv_2026*T$7</f>
        <v>65379482.704695061</v>
      </c>
      <c r="U30" s="31">
        <f>Option2!U$36*conv_2026*U$7</f>
        <v>65379482.704695061</v>
      </c>
      <c r="V30" s="31">
        <f>Option2!V$36*conv_2026*V$7</f>
        <v>65379482.704695061</v>
      </c>
      <c r="W30" s="31">
        <f>Option2!W$36*conv_2026*W$7</f>
        <v>65379482.704695061</v>
      </c>
      <c r="X30" s="31">
        <f>Option2!X$36*conv_2026*X$7</f>
        <v>65379482.704695061</v>
      </c>
      <c r="Y30" s="31">
        <f>Option2!Y$36*conv_2026*Y$7</f>
        <v>65379482.704695061</v>
      </c>
      <c r="Z30" s="31">
        <f>Option2!Z$36*conv_2026*Z$7</f>
        <v>65379482.704695061</v>
      </c>
      <c r="AA30" s="31">
        <f>Option2!AA$36*conv_2026*AA$7</f>
        <v>65379482.704695061</v>
      </c>
      <c r="AB30" s="31">
        <f>Option2!AB$36*conv_2026*AB$7</f>
        <v>65379482.704695061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-7413941.4329023138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-285125.67648811778</v>
      </c>
      <c r="K32" s="31">
        <f>Option2!K$82*conv_2026*K$7</f>
        <v>-570251.35297623556</v>
      </c>
      <c r="L32" s="31">
        <f>Option2!L$82*conv_2026*L$7</f>
        <v>-570251.35297623556</v>
      </c>
      <c r="M32" s="31">
        <f>Option2!M$82*conv_2026*M$7</f>
        <v>-570251.35297623556</v>
      </c>
      <c r="N32" s="31">
        <f>Option2!N$82*conv_2026*N$7</f>
        <v>-570251.35297623556</v>
      </c>
      <c r="O32" s="31">
        <f>Option2!O$82*conv_2026*O$7</f>
        <v>-570251.35297623556</v>
      </c>
      <c r="P32" s="31">
        <f>Option2!P$82*conv_2026*P$7</f>
        <v>-570251.35297623556</v>
      </c>
      <c r="Q32" s="31">
        <f>Option2!Q$82*conv_2026*Q$7</f>
        <v>-570251.35297623556</v>
      </c>
      <c r="R32" s="31">
        <f>Option2!R$82*conv_2026*R$7</f>
        <v>-570251.35297623556</v>
      </c>
      <c r="S32" s="31">
        <f>Option2!S$82*conv_2026*S$7</f>
        <v>-570251.35297623556</v>
      </c>
      <c r="T32" s="31">
        <f>Option2!T$82*conv_2026*T$7</f>
        <v>-570251.35297623556</v>
      </c>
      <c r="U32" s="31">
        <f>Option2!U$82*conv_2026*U$7</f>
        <v>-570251.35297623556</v>
      </c>
      <c r="V32" s="31">
        <f>Option2!V$82*conv_2026*V$7</f>
        <v>-570251.35297623556</v>
      </c>
      <c r="W32" s="31">
        <f>Option2!W$82*conv_2026*W$7</f>
        <v>-570251.35297623556</v>
      </c>
      <c r="X32" s="31">
        <f>Option2!X$82*conv_2026*X$7</f>
        <v>-570251.35297623556</v>
      </c>
      <c r="Y32" s="31">
        <f>Option2!Y$82*conv_2026*Y$7</f>
        <v>-570251.35297623556</v>
      </c>
      <c r="Z32" s="31">
        <f>Option2!Z$82*conv_2026*Z$7</f>
        <v>-570251.35297623556</v>
      </c>
      <c r="AA32" s="31">
        <f>Option2!AA$82*conv_2026*AA$7</f>
        <v>-570251.35297623556</v>
      </c>
      <c r="AB32" s="31">
        <f>Option2!AB$82*conv_2026*AB$7</f>
        <v>-570251.35297623556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13530673.182039257</v>
      </c>
      <c r="G34" s="225">
        <f t="shared" si="8"/>
        <v>46203</v>
      </c>
      <c r="H34" s="31"/>
      <c r="I34" s="31">
        <f>Option2!I$84*conv_2026*I$7</f>
        <v>484362.45812318049</v>
      </c>
      <c r="J34" s="31">
        <f>Option2!J$84*conv_2026*J$7</f>
        <v>968724.91624636098</v>
      </c>
      <c r="K34" s="31">
        <f>Option2!K$84*conv_2026*K$7</f>
        <v>968724.91624636098</v>
      </c>
      <c r="L34" s="31">
        <f>Option2!L$84*conv_2026*L$7</f>
        <v>968724.91624636098</v>
      </c>
      <c r="M34" s="31">
        <f>Option2!M$84*conv_2026*M$7</f>
        <v>968724.91624636098</v>
      </c>
      <c r="N34" s="31">
        <f>Option2!N$84*conv_2026*N$7</f>
        <v>968724.91624636098</v>
      </c>
      <c r="O34" s="31">
        <f>Option2!O$84*conv_2026*O$7</f>
        <v>968724.91624636098</v>
      </c>
      <c r="P34" s="31">
        <f>Option2!P$84*conv_2026*P$7</f>
        <v>968724.91624636098</v>
      </c>
      <c r="Q34" s="31">
        <f>Option2!Q$84*conv_2026*Q$7</f>
        <v>968724.91624636098</v>
      </c>
      <c r="R34" s="31">
        <f>Option2!R$84*conv_2026*R$7</f>
        <v>968724.91624636098</v>
      </c>
      <c r="S34" s="31">
        <f>Option2!S$84*conv_2026*S$7</f>
        <v>968724.91624636098</v>
      </c>
      <c r="T34" s="31">
        <f>Option2!T$84*conv_2026*T$7</f>
        <v>968724.91624636098</v>
      </c>
      <c r="U34" s="31">
        <f>Option2!U$84*conv_2026*U$7</f>
        <v>968724.91624636098</v>
      </c>
      <c r="V34" s="31">
        <f>Option2!V$84*conv_2026*V$7</f>
        <v>968724.91624636098</v>
      </c>
      <c r="W34" s="31">
        <f>Option2!W$84*conv_2026*W$7</f>
        <v>968724.91624636098</v>
      </c>
      <c r="X34" s="31">
        <f>Option2!X$84*conv_2026*X$7</f>
        <v>968724.91624636098</v>
      </c>
      <c r="Y34" s="31">
        <f>Option2!Y$84*conv_2026*Y$7</f>
        <v>968724.91624636098</v>
      </c>
      <c r="Z34" s="31">
        <f>Option2!Z$84*conv_2026*Z$7</f>
        <v>968724.91624636098</v>
      </c>
      <c r="AA34" s="31">
        <f>Option2!AA$84*conv_2026*AA$7</f>
        <v>968724.91624636098</v>
      </c>
      <c r="AB34" s="31">
        <f>Option2!AB$84*conv_2026*AB$7</f>
        <v>968724.91624636098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484362.45812318049</v>
      </c>
      <c r="J36" s="52">
        <f t="shared" ref="J36:AG36" si="9">SUM(J32:J35)</f>
        <v>683599.2397582432</v>
      </c>
      <c r="K36" s="52">
        <f t="shared" si="9"/>
        <v>398473.56327012542</v>
      </c>
      <c r="L36" s="52">
        <f t="shared" si="9"/>
        <v>398473.56327012542</v>
      </c>
      <c r="M36" s="52">
        <f t="shared" si="9"/>
        <v>398473.56327012542</v>
      </c>
      <c r="N36" s="52">
        <f t="shared" si="9"/>
        <v>398473.56327012542</v>
      </c>
      <c r="O36" s="52">
        <f t="shared" si="9"/>
        <v>398473.56327012542</v>
      </c>
      <c r="P36" s="52">
        <f t="shared" si="9"/>
        <v>398473.56327012542</v>
      </c>
      <c r="Q36" s="52">
        <f t="shared" si="9"/>
        <v>398473.56327012542</v>
      </c>
      <c r="R36" s="52">
        <f t="shared" si="9"/>
        <v>398473.56327012542</v>
      </c>
      <c r="S36" s="52">
        <f t="shared" si="9"/>
        <v>398473.56327012542</v>
      </c>
      <c r="T36" s="52">
        <f t="shared" si="9"/>
        <v>398473.56327012542</v>
      </c>
      <c r="U36" s="52">
        <f t="shared" si="9"/>
        <v>398473.56327012542</v>
      </c>
      <c r="V36" s="52">
        <f t="shared" si="9"/>
        <v>398473.56327012542</v>
      </c>
      <c r="W36" s="52">
        <f t="shared" si="9"/>
        <v>398473.56327012542</v>
      </c>
      <c r="X36" s="52">
        <f t="shared" si="9"/>
        <v>398473.56327012542</v>
      </c>
      <c r="Y36" s="52">
        <f t="shared" si="9"/>
        <v>398473.56327012542</v>
      </c>
      <c r="Z36" s="52">
        <f t="shared" si="9"/>
        <v>398473.56327012542</v>
      </c>
      <c r="AA36" s="52">
        <f t="shared" si="9"/>
        <v>398473.56327012542</v>
      </c>
      <c r="AB36" s="52">
        <f t="shared" si="9"/>
        <v>398473.56327012542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6116731.7491369462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187</v>
      </c>
      <c r="D38" s="38" t="str">
        <f t="shared" si="6"/>
        <v>Option 2PV of costs</v>
      </c>
      <c r="E38" s="1"/>
      <c r="F38" s="108">
        <f>SUM(F32:F33)</f>
        <v>-7413941.4329023138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188</v>
      </c>
      <c r="D39" s="38" t="str">
        <f t="shared" si="6"/>
        <v>Option 2PV of benefits</v>
      </c>
      <c r="E39" s="1"/>
      <c r="F39" s="108">
        <f>SUM(F34:F35)</f>
        <v>13530673.182039257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644453818.84813988</v>
      </c>
      <c r="G42" s="271">
        <f>output_dollars</f>
        <v>46203</v>
      </c>
      <c r="H42" s="272"/>
      <c r="I42" s="31">
        <f>Option3!I$28*conv_2026</f>
        <v>46407590.951513305</v>
      </c>
      <c r="J42" s="31">
        <f>Option3!J$28*conv_2026</f>
        <v>45748659.639828533</v>
      </c>
      <c r="K42" s="31">
        <f>Option3!K$28*conv_2026</f>
        <v>45089728.328143761</v>
      </c>
      <c r="L42" s="31">
        <f>Option3!L$28*conv_2026</f>
        <v>44430797.016458981</v>
      </c>
      <c r="M42" s="31">
        <f>Option3!M$28*conv_2026</f>
        <v>43771865.704774208</v>
      </c>
      <c r="N42" s="31">
        <f>Option3!N$28*conv_2026</f>
        <v>43771865.704774208</v>
      </c>
      <c r="O42" s="31">
        <f>Option3!O$28*conv_2026</f>
        <v>43771865.704774208</v>
      </c>
      <c r="P42" s="31">
        <f>Option3!P$28*conv_2026</f>
        <v>43771865.704774208</v>
      </c>
      <c r="Q42" s="31">
        <f>Option3!Q$28*conv_2026</f>
        <v>43771865.704774208</v>
      </c>
      <c r="R42" s="31">
        <f>Option3!R$28*conv_2026</f>
        <v>43771865.704774208</v>
      </c>
      <c r="S42" s="31">
        <f>Option3!S$28*conv_2026</f>
        <v>43771865.704774208</v>
      </c>
      <c r="T42" s="31">
        <f>Option3!T$28*conv_2026</f>
        <v>43771865.704774208</v>
      </c>
      <c r="U42" s="31">
        <f>Option3!U$28*conv_2026</f>
        <v>43771865.704774208</v>
      </c>
      <c r="V42" s="31">
        <f>Option3!V$28*conv_2026</f>
        <v>43771865.704774208</v>
      </c>
      <c r="W42" s="31">
        <f>Option3!W$28*conv_2026</f>
        <v>43771865.704774208</v>
      </c>
      <c r="X42" s="31">
        <f>Option3!X$28*conv_2026</f>
        <v>44430797.016458981</v>
      </c>
      <c r="Y42" s="31">
        <f>Option3!Y$28*conv_2026</f>
        <v>45089728.328143761</v>
      </c>
      <c r="Z42" s="31">
        <f>Option3!Z$28*conv_2026</f>
        <v>45748659.639828533</v>
      </c>
      <c r="AA42" s="31">
        <f>Option3!AA$28*conv_2026</f>
        <v>46407590.951513305</v>
      </c>
      <c r="AB42" s="31">
        <f>Option3!AB$28*conv_2026</f>
        <v>47066522.263198085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-46064031.747026257</v>
      </c>
      <c r="G43" s="225">
        <f>output_dollars</f>
        <v>46203</v>
      </c>
      <c r="H43" s="31"/>
      <c r="I43" s="31">
        <f>SUM(Option3!I$67:I$69)*conv_2026*I$7</f>
        <v>-10028338.373305818</v>
      </c>
      <c r="J43" s="31">
        <f>SUM(Option3!J$67:J$69)*conv_2026*J$7</f>
        <v>-10028338.373305818</v>
      </c>
      <c r="K43" s="31">
        <f>SUM(Option3!K$67:K$69)*conv_2026*K$7</f>
        <v>-10028338.373305818</v>
      </c>
      <c r="L43" s="31">
        <f>SUM(Option3!L$67:L$69)*conv_2026*L$7</f>
        <v>-10028338.373305818</v>
      </c>
      <c r="M43" s="31">
        <f>SUM(Option3!M$67:M$69)*conv_2026*M$7</f>
        <v>-10028338.373305818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908440686.12687373</v>
      </c>
      <c r="G44" s="225">
        <f>output_dollars</f>
        <v>46203</v>
      </c>
      <c r="H44" s="31"/>
      <c r="I44" s="31">
        <f>Option3!I$36*conv_2026*I$7</f>
        <v>65418862.429239519</v>
      </c>
      <c r="J44" s="31">
        <f>Option3!J$36*conv_2026*J$7</f>
        <v>64489517.237537608</v>
      </c>
      <c r="K44" s="31">
        <f>Option3!K$36*conv_2026*K$7</f>
        <v>63560172.045835696</v>
      </c>
      <c r="L44" s="31">
        <f>Option3!L$36*conv_2026*L$7</f>
        <v>62630826.854133792</v>
      </c>
      <c r="M44" s="31">
        <f>Option3!M$36*conv_2026*M$7</f>
        <v>61701481.662431881</v>
      </c>
      <c r="N44" s="31">
        <f>Option3!N$36*conv_2026*N$7</f>
        <v>61701481.662431881</v>
      </c>
      <c r="O44" s="31">
        <f>Option3!O$36*conv_2026*O$7</f>
        <v>61701481.662431881</v>
      </c>
      <c r="P44" s="31">
        <f>Option3!P$36*conv_2026*P$7</f>
        <v>61701481.662431881</v>
      </c>
      <c r="Q44" s="31">
        <f>Option3!Q$36*conv_2026*Q$7</f>
        <v>61701481.662431881</v>
      </c>
      <c r="R44" s="31">
        <f>Option3!R$36*conv_2026*R$7</f>
        <v>61701481.662431881</v>
      </c>
      <c r="S44" s="31">
        <f>Option3!S$36*conv_2026*S$7</f>
        <v>61701481.662431881</v>
      </c>
      <c r="T44" s="31">
        <f>Option3!T$36*conv_2026*T$7</f>
        <v>61701481.662431881</v>
      </c>
      <c r="U44" s="31">
        <f>Option3!U$36*conv_2026*U$7</f>
        <v>61701481.662431881</v>
      </c>
      <c r="V44" s="31">
        <f>Option3!V$36*conv_2026*V$7</f>
        <v>61701481.662431881</v>
      </c>
      <c r="W44" s="31">
        <f>Option3!W$36*conv_2026*W$7</f>
        <v>61701481.662431881</v>
      </c>
      <c r="X44" s="31">
        <f>Option3!X$36*conv_2026*X$7</f>
        <v>62630826.854133792</v>
      </c>
      <c r="Y44" s="31">
        <f>Option3!Y$36*conv_2026*Y$7</f>
        <v>63560172.045835696</v>
      </c>
      <c r="Z44" s="31">
        <f>Option3!Z$36*conv_2026*Z$7</f>
        <v>64489517.237537608</v>
      </c>
      <c r="AA44" s="31">
        <f>Option3!AA$36*conv_2026*AA$7</f>
        <v>65418862.429239519</v>
      </c>
      <c r="AB44" s="31">
        <f>Option3!AB$36*conv_2026*AB$7</f>
        <v>66348207.620941423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-46064031.747026302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-870711.17488832783</v>
      </c>
      <c r="K46" s="31">
        <f>Option3!K$82*conv_2026*K$7</f>
        <v>-1741422.3497766557</v>
      </c>
      <c r="L46" s="31">
        <f>Option3!L$82*conv_2026*L$7</f>
        <v>-2612133.5246649832</v>
      </c>
      <c r="M46" s="31">
        <f>Option3!M$82*conv_2026*M$7</f>
        <v>-3482844.6995533113</v>
      </c>
      <c r="N46" s="31">
        <f>Option3!N$82*conv_2026*N$7</f>
        <v>-4353555.8744416395</v>
      </c>
      <c r="O46" s="31">
        <f>Option3!O$82*conv_2026*O$7</f>
        <v>-4353555.8744416395</v>
      </c>
      <c r="P46" s="31">
        <f>Option3!P$82*conv_2026*P$7</f>
        <v>-4353555.8744416395</v>
      </c>
      <c r="Q46" s="31">
        <f>Option3!Q$82*conv_2026*Q$7</f>
        <v>-4353555.8744416395</v>
      </c>
      <c r="R46" s="31">
        <f>Option3!R$82*conv_2026*R$7</f>
        <v>-4353555.8744416395</v>
      </c>
      <c r="S46" s="31">
        <f>Option3!S$82*conv_2026*S$7</f>
        <v>-4353555.8744416395</v>
      </c>
      <c r="T46" s="31">
        <f>Option3!T$82*conv_2026*T$7</f>
        <v>-4353555.8744416395</v>
      </c>
      <c r="U46" s="31">
        <f>Option3!U$82*conv_2026*U$7</f>
        <v>-4353555.8744416395</v>
      </c>
      <c r="V46" s="31">
        <f>Option3!V$82*conv_2026*V$7</f>
        <v>-4353555.8744416395</v>
      </c>
      <c r="W46" s="31">
        <f>Option3!W$82*conv_2026*W$7</f>
        <v>-4353555.8744416395</v>
      </c>
      <c r="X46" s="31">
        <f>Option3!X$82*conv_2026*X$7</f>
        <v>-4353555.8744416395</v>
      </c>
      <c r="Y46" s="31">
        <f>Option3!Y$82*conv_2026*Y$7</f>
        <v>-3482844.6995533113</v>
      </c>
      <c r="Z46" s="31">
        <f>Option3!Z$82*conv_2026*Z$7</f>
        <v>-2612133.5246649836</v>
      </c>
      <c r="AA46" s="31">
        <f>Option3!AA$82*conv_2026*AA$7</f>
        <v>-1741422.3497766561</v>
      </c>
      <c r="AB46" s="31">
        <f>Option3!AB$82*conv_2026*AB$7</f>
        <v>-870711.17488832807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-22054256.525043573</v>
      </c>
      <c r="G47" s="225">
        <f t="shared" si="12"/>
        <v>46203</v>
      </c>
      <c r="H47" s="31"/>
      <c r="I47" s="31">
        <f>Option3!I$83*conv_2026*I$7</f>
        <v>-101098.80005911636</v>
      </c>
      <c r="J47" s="31">
        <f>Option3!J$83*conv_2026*J$7</f>
        <v>-101098.80005911636</v>
      </c>
      <c r="K47" s="31">
        <f>Option3!K$83*conv_2026*K$7</f>
        <v>-101098.80005911636</v>
      </c>
      <c r="L47" s="31">
        <f>Option3!L$83*conv_2026*L$7</f>
        <v>-101098.80005911636</v>
      </c>
      <c r="M47" s="31">
        <f>Option3!M$83*conv_2026*M$7</f>
        <v>-101098.80005911636</v>
      </c>
      <c r="N47" s="31">
        <f>Option3!N$83*conv_2026*N$7</f>
        <v>-2389710.5963741005</v>
      </c>
      <c r="O47" s="31">
        <f>Option3!O$83*conv_2026*O$7</f>
        <v>-2389710.5963741005</v>
      </c>
      <c r="P47" s="31">
        <f>Option3!P$83*conv_2026*P$7</f>
        <v>-2389710.5963741005</v>
      </c>
      <c r="Q47" s="31">
        <f>Option3!Q$83*conv_2026*Q$7</f>
        <v>-2921502.165883569</v>
      </c>
      <c r="R47" s="31">
        <f>Option3!R$83*conv_2026*R$7</f>
        <v>-2921502.165883569</v>
      </c>
      <c r="S47" s="31">
        <f>Option3!S$83*conv_2026*S$7</f>
        <v>-2921502.165883569</v>
      </c>
      <c r="T47" s="31">
        <f>Option3!T$83*conv_2026*T$7</f>
        <v>-2921502.165883569</v>
      </c>
      <c r="U47" s="31">
        <f>Option3!U$83*conv_2026*U$7</f>
        <v>-2921502.165883569</v>
      </c>
      <c r="V47" s="31">
        <f>Option3!V$83*conv_2026*V$7</f>
        <v>-2389710.5963741005</v>
      </c>
      <c r="W47" s="31">
        <f>Option3!W$83*conv_2026*W$7</f>
        <v>-2389710.5963741005</v>
      </c>
      <c r="X47" s="31">
        <f>Option3!X$83*conv_2026*X$7</f>
        <v>-1911768.4770992806</v>
      </c>
      <c r="Y47" s="31">
        <f>Option3!Y$83*conv_2026*Y$7</f>
        <v>-1433826.3578244604</v>
      </c>
      <c r="Z47" s="31">
        <f>Option3!Z$83*conv_2026*Z$7</f>
        <v>-955884.23854964029</v>
      </c>
      <c r="AA47" s="31">
        <f>Option3!AA$83*conv_2026*AA$7</f>
        <v>-477942.11927482014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50886810.938992701</v>
      </c>
      <c r="G48" s="225">
        <f t="shared" si="12"/>
        <v>46203</v>
      </c>
      <c r="H48" s="31"/>
      <c r="I48" s="31">
        <f>Option3!I$84*conv_2026*I$7</f>
        <v>929345.1917019086</v>
      </c>
      <c r="J48" s="31">
        <f>Option3!J$84*conv_2026*J$7</f>
        <v>1858690.3834038172</v>
      </c>
      <c r="K48" s="31">
        <f>Option3!K$84*conv_2026*K$7</f>
        <v>2788035.5751057258</v>
      </c>
      <c r="L48" s="31">
        <f>Option3!L$84*conv_2026*L$7</f>
        <v>3717380.7668076344</v>
      </c>
      <c r="M48" s="31">
        <f>Option3!M$84*conv_2026*M$7</f>
        <v>4646725.958509543</v>
      </c>
      <c r="N48" s="31">
        <f>Option3!N$84*conv_2026*N$7</f>
        <v>4646725.958509543</v>
      </c>
      <c r="O48" s="31">
        <f>Option3!O$84*conv_2026*O$7</f>
        <v>4646725.958509543</v>
      </c>
      <c r="P48" s="31">
        <f>Option3!P$84*conv_2026*P$7</f>
        <v>4646725.958509543</v>
      </c>
      <c r="Q48" s="31">
        <f>Option3!Q$84*conv_2026*Q$7</f>
        <v>4646725.958509543</v>
      </c>
      <c r="R48" s="31">
        <f>Option3!R$84*conv_2026*R$7</f>
        <v>4646725.958509543</v>
      </c>
      <c r="S48" s="31">
        <f>Option3!S$84*conv_2026*S$7</f>
        <v>4646725.958509543</v>
      </c>
      <c r="T48" s="31">
        <f>Option3!T$84*conv_2026*T$7</f>
        <v>4646725.958509543</v>
      </c>
      <c r="U48" s="31">
        <f>Option3!U$84*conv_2026*U$7</f>
        <v>4646725.958509543</v>
      </c>
      <c r="V48" s="31">
        <f>Option3!V$84*conv_2026*V$7</f>
        <v>4646725.958509543</v>
      </c>
      <c r="W48" s="31">
        <f>Option3!W$84*conv_2026*W$7</f>
        <v>4646725.958509543</v>
      </c>
      <c r="X48" s="31">
        <f>Option3!X$84*conv_2026*X$7</f>
        <v>3717380.7668076344</v>
      </c>
      <c r="Y48" s="31">
        <f>Option3!Y$84*conv_2026*Y$7</f>
        <v>2788035.5751057258</v>
      </c>
      <c r="Z48" s="31">
        <f>Option3!Z$84*conv_2026*Z$7</f>
        <v>1858690.3834038172</v>
      </c>
      <c r="AA48" s="31">
        <f>Option3!AA$84*conv_2026*AA$7</f>
        <v>929345.1917019086</v>
      </c>
      <c r="AB48" s="31">
        <f>Option3!AB$84*conv_2026*AB$7</f>
        <v>0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828246.39164279227</v>
      </c>
      <c r="J50" s="52">
        <f t="shared" si="13"/>
        <v>886880.40845637303</v>
      </c>
      <c r="K50" s="52">
        <f t="shared" si="13"/>
        <v>945514.42526995367</v>
      </c>
      <c r="L50" s="52">
        <f t="shared" si="13"/>
        <v>1004148.4420835348</v>
      </c>
      <c r="M50" s="52">
        <f t="shared" si="13"/>
        <v>1062782.4588971152</v>
      </c>
      <c r="N50" s="52">
        <f t="shared" si="13"/>
        <v>-2096540.5123061975</v>
      </c>
      <c r="O50" s="52">
        <f t="shared" si="13"/>
        <v>-2096540.5123061975</v>
      </c>
      <c r="P50" s="52">
        <f t="shared" si="13"/>
        <v>-2096540.5123061975</v>
      </c>
      <c r="Q50" s="52">
        <f t="shared" si="13"/>
        <v>-2628332.0818156656</v>
      </c>
      <c r="R50" s="52">
        <f t="shared" si="13"/>
        <v>-2628332.0818156656</v>
      </c>
      <c r="S50" s="52">
        <f t="shared" si="13"/>
        <v>-2628332.0818156656</v>
      </c>
      <c r="T50" s="52">
        <f t="shared" si="13"/>
        <v>-2628332.0818156656</v>
      </c>
      <c r="U50" s="52">
        <f t="shared" si="13"/>
        <v>-2628332.0818156656</v>
      </c>
      <c r="V50" s="52">
        <f t="shared" si="13"/>
        <v>-2096540.5123061975</v>
      </c>
      <c r="W50" s="52">
        <f t="shared" si="13"/>
        <v>-2096540.5123061975</v>
      </c>
      <c r="X50" s="52">
        <f t="shared" si="13"/>
        <v>-2547943.5847332859</v>
      </c>
      <c r="Y50" s="52">
        <f t="shared" si="13"/>
        <v>-2128635.4822720457</v>
      </c>
      <c r="Z50" s="52">
        <f t="shared" si="13"/>
        <v>-1709327.3798108068</v>
      </c>
      <c r="AA50" s="52">
        <f t="shared" si="13"/>
        <v>-1290019.2773495675</v>
      </c>
      <c r="AB50" s="52">
        <f t="shared" si="13"/>
        <v>-870711.17488832807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-17231477.333077163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187</v>
      </c>
      <c r="D52" s="38" t="str">
        <f t="shared" si="11"/>
        <v>Option 3PV of costs</v>
      </c>
      <c r="E52" s="1"/>
      <c r="F52" s="108">
        <f>SUM(F46:F47)</f>
        <v>-68118288.272069871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188</v>
      </c>
      <c r="D53" s="38" t="str">
        <f t="shared" si="11"/>
        <v>Option 3PV of benefits</v>
      </c>
      <c r="E53" s="1"/>
      <c r="F53" s="108">
        <f>SUM(F48:F49)</f>
        <v>50886810.938992701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674061280.0132004</v>
      </c>
      <c r="G56" s="271">
        <f>output_dollars</f>
        <v>46203</v>
      </c>
      <c r="H56" s="272"/>
      <c r="I56" s="31">
        <f>Option4!I$28*conv_2026</f>
        <v>46785568.037067562</v>
      </c>
      <c r="J56" s="31">
        <f>Option4!J$28*conv_2026</f>
        <v>46504613.81093704</v>
      </c>
      <c r="K56" s="31">
        <f>Option4!K$28*conv_2026</f>
        <v>46504613.81093704</v>
      </c>
      <c r="L56" s="31">
        <f>Option4!L$28*conv_2026</f>
        <v>46504613.81093704</v>
      </c>
      <c r="M56" s="31">
        <f>Option4!M$28*conv_2026</f>
        <v>46504613.81093704</v>
      </c>
      <c r="N56" s="31">
        <f>Option4!N$28*conv_2026</f>
        <v>46504613.81093704</v>
      </c>
      <c r="O56" s="31">
        <f>Option4!O$28*conv_2026</f>
        <v>46504613.81093704</v>
      </c>
      <c r="P56" s="31">
        <f>Option4!P$28*conv_2026</f>
        <v>46504613.81093704</v>
      </c>
      <c r="Q56" s="31">
        <f>Option4!Q$28*conv_2026</f>
        <v>46504613.81093704</v>
      </c>
      <c r="R56" s="31">
        <f>Option4!R$28*conv_2026</f>
        <v>46504613.81093704</v>
      </c>
      <c r="S56" s="31">
        <f>Option4!S$28*conv_2026</f>
        <v>46504613.81093704</v>
      </c>
      <c r="T56" s="31">
        <f>Option4!T$28*conv_2026</f>
        <v>46504613.81093704</v>
      </c>
      <c r="U56" s="31">
        <f>Option4!U$28*conv_2026</f>
        <v>46504613.81093704</v>
      </c>
      <c r="V56" s="31">
        <f>Option4!V$28*conv_2026</f>
        <v>46504613.81093704</v>
      </c>
      <c r="W56" s="31">
        <f>Option4!W$28*conv_2026</f>
        <v>46504613.81093704</v>
      </c>
      <c r="X56" s="31">
        <f>Option4!X$28*conv_2026</f>
        <v>46785568.037067562</v>
      </c>
      <c r="Y56" s="31">
        <f>Option4!Y$28*conv_2026</f>
        <v>47066522.263198085</v>
      </c>
      <c r="Z56" s="31">
        <f>Option4!Z$28*conv_2026</f>
        <v>47066522.263198085</v>
      </c>
      <c r="AA56" s="31">
        <f>Option4!AA$28*conv_2026</f>
        <v>47066522.263198085</v>
      </c>
      <c r="AB56" s="31">
        <f>Option4!AB$28*conv_2026</f>
        <v>47066522.263198085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-8263771.3496164046</v>
      </c>
      <c r="G57" s="225">
        <f>output_dollars</f>
        <v>46203</v>
      </c>
      <c r="H57" s="31"/>
      <c r="I57" s="31">
        <f>SUM(Option4!I$67:I$69)*conv_2026*I$7</f>
        <v>-4275869.1188057782</v>
      </c>
      <c r="J57" s="31">
        <f>SUM(Option4!J$67:J$69)*conv_2026*J$7</f>
        <v>-4275869.1188057782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948981463.24737644</v>
      </c>
      <c r="G58" s="225">
        <f>output_dollars</f>
        <v>46203</v>
      </c>
      <c r="H58" s="31"/>
      <c r="I58" s="31">
        <f>Option4!I$36*conv_2026*I$7</f>
        <v>65899126.504191555</v>
      </c>
      <c r="J58" s="31">
        <f>Option4!J$36*conv_2026*J$7</f>
        <v>65450045.387441687</v>
      </c>
      <c r="K58" s="31">
        <f>Option4!K$36*conv_2026*K$7</f>
        <v>65450045.387441687</v>
      </c>
      <c r="L58" s="31">
        <f>Option4!L$36*conv_2026*L$7</f>
        <v>65450045.387441687</v>
      </c>
      <c r="M58" s="31">
        <f>Option4!M$36*conv_2026*M$7</f>
        <v>65450045.387441687</v>
      </c>
      <c r="N58" s="31">
        <f>Option4!N$36*conv_2026*N$7</f>
        <v>65450045.387441687</v>
      </c>
      <c r="O58" s="31">
        <f>Option4!O$36*conv_2026*O$7</f>
        <v>65450045.387441687</v>
      </c>
      <c r="P58" s="31">
        <f>Option4!P$36*conv_2026*P$7</f>
        <v>65450045.387441687</v>
      </c>
      <c r="Q58" s="31">
        <f>Option4!Q$36*conv_2026*Q$7</f>
        <v>65450045.387441687</v>
      </c>
      <c r="R58" s="31">
        <f>Option4!R$36*conv_2026*R$7</f>
        <v>65450045.387441687</v>
      </c>
      <c r="S58" s="31">
        <f>Option4!S$36*conv_2026*S$7</f>
        <v>65450045.387441687</v>
      </c>
      <c r="T58" s="31">
        <f>Option4!T$36*conv_2026*T$7</f>
        <v>65450045.387441687</v>
      </c>
      <c r="U58" s="31">
        <f>Option4!U$36*conv_2026*U$7</f>
        <v>65450045.387441687</v>
      </c>
      <c r="V58" s="31">
        <f>Option4!V$36*conv_2026*V$7</f>
        <v>65450045.387441687</v>
      </c>
      <c r="W58" s="31">
        <f>Option4!W$36*conv_2026*W$7</f>
        <v>65450045.387441687</v>
      </c>
      <c r="X58" s="31">
        <f>Option4!X$36*conv_2026*X$7</f>
        <v>65899126.504191555</v>
      </c>
      <c r="Y58" s="31">
        <f>Option4!Y$36*conv_2026*Y$7</f>
        <v>66348207.620941423</v>
      </c>
      <c r="Z58" s="31">
        <f>Option4!Z$36*conv_2026*Z$7</f>
        <v>66348207.620941423</v>
      </c>
      <c r="AA58" s="31">
        <f>Option4!AA$36*conv_2026*AA$7</f>
        <v>66348207.620941423</v>
      </c>
      <c r="AB58" s="31">
        <f>Option4!AB$36*conv_2026*AB$7</f>
        <v>66348207.620941423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-8263771.3496164102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-371252.63284038997</v>
      </c>
      <c r="K60" s="31">
        <f>Option4!K$82*conv_2026*K$7</f>
        <v>-742505.26568077994</v>
      </c>
      <c r="L60" s="31">
        <f>Option4!L$82*conv_2026*L$7</f>
        <v>-742505.26568077994</v>
      </c>
      <c r="M60" s="31">
        <f>Option4!M$82*conv_2026*M$7</f>
        <v>-742505.26568077994</v>
      </c>
      <c r="N60" s="31">
        <f>Option4!N$82*conv_2026*N$7</f>
        <v>-742505.26568077994</v>
      </c>
      <c r="O60" s="31">
        <f>Option4!O$82*conv_2026*O$7</f>
        <v>-742505.26568077994</v>
      </c>
      <c r="P60" s="31">
        <f>Option4!P$82*conv_2026*P$7</f>
        <v>-742505.26568077994</v>
      </c>
      <c r="Q60" s="31">
        <f>Option4!Q$82*conv_2026*Q$7</f>
        <v>-742505.26568077994</v>
      </c>
      <c r="R60" s="31">
        <f>Option4!R$82*conv_2026*R$7</f>
        <v>-742505.26568077994</v>
      </c>
      <c r="S60" s="31">
        <f>Option4!S$82*conv_2026*S$7</f>
        <v>-742505.26568077994</v>
      </c>
      <c r="T60" s="31">
        <f>Option4!T$82*conv_2026*T$7</f>
        <v>-742505.26568077994</v>
      </c>
      <c r="U60" s="31">
        <f>Option4!U$82*conv_2026*U$7</f>
        <v>-742505.26568077994</v>
      </c>
      <c r="V60" s="31">
        <f>Option4!V$82*conv_2026*V$7</f>
        <v>-742505.26568077994</v>
      </c>
      <c r="W60" s="31">
        <f>Option4!W$82*conv_2026*W$7</f>
        <v>-742505.26568077994</v>
      </c>
      <c r="X60" s="31">
        <f>Option4!X$82*conv_2026*X$7</f>
        <v>-742505.26568077994</v>
      </c>
      <c r="Y60" s="31">
        <f>Option4!Y$82*conv_2026*Y$7</f>
        <v>-371252.63284038997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-3435008.4557068017</v>
      </c>
      <c r="G61" s="225">
        <f t="shared" si="16"/>
        <v>46203</v>
      </c>
      <c r="H61" s="31"/>
      <c r="I61" s="31">
        <f>Option4!I$83*conv_2026*I$7</f>
        <v>-17242.546911731046</v>
      </c>
      <c r="J61" s="31">
        <f>Option4!J$83*conv_2026*J$7</f>
        <v>-17242.546911731046</v>
      </c>
      <c r="K61" s="31">
        <f>Option4!K$83*conv_2026*K$7</f>
        <v>-17242.546911731046</v>
      </c>
      <c r="L61" s="31">
        <f>Option4!L$83*conv_2026*L$7</f>
        <v>-17242.546911731046</v>
      </c>
      <c r="M61" s="31">
        <f>Option4!M$83*conv_2026*M$7</f>
        <v>-17242.546911731046</v>
      </c>
      <c r="N61" s="31">
        <f>Option4!N$83*conv_2026*N$7</f>
        <v>-407568.60654475843</v>
      </c>
      <c r="O61" s="31">
        <f>Option4!O$83*conv_2026*O$7</f>
        <v>-407568.60654475843</v>
      </c>
      <c r="P61" s="31">
        <f>Option4!P$83*conv_2026*P$7</f>
        <v>-407568.60654475843</v>
      </c>
      <c r="Q61" s="31">
        <f>Option4!Q$83*conv_2026*Q$7</f>
        <v>-634313.16432309896</v>
      </c>
      <c r="R61" s="31">
        <f>Option4!R$83*conv_2026*R$7</f>
        <v>-634313.16432309896</v>
      </c>
      <c r="S61" s="31">
        <f>Option4!S$83*conv_2026*S$7</f>
        <v>-407568.60654475843</v>
      </c>
      <c r="T61" s="31">
        <f>Option4!T$83*conv_2026*T$7</f>
        <v>-407568.60654475843</v>
      </c>
      <c r="U61" s="31">
        <f>Option4!U$83*conv_2026*U$7</f>
        <v>-407568.60654475843</v>
      </c>
      <c r="V61" s="31">
        <f>Option4!V$83*conv_2026*V$7</f>
        <v>-407568.60654475843</v>
      </c>
      <c r="W61" s="31">
        <f>Option4!W$83*conv_2026*W$7</f>
        <v>-407568.60654475843</v>
      </c>
      <c r="X61" s="31">
        <f>Option4!X$83*conv_2026*X$7</f>
        <v>-203784.30327237921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10346033.81848993</v>
      </c>
      <c r="G62" s="225">
        <f t="shared" si="16"/>
        <v>46203</v>
      </c>
      <c r="H62" s="31"/>
      <c r="I62" s="31">
        <f>Option4!I$84*conv_2026*I$7</f>
        <v>449081.11674986826</v>
      </c>
      <c r="J62" s="31">
        <f>Option4!J$84*conv_2026*J$7</f>
        <v>898162.23349973653</v>
      </c>
      <c r="K62" s="31">
        <f>Option4!K$84*conv_2026*K$7</f>
        <v>898162.23349973653</v>
      </c>
      <c r="L62" s="31">
        <f>Option4!L$84*conv_2026*L$7</f>
        <v>898162.23349973653</v>
      </c>
      <c r="M62" s="31">
        <f>Option4!M$84*conv_2026*M$7</f>
        <v>898162.23349973653</v>
      </c>
      <c r="N62" s="31">
        <f>Option4!N$84*conv_2026*N$7</f>
        <v>898162.23349973653</v>
      </c>
      <c r="O62" s="31">
        <f>Option4!O$84*conv_2026*O$7</f>
        <v>898162.23349973653</v>
      </c>
      <c r="P62" s="31">
        <f>Option4!P$84*conv_2026*P$7</f>
        <v>898162.23349973653</v>
      </c>
      <c r="Q62" s="31">
        <f>Option4!Q$84*conv_2026*Q$7</f>
        <v>898162.23349973653</v>
      </c>
      <c r="R62" s="31">
        <f>Option4!R$84*conv_2026*R$7</f>
        <v>898162.23349973653</v>
      </c>
      <c r="S62" s="31">
        <f>Option4!S$84*conv_2026*S$7</f>
        <v>898162.23349973653</v>
      </c>
      <c r="T62" s="31">
        <f>Option4!T$84*conv_2026*T$7</f>
        <v>898162.23349973653</v>
      </c>
      <c r="U62" s="31">
        <f>Option4!U$84*conv_2026*U$7</f>
        <v>898162.23349973653</v>
      </c>
      <c r="V62" s="31">
        <f>Option4!V$84*conv_2026*V$7</f>
        <v>898162.23349973653</v>
      </c>
      <c r="W62" s="31">
        <f>Option4!W$84*conv_2026*W$7</f>
        <v>898162.23349973653</v>
      </c>
      <c r="X62" s="31">
        <f>Option4!X$84*conv_2026*X$7</f>
        <v>449081.11674986826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431838.56983813719</v>
      </c>
      <c r="J64" s="52">
        <f t="shared" si="17"/>
        <v>509667.05374761549</v>
      </c>
      <c r="K64" s="52">
        <f t="shared" si="17"/>
        <v>138414.42090722558</v>
      </c>
      <c r="L64" s="52">
        <f t="shared" si="17"/>
        <v>138414.42090722558</v>
      </c>
      <c r="M64" s="52">
        <f t="shared" si="17"/>
        <v>138414.42090722558</v>
      </c>
      <c r="N64" s="52">
        <f t="shared" si="17"/>
        <v>-251911.63872580184</v>
      </c>
      <c r="O64" s="52">
        <f t="shared" si="17"/>
        <v>-251911.63872580184</v>
      </c>
      <c r="P64" s="52">
        <f t="shared" si="17"/>
        <v>-251911.63872580184</v>
      </c>
      <c r="Q64" s="52">
        <f t="shared" si="17"/>
        <v>-478656.19650414237</v>
      </c>
      <c r="R64" s="52">
        <f t="shared" si="17"/>
        <v>-478656.19650414237</v>
      </c>
      <c r="S64" s="52">
        <f t="shared" si="17"/>
        <v>-251911.63872580184</v>
      </c>
      <c r="T64" s="52">
        <f t="shared" si="17"/>
        <v>-251911.63872580184</v>
      </c>
      <c r="U64" s="52">
        <f t="shared" si="17"/>
        <v>-251911.63872580184</v>
      </c>
      <c r="V64" s="52">
        <f t="shared" si="17"/>
        <v>-251911.63872580184</v>
      </c>
      <c r="W64" s="52">
        <f t="shared" si="17"/>
        <v>-251911.63872580184</v>
      </c>
      <c r="X64" s="52">
        <f t="shared" si="17"/>
        <v>-497208.45220329089</v>
      </c>
      <c r="Y64" s="52">
        <f t="shared" si="17"/>
        <v>-371252.63284038997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-1352745.9868332846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187</v>
      </c>
      <c r="D66" s="38" t="str">
        <f t="shared" si="14"/>
        <v>Option 4PV of costs</v>
      </c>
      <c r="E66" s="1"/>
      <c r="F66" s="108">
        <f>SUM(F60:F61)</f>
        <v>-11698779.805323211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188</v>
      </c>
      <c r="D67" s="38" t="str">
        <f t="shared" si="14"/>
        <v>Option 4PV of benefits</v>
      </c>
      <c r="E67" s="1"/>
      <c r="F67" s="108">
        <f>SUM(F62:F63)</f>
        <v>10346033.81848993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669426950.72123599</v>
      </c>
      <c r="G70" s="271">
        <f>output_dollars</f>
        <v>46203</v>
      </c>
      <c r="H70" s="272"/>
      <c r="I70" s="31">
        <f>Option5!I$28*conv_2026</f>
        <v>46619671.25592383</v>
      </c>
      <c r="J70" s="31">
        <f>Option5!J$28*conv_2026</f>
        <v>46172820.248649575</v>
      </c>
      <c r="K70" s="31">
        <f>Option5!K$28*conv_2026</f>
        <v>46172820.248649575</v>
      </c>
      <c r="L70" s="31">
        <f>Option5!L$28*conv_2026</f>
        <v>46172820.248649575</v>
      </c>
      <c r="M70" s="31">
        <f>Option5!M$28*conv_2026</f>
        <v>46172820.248649575</v>
      </c>
      <c r="N70" s="31">
        <f>Option5!N$28*conv_2026</f>
        <v>46172820.248649575</v>
      </c>
      <c r="O70" s="31">
        <f>Option5!O$28*conv_2026</f>
        <v>46172820.248649575</v>
      </c>
      <c r="P70" s="31">
        <f>Option5!P$28*conv_2026</f>
        <v>46172820.248649575</v>
      </c>
      <c r="Q70" s="31">
        <f>Option5!Q$28*conv_2026</f>
        <v>46172820.248649575</v>
      </c>
      <c r="R70" s="31">
        <f>Option5!R$28*conv_2026</f>
        <v>46172820.248649575</v>
      </c>
      <c r="S70" s="31">
        <f>Option5!S$28*conv_2026</f>
        <v>46172820.248649575</v>
      </c>
      <c r="T70" s="31">
        <f>Option5!T$28*conv_2026</f>
        <v>46172820.248649575</v>
      </c>
      <c r="U70" s="31">
        <f>Option5!U$28*conv_2026</f>
        <v>46172820.248649575</v>
      </c>
      <c r="V70" s="31">
        <f>Option5!V$28*conv_2026</f>
        <v>46172820.248649575</v>
      </c>
      <c r="W70" s="31">
        <f>Option5!W$28*conv_2026</f>
        <v>46172820.248649575</v>
      </c>
      <c r="X70" s="31">
        <f>Option5!X$28*conv_2026</f>
        <v>46453774.474780098</v>
      </c>
      <c r="Y70" s="31">
        <f>Option5!Y$28*conv_2026</f>
        <v>46734728.700910613</v>
      </c>
      <c r="Z70" s="31">
        <f>Option5!Z$28*conv_2026</f>
        <v>46734728.700910613</v>
      </c>
      <c r="AA70" s="31">
        <f>Option5!AA$28*conv_2026</f>
        <v>46734728.700910613</v>
      </c>
      <c r="AB70" s="31">
        <f>Option5!AB$28*conv_2026</f>
        <v>46734728.700910613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-18398689.557215706</v>
      </c>
      <c r="G71" s="225">
        <f>output_dollars</f>
        <v>46203</v>
      </c>
      <c r="H71" s="31"/>
      <c r="I71" s="31">
        <f>SUM(Option5!I$67:I$69)*conv_2026*I$7</f>
        <v>-9519913.5087207835</v>
      </c>
      <c r="J71" s="31">
        <f>SUM(Option5!J$67:J$69)*conv_2026*J$7</f>
        <v>-9519913.5087207835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935450790.06533742</v>
      </c>
      <c r="G72" s="225">
        <f>output_dollars</f>
        <v>46203</v>
      </c>
      <c r="H72" s="31"/>
      <c r="I72" s="31">
        <f>Option5!I$36*conv_2026*I$7</f>
        <v>65414764.046068378</v>
      </c>
      <c r="J72" s="31">
        <f>Option5!J$36*conv_2026*J$7</f>
        <v>64481320.471195325</v>
      </c>
      <c r="K72" s="31">
        <f>Option5!K$36*conv_2026*K$7</f>
        <v>64481320.471195325</v>
      </c>
      <c r="L72" s="31">
        <f>Option5!L$36*conv_2026*L$7</f>
        <v>64481320.471195325</v>
      </c>
      <c r="M72" s="31">
        <f>Option5!M$36*conv_2026*M$7</f>
        <v>64481320.471195325</v>
      </c>
      <c r="N72" s="31">
        <f>Option5!N$36*conv_2026*N$7</f>
        <v>64481320.471195325</v>
      </c>
      <c r="O72" s="31">
        <f>Option5!O$36*conv_2026*O$7</f>
        <v>64481320.471195325</v>
      </c>
      <c r="P72" s="31">
        <f>Option5!P$36*conv_2026*P$7</f>
        <v>64481320.471195325</v>
      </c>
      <c r="Q72" s="31">
        <f>Option5!Q$36*conv_2026*Q$7</f>
        <v>64481320.471195325</v>
      </c>
      <c r="R72" s="31">
        <f>Option5!R$36*conv_2026*R$7</f>
        <v>64481320.471195325</v>
      </c>
      <c r="S72" s="31">
        <f>Option5!S$36*conv_2026*S$7</f>
        <v>64481320.471195325</v>
      </c>
      <c r="T72" s="31">
        <f>Option5!T$36*conv_2026*T$7</f>
        <v>64481320.471195325</v>
      </c>
      <c r="U72" s="31">
        <f>Option5!U$36*conv_2026*U$7</f>
        <v>64481320.471195325</v>
      </c>
      <c r="V72" s="31">
        <f>Option5!V$36*conv_2026*V$7</f>
        <v>64481320.471195325</v>
      </c>
      <c r="W72" s="31">
        <f>Option5!W$36*conv_2026*W$7</f>
        <v>64481320.471195325</v>
      </c>
      <c r="X72" s="31">
        <f>Option5!X$36*conv_2026*X$7</f>
        <v>64930401.587945193</v>
      </c>
      <c r="Y72" s="31">
        <f>Option5!Y$36*conv_2026*Y$7</f>
        <v>65379482.704695061</v>
      </c>
      <c r="Z72" s="31">
        <f>Option5!Z$36*conv_2026*Z$7</f>
        <v>65379482.704695061</v>
      </c>
      <c r="AA72" s="31">
        <f>Option5!AA$36*conv_2026*AA$7</f>
        <v>65379482.704695061</v>
      </c>
      <c r="AB72" s="31">
        <f>Option5!AB$36*conv_2026*AB$7</f>
        <v>65379482.704695061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-15677712.782518722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-656378.30932850775</v>
      </c>
      <c r="K74" s="31">
        <f>Option5!K$82*conv_2026*K$7</f>
        <v>-1312756.6186570155</v>
      </c>
      <c r="L74" s="31">
        <f>Option5!L$82*conv_2026*L$7</f>
        <v>-1312756.6186570155</v>
      </c>
      <c r="M74" s="31">
        <f>Option5!M$82*conv_2026*M$7</f>
        <v>-1312756.6186570155</v>
      </c>
      <c r="N74" s="31">
        <f>Option5!N$82*conv_2026*N$7</f>
        <v>-1312756.6186570155</v>
      </c>
      <c r="O74" s="31">
        <f>Option5!O$82*conv_2026*O$7</f>
        <v>-1312756.6186570155</v>
      </c>
      <c r="P74" s="31">
        <f>Option5!P$82*conv_2026*P$7</f>
        <v>-1312756.6186570155</v>
      </c>
      <c r="Q74" s="31">
        <f>Option5!Q$82*conv_2026*Q$7</f>
        <v>-1312756.6186570155</v>
      </c>
      <c r="R74" s="31">
        <f>Option5!R$82*conv_2026*R$7</f>
        <v>-1312756.6186570155</v>
      </c>
      <c r="S74" s="31">
        <f>Option5!S$82*conv_2026*S$7</f>
        <v>-1312756.6186570155</v>
      </c>
      <c r="T74" s="31">
        <f>Option5!T$82*conv_2026*T$7</f>
        <v>-1312756.6186570155</v>
      </c>
      <c r="U74" s="31">
        <f>Option5!U$82*conv_2026*U$7</f>
        <v>-1312756.6186570155</v>
      </c>
      <c r="V74" s="31">
        <f>Option5!V$82*conv_2026*V$7</f>
        <v>-1312756.6186570155</v>
      </c>
      <c r="W74" s="31">
        <f>Option5!W$82*conv_2026*W$7</f>
        <v>-1312756.6186570155</v>
      </c>
      <c r="X74" s="31">
        <f>Option5!X$82*conv_2026*X$7</f>
        <v>-1312756.6186570155</v>
      </c>
      <c r="Y74" s="31">
        <f>Option5!Y$82*conv_2026*Y$7</f>
        <v>-941503.98581662553</v>
      </c>
      <c r="Z74" s="31">
        <f>Option5!Z$82*conv_2026*Z$7</f>
        <v>-570251.35297623556</v>
      </c>
      <c r="AA74" s="31">
        <f>Option5!AA$82*conv_2026*AA$7</f>
        <v>-570251.35297623556</v>
      </c>
      <c r="AB74" s="31">
        <f>Option5!AB$82*conv_2026*AB$7</f>
        <v>-570251.35297623556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-3435008.4557068017</v>
      </c>
      <c r="G75" s="225">
        <f t="shared" si="20"/>
        <v>46203</v>
      </c>
      <c r="H75" s="31"/>
      <c r="I75" s="31">
        <f>Option5!I$83*conv_2026*I$7</f>
        <v>-17242.546911731046</v>
      </c>
      <c r="J75" s="31">
        <f>Option5!J$83*conv_2026*J$7</f>
        <v>-17242.546911731046</v>
      </c>
      <c r="K75" s="31">
        <f>Option5!K$83*conv_2026*K$7</f>
        <v>-17242.546911731046</v>
      </c>
      <c r="L75" s="31">
        <f>Option5!L$83*conv_2026*L$7</f>
        <v>-17242.546911731046</v>
      </c>
      <c r="M75" s="31">
        <f>Option5!M$83*conv_2026*M$7</f>
        <v>-17242.546911731046</v>
      </c>
      <c r="N75" s="31">
        <f>Option5!N$83*conv_2026*N$7</f>
        <v>-407568.60654475843</v>
      </c>
      <c r="O75" s="31">
        <f>Option5!O$83*conv_2026*O$7</f>
        <v>-407568.60654475843</v>
      </c>
      <c r="P75" s="31">
        <f>Option5!P$83*conv_2026*P$7</f>
        <v>-407568.60654475843</v>
      </c>
      <c r="Q75" s="31">
        <f>Option5!Q$83*conv_2026*Q$7</f>
        <v>-634313.16432309896</v>
      </c>
      <c r="R75" s="31">
        <f>Option5!R$83*conv_2026*R$7</f>
        <v>-634313.16432309896</v>
      </c>
      <c r="S75" s="31">
        <f>Option5!S$83*conv_2026*S$7</f>
        <v>-407568.60654475843</v>
      </c>
      <c r="T75" s="31">
        <f>Option5!T$83*conv_2026*T$7</f>
        <v>-407568.60654475843</v>
      </c>
      <c r="U75" s="31">
        <f>Option5!U$83*conv_2026*U$7</f>
        <v>-407568.60654475843</v>
      </c>
      <c r="V75" s="31">
        <f>Option5!V$83*conv_2026*V$7</f>
        <v>-407568.60654475843</v>
      </c>
      <c r="W75" s="31">
        <f>Option5!W$83*conv_2026*W$7</f>
        <v>-407568.60654475843</v>
      </c>
      <c r="X75" s="31">
        <f>Option5!X$83*conv_2026*X$7</f>
        <v>-203784.30327237921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23876707.000529192</v>
      </c>
      <c r="G76" s="225">
        <f t="shared" si="20"/>
        <v>46203</v>
      </c>
      <c r="H76" s="31"/>
      <c r="I76" s="31">
        <f>Option5!I$84*conv_2026*I$7</f>
        <v>933443.5748730487</v>
      </c>
      <c r="J76" s="31">
        <f>Option5!J$84*conv_2026*J$7</f>
        <v>1866887.1497460974</v>
      </c>
      <c r="K76" s="31">
        <f>Option5!K$84*conv_2026*K$7</f>
        <v>1866887.1497460974</v>
      </c>
      <c r="L76" s="31">
        <f>Option5!L$84*conv_2026*L$7</f>
        <v>1866887.1497460974</v>
      </c>
      <c r="M76" s="31">
        <f>Option5!M$84*conv_2026*M$7</f>
        <v>1866887.1497460974</v>
      </c>
      <c r="N76" s="31">
        <f>Option5!N$84*conv_2026*N$7</f>
        <v>1866887.1497460974</v>
      </c>
      <c r="O76" s="31">
        <f>Option5!O$84*conv_2026*O$7</f>
        <v>1866887.1497460974</v>
      </c>
      <c r="P76" s="31">
        <f>Option5!P$84*conv_2026*P$7</f>
        <v>1866887.1497460974</v>
      </c>
      <c r="Q76" s="31">
        <f>Option5!Q$84*conv_2026*Q$7</f>
        <v>1866887.1497460974</v>
      </c>
      <c r="R76" s="31">
        <f>Option5!R$84*conv_2026*R$7</f>
        <v>1866887.1497460974</v>
      </c>
      <c r="S76" s="31">
        <f>Option5!S$84*conv_2026*S$7</f>
        <v>1866887.1497460974</v>
      </c>
      <c r="T76" s="31">
        <f>Option5!T$84*conv_2026*T$7</f>
        <v>1866887.1497460974</v>
      </c>
      <c r="U76" s="31">
        <f>Option5!U$84*conv_2026*U$7</f>
        <v>1866887.1497460974</v>
      </c>
      <c r="V76" s="31">
        <f>Option5!V$84*conv_2026*V$7</f>
        <v>1866887.1497460974</v>
      </c>
      <c r="W76" s="31">
        <f>Option5!W$84*conv_2026*W$7</f>
        <v>1866887.1497460974</v>
      </c>
      <c r="X76" s="31">
        <f>Option5!X$84*conv_2026*X$7</f>
        <v>1417806.0329962291</v>
      </c>
      <c r="Y76" s="31">
        <f>Option5!Y$84*conv_2026*Y$7</f>
        <v>968724.91624636098</v>
      </c>
      <c r="Z76" s="31">
        <f>Option5!Z$84*conv_2026*Z$7</f>
        <v>968724.91624636098</v>
      </c>
      <c r="AA76" s="31">
        <f>Option5!AA$84*conv_2026*AA$7</f>
        <v>968724.91624636098</v>
      </c>
      <c r="AB76" s="31">
        <f>Option5!AB$84*conv_2026*AB$7</f>
        <v>968724.91624636098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916201.02796131768</v>
      </c>
      <c r="J78" s="52">
        <f t="shared" si="21"/>
        <v>1193266.2935058586</v>
      </c>
      <c r="K78" s="52">
        <f t="shared" si="21"/>
        <v>536887.98417735077</v>
      </c>
      <c r="L78" s="52">
        <f t="shared" si="21"/>
        <v>536887.98417735077</v>
      </c>
      <c r="M78" s="52">
        <f t="shared" si="21"/>
        <v>536887.98417735077</v>
      </c>
      <c r="N78" s="52">
        <f t="shared" si="21"/>
        <v>146561.92454432347</v>
      </c>
      <c r="O78" s="52">
        <f t="shared" si="21"/>
        <v>146561.92454432347</v>
      </c>
      <c r="P78" s="52">
        <f t="shared" si="21"/>
        <v>146561.92454432347</v>
      </c>
      <c r="Q78" s="52">
        <f t="shared" si="21"/>
        <v>-80182.633234017063</v>
      </c>
      <c r="R78" s="52">
        <f t="shared" si="21"/>
        <v>-80182.633234017063</v>
      </c>
      <c r="S78" s="52">
        <f t="shared" si="21"/>
        <v>146561.92454432347</v>
      </c>
      <c r="T78" s="52">
        <f t="shared" si="21"/>
        <v>146561.92454432347</v>
      </c>
      <c r="U78" s="52">
        <f t="shared" si="21"/>
        <v>146561.92454432347</v>
      </c>
      <c r="V78" s="52">
        <f t="shared" si="21"/>
        <v>146561.92454432347</v>
      </c>
      <c r="W78" s="52">
        <f t="shared" si="21"/>
        <v>146561.92454432347</v>
      </c>
      <c r="X78" s="52">
        <f t="shared" si="21"/>
        <v>-98734.888933165697</v>
      </c>
      <c r="Y78" s="52">
        <f t="shared" si="21"/>
        <v>27220.930429735454</v>
      </c>
      <c r="Z78" s="52">
        <f t="shared" si="21"/>
        <v>398473.56327012542</v>
      </c>
      <c r="AA78" s="52">
        <f t="shared" si="21"/>
        <v>398473.56327012542</v>
      </c>
      <c r="AB78" s="52">
        <f t="shared" si="21"/>
        <v>398473.56327012542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4763985.7623036606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187</v>
      </c>
      <c r="D80" s="38" t="str">
        <f t="shared" si="18"/>
        <v>Option 5PV of costs</v>
      </c>
      <c r="E80" s="1"/>
      <c r="F80" s="108">
        <f>SUM(F74:F75)</f>
        <v>-19112721.238225523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188</v>
      </c>
      <c r="D81" s="38" t="str">
        <f t="shared" si="18"/>
        <v>Option 5PV of benefits</v>
      </c>
      <c r="E81" s="1"/>
      <c r="F81" s="108">
        <f>SUM(F76:F77)</f>
        <v>23876707.000529192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200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0.57025135297623553</v>
      </c>
      <c r="J91" s="297" cm="1">
        <f t="array" ref="J91">MAX($D91*INDEX(J$15:X$81, MATCH($A91&amp;$C91, $D$15:$D$81,0),))/mill_conv</f>
        <v>0.57025135297623553</v>
      </c>
      <c r="K91" s="297" cm="1">
        <f t="array" ref="K91">MAX($D91*INDEX(K$15:Y$81, MATCH($A91&amp;$C91, $D$15:$D$81,0),))/mill_conv</f>
        <v>0.57025135297623553</v>
      </c>
      <c r="L91" s="297" cm="1">
        <f t="array" ref="L91">MAX($D91*INDEX(L$15:Z$81, MATCH($A91&amp;$C91, $D$15:$D$81,0),))/mill_conv</f>
        <v>0.57025135297623553</v>
      </c>
      <c r="M91" s="297" cm="1">
        <f t="array" ref="M91">MAX($D91*INDEX(M$15:AA$81, MATCH($A91&amp;$C91, $D$15:$D$81,0),))/mill_conv</f>
        <v>0.57025135297623553</v>
      </c>
      <c r="N91" s="297" cm="1">
        <f t="array" ref="N91">MAX($D91*INDEX(N$15:AB$81, MATCH($A91&amp;$C91, $D$15:$D$81,0),))/mill_conv</f>
        <v>0.57025135297623553</v>
      </c>
      <c r="O91" s="297" cm="1">
        <f t="array" ref="O91">MAX($D91*INDEX(O$15:AC$81, MATCH($A91&amp;$C91, $D$15:$D$81,0),))/mill_conv</f>
        <v>0.57025135297623553</v>
      </c>
      <c r="P91" s="297" cm="1">
        <f t="array" ref="P91">MAX($D91*INDEX(P$15:AD$81, MATCH($A91&amp;$C91, $D$15:$D$81,0),))/mill_conv</f>
        <v>0.57025135297623553</v>
      </c>
      <c r="Q91" s="297" cm="1">
        <f t="array" ref="Q91">MAX($D91*INDEX(Q$15:AE$81, MATCH($A91&amp;$C91, $D$15:$D$81,0),))/mill_conv</f>
        <v>0.57025135297623553</v>
      </c>
      <c r="R91" s="297" cm="1">
        <f t="array" ref="R91">MAX($D91*INDEX(R$15:AF$81, MATCH($A91&amp;$C91, $D$15:$D$81,0),))/mill_conv</f>
        <v>0.57025135297623553</v>
      </c>
      <c r="S91" s="297" cm="1">
        <f t="array" ref="S91">MAX($D91*INDEX(S$15:AG$81, MATCH($A91&amp;$C91, $D$15:$D$81,0),))/mill_conv</f>
        <v>0.57025135297623553</v>
      </c>
      <c r="T91" s="297" cm="1">
        <f t="array" ref="T91">MAX($D91*INDEX(T$15:AH$81, MATCH($A91&amp;$C91, $D$15:$D$81,0),))/mill_conv</f>
        <v>0.57025135297623553</v>
      </c>
      <c r="U91" s="297" cm="1">
        <f t="array" ref="U91">MAX($D91*INDEX(U$15:AI$81, MATCH($A91&amp;$C91, $D$15:$D$81,0),))/mill_conv</f>
        <v>0.57025135297623553</v>
      </c>
      <c r="V91" s="297" cm="1">
        <f t="array" ref="V91">MAX($D91*INDEX(V$15:AJ$81, MATCH($A91&amp;$C91, $D$15:$D$81,0),))/mill_conv</f>
        <v>0.57025135297623553</v>
      </c>
      <c r="W91" s="297" cm="1">
        <f t="array" ref="W91">MAX($D91*INDEX(W$15:AK$81, MATCH($A91&amp;$C91, $D$15:$D$81,0),))/mill_conv</f>
        <v>0.57025135297623553</v>
      </c>
      <c r="X91" s="297" cm="1">
        <f t="array" ref="X91">MAX($D91*INDEX(X$15:AL$81, MATCH($A91&amp;$C91, $D$15:$D$81,0),))/mill_conv</f>
        <v>0.57025135297623553</v>
      </c>
      <c r="Y91" s="297" cm="1">
        <f t="array" ref="Y91">MAX($D91*INDEX(Y$15:AM$81, MATCH($A91&amp;$C91, $D$15:$D$81,0),))/mill_conv</f>
        <v>0.57025135297623553</v>
      </c>
      <c r="Z91" s="297" cm="1">
        <f t="array" ref="Z91">MAX($D91*INDEX(Z$15:AN$81, MATCH($A91&amp;$C91, $D$15:$D$81,0),))/mill_conv</f>
        <v>0.57025135297623553</v>
      </c>
      <c r="AA91" s="297" cm="1">
        <f t="array" ref="AA91">MAX($D91*INDEX(AA$15:AO$81, MATCH($A91&amp;$C91, $D$15:$D$81,0),))/mill_conv</f>
        <v>0.57025135297623553</v>
      </c>
      <c r="AB91" s="297" cm="1">
        <f t="array" ref="AB91">MAX($D91*INDEX(AB$15:AP$81, MATCH($A91&amp;$C91, $D$15:$D$81,0),))/mill_conv</f>
        <v>0.57025135297623553</v>
      </c>
      <c r="AC91" s="297" cm="1">
        <f t="array" ref="AC91">MAX($D91*INDEX(AC$15:AQ$81, MATCH($A91&amp;$C91, $D$15:$D$81,0),))/mill_conv</f>
        <v>0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170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66.348207620941423</v>
      </c>
      <c r="J92" s="297">
        <f t="shared" si="23"/>
        <v>66.348207620941423</v>
      </c>
      <c r="K92" s="297">
        <f t="shared" si="23"/>
        <v>66.348207620941423</v>
      </c>
      <c r="L92" s="297">
        <f t="shared" si="23"/>
        <v>66.348207620941423</v>
      </c>
      <c r="M92" s="297">
        <f t="shared" si="23"/>
        <v>66.348207620941423</v>
      </c>
      <c r="N92" s="297">
        <f t="shared" si="23"/>
        <v>66.348207620941423</v>
      </c>
      <c r="O92" s="297">
        <f t="shared" si="23"/>
        <v>66.348207620941423</v>
      </c>
      <c r="P92" s="297">
        <f t="shared" si="23"/>
        <v>66.348207620941423</v>
      </c>
      <c r="Q92" s="297">
        <f t="shared" si="23"/>
        <v>66.348207620941423</v>
      </c>
      <c r="R92" s="297">
        <f t="shared" si="23"/>
        <v>66.348207620941423</v>
      </c>
      <c r="S92" s="297">
        <f t="shared" ref="S92:AG92" si="24">$D92*INDEX(S$15:S$81, MATCH($A92&amp;$C92, $D$15:$D$81,0))/mill_conv</f>
        <v>66.348207620941423</v>
      </c>
      <c r="T92" s="297">
        <f t="shared" si="24"/>
        <v>66.348207620941423</v>
      </c>
      <c r="U92" s="297">
        <f t="shared" si="24"/>
        <v>66.348207620941423</v>
      </c>
      <c r="V92" s="297">
        <f t="shared" si="24"/>
        <v>66.348207620941423</v>
      </c>
      <c r="W92" s="297">
        <f t="shared" si="24"/>
        <v>66.348207620941423</v>
      </c>
      <c r="X92" s="297">
        <f t="shared" si="24"/>
        <v>66.348207620941423</v>
      </c>
      <c r="Y92" s="297">
        <f t="shared" si="24"/>
        <v>66.348207620941423</v>
      </c>
      <c r="Z92" s="297">
        <f t="shared" si="24"/>
        <v>66.348207620941423</v>
      </c>
      <c r="AA92" s="297">
        <f t="shared" si="24"/>
        <v>66.348207620941423</v>
      </c>
      <c r="AB92" s="297">
        <f t="shared" si="24"/>
        <v>66.348207620941423</v>
      </c>
      <c r="AC92" s="297">
        <f t="shared" si="24"/>
        <v>66.348207620941423</v>
      </c>
      <c r="AD92" s="297">
        <f t="shared" si="24"/>
        <v>66.348207620941423</v>
      </c>
      <c r="AE92" s="297">
        <f t="shared" si="24"/>
        <v>66.348207620941423</v>
      </c>
      <c r="AF92" s="297">
        <f t="shared" si="24"/>
        <v>66.348207620941423</v>
      </c>
      <c r="AG92" s="297">
        <f t="shared" si="24"/>
        <v>66.348207620941423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233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42.291299694315505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42.291299694315505</v>
      </c>
      <c r="J99" s="119">
        <f>INDEX('Option1 (base case)'!J$14:J$87, MATCH($C99, 'Option1 (base case)'!$C$14:$C$87,0))/10^6</f>
        <v>42.291299694315505</v>
      </c>
      <c r="K99" s="119">
        <f>INDEX('Option1 (base case)'!K$14:K$87, MATCH($C99, 'Option1 (base case)'!$C$14:$C$87,0))/10^6</f>
        <v>42.291299694315505</v>
      </c>
      <c r="L99" s="119">
        <f>INDEX('Option1 (base case)'!L$14:L$87, MATCH($C99, 'Option1 (base case)'!$C$14:$C$87,0))/10^6</f>
        <v>42.291299694315505</v>
      </c>
      <c r="M99" s="119">
        <f>INDEX('Option1 (base case)'!M$14:M$87, MATCH($C99, 'Option1 (base case)'!$C$14:$C$87,0))/10^6</f>
        <v>42.291299694315505</v>
      </c>
      <c r="N99" s="119">
        <f>INDEX('Option1 (base case)'!N$14:N$87, MATCH($C99, 'Option1 (base case)'!$C$14:$C$87,0))/10^6</f>
        <v>42.291299694315505</v>
      </c>
      <c r="O99" s="119">
        <f>INDEX('Option1 (base case)'!O$14:O$87, MATCH($C99, 'Option1 (base case)'!$C$14:$C$87,0))/10^6</f>
        <v>42.291299694315505</v>
      </c>
      <c r="P99" s="119">
        <f>INDEX('Option1 (base case)'!P$14:P$87, MATCH($C99, 'Option1 (base case)'!$C$14:$C$87,0))/10^6</f>
        <v>42.291299694315505</v>
      </c>
      <c r="Q99" s="119">
        <f>INDEX('Option1 (base case)'!Q$14:Q$87, MATCH($C99, 'Option1 (base case)'!$C$14:$C$87,0))/10^6</f>
        <v>42.291299694315505</v>
      </c>
      <c r="R99" s="119">
        <f>INDEX('Option1 (base case)'!R$14:R$87, MATCH($C99, 'Option1 (base case)'!$C$14:$C$87,0))/10^6</f>
        <v>42.291299694315505</v>
      </c>
      <c r="S99" s="119">
        <f>INDEX('Option1 (base case)'!S$14:S$87, MATCH($C99, 'Option1 (base case)'!$C$14:$C$87,0))/10^6</f>
        <v>42.291299694315505</v>
      </c>
      <c r="T99" s="119">
        <f>INDEX('Option1 (base case)'!T$14:T$87, MATCH($C99, 'Option1 (base case)'!$C$14:$C$87,0))/10^6</f>
        <v>42.291299694315505</v>
      </c>
      <c r="U99" s="119">
        <f>INDEX('Option1 (base case)'!U$14:U$87, MATCH($C99, 'Option1 (base case)'!$C$14:$C$87,0))/10^6</f>
        <v>42.291299694315505</v>
      </c>
      <c r="V99" s="119">
        <f>INDEX('Option1 (base case)'!V$14:V$87, MATCH($C99, 'Option1 (base case)'!$C$14:$C$87,0))/10^6</f>
        <v>42.291299694315505</v>
      </c>
      <c r="W99" s="119">
        <f>INDEX('Option1 (base case)'!W$14:W$87, MATCH($C99, 'Option1 (base case)'!$C$14:$C$87,0))/10^6</f>
        <v>42.291299694315505</v>
      </c>
      <c r="X99" s="119">
        <f>INDEX('Option1 (base case)'!X$14:X$87, MATCH($C99, 'Option1 (base case)'!$C$14:$C$87,0))/10^6</f>
        <v>42.291299694315505</v>
      </c>
      <c r="Y99" s="119">
        <f>INDEX('Option1 (base case)'!Y$14:Y$87, MATCH($C99, 'Option1 (base case)'!$C$14:$C$87,0))/10^6</f>
        <v>42.291299694315505</v>
      </c>
      <c r="Z99" s="119">
        <f>INDEX('Option1 (base case)'!Z$14:Z$87, MATCH($C99, 'Option1 (base case)'!$C$14:$C$87,0))/10^6</f>
        <v>42.291299694315505</v>
      </c>
      <c r="AA99" s="119">
        <f>INDEX('Option1 (base case)'!AA$14:AA$87, MATCH($C99, 'Option1 (base case)'!$C$14:$C$87,0))/10^6</f>
        <v>42.291299694315505</v>
      </c>
      <c r="AB99" s="119">
        <f>INDEX('Option1 (base case)'!AB$14:AB$87, MATCH($C99, 'Option1 (base case)'!$C$14:$C$87,0))/10^6</f>
        <v>42.291299694315505</v>
      </c>
      <c r="AC99" s="119">
        <f>INDEX('Option1 (base case)'!AC$14:AC$87, MATCH($C99, 'Option1 (base case)'!$C$14:$C$87,0))/10^6</f>
        <v>42.291299694315505</v>
      </c>
      <c r="AD99" s="119">
        <f>INDEX('Option1 (base case)'!AD$14:AD$87, MATCH($C99, 'Option1 (base case)'!$C$14:$C$87,0))/10^6</f>
        <v>42.291299694315505</v>
      </c>
      <c r="AE99" s="119">
        <f>INDEX('Option1 (base case)'!AE$14:AE$87, MATCH($C99, 'Option1 (base case)'!$C$14:$C$87,0))/10^6</f>
        <v>42.291299694315505</v>
      </c>
      <c r="AF99" s="119">
        <f>INDEX('Option1 (base case)'!AF$14:AF$87, MATCH($C99, 'Option1 (base case)'!$C$14:$C$87,0))/10^6</f>
        <v>42.291299694315505</v>
      </c>
      <c r="AG99" s="119">
        <f>INDEX('Option1 (base case)'!AG$14:AG$87, MATCH($C99, 'Option1 (base case)'!$C$14:$C$87,0))/10^6</f>
        <v>42.291299694315505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 xml:space="preserve">Minimise bushfire risk from bare 22kV non-REFCL lines in HBRA 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192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193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0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398473.56327012542</v>
      </c>
      <c r="AA12" s="31">
        <f>Consol!AB36</f>
        <v>398473.56327012542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141</v>
      </c>
      <c r="B14" s="253" t="s">
        <v>119</v>
      </c>
      <c r="C14" s="253" t="s">
        <v>186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141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141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141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141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141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141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141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141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186</v>
      </c>
      <c r="D28" s="253" t="str">
        <f>A28&amp;B28</f>
        <v>Option 2NPV</v>
      </c>
      <c r="E28" s="254"/>
      <c r="F28" s="31">
        <f>SUMPRODUCT($H28:$AG28, $H$5:$AG$5)</f>
        <v>6116731.7491369452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484362.45812318049</v>
      </c>
      <c r="J28" s="31">
        <f>(INDEX(Option2!J$106:J$117, MATCH($D28, Option2!$G$106:$G$117,0)))*conv_2026*J$7</f>
        <v>683599.23975824309</v>
      </c>
      <c r="K28" s="31">
        <f>(INDEX(Option2!K$106:K$117, MATCH($D28, Option2!$G$106:$G$117,0)))*conv_2026*K$7</f>
        <v>398473.56327012536</v>
      </c>
      <c r="L28" s="31">
        <f>(INDEX(Option2!L$106:L$117, MATCH($D28, Option2!$G$106:$G$117,0)))*conv_2026*L$7</f>
        <v>398473.56327012536</v>
      </c>
      <c r="M28" s="31">
        <f>(INDEX(Option2!M$106:M$117, MATCH($D28, Option2!$G$106:$G$117,0)))*conv_2026*M$7</f>
        <v>398473.56327012536</v>
      </c>
      <c r="N28" s="31">
        <f>(INDEX(Option2!N$106:N$117, MATCH($D28, Option2!$G$106:$G$117,0)))*conv_2026*N$7</f>
        <v>398473.56327012536</v>
      </c>
      <c r="O28" s="31">
        <f>(INDEX(Option2!O$106:O$117, MATCH($D28, Option2!$G$106:$G$117,0)))*conv_2026*O$7</f>
        <v>398473.56327012536</v>
      </c>
      <c r="P28" s="31">
        <f>(INDEX(Option2!P$106:P$117, MATCH($D28, Option2!$G$106:$G$117,0)))*conv_2026*P$7</f>
        <v>398473.56327012536</v>
      </c>
      <c r="Q28" s="31">
        <f>(INDEX(Option2!Q$106:Q$117, MATCH($D28, Option2!$G$106:$G$117,0)))*conv_2026*Q$7</f>
        <v>398473.56327012536</v>
      </c>
      <c r="R28" s="31">
        <f>(INDEX(Option2!R$106:R$117, MATCH($D28, Option2!$G$106:$G$117,0)))*conv_2026*R$7</f>
        <v>398473.56327012536</v>
      </c>
      <c r="S28" s="31">
        <f>(INDEX(Option2!S$106:S$117, MATCH($D28, Option2!$G$106:$G$117,0)))*conv_2026*S$7</f>
        <v>398473.56327012536</v>
      </c>
      <c r="T28" s="31">
        <f>(INDEX(Option2!T$106:T$117, MATCH($D28, Option2!$G$106:$G$117,0)))*conv_2026*T$7</f>
        <v>398473.56327012536</v>
      </c>
      <c r="U28" s="31">
        <f>(INDEX(Option2!U$106:U$117, MATCH($D28, Option2!$G$106:$G$117,0)))*conv_2026*U$7</f>
        <v>398473.56327012536</v>
      </c>
      <c r="V28" s="31">
        <f>(INDEX(Option2!V$106:V$117, MATCH($D28, Option2!$G$106:$G$117,0)))*conv_2026*V$7</f>
        <v>398473.56327012536</v>
      </c>
      <c r="W28" s="31">
        <f>(INDEX(Option2!W$106:W$117, MATCH($D28, Option2!$G$106:$G$117,0)))*conv_2026*W$7</f>
        <v>398473.56327012536</v>
      </c>
      <c r="X28" s="31">
        <f>(INDEX(Option2!X$106:X$117, MATCH($D28, Option2!$G$106:$G$117,0)))*conv_2026*X$7</f>
        <v>398473.56327012536</v>
      </c>
      <c r="Y28" s="31">
        <f>(INDEX(Option2!Y$106:Y$117, MATCH($D28, Option2!$G$106:$G$117,0)))*conv_2026*Y$7</f>
        <v>398473.56327012536</v>
      </c>
      <c r="Z28" s="31">
        <f>(INDEX(Option2!Z$106:Z$117, MATCH($D28, Option2!$G$106:$G$117,0)))*conv_2026*Z$7</f>
        <v>398473.56327012536</v>
      </c>
      <c r="AA28" s="31">
        <f>(INDEX(Option2!AA$106:AA$117, MATCH($D28, Option2!$G$106:$G$117,0)))*conv_2026*AA$7</f>
        <v>398473.56327012536</v>
      </c>
      <c r="AB28" s="31">
        <f>(INDEX(Option2!AB$106:AB$117, MATCH($D28, Option2!$G$106:$G$117,0)))*conv_2026*AB$7</f>
        <v>398473.56327012536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5375337.6058467161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484362.45812318049</v>
      </c>
      <c r="J30" s="31">
        <f>IF($B30=0,0, (INDEX(Option2!J$106:J$117, MATCH($D30, Option2!$G$106:$G$117,0)))*conv_2026*J$7)</f>
        <v>655086.67210943135</v>
      </c>
      <c r="K30" s="31">
        <f>IF($B30=0,0, (INDEX(Option2!K$106:K$117, MATCH($D30, Option2!$G$106:$G$117,0)))*conv_2026*K$7)</f>
        <v>341448.42797250178</v>
      </c>
      <c r="L30" s="31">
        <f>IF($B30=0,0, (INDEX(Option2!L$106:L$117, MATCH($D30, Option2!$G$106:$G$117,0)))*conv_2026*L$7)</f>
        <v>341448.42797250178</v>
      </c>
      <c r="M30" s="31">
        <f>IF($B30=0,0, (INDEX(Option2!M$106:M$117, MATCH($D30, Option2!$G$106:$G$117,0)))*conv_2026*M$7)</f>
        <v>341448.42797250178</v>
      </c>
      <c r="N30" s="31">
        <f>IF($B30=0,0, (INDEX(Option2!N$106:N$117, MATCH($D30, Option2!$G$106:$G$117,0)))*conv_2026*N$7)</f>
        <v>341448.42797250178</v>
      </c>
      <c r="O30" s="31">
        <f>IF($B30=0,0, (INDEX(Option2!O$106:O$117, MATCH($D30, Option2!$G$106:$G$117,0)))*conv_2026*O$7)</f>
        <v>341448.42797250178</v>
      </c>
      <c r="P30" s="31">
        <f>IF($B30=0,0, (INDEX(Option2!P$106:P$117, MATCH($D30, Option2!$G$106:$G$117,0)))*conv_2026*P$7)</f>
        <v>341448.42797250178</v>
      </c>
      <c r="Q30" s="31">
        <f>IF($B30=0,0, (INDEX(Option2!Q$106:Q$117, MATCH($D30, Option2!$G$106:$G$117,0)))*conv_2026*Q$7)</f>
        <v>341448.42797250178</v>
      </c>
      <c r="R30" s="31">
        <f>IF($B30=0,0, (INDEX(Option2!R$106:R$117, MATCH($D30, Option2!$G$106:$G$117,0)))*conv_2026*R$7)</f>
        <v>341448.42797250178</v>
      </c>
      <c r="S30" s="31">
        <f>IF($B30=0,0, (INDEX(Option2!S$106:S$117, MATCH($D30, Option2!$G$106:$G$117,0)))*conv_2026*S$7)</f>
        <v>341448.42797250178</v>
      </c>
      <c r="T30" s="31">
        <f>IF($B30=0,0, (INDEX(Option2!T$106:T$117, MATCH($D30, Option2!$G$106:$G$117,0)))*conv_2026*T$7)</f>
        <v>341448.42797250178</v>
      </c>
      <c r="U30" s="31">
        <f>IF($B30=0,0, (INDEX(Option2!U$106:U$117, MATCH($D30, Option2!$G$106:$G$117,0)))*conv_2026*U$7)</f>
        <v>341448.42797250178</v>
      </c>
      <c r="V30" s="31">
        <f>IF($B30=0,0, (INDEX(Option2!V$106:V$117, MATCH($D30, Option2!$G$106:$G$117,0)))*conv_2026*V$7)</f>
        <v>341448.42797250178</v>
      </c>
      <c r="W30" s="31">
        <f>IF($B30=0,0, (INDEX(Option2!W$106:W$117, MATCH($D30, Option2!$G$106:$G$117,0)))*conv_2026*W$7)</f>
        <v>341448.42797250178</v>
      </c>
      <c r="X30" s="31">
        <f>IF($B30=0,0, (INDEX(Option2!X$106:X$117, MATCH($D30, Option2!$G$106:$G$117,0)))*conv_2026*X$7)</f>
        <v>341448.42797250178</v>
      </c>
      <c r="Y30" s="31">
        <f>IF($B30=0,0, (INDEX(Option2!Y$106:Y$117, MATCH($D30, Option2!$G$106:$G$117,0)))*conv_2026*Y$7)</f>
        <v>341448.42797250178</v>
      </c>
      <c r="Z30" s="31">
        <f>IF($B30=0,0, (INDEX(Option2!Z$106:Z$117, MATCH($D30, Option2!$G$106:$G$117,0)))*conv_2026*Z$7)</f>
        <v>341448.42797250178</v>
      </c>
      <c r="AA30" s="31">
        <f>IF($B30=0,0, (INDEX(Option2!AA$106:AA$117, MATCH($D30, Option2!$G$106:$G$117,0)))*conv_2026*AA$7)</f>
        <v>341448.42797250178</v>
      </c>
      <c r="AB30" s="31">
        <f>IF($B30=0,0, (INDEX(Option2!AB$106:AB$117, MATCH($D30, Option2!$G$106:$G$117,0)))*conv_2026*AB$7)</f>
        <v>341448.42797250178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6858125.89242718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484362.45812318049</v>
      </c>
      <c r="J31" s="31">
        <f>IF($B31=0,0, (INDEX(Option2!J$106:J$117, MATCH($D31, Option2!$G$106:$G$117,0)))*conv_2026*J$7)</f>
        <v>712111.80740705482</v>
      </c>
      <c r="K31" s="31">
        <f>IF($B31=0,0, (INDEX(Option2!K$106:K$117, MATCH($D31, Option2!$G$106:$G$117,0)))*conv_2026*K$7)</f>
        <v>455498.69856774894</v>
      </c>
      <c r="L31" s="31">
        <f>IF($B31=0,0, (INDEX(Option2!L$106:L$117, MATCH($D31, Option2!$G$106:$G$117,0)))*conv_2026*L$7)</f>
        <v>455498.69856774894</v>
      </c>
      <c r="M31" s="31">
        <f>IF($B31=0,0, (INDEX(Option2!M$106:M$117, MATCH($D31, Option2!$G$106:$G$117,0)))*conv_2026*M$7)</f>
        <v>455498.69856774894</v>
      </c>
      <c r="N31" s="31">
        <f>IF($B31=0,0, (INDEX(Option2!N$106:N$117, MATCH($D31, Option2!$G$106:$G$117,0)))*conv_2026*N$7)</f>
        <v>455498.69856774894</v>
      </c>
      <c r="O31" s="31">
        <f>IF($B31=0,0, (INDEX(Option2!O$106:O$117, MATCH($D31, Option2!$G$106:$G$117,0)))*conv_2026*O$7)</f>
        <v>455498.69856774894</v>
      </c>
      <c r="P31" s="31">
        <f>IF($B31=0,0, (INDEX(Option2!P$106:P$117, MATCH($D31, Option2!$G$106:$G$117,0)))*conv_2026*P$7)</f>
        <v>455498.69856774894</v>
      </c>
      <c r="Q31" s="31">
        <f>IF($B31=0,0, (INDEX(Option2!Q$106:Q$117, MATCH($D31, Option2!$G$106:$G$117,0)))*conv_2026*Q$7)</f>
        <v>455498.69856774894</v>
      </c>
      <c r="R31" s="31">
        <f>IF($B31=0,0, (INDEX(Option2!R$106:R$117, MATCH($D31, Option2!$G$106:$G$117,0)))*conv_2026*R$7)</f>
        <v>455498.69856774894</v>
      </c>
      <c r="S31" s="31">
        <f>IF($B31=0,0, (INDEX(Option2!S$106:S$117, MATCH($D31, Option2!$G$106:$G$117,0)))*conv_2026*S$7)</f>
        <v>455498.69856774894</v>
      </c>
      <c r="T31" s="31">
        <f>IF($B31=0,0, (INDEX(Option2!T$106:T$117, MATCH($D31, Option2!$G$106:$G$117,0)))*conv_2026*T$7)</f>
        <v>455498.69856774894</v>
      </c>
      <c r="U31" s="31">
        <f>IF($B31=0,0, (INDEX(Option2!U$106:U$117, MATCH($D31, Option2!$G$106:$G$117,0)))*conv_2026*U$7)</f>
        <v>455498.69856774894</v>
      </c>
      <c r="V31" s="31">
        <f>IF($B31=0,0, (INDEX(Option2!V$106:V$117, MATCH($D31, Option2!$G$106:$G$117,0)))*conv_2026*V$7)</f>
        <v>455498.69856774894</v>
      </c>
      <c r="W31" s="31">
        <f>IF($B31=0,0, (INDEX(Option2!W$106:W$117, MATCH($D31, Option2!$G$106:$G$117,0)))*conv_2026*W$7)</f>
        <v>455498.69856774894</v>
      </c>
      <c r="X31" s="31">
        <f>IF($B31=0,0, (INDEX(Option2!X$106:X$117, MATCH($D31, Option2!$G$106:$G$117,0)))*conv_2026*X$7)</f>
        <v>455498.69856774894</v>
      </c>
      <c r="Y31" s="31">
        <f>IF($B31=0,0, (INDEX(Option2!Y$106:Y$117, MATCH($D31, Option2!$G$106:$G$117,0)))*conv_2026*Y$7)</f>
        <v>455498.69856774894</v>
      </c>
      <c r="Z31" s="31">
        <f>IF($B31=0,0, (INDEX(Option2!Z$106:Z$117, MATCH($D31, Option2!$G$106:$G$117,0)))*conv_2026*Z$7)</f>
        <v>455498.69856774894</v>
      </c>
      <c r="AA31" s="31">
        <f>IF($B31=0,0, (INDEX(Option2!AA$106:AA$117, MATCH($D31, Option2!$G$106:$G$117,0)))*conv_2026*AA$7)</f>
        <v>455498.69856774894</v>
      </c>
      <c r="AB31" s="31">
        <f>IF($B31=0,0, (INDEX(Option2!AB$106:AB$117, MATCH($D31, Option2!$G$106:$G$117,0)))*conv_2026*AB$7)</f>
        <v>455498.69856774894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7469799.0673408741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532798.70393549849</v>
      </c>
      <c r="J32" s="31">
        <f>IF($B32=0,0, (INDEX(Option2!J$106:J$117, MATCH($D32, Option2!$G$106:$G$117,0)))*conv_2026*J$7)</f>
        <v>780471.7313828792</v>
      </c>
      <c r="K32" s="31">
        <f>IF($B32=0,0, (INDEX(Option2!K$106:K$117, MATCH($D32, Option2!$G$106:$G$117,0)))*conv_2026*K$7)</f>
        <v>495346.05489476147</v>
      </c>
      <c r="L32" s="31">
        <f>IF($B32=0,0, (INDEX(Option2!L$106:L$117, MATCH($D32, Option2!$G$106:$G$117,0)))*conv_2026*L$7)</f>
        <v>495346.05489476147</v>
      </c>
      <c r="M32" s="31">
        <f>IF($B32=0,0, (INDEX(Option2!M$106:M$117, MATCH($D32, Option2!$G$106:$G$117,0)))*conv_2026*M$7)</f>
        <v>495346.05489476147</v>
      </c>
      <c r="N32" s="31">
        <f>IF($B32=0,0, (INDEX(Option2!N$106:N$117, MATCH($D32, Option2!$G$106:$G$117,0)))*conv_2026*N$7)</f>
        <v>495346.05489476147</v>
      </c>
      <c r="O32" s="31">
        <f>IF($B32=0,0, (INDEX(Option2!O$106:O$117, MATCH($D32, Option2!$G$106:$G$117,0)))*conv_2026*O$7)</f>
        <v>495346.05489476147</v>
      </c>
      <c r="P32" s="31">
        <f>IF($B32=0,0, (INDEX(Option2!P$106:P$117, MATCH($D32, Option2!$G$106:$G$117,0)))*conv_2026*P$7)</f>
        <v>495346.05489476147</v>
      </c>
      <c r="Q32" s="31">
        <f>IF($B32=0,0, (INDEX(Option2!Q$106:Q$117, MATCH($D32, Option2!$G$106:$G$117,0)))*conv_2026*Q$7)</f>
        <v>495346.05489476147</v>
      </c>
      <c r="R32" s="31">
        <f>IF($B32=0,0, (INDEX(Option2!R$106:R$117, MATCH($D32, Option2!$G$106:$G$117,0)))*conv_2026*R$7)</f>
        <v>495346.05489476147</v>
      </c>
      <c r="S32" s="31">
        <f>IF($B32=0,0, (INDEX(Option2!S$106:S$117, MATCH($D32, Option2!$G$106:$G$117,0)))*conv_2026*S$7)</f>
        <v>495346.05489476147</v>
      </c>
      <c r="T32" s="31">
        <f>IF($B32=0,0, (INDEX(Option2!T$106:T$117, MATCH($D32, Option2!$G$106:$G$117,0)))*conv_2026*T$7)</f>
        <v>495346.05489476147</v>
      </c>
      <c r="U32" s="31">
        <f>IF($B32=0,0, (INDEX(Option2!U$106:U$117, MATCH($D32, Option2!$G$106:$G$117,0)))*conv_2026*U$7)</f>
        <v>495346.05489476147</v>
      </c>
      <c r="V32" s="31">
        <f>IF($B32=0,0, (INDEX(Option2!V$106:V$117, MATCH($D32, Option2!$G$106:$G$117,0)))*conv_2026*V$7)</f>
        <v>495346.05489476147</v>
      </c>
      <c r="W32" s="31">
        <f>IF($B32=0,0, (INDEX(Option2!W$106:W$117, MATCH($D32, Option2!$G$106:$G$117,0)))*conv_2026*W$7)</f>
        <v>495346.05489476147</v>
      </c>
      <c r="X32" s="31">
        <f>IF($B32=0,0, (INDEX(Option2!X$106:X$117, MATCH($D32, Option2!$G$106:$G$117,0)))*conv_2026*X$7)</f>
        <v>495346.05489476147</v>
      </c>
      <c r="Y32" s="31">
        <f>IF($B32=0,0, (INDEX(Option2!Y$106:Y$117, MATCH($D32, Option2!$G$106:$G$117,0)))*conv_2026*Y$7)</f>
        <v>495346.05489476147</v>
      </c>
      <c r="Z32" s="31">
        <f>IF($B32=0,0, (INDEX(Option2!Z$106:Z$117, MATCH($D32, Option2!$G$106:$G$117,0)))*conv_2026*Z$7)</f>
        <v>495346.05489476147</v>
      </c>
      <c r="AA32" s="31">
        <f>IF($B32=0,0, (INDEX(Option2!AA$106:AA$117, MATCH($D32, Option2!$G$106:$G$117,0)))*conv_2026*AA$7)</f>
        <v>495346.05489476147</v>
      </c>
      <c r="AB32" s="31">
        <f>IF($B32=0,0, (INDEX(Option2!AB$106:AB$117, MATCH($D32, Option2!$G$106:$G$117,0)))*conv_2026*AB$7)</f>
        <v>495346.05489476147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4763664.430933021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435926.21231086238</v>
      </c>
      <c r="J33" s="31">
        <f>IF($B33=0,0, (INDEX(Option2!J$106:J$117, MATCH($D33, Option2!$G$106:$G$117,0)))*conv_2026*J$7)</f>
        <v>586726.74813360698</v>
      </c>
      <c r="K33" s="31">
        <f>IF($B33=0,0, (INDEX(Option2!K$106:K$117, MATCH($D33, Option2!$G$106:$G$117,0)))*conv_2026*K$7)</f>
        <v>301601.07164548925</v>
      </c>
      <c r="L33" s="31">
        <f>IF($B33=0,0, (INDEX(Option2!L$106:L$117, MATCH($D33, Option2!$G$106:$G$117,0)))*conv_2026*L$7)</f>
        <v>301601.07164548925</v>
      </c>
      <c r="M33" s="31">
        <f>IF($B33=0,0, (INDEX(Option2!M$106:M$117, MATCH($D33, Option2!$G$106:$G$117,0)))*conv_2026*M$7)</f>
        <v>301601.07164548925</v>
      </c>
      <c r="N33" s="31">
        <f>IF($B33=0,0, (INDEX(Option2!N$106:N$117, MATCH($D33, Option2!$G$106:$G$117,0)))*conv_2026*N$7)</f>
        <v>301601.07164548925</v>
      </c>
      <c r="O33" s="31">
        <f>IF($B33=0,0, (INDEX(Option2!O$106:O$117, MATCH($D33, Option2!$G$106:$G$117,0)))*conv_2026*O$7)</f>
        <v>301601.07164548925</v>
      </c>
      <c r="P33" s="31">
        <f>IF($B33=0,0, (INDEX(Option2!P$106:P$117, MATCH($D33, Option2!$G$106:$G$117,0)))*conv_2026*P$7)</f>
        <v>301601.07164548925</v>
      </c>
      <c r="Q33" s="31">
        <f>IF($B33=0,0, (INDEX(Option2!Q$106:Q$117, MATCH($D33, Option2!$G$106:$G$117,0)))*conv_2026*Q$7)</f>
        <v>301601.07164548925</v>
      </c>
      <c r="R33" s="31">
        <f>IF($B33=0,0, (INDEX(Option2!R$106:R$117, MATCH($D33, Option2!$G$106:$G$117,0)))*conv_2026*R$7)</f>
        <v>301601.07164548925</v>
      </c>
      <c r="S33" s="31">
        <f>IF($B33=0,0, (INDEX(Option2!S$106:S$117, MATCH($D33, Option2!$G$106:$G$117,0)))*conv_2026*S$7)</f>
        <v>301601.07164548925</v>
      </c>
      <c r="T33" s="31">
        <f>IF($B33=0,0, (INDEX(Option2!T$106:T$117, MATCH($D33, Option2!$G$106:$G$117,0)))*conv_2026*T$7)</f>
        <v>301601.07164548925</v>
      </c>
      <c r="U33" s="31">
        <f>IF($B33=0,0, (INDEX(Option2!U$106:U$117, MATCH($D33, Option2!$G$106:$G$117,0)))*conv_2026*U$7)</f>
        <v>301601.07164548925</v>
      </c>
      <c r="V33" s="31">
        <f>IF($B33=0,0, (INDEX(Option2!V$106:V$117, MATCH($D33, Option2!$G$106:$G$117,0)))*conv_2026*V$7)</f>
        <v>301601.07164548925</v>
      </c>
      <c r="W33" s="31">
        <f>IF($B33=0,0, (INDEX(Option2!W$106:W$117, MATCH($D33, Option2!$G$106:$G$117,0)))*conv_2026*W$7)</f>
        <v>301601.07164548925</v>
      </c>
      <c r="X33" s="31">
        <f>IF($B33=0,0, (INDEX(Option2!X$106:X$117, MATCH($D33, Option2!$G$106:$G$117,0)))*conv_2026*X$7)</f>
        <v>301601.07164548925</v>
      </c>
      <c r="Y33" s="31">
        <f>IF($B33=0,0, (INDEX(Option2!Y$106:Y$117, MATCH($D33, Option2!$G$106:$G$117,0)))*conv_2026*Y$7)</f>
        <v>301601.07164548925</v>
      </c>
      <c r="Z33" s="31">
        <f>IF($B33=0,0, (INDEX(Option2!Z$106:Z$117, MATCH($D33, Option2!$G$106:$G$117,0)))*conv_2026*Z$7)</f>
        <v>301601.07164548925</v>
      </c>
      <c r="AA33" s="31">
        <f>IF($B33=0,0, (INDEX(Option2!AA$106:AA$117, MATCH($D33, Option2!$G$106:$G$117,0)))*conv_2026*AA$7)</f>
        <v>301601.07164548925</v>
      </c>
      <c r="AB33" s="31">
        <f>IF($B33=0,0, (INDEX(Option2!AB$106:AB$117, MATCH($D33, Option2!$G$106:$G$117,0)))*conv_2026*AB$7)</f>
        <v>301601.07164548925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4022270.2876427895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435926.21231086238</v>
      </c>
      <c r="J34" s="31">
        <f>IF($B34=0,0, (INDEX(Option2!J$106:J$117, MATCH($D34, Option2!$G$106:$G$117,0)))*conv_2026*J$7)</f>
        <v>558214.18048479524</v>
      </c>
      <c r="K34" s="31">
        <f>IF($B34=0,0, (INDEX(Option2!K$106:K$117, MATCH($D34, Option2!$G$106:$G$117,0)))*conv_2026*K$7)</f>
        <v>244575.9363478657</v>
      </c>
      <c r="L34" s="31">
        <f>IF($B34=0,0, (INDEX(Option2!L$106:L$117, MATCH($D34, Option2!$G$106:$G$117,0)))*conv_2026*L$7)</f>
        <v>244575.9363478657</v>
      </c>
      <c r="M34" s="31">
        <f>IF($B34=0,0, (INDEX(Option2!M$106:M$117, MATCH($D34, Option2!$G$106:$G$117,0)))*conv_2026*M$7)</f>
        <v>244575.9363478657</v>
      </c>
      <c r="N34" s="31">
        <f>IF($B34=0,0, (INDEX(Option2!N$106:N$117, MATCH($D34, Option2!$G$106:$G$117,0)))*conv_2026*N$7)</f>
        <v>244575.9363478657</v>
      </c>
      <c r="O34" s="31">
        <f>IF($B34=0,0, (INDEX(Option2!O$106:O$117, MATCH($D34, Option2!$G$106:$G$117,0)))*conv_2026*O$7)</f>
        <v>244575.9363478657</v>
      </c>
      <c r="P34" s="31">
        <f>IF($B34=0,0, (INDEX(Option2!P$106:P$117, MATCH($D34, Option2!$G$106:$G$117,0)))*conv_2026*P$7)</f>
        <v>244575.9363478657</v>
      </c>
      <c r="Q34" s="31">
        <f>IF($B34=0,0, (INDEX(Option2!Q$106:Q$117, MATCH($D34, Option2!$G$106:$G$117,0)))*conv_2026*Q$7)</f>
        <v>244575.9363478657</v>
      </c>
      <c r="R34" s="31">
        <f>IF($B34=0,0, (INDEX(Option2!R$106:R$117, MATCH($D34, Option2!$G$106:$G$117,0)))*conv_2026*R$7)</f>
        <v>244575.9363478657</v>
      </c>
      <c r="S34" s="31">
        <f>IF($B34=0,0, (INDEX(Option2!S$106:S$117, MATCH($D34, Option2!$G$106:$G$117,0)))*conv_2026*S$7)</f>
        <v>244575.9363478657</v>
      </c>
      <c r="T34" s="31">
        <f>IF($B34=0,0, (INDEX(Option2!T$106:T$117, MATCH($D34, Option2!$G$106:$G$117,0)))*conv_2026*T$7)</f>
        <v>244575.9363478657</v>
      </c>
      <c r="U34" s="31">
        <f>IF($B34=0,0, (INDEX(Option2!U$106:U$117, MATCH($D34, Option2!$G$106:$G$117,0)))*conv_2026*U$7)</f>
        <v>244575.9363478657</v>
      </c>
      <c r="V34" s="31">
        <f>IF($B34=0,0, (INDEX(Option2!V$106:V$117, MATCH($D34, Option2!$G$106:$G$117,0)))*conv_2026*V$7)</f>
        <v>244575.9363478657</v>
      </c>
      <c r="W34" s="31">
        <f>IF($B34=0,0, (INDEX(Option2!W$106:W$117, MATCH($D34, Option2!$G$106:$G$117,0)))*conv_2026*W$7)</f>
        <v>244575.9363478657</v>
      </c>
      <c r="X34" s="31">
        <f>IF($B34=0,0, (INDEX(Option2!X$106:X$117, MATCH($D34, Option2!$G$106:$G$117,0)))*conv_2026*X$7)</f>
        <v>244575.9363478657</v>
      </c>
      <c r="Y34" s="31">
        <f>IF($B34=0,0, (INDEX(Option2!Y$106:Y$117, MATCH($D34, Option2!$G$106:$G$117,0)))*conv_2026*Y$7)</f>
        <v>244575.9363478657</v>
      </c>
      <c r="Z34" s="31">
        <f>IF($B34=0,0, (INDEX(Option2!Z$106:Z$117, MATCH($D34, Option2!$G$106:$G$117,0)))*conv_2026*Z$7)</f>
        <v>244575.9363478657</v>
      </c>
      <c r="AA34" s="31">
        <f>IF($B34=0,0, (INDEX(Option2!AA$106:AA$117, MATCH($D34, Option2!$G$106:$G$117,0)))*conv_2026*AA$7)</f>
        <v>244575.9363478657</v>
      </c>
      <c r="AB34" s="31">
        <f>IF($B34=0,0, (INDEX(Option2!AB$106:AB$117, MATCH($D34, Option2!$G$106:$G$117,0)))*conv_2026*AB$7)</f>
        <v>244575.9363478657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6116731.7491369452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484362.45812318049</v>
      </c>
      <c r="J35" s="31">
        <f>IF($B35=0,0, (INDEX(Option2!J$106:J$117, MATCH($D35, Option2!$G$106:$G$117,0)))*conv_2026*J$7)</f>
        <v>683599.23975824309</v>
      </c>
      <c r="K35" s="31">
        <f>IF($B35=0,0, (INDEX(Option2!K$106:K$117, MATCH($D35, Option2!$G$106:$G$117,0)))*conv_2026*K$7)</f>
        <v>398473.56327012536</v>
      </c>
      <c r="L35" s="31">
        <f>IF($B35=0,0, (INDEX(Option2!L$106:L$117, MATCH($D35, Option2!$G$106:$G$117,0)))*conv_2026*L$7)</f>
        <v>398473.56327012536</v>
      </c>
      <c r="M35" s="31">
        <f>IF($B35=0,0, (INDEX(Option2!M$106:M$117, MATCH($D35, Option2!$G$106:$G$117,0)))*conv_2026*M$7)</f>
        <v>398473.56327012536</v>
      </c>
      <c r="N35" s="31">
        <f>IF($B35=0,0, (INDEX(Option2!N$106:N$117, MATCH($D35, Option2!$G$106:$G$117,0)))*conv_2026*N$7)</f>
        <v>398473.56327012536</v>
      </c>
      <c r="O35" s="31">
        <f>IF($B35=0,0, (INDEX(Option2!O$106:O$117, MATCH($D35, Option2!$G$106:$G$117,0)))*conv_2026*O$7)</f>
        <v>398473.56327012536</v>
      </c>
      <c r="P35" s="31">
        <f>IF($B35=0,0, (INDEX(Option2!P$106:P$117, MATCH($D35, Option2!$G$106:$G$117,0)))*conv_2026*P$7)</f>
        <v>398473.56327012536</v>
      </c>
      <c r="Q35" s="31">
        <f>IF($B35=0,0, (INDEX(Option2!Q$106:Q$117, MATCH($D35, Option2!$G$106:$G$117,0)))*conv_2026*Q$7)</f>
        <v>398473.56327012536</v>
      </c>
      <c r="R35" s="31">
        <f>IF($B35=0,0, (INDEX(Option2!R$106:R$117, MATCH($D35, Option2!$G$106:$G$117,0)))*conv_2026*R$7)</f>
        <v>398473.56327012536</v>
      </c>
      <c r="S35" s="31">
        <f>IF($B35=0,0, (INDEX(Option2!S$106:S$117, MATCH($D35, Option2!$G$106:$G$117,0)))*conv_2026*S$7)</f>
        <v>398473.56327012536</v>
      </c>
      <c r="T35" s="31">
        <f>IF($B35=0,0, (INDEX(Option2!T$106:T$117, MATCH($D35, Option2!$G$106:$G$117,0)))*conv_2026*T$7)</f>
        <v>398473.56327012536</v>
      </c>
      <c r="U35" s="31">
        <f>IF($B35=0,0, (INDEX(Option2!U$106:U$117, MATCH($D35, Option2!$G$106:$G$117,0)))*conv_2026*U$7)</f>
        <v>398473.56327012536</v>
      </c>
      <c r="V35" s="31">
        <f>IF($B35=0,0, (INDEX(Option2!V$106:V$117, MATCH($D35, Option2!$G$106:$G$117,0)))*conv_2026*V$7)</f>
        <v>398473.56327012536</v>
      </c>
      <c r="W35" s="31">
        <f>IF($B35=0,0, (INDEX(Option2!W$106:W$117, MATCH($D35, Option2!$G$106:$G$117,0)))*conv_2026*W$7)</f>
        <v>398473.56327012536</v>
      </c>
      <c r="X35" s="31">
        <f>IF($B35=0,0, (INDEX(Option2!X$106:X$117, MATCH($D35, Option2!$G$106:$G$117,0)))*conv_2026*X$7)</f>
        <v>398473.56327012536</v>
      </c>
      <c r="Y35" s="31">
        <f>IF($B35=0,0, (INDEX(Option2!Y$106:Y$117, MATCH($D35, Option2!$G$106:$G$117,0)))*conv_2026*Y$7)</f>
        <v>398473.56327012536</v>
      </c>
      <c r="Z35" s="31">
        <f>IF($B35=0,0, (INDEX(Option2!Z$106:Z$117, MATCH($D35, Option2!$G$106:$G$117,0)))*conv_2026*Z$7)</f>
        <v>398473.56327012536</v>
      </c>
      <c r="AA35" s="31">
        <f>IF($B35=0,0, (INDEX(Option2!AA$106:AA$117, MATCH($D35, Option2!$G$106:$G$117,0)))*conv_2026*AA$7)</f>
        <v>398473.56327012536</v>
      </c>
      <c r="AB35" s="31">
        <f>IF($B35=0,0, (INDEX(Option2!AB$106:AB$117, MATCH($D35, Option2!$G$106:$G$117,0)))*conv_2026*AB$7)</f>
        <v>398473.56327012536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6116731.7491369452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484362.45812318049</v>
      </c>
      <c r="J36" s="31">
        <f>IF($B36=0,0, (INDEX(Option2!J$106:J$117, MATCH($D36, Option2!$G$106:$G$117,0)))*conv_2026*J$7)</f>
        <v>683599.23975824309</v>
      </c>
      <c r="K36" s="31">
        <f>IF($B36=0,0, (INDEX(Option2!K$106:K$117, MATCH($D36, Option2!$G$106:$G$117,0)))*conv_2026*K$7)</f>
        <v>398473.56327012536</v>
      </c>
      <c r="L36" s="31">
        <f>IF($B36=0,0, (INDEX(Option2!L$106:L$117, MATCH($D36, Option2!$G$106:$G$117,0)))*conv_2026*L$7)</f>
        <v>398473.56327012536</v>
      </c>
      <c r="M36" s="31">
        <f>IF($B36=0,0, (INDEX(Option2!M$106:M$117, MATCH($D36, Option2!$G$106:$G$117,0)))*conv_2026*M$7)</f>
        <v>398473.56327012536</v>
      </c>
      <c r="N36" s="31">
        <f>IF($B36=0,0, (INDEX(Option2!N$106:N$117, MATCH($D36, Option2!$G$106:$G$117,0)))*conv_2026*N$7)</f>
        <v>398473.56327012536</v>
      </c>
      <c r="O36" s="31">
        <f>IF($B36=0,0, (INDEX(Option2!O$106:O$117, MATCH($D36, Option2!$G$106:$G$117,0)))*conv_2026*O$7)</f>
        <v>398473.56327012536</v>
      </c>
      <c r="P36" s="31">
        <f>IF($B36=0,0, (INDEX(Option2!P$106:P$117, MATCH($D36, Option2!$G$106:$G$117,0)))*conv_2026*P$7)</f>
        <v>398473.56327012536</v>
      </c>
      <c r="Q36" s="31">
        <f>IF($B36=0,0, (INDEX(Option2!Q$106:Q$117, MATCH($D36, Option2!$G$106:$G$117,0)))*conv_2026*Q$7)</f>
        <v>398473.56327012536</v>
      </c>
      <c r="R36" s="31">
        <f>IF($B36=0,0, (INDEX(Option2!R$106:R$117, MATCH($D36, Option2!$G$106:$G$117,0)))*conv_2026*R$7)</f>
        <v>398473.56327012536</v>
      </c>
      <c r="S36" s="31">
        <f>IF($B36=0,0, (INDEX(Option2!S$106:S$117, MATCH($D36, Option2!$G$106:$G$117,0)))*conv_2026*S$7)</f>
        <v>398473.56327012536</v>
      </c>
      <c r="T36" s="31">
        <f>IF($B36=0,0, (INDEX(Option2!T$106:T$117, MATCH($D36, Option2!$G$106:$G$117,0)))*conv_2026*T$7)</f>
        <v>398473.56327012536</v>
      </c>
      <c r="U36" s="31">
        <f>IF($B36=0,0, (INDEX(Option2!U$106:U$117, MATCH($D36, Option2!$G$106:$G$117,0)))*conv_2026*U$7)</f>
        <v>398473.56327012536</v>
      </c>
      <c r="V36" s="31">
        <f>IF($B36=0,0, (INDEX(Option2!V$106:V$117, MATCH($D36, Option2!$G$106:$G$117,0)))*conv_2026*V$7)</f>
        <v>398473.56327012536</v>
      </c>
      <c r="W36" s="31">
        <f>IF($B36=0,0, (INDEX(Option2!W$106:W$117, MATCH($D36, Option2!$G$106:$G$117,0)))*conv_2026*W$7)</f>
        <v>398473.56327012536</v>
      </c>
      <c r="X36" s="31">
        <f>IF($B36=0,0, (INDEX(Option2!X$106:X$117, MATCH($D36, Option2!$G$106:$G$117,0)))*conv_2026*X$7)</f>
        <v>398473.56327012536</v>
      </c>
      <c r="Y36" s="31">
        <f>IF($B36=0,0, (INDEX(Option2!Y$106:Y$117, MATCH($D36, Option2!$G$106:$G$117,0)))*conv_2026*Y$7)</f>
        <v>398473.56327012536</v>
      </c>
      <c r="Z36" s="31">
        <f>IF($B36=0,0, (INDEX(Option2!Z$106:Z$117, MATCH($D36, Option2!$G$106:$G$117,0)))*conv_2026*Z$7)</f>
        <v>398473.56327012536</v>
      </c>
      <c r="AA36" s="31">
        <f>IF($B36=0,0, (INDEX(Option2!AA$106:AA$117, MATCH($D36, Option2!$G$106:$G$117,0)))*conv_2026*AA$7)</f>
        <v>398473.56327012536</v>
      </c>
      <c r="AB36" s="31">
        <f>IF($B36=0,0, (INDEX(Option2!AB$106:AB$117, MATCH($D36, Option2!$G$106:$G$117,0)))*conv_2026*AB$7)</f>
        <v>398473.56327012536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6116731.7491369452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484362.45812318049</v>
      </c>
      <c r="J37" s="31">
        <f>IF($B37=0,0, (INDEX(Option2!J$106:J$117, MATCH($D37, Option2!$G$106:$G$117,0)))*conv_2026*J$7)</f>
        <v>683599.23975824309</v>
      </c>
      <c r="K37" s="31">
        <f>IF($B37=0,0, (INDEX(Option2!K$106:K$117, MATCH($D37, Option2!$G$106:$G$117,0)))*conv_2026*K$7)</f>
        <v>398473.56327012536</v>
      </c>
      <c r="L37" s="31">
        <f>IF($B37=0,0, (INDEX(Option2!L$106:L$117, MATCH($D37, Option2!$G$106:$G$117,0)))*conv_2026*L$7)</f>
        <v>398473.56327012536</v>
      </c>
      <c r="M37" s="31">
        <f>IF($B37=0,0, (INDEX(Option2!M$106:M$117, MATCH($D37, Option2!$G$106:$G$117,0)))*conv_2026*M$7)</f>
        <v>398473.56327012536</v>
      </c>
      <c r="N37" s="31">
        <f>IF($B37=0,0, (INDEX(Option2!N$106:N$117, MATCH($D37, Option2!$G$106:$G$117,0)))*conv_2026*N$7)</f>
        <v>398473.56327012536</v>
      </c>
      <c r="O37" s="31">
        <f>IF($B37=0,0, (INDEX(Option2!O$106:O$117, MATCH($D37, Option2!$G$106:$G$117,0)))*conv_2026*O$7)</f>
        <v>398473.56327012536</v>
      </c>
      <c r="P37" s="31">
        <f>IF($B37=0,0, (INDEX(Option2!P$106:P$117, MATCH($D37, Option2!$G$106:$G$117,0)))*conv_2026*P$7)</f>
        <v>398473.56327012536</v>
      </c>
      <c r="Q37" s="31">
        <f>IF($B37=0,0, (INDEX(Option2!Q$106:Q$117, MATCH($D37, Option2!$G$106:$G$117,0)))*conv_2026*Q$7)</f>
        <v>398473.56327012536</v>
      </c>
      <c r="R37" s="31">
        <f>IF($B37=0,0, (INDEX(Option2!R$106:R$117, MATCH($D37, Option2!$G$106:$G$117,0)))*conv_2026*R$7)</f>
        <v>398473.56327012536</v>
      </c>
      <c r="S37" s="31">
        <f>IF($B37=0,0, (INDEX(Option2!S$106:S$117, MATCH($D37, Option2!$G$106:$G$117,0)))*conv_2026*S$7)</f>
        <v>398473.56327012536</v>
      </c>
      <c r="T37" s="31">
        <f>IF($B37=0,0, (INDEX(Option2!T$106:T$117, MATCH($D37, Option2!$G$106:$G$117,0)))*conv_2026*T$7)</f>
        <v>398473.56327012536</v>
      </c>
      <c r="U37" s="31">
        <f>IF($B37=0,0, (INDEX(Option2!U$106:U$117, MATCH($D37, Option2!$G$106:$G$117,0)))*conv_2026*U$7)</f>
        <v>398473.56327012536</v>
      </c>
      <c r="V37" s="31">
        <f>IF($B37=0,0, (INDEX(Option2!V$106:V$117, MATCH($D37, Option2!$G$106:$G$117,0)))*conv_2026*V$7)</f>
        <v>398473.56327012536</v>
      </c>
      <c r="W37" s="31">
        <f>IF($B37=0,0, (INDEX(Option2!W$106:W$117, MATCH($D37, Option2!$G$106:$G$117,0)))*conv_2026*W$7)</f>
        <v>398473.56327012536</v>
      </c>
      <c r="X37" s="31">
        <f>IF($B37=0,0, (INDEX(Option2!X$106:X$117, MATCH($D37, Option2!$G$106:$G$117,0)))*conv_2026*X$7)</f>
        <v>398473.56327012536</v>
      </c>
      <c r="Y37" s="31">
        <f>IF($B37=0,0, (INDEX(Option2!Y$106:Y$117, MATCH($D37, Option2!$G$106:$G$117,0)))*conv_2026*Y$7)</f>
        <v>398473.56327012536</v>
      </c>
      <c r="Z37" s="31">
        <f>IF($B37=0,0, (INDEX(Option2!Z$106:Z$117, MATCH($D37, Option2!$G$106:$G$117,0)))*conv_2026*Z$7)</f>
        <v>398473.56327012536</v>
      </c>
      <c r="AA37" s="31">
        <f>IF($B37=0,0, (INDEX(Option2!AA$106:AA$117, MATCH($D37, Option2!$G$106:$G$117,0)))*conv_2026*AA$7)</f>
        <v>398473.56327012536</v>
      </c>
      <c r="AB37" s="31">
        <f>IF($B37=0,0, (INDEX(Option2!AB$106:AB$117, MATCH($D37, Option2!$G$106:$G$117,0)))*conv_2026*AB$7)</f>
        <v>398473.56327012536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828246.39164279227</v>
      </c>
      <c r="J40" s="31">
        <f>Consol!J50</f>
        <v>886880.40845637303</v>
      </c>
      <c r="K40" s="31">
        <f>Consol!K50</f>
        <v>945514.42526995367</v>
      </c>
      <c r="L40" s="31">
        <f>Consol!L50</f>
        <v>1004148.4420835348</v>
      </c>
      <c r="M40" s="31">
        <f>Consol!M50</f>
        <v>1062782.4588971152</v>
      </c>
      <c r="N40" s="31">
        <f>Consol!N50</f>
        <v>-2096540.5123061975</v>
      </c>
      <c r="O40" s="31">
        <f>Consol!O50</f>
        <v>-2096540.5123061975</v>
      </c>
      <c r="P40" s="31">
        <f>Consol!P50</f>
        <v>-2096540.5123061975</v>
      </c>
      <c r="Q40" s="31">
        <f>Consol!Q50</f>
        <v>-2628332.0818156656</v>
      </c>
      <c r="R40" s="31">
        <f>Consol!R50</f>
        <v>-2628332.0818156656</v>
      </c>
      <c r="S40" s="31">
        <f>Consol!S50</f>
        <v>-2628332.0818156656</v>
      </c>
      <c r="T40" s="31">
        <f>Consol!T50</f>
        <v>-2628332.0818156656</v>
      </c>
      <c r="U40" s="31">
        <f>Consol!U50</f>
        <v>-2628332.0818156656</v>
      </c>
      <c r="V40" s="31">
        <f>Consol!V50</f>
        <v>-2096540.5123061975</v>
      </c>
      <c r="W40" s="31">
        <f>Consol!W50</f>
        <v>-2096540.5123061975</v>
      </c>
      <c r="X40" s="31">
        <f>Consol!X50</f>
        <v>-2547943.5847332859</v>
      </c>
      <c r="Y40" s="31">
        <f>Consol!Y50</f>
        <v>-2128635.4822720457</v>
      </c>
      <c r="Z40" s="31">
        <f>Consol!Z50</f>
        <v>-1709327.3798108068</v>
      </c>
      <c r="AA40" s="31">
        <f>Consol!AA50</f>
        <v>-1290019.2773495675</v>
      </c>
      <c r="AB40" s="31">
        <f>Consol!AB50</f>
        <v>-870711.17488832807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186</v>
      </c>
      <c r="D42" s="253" t="str">
        <f>A42&amp;B42</f>
        <v>Option 3NPV</v>
      </c>
      <c r="E42" s="254"/>
      <c r="F42" s="31">
        <f t="shared" ref="F42:F51" si="4">SUMPRODUCT($H42:$AG42, $H$5:$AG$5)</f>
        <v>-17231477.333077159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828246.39164279215</v>
      </c>
      <c r="J42" s="31">
        <f>(INDEX(Option3!J$106:J$117, MATCH($D42, Option3!$G$106:$G$117,0)))*conv_2026*J$7</f>
        <v>886880.40845637291</v>
      </c>
      <c r="K42" s="31">
        <f>(INDEX(Option3!K$106:K$117, MATCH($D42, Option3!$G$106:$G$117,0)))*conv_2026*K$7</f>
        <v>945514.42526995379</v>
      </c>
      <c r="L42" s="31">
        <f>(INDEX(Option3!L$106:L$117, MATCH($D42, Option3!$G$106:$G$117,0)))*conv_2026*L$7</f>
        <v>1004148.4420835346</v>
      </c>
      <c r="M42" s="31">
        <f>(INDEX(Option3!M$106:M$117, MATCH($D42, Option3!$G$106:$G$117,0)))*conv_2026*M$7</f>
        <v>1062782.458897115</v>
      </c>
      <c r="N42" s="31">
        <f>(INDEX(Option3!N$106:N$117, MATCH($D42, Option3!$G$106:$G$117,0)))*conv_2026*N$7</f>
        <v>-2096540.5123061966</v>
      </c>
      <c r="O42" s="31">
        <f>(INDEX(Option3!O$106:O$117, MATCH($D42, Option3!$G$106:$G$117,0)))*conv_2026*O$7</f>
        <v>-2096540.5123061966</v>
      </c>
      <c r="P42" s="31">
        <f>(INDEX(Option3!P$106:P$117, MATCH($D42, Option3!$G$106:$G$117,0)))*conv_2026*P$7</f>
        <v>-2096540.5123061966</v>
      </c>
      <c r="Q42" s="31">
        <f>(INDEX(Option3!Q$106:Q$117, MATCH($D42, Option3!$G$106:$G$117,0)))*conv_2026*Q$7</f>
        <v>-2628332.0818156661</v>
      </c>
      <c r="R42" s="31">
        <f>(INDEX(Option3!R$106:R$117, MATCH($D42, Option3!$G$106:$G$117,0)))*conv_2026*R$7</f>
        <v>-2628332.0818156661</v>
      </c>
      <c r="S42" s="31">
        <f>(INDEX(Option3!S$106:S$117, MATCH($D42, Option3!$G$106:$G$117,0)))*conv_2026*S$7</f>
        <v>-2628332.0818156661</v>
      </c>
      <c r="T42" s="31">
        <f>(INDEX(Option3!T$106:T$117, MATCH($D42, Option3!$G$106:$G$117,0)))*conv_2026*T$7</f>
        <v>-2628332.0818156661</v>
      </c>
      <c r="U42" s="31">
        <f>(INDEX(Option3!U$106:U$117, MATCH($D42, Option3!$G$106:$G$117,0)))*conv_2026*U$7</f>
        <v>-2628332.0818156661</v>
      </c>
      <c r="V42" s="31">
        <f>(INDEX(Option3!V$106:V$117, MATCH($D42, Option3!$G$106:$G$117,0)))*conv_2026*V$7</f>
        <v>-2096540.5123061966</v>
      </c>
      <c r="W42" s="31">
        <f>(INDEX(Option3!W$106:W$117, MATCH($D42, Option3!$G$106:$G$117,0)))*conv_2026*W$7</f>
        <v>-2096540.5123061966</v>
      </c>
      <c r="X42" s="31">
        <f>(INDEX(Option3!X$106:X$117, MATCH($D42, Option3!$G$106:$G$117,0)))*conv_2026*X$7</f>
        <v>-2547943.5847332859</v>
      </c>
      <c r="Y42" s="31">
        <f>(INDEX(Option3!Y$106:Y$117, MATCH($D42, Option3!$G$106:$G$117,0)))*conv_2026*Y$7</f>
        <v>-2128635.4822720462</v>
      </c>
      <c r="Z42" s="31">
        <f>(INDEX(Option3!Z$106:Z$117, MATCH($D42, Option3!$G$106:$G$117,0)))*conv_2026*Z$7</f>
        <v>-1709327.3798108068</v>
      </c>
      <c r="AA42" s="31">
        <f>(INDEX(Option3!AA$106:AA$117, MATCH($D42, Option3!$G$106:$G$117,0)))*conv_2026*AA$7</f>
        <v>-1290019.2773495677</v>
      </c>
      <c r="AB42" s="31">
        <f>(INDEX(Option3!AB$106:AB$117, MATCH($D42, Option3!$G$106:$G$117,0)))*conv_2026*AB$7</f>
        <v>-870711.17488832807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-21837880.507779785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828246.39164279215</v>
      </c>
      <c r="J44" s="31">
        <f>(INDEX(Option3!J$106:J$117, MATCH($D44, Option3!$G$106:$G$117,0)))*conv_2026*J$7</f>
        <v>799809.29096754012</v>
      </c>
      <c r="K44" s="31">
        <f>(INDEX(Option3!K$106:K$117, MATCH($D44, Option3!$G$106:$G$117,0)))*conv_2026*K$7</f>
        <v>771372.1902922882</v>
      </c>
      <c r="L44" s="31">
        <f>(INDEX(Option3!L$106:L$117, MATCH($D44, Option3!$G$106:$G$117,0)))*conv_2026*L$7</f>
        <v>742935.08961703617</v>
      </c>
      <c r="M44" s="31">
        <f>(INDEX(Option3!M$106:M$117, MATCH($D44, Option3!$G$106:$G$117,0)))*conv_2026*M$7</f>
        <v>714497.9889417839</v>
      </c>
      <c r="N44" s="31">
        <f>(INDEX(Option3!N$106:N$117, MATCH($D44, Option3!$G$106:$G$117,0)))*conv_2026*N$7</f>
        <v>-2531896.0997503605</v>
      </c>
      <c r="O44" s="31">
        <f>(INDEX(Option3!O$106:O$117, MATCH($D44, Option3!$G$106:$G$117,0)))*conv_2026*O$7</f>
        <v>-2531896.0997503605</v>
      </c>
      <c r="P44" s="31">
        <f>(INDEX(Option3!P$106:P$117, MATCH($D44, Option3!$G$106:$G$117,0)))*conv_2026*P$7</f>
        <v>-2531896.0997503605</v>
      </c>
      <c r="Q44" s="31">
        <f>(INDEX(Option3!Q$106:Q$117, MATCH($D44, Option3!$G$106:$G$117,0)))*conv_2026*Q$7</f>
        <v>-3063687.6692598299</v>
      </c>
      <c r="R44" s="31">
        <f>(INDEX(Option3!R$106:R$117, MATCH($D44, Option3!$G$106:$G$117,0)))*conv_2026*R$7</f>
        <v>-3063687.6692598299</v>
      </c>
      <c r="S44" s="31">
        <f>(INDEX(Option3!S$106:S$117, MATCH($D44, Option3!$G$106:$G$117,0)))*conv_2026*S$7</f>
        <v>-3063687.6692598299</v>
      </c>
      <c r="T44" s="31">
        <f>(INDEX(Option3!T$106:T$117, MATCH($D44, Option3!$G$106:$G$117,0)))*conv_2026*T$7</f>
        <v>-3063687.6692598299</v>
      </c>
      <c r="U44" s="31">
        <f>(INDEX(Option3!U$106:U$117, MATCH($D44, Option3!$G$106:$G$117,0)))*conv_2026*U$7</f>
        <v>-3063687.6692598299</v>
      </c>
      <c r="V44" s="31">
        <f>(INDEX(Option3!V$106:V$117, MATCH($D44, Option3!$G$106:$G$117,0)))*conv_2026*V$7</f>
        <v>-2531896.0997503605</v>
      </c>
      <c r="W44" s="31">
        <f>(INDEX(Option3!W$106:W$117, MATCH($D44, Option3!$G$106:$G$117,0)))*conv_2026*W$7</f>
        <v>-2531896.0997503605</v>
      </c>
      <c r="X44" s="31">
        <f>(INDEX(Option3!X$106:X$117, MATCH($D44, Option3!$G$106:$G$117,0)))*conv_2026*X$7</f>
        <v>-2983299.1721774498</v>
      </c>
      <c r="Y44" s="31">
        <f>(INDEX(Option3!Y$106:Y$117, MATCH($D44, Option3!$G$106:$G$117,0)))*conv_2026*Y$7</f>
        <v>-2476919.9522273769</v>
      </c>
      <c r="Z44" s="31">
        <f>(INDEX(Option3!Z$106:Z$117, MATCH($D44, Option3!$G$106:$G$117,0)))*conv_2026*Z$7</f>
        <v>-1970540.7322773053</v>
      </c>
      <c r="AA44" s="31">
        <f>(INDEX(Option3!AA$106:AA$117, MATCH($D44, Option3!$G$106:$G$117,0)))*conv_2026*AA$7</f>
        <v>-1464161.5123272333</v>
      </c>
      <c r="AB44" s="31">
        <f>(INDEX(Option3!AB$106:AB$117, MATCH($D44, Option3!$G$106:$G$117,0)))*conv_2026*AB$7</f>
        <v>-957782.29237716086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-12625074.158374529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828246.39164279215</v>
      </c>
      <c r="J45" s="31">
        <f>(INDEX(Option3!J$106:J$117, MATCH($D45, Option3!$G$106:$G$117,0)))*conv_2026*J$7</f>
        <v>973951.52594520571</v>
      </c>
      <c r="K45" s="31">
        <f>(INDEX(Option3!K$106:K$117, MATCH($D45, Option3!$G$106:$G$117,0)))*conv_2026*K$7</f>
        <v>1119656.6602476193</v>
      </c>
      <c r="L45" s="31">
        <f>(INDEX(Option3!L$106:L$117, MATCH($D45, Option3!$G$106:$G$117,0)))*conv_2026*L$7</f>
        <v>1265361.7945500331</v>
      </c>
      <c r="M45" s="31">
        <f>(INDEX(Option3!M$106:M$117, MATCH($D45, Option3!$G$106:$G$117,0)))*conv_2026*M$7</f>
        <v>1411066.9288524461</v>
      </c>
      <c r="N45" s="31">
        <f>(INDEX(Option3!N$106:N$117, MATCH($D45, Option3!$G$106:$G$117,0)))*conv_2026*N$7</f>
        <v>-1661184.9248620325</v>
      </c>
      <c r="O45" s="31">
        <f>(INDEX(Option3!O$106:O$117, MATCH($D45, Option3!$G$106:$G$117,0)))*conv_2026*O$7</f>
        <v>-1661184.9248620325</v>
      </c>
      <c r="P45" s="31">
        <f>(INDEX(Option3!P$106:P$117, MATCH($D45, Option3!$G$106:$G$117,0)))*conv_2026*P$7</f>
        <v>-1661184.9248620325</v>
      </c>
      <c r="Q45" s="31">
        <f>(INDEX(Option3!Q$106:Q$117, MATCH($D45, Option3!$G$106:$G$117,0)))*conv_2026*Q$7</f>
        <v>-2192976.4943715017</v>
      </c>
      <c r="R45" s="31">
        <f>(INDEX(Option3!R$106:R$117, MATCH($D45, Option3!$G$106:$G$117,0)))*conv_2026*R$7</f>
        <v>-2192976.4943715017</v>
      </c>
      <c r="S45" s="31">
        <f>(INDEX(Option3!S$106:S$117, MATCH($D45, Option3!$G$106:$G$117,0)))*conv_2026*S$7</f>
        <v>-2192976.4943715017</v>
      </c>
      <c r="T45" s="31">
        <f>(INDEX(Option3!T$106:T$117, MATCH($D45, Option3!$G$106:$G$117,0)))*conv_2026*T$7</f>
        <v>-2192976.4943715017</v>
      </c>
      <c r="U45" s="31">
        <f>(INDEX(Option3!U$106:U$117, MATCH($D45, Option3!$G$106:$G$117,0)))*conv_2026*U$7</f>
        <v>-2192976.4943715017</v>
      </c>
      <c r="V45" s="31">
        <f>(INDEX(Option3!V$106:V$117, MATCH($D45, Option3!$G$106:$G$117,0)))*conv_2026*V$7</f>
        <v>-1661184.9248620325</v>
      </c>
      <c r="W45" s="31">
        <f>(INDEX(Option3!W$106:W$117, MATCH($D45, Option3!$G$106:$G$117,0)))*conv_2026*W$7</f>
        <v>-1661184.9248620325</v>
      </c>
      <c r="X45" s="31">
        <f>(INDEX(Option3!X$106:X$117, MATCH($D45, Option3!$G$106:$G$117,0)))*conv_2026*X$7</f>
        <v>-2112587.9972891221</v>
      </c>
      <c r="Y45" s="31">
        <f>(INDEX(Option3!Y$106:Y$117, MATCH($D45, Option3!$G$106:$G$117,0)))*conv_2026*Y$7</f>
        <v>-1780351.0123167147</v>
      </c>
      <c r="Z45" s="31">
        <f>(INDEX(Option3!Z$106:Z$117, MATCH($D45, Option3!$G$106:$G$117,0)))*conv_2026*Z$7</f>
        <v>-1448114.0273443083</v>
      </c>
      <c r="AA45" s="31">
        <f>(INDEX(Option3!AA$106:AA$117, MATCH($D45, Option3!$G$106:$G$117,0)))*conv_2026*AA$7</f>
        <v>-1115877.0423719021</v>
      </c>
      <c r="AB45" s="31">
        <f>(INDEX(Option3!AB$106:AB$117, MATCH($D45, Option3!$G$106:$G$117,0)))*conv_2026*AB$7</f>
        <v>-783640.05739949527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-12142796.23917789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921180.91081298294</v>
      </c>
      <c r="J46" s="31">
        <f>(INDEX(Option3!J$106:J$117, MATCH($D46, Option3!$G$106:$G$117,0)))*conv_2026*J$7</f>
        <v>1072749.4467967546</v>
      </c>
      <c r="K46" s="31">
        <f>(INDEX(Option3!K$106:K$117, MATCH($D46, Option3!$G$106:$G$117,0)))*conv_2026*K$7</f>
        <v>1224317.9827805264</v>
      </c>
      <c r="L46" s="31">
        <f>(INDEX(Option3!L$106:L$117, MATCH($D46, Option3!$G$106:$G$117,0)))*conv_2026*L$7</f>
        <v>1375886.5187642979</v>
      </c>
      <c r="M46" s="31">
        <f>(INDEX(Option3!M$106:M$117, MATCH($D46, Option3!$G$106:$G$117,0)))*conv_2026*M$7</f>
        <v>1527455.0547480693</v>
      </c>
      <c r="N46" s="31">
        <f>(INDEX(Option3!N$106:N$117, MATCH($D46, Option3!$G$106:$G$117,0)))*conv_2026*N$7</f>
        <v>-1631867.9164552423</v>
      </c>
      <c r="O46" s="31">
        <f>(INDEX(Option3!O$106:O$117, MATCH($D46, Option3!$G$106:$G$117,0)))*conv_2026*O$7</f>
        <v>-1631867.9164552423</v>
      </c>
      <c r="P46" s="31">
        <f>(INDEX(Option3!P$106:P$117, MATCH($D46, Option3!$G$106:$G$117,0)))*conv_2026*P$7</f>
        <v>-1631867.9164552423</v>
      </c>
      <c r="Q46" s="31">
        <f>(INDEX(Option3!Q$106:Q$117, MATCH($D46, Option3!$G$106:$G$117,0)))*conv_2026*Q$7</f>
        <v>-2163659.4859647118</v>
      </c>
      <c r="R46" s="31">
        <f>(INDEX(Option3!R$106:R$117, MATCH($D46, Option3!$G$106:$G$117,0)))*conv_2026*R$7</f>
        <v>-2163659.4859647118</v>
      </c>
      <c r="S46" s="31">
        <f>(INDEX(Option3!S$106:S$117, MATCH($D46, Option3!$G$106:$G$117,0)))*conv_2026*S$7</f>
        <v>-2163659.4859647118</v>
      </c>
      <c r="T46" s="31">
        <f>(INDEX(Option3!T$106:T$117, MATCH($D46, Option3!$G$106:$G$117,0)))*conv_2026*T$7</f>
        <v>-2163659.4859647118</v>
      </c>
      <c r="U46" s="31">
        <f>(INDEX(Option3!U$106:U$117, MATCH($D46, Option3!$G$106:$G$117,0)))*conv_2026*U$7</f>
        <v>-2163659.4859647118</v>
      </c>
      <c r="V46" s="31">
        <f>(INDEX(Option3!V$106:V$117, MATCH($D46, Option3!$G$106:$G$117,0)))*conv_2026*V$7</f>
        <v>-1631867.9164552423</v>
      </c>
      <c r="W46" s="31">
        <f>(INDEX(Option3!W$106:W$117, MATCH($D46, Option3!$G$106:$G$117,0)))*conv_2026*W$7</f>
        <v>-1631867.9164552423</v>
      </c>
      <c r="X46" s="31">
        <f>(INDEX(Option3!X$106:X$117, MATCH($D46, Option3!$G$106:$G$117,0)))*conv_2026*X$7</f>
        <v>-2176205.5080525228</v>
      </c>
      <c r="Y46" s="31">
        <f>(INDEX(Option3!Y$106:Y$117, MATCH($D46, Option3!$G$106:$G$117,0)))*conv_2026*Y$7</f>
        <v>-1849831.9247614734</v>
      </c>
      <c r="Z46" s="31">
        <f>(INDEX(Option3!Z$106:Z$117, MATCH($D46, Option3!$G$106:$G$117,0)))*conv_2026*Z$7</f>
        <v>-1523458.3414704253</v>
      </c>
      <c r="AA46" s="31">
        <f>(INDEX(Option3!AA$106:AA$117, MATCH($D46, Option3!$G$106:$G$117,0)))*conv_2026*AA$7</f>
        <v>-1197084.7581793768</v>
      </c>
      <c r="AB46" s="31">
        <f>(INDEX(Option3!AB$106:AB$117, MATCH($D46, Option3!$G$106:$G$117,0)))*conv_2026*AB$7</f>
        <v>-870711.17488832807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-22320158.426976431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735311.87247260136</v>
      </c>
      <c r="J47" s="31">
        <f>(INDEX(Option3!J$106:J$117, MATCH($D47, Option3!$G$106:$G$117,0)))*conv_2026*J$7</f>
        <v>701011.3701159911</v>
      </c>
      <c r="K47" s="31">
        <f>(INDEX(Option3!K$106:K$117, MATCH($D47, Option3!$G$106:$G$117,0)))*conv_2026*K$7</f>
        <v>666710.86775938119</v>
      </c>
      <c r="L47" s="31">
        <f>(INDEX(Option3!L$106:L$117, MATCH($D47, Option3!$G$106:$G$117,0)))*conv_2026*L$7</f>
        <v>632410.36540277104</v>
      </c>
      <c r="M47" s="31">
        <f>(INDEX(Option3!M$106:M$117, MATCH($D47, Option3!$G$106:$G$117,0)))*conv_2026*M$7</f>
        <v>598109.86304616067</v>
      </c>
      <c r="N47" s="31">
        <f>(INDEX(Option3!N$106:N$117, MATCH($D47, Option3!$G$106:$G$117,0)))*conv_2026*N$7</f>
        <v>-2561213.1081571509</v>
      </c>
      <c r="O47" s="31">
        <f>(INDEX(Option3!O$106:O$117, MATCH($D47, Option3!$G$106:$G$117,0)))*conv_2026*O$7</f>
        <v>-2561213.1081571509</v>
      </c>
      <c r="P47" s="31">
        <f>(INDEX(Option3!P$106:P$117, MATCH($D47, Option3!$G$106:$G$117,0)))*conv_2026*P$7</f>
        <v>-2561213.1081571509</v>
      </c>
      <c r="Q47" s="31">
        <f>(INDEX(Option3!Q$106:Q$117, MATCH($D47, Option3!$G$106:$G$117,0)))*conv_2026*Q$7</f>
        <v>-3093004.6776666204</v>
      </c>
      <c r="R47" s="31">
        <f>(INDEX(Option3!R$106:R$117, MATCH($D47, Option3!$G$106:$G$117,0)))*conv_2026*R$7</f>
        <v>-3093004.6776666204</v>
      </c>
      <c r="S47" s="31">
        <f>(INDEX(Option3!S$106:S$117, MATCH($D47, Option3!$G$106:$G$117,0)))*conv_2026*S$7</f>
        <v>-3093004.6776666204</v>
      </c>
      <c r="T47" s="31">
        <f>(INDEX(Option3!T$106:T$117, MATCH($D47, Option3!$G$106:$G$117,0)))*conv_2026*T$7</f>
        <v>-3093004.6776666204</v>
      </c>
      <c r="U47" s="31">
        <f>(INDEX(Option3!U$106:U$117, MATCH($D47, Option3!$G$106:$G$117,0)))*conv_2026*U$7</f>
        <v>-3093004.6776666204</v>
      </c>
      <c r="V47" s="31">
        <f>(INDEX(Option3!V$106:V$117, MATCH($D47, Option3!$G$106:$G$117,0)))*conv_2026*V$7</f>
        <v>-2561213.1081571509</v>
      </c>
      <c r="W47" s="31">
        <f>(INDEX(Option3!W$106:W$117, MATCH($D47, Option3!$G$106:$G$117,0)))*conv_2026*W$7</f>
        <v>-2561213.1081571509</v>
      </c>
      <c r="X47" s="31">
        <f>(INDEX(Option3!X$106:X$117, MATCH($D47, Option3!$G$106:$G$117,0)))*conv_2026*X$7</f>
        <v>-2919681.6614140496</v>
      </c>
      <c r="Y47" s="31">
        <f>(INDEX(Option3!Y$106:Y$117, MATCH($D47, Option3!$G$106:$G$117,0)))*conv_2026*Y$7</f>
        <v>-2407439.0397826182</v>
      </c>
      <c r="Z47" s="31">
        <f>(INDEX(Option3!Z$106:Z$117, MATCH($D47, Option3!$G$106:$G$117,0)))*conv_2026*Z$7</f>
        <v>-1895196.4181511884</v>
      </c>
      <c r="AA47" s="31">
        <f>(INDEX(Option3!AA$106:AA$117, MATCH($D47, Option3!$G$106:$G$117,0)))*conv_2026*AA$7</f>
        <v>-1382953.7965197586</v>
      </c>
      <c r="AB47" s="31">
        <f>(INDEX(Option3!AB$106:AB$117, MATCH($D47, Option3!$G$106:$G$117,0)))*conv_2026*AB$7</f>
        <v>-870711.17488832807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-26926561.601679057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735311.87247260136</v>
      </c>
      <c r="J48" s="31">
        <f>(INDEX(Option3!J$106:J$117, MATCH($D48, Option3!$G$106:$G$117,0)))*conv_2026*J$7</f>
        <v>613940.25262715842</v>
      </c>
      <c r="K48" s="31">
        <f>(INDEX(Option3!K$106:K$117, MATCH($D48, Option3!$G$106:$G$117,0)))*conv_2026*K$7</f>
        <v>492568.6327817156</v>
      </c>
      <c r="L48" s="31">
        <f>(INDEX(Option3!L$106:L$117, MATCH($D48, Option3!$G$106:$G$117,0)))*conv_2026*L$7</f>
        <v>371197.01293627272</v>
      </c>
      <c r="M48" s="31">
        <f>(INDEX(Option3!M$106:M$117, MATCH($D48, Option3!$G$106:$G$117,0)))*conv_2026*M$7</f>
        <v>249825.39309082957</v>
      </c>
      <c r="N48" s="31">
        <f>(INDEX(Option3!N$106:N$117, MATCH($D48, Option3!$G$106:$G$117,0)))*conv_2026*N$7</f>
        <v>-2996568.6956013148</v>
      </c>
      <c r="O48" s="31">
        <f>(INDEX(Option3!O$106:O$117, MATCH($D48, Option3!$G$106:$G$117,0)))*conv_2026*O$7</f>
        <v>-2996568.6956013148</v>
      </c>
      <c r="P48" s="31">
        <f>(INDEX(Option3!P$106:P$117, MATCH($D48, Option3!$G$106:$G$117,0)))*conv_2026*P$7</f>
        <v>-2996568.6956013148</v>
      </c>
      <c r="Q48" s="31">
        <f>(INDEX(Option3!Q$106:Q$117, MATCH($D48, Option3!$G$106:$G$117,0)))*conv_2026*Q$7</f>
        <v>-3528360.2651107842</v>
      </c>
      <c r="R48" s="31">
        <f>(INDEX(Option3!R$106:R$117, MATCH($D48, Option3!$G$106:$G$117,0)))*conv_2026*R$7</f>
        <v>-3528360.2651107842</v>
      </c>
      <c r="S48" s="31">
        <f>(INDEX(Option3!S$106:S$117, MATCH($D48, Option3!$G$106:$G$117,0)))*conv_2026*S$7</f>
        <v>-3528360.2651107842</v>
      </c>
      <c r="T48" s="31">
        <f>(INDEX(Option3!T$106:T$117, MATCH($D48, Option3!$G$106:$G$117,0)))*conv_2026*T$7</f>
        <v>-3528360.2651107842</v>
      </c>
      <c r="U48" s="31">
        <f>(INDEX(Option3!U$106:U$117, MATCH($D48, Option3!$G$106:$G$117,0)))*conv_2026*U$7</f>
        <v>-3528360.2651107842</v>
      </c>
      <c r="V48" s="31">
        <f>(INDEX(Option3!V$106:V$117, MATCH($D48, Option3!$G$106:$G$117,0)))*conv_2026*V$7</f>
        <v>-2996568.6956013148</v>
      </c>
      <c r="W48" s="31">
        <f>(INDEX(Option3!W$106:W$117, MATCH($D48, Option3!$G$106:$G$117,0)))*conv_2026*W$7</f>
        <v>-2996568.6956013148</v>
      </c>
      <c r="X48" s="31">
        <f>(INDEX(Option3!X$106:X$117, MATCH($D48, Option3!$G$106:$G$117,0)))*conv_2026*X$7</f>
        <v>-3355037.2488582139</v>
      </c>
      <c r="Y48" s="31">
        <f>(INDEX(Option3!Y$106:Y$117, MATCH($D48, Option3!$G$106:$G$117,0)))*conv_2026*Y$7</f>
        <v>-2755723.5097379498</v>
      </c>
      <c r="Z48" s="31">
        <f>(INDEX(Option3!Z$106:Z$117, MATCH($D48, Option3!$G$106:$G$117,0)))*conv_2026*Z$7</f>
        <v>-2156409.7706176871</v>
      </c>
      <c r="AA48" s="31">
        <f>(INDEX(Option3!AA$106:AA$117, MATCH($D48, Option3!$G$106:$G$117,0)))*conv_2026*AA$7</f>
        <v>-1557096.0314974242</v>
      </c>
      <c r="AB48" s="31">
        <f>(INDEX(Option3!AB$106:AB$117, MATCH($D48, Option3!$G$106:$G$117,0)))*conv_2026*AB$7</f>
        <v>-957782.29237716086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-17231477.333077159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828246.39164279215</v>
      </c>
      <c r="J49" s="31">
        <f>(INDEX(Option3!J$106:J$117, MATCH($D49, Option3!$G$106:$G$117,0)))*conv_2026*J$7</f>
        <v>886880.40845637291</v>
      </c>
      <c r="K49" s="31">
        <f>(INDEX(Option3!K$106:K$117, MATCH($D49, Option3!$G$106:$G$117,0)))*conv_2026*K$7</f>
        <v>945514.42526995379</v>
      </c>
      <c r="L49" s="31">
        <f>(INDEX(Option3!L$106:L$117, MATCH($D49, Option3!$G$106:$G$117,0)))*conv_2026*L$7</f>
        <v>1004148.4420835346</v>
      </c>
      <c r="M49" s="31">
        <f>(INDEX(Option3!M$106:M$117, MATCH($D49, Option3!$G$106:$G$117,0)))*conv_2026*M$7</f>
        <v>1062782.458897115</v>
      </c>
      <c r="N49" s="31">
        <f>(INDEX(Option3!N$106:N$117, MATCH($D49, Option3!$G$106:$G$117,0)))*conv_2026*N$7</f>
        <v>-2096540.5123061966</v>
      </c>
      <c r="O49" s="31">
        <f>(INDEX(Option3!O$106:O$117, MATCH($D49, Option3!$G$106:$G$117,0)))*conv_2026*O$7</f>
        <v>-2096540.5123061966</v>
      </c>
      <c r="P49" s="31">
        <f>(INDEX(Option3!P$106:P$117, MATCH($D49, Option3!$G$106:$G$117,0)))*conv_2026*P$7</f>
        <v>-2096540.5123061966</v>
      </c>
      <c r="Q49" s="31">
        <f>(INDEX(Option3!Q$106:Q$117, MATCH($D49, Option3!$G$106:$G$117,0)))*conv_2026*Q$7</f>
        <v>-2628332.0818156661</v>
      </c>
      <c r="R49" s="31">
        <f>(INDEX(Option3!R$106:R$117, MATCH($D49, Option3!$G$106:$G$117,0)))*conv_2026*R$7</f>
        <v>-2628332.0818156661</v>
      </c>
      <c r="S49" s="31">
        <f>(INDEX(Option3!S$106:S$117, MATCH($D49, Option3!$G$106:$G$117,0)))*conv_2026*S$7</f>
        <v>-2628332.0818156661</v>
      </c>
      <c r="T49" s="31">
        <f>(INDEX(Option3!T$106:T$117, MATCH($D49, Option3!$G$106:$G$117,0)))*conv_2026*T$7</f>
        <v>-2628332.0818156661</v>
      </c>
      <c r="U49" s="31">
        <f>(INDEX(Option3!U$106:U$117, MATCH($D49, Option3!$G$106:$G$117,0)))*conv_2026*U$7</f>
        <v>-2628332.0818156661</v>
      </c>
      <c r="V49" s="31">
        <f>(INDEX(Option3!V$106:V$117, MATCH($D49, Option3!$G$106:$G$117,0)))*conv_2026*V$7</f>
        <v>-2096540.5123061966</v>
      </c>
      <c r="W49" s="31">
        <f>(INDEX(Option3!W$106:W$117, MATCH($D49, Option3!$G$106:$G$117,0)))*conv_2026*W$7</f>
        <v>-2096540.5123061966</v>
      </c>
      <c r="X49" s="31">
        <f>(INDEX(Option3!X$106:X$117, MATCH($D49, Option3!$G$106:$G$117,0)))*conv_2026*X$7</f>
        <v>-2547943.5847332859</v>
      </c>
      <c r="Y49" s="31">
        <f>(INDEX(Option3!Y$106:Y$117, MATCH($D49, Option3!$G$106:$G$117,0)))*conv_2026*Y$7</f>
        <v>-2128635.4822720462</v>
      </c>
      <c r="Z49" s="31">
        <f>(INDEX(Option3!Z$106:Z$117, MATCH($D49, Option3!$G$106:$G$117,0)))*conv_2026*Z$7</f>
        <v>-1709327.3798108068</v>
      </c>
      <c r="AA49" s="31">
        <f>(INDEX(Option3!AA$106:AA$117, MATCH($D49, Option3!$G$106:$G$117,0)))*conv_2026*AA$7</f>
        <v>-1290019.2773495677</v>
      </c>
      <c r="AB49" s="31">
        <f>(INDEX(Option3!AB$106:AB$117, MATCH($D49, Option3!$G$106:$G$117,0)))*conv_2026*AB$7</f>
        <v>-870711.17488832807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-17231477.333077159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828246.39164279215</v>
      </c>
      <c r="J50" s="31">
        <f>(INDEX(Option3!J$106:J$117, MATCH($D50, Option3!$G$106:$G$117,0)))*conv_2026*J$7</f>
        <v>886880.40845637291</v>
      </c>
      <c r="K50" s="31">
        <f>(INDEX(Option3!K$106:K$117, MATCH($D50, Option3!$G$106:$G$117,0)))*conv_2026*K$7</f>
        <v>945514.42526995379</v>
      </c>
      <c r="L50" s="31">
        <f>(INDEX(Option3!L$106:L$117, MATCH($D50, Option3!$G$106:$G$117,0)))*conv_2026*L$7</f>
        <v>1004148.4420835346</v>
      </c>
      <c r="M50" s="31">
        <f>(INDEX(Option3!M$106:M$117, MATCH($D50, Option3!$G$106:$G$117,0)))*conv_2026*M$7</f>
        <v>1062782.458897115</v>
      </c>
      <c r="N50" s="31">
        <f>(INDEX(Option3!N$106:N$117, MATCH($D50, Option3!$G$106:$G$117,0)))*conv_2026*N$7</f>
        <v>-2096540.5123061966</v>
      </c>
      <c r="O50" s="31">
        <f>(INDEX(Option3!O$106:O$117, MATCH($D50, Option3!$G$106:$G$117,0)))*conv_2026*O$7</f>
        <v>-2096540.5123061966</v>
      </c>
      <c r="P50" s="31">
        <f>(INDEX(Option3!P$106:P$117, MATCH($D50, Option3!$G$106:$G$117,0)))*conv_2026*P$7</f>
        <v>-2096540.5123061966</v>
      </c>
      <c r="Q50" s="31">
        <f>(INDEX(Option3!Q$106:Q$117, MATCH($D50, Option3!$G$106:$G$117,0)))*conv_2026*Q$7</f>
        <v>-2628332.0818156661</v>
      </c>
      <c r="R50" s="31">
        <f>(INDEX(Option3!R$106:R$117, MATCH($D50, Option3!$G$106:$G$117,0)))*conv_2026*R$7</f>
        <v>-2628332.0818156661</v>
      </c>
      <c r="S50" s="31">
        <f>(INDEX(Option3!S$106:S$117, MATCH($D50, Option3!$G$106:$G$117,0)))*conv_2026*S$7</f>
        <v>-2628332.0818156661</v>
      </c>
      <c r="T50" s="31">
        <f>(INDEX(Option3!T$106:T$117, MATCH($D50, Option3!$G$106:$G$117,0)))*conv_2026*T$7</f>
        <v>-2628332.0818156661</v>
      </c>
      <c r="U50" s="31">
        <f>(INDEX(Option3!U$106:U$117, MATCH($D50, Option3!$G$106:$G$117,0)))*conv_2026*U$7</f>
        <v>-2628332.0818156661</v>
      </c>
      <c r="V50" s="31">
        <f>(INDEX(Option3!V$106:V$117, MATCH($D50, Option3!$G$106:$G$117,0)))*conv_2026*V$7</f>
        <v>-2096540.5123061966</v>
      </c>
      <c r="W50" s="31">
        <f>(INDEX(Option3!W$106:W$117, MATCH($D50, Option3!$G$106:$G$117,0)))*conv_2026*W$7</f>
        <v>-2096540.5123061966</v>
      </c>
      <c r="X50" s="31">
        <f>(INDEX(Option3!X$106:X$117, MATCH($D50, Option3!$G$106:$G$117,0)))*conv_2026*X$7</f>
        <v>-2547943.5847332859</v>
      </c>
      <c r="Y50" s="31">
        <f>(INDEX(Option3!Y$106:Y$117, MATCH($D50, Option3!$G$106:$G$117,0)))*conv_2026*Y$7</f>
        <v>-2128635.4822720462</v>
      </c>
      <c r="Z50" s="31">
        <f>(INDEX(Option3!Z$106:Z$117, MATCH($D50, Option3!$G$106:$G$117,0)))*conv_2026*Z$7</f>
        <v>-1709327.3798108068</v>
      </c>
      <c r="AA50" s="31">
        <f>(INDEX(Option3!AA$106:AA$117, MATCH($D50, Option3!$G$106:$G$117,0)))*conv_2026*AA$7</f>
        <v>-1290019.2773495677</v>
      </c>
      <c r="AB50" s="31">
        <f>(INDEX(Option3!AB$106:AB$117, MATCH($D50, Option3!$G$106:$G$117,0)))*conv_2026*AB$7</f>
        <v>-870711.17488832807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-17231477.333077159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828246.39164279215</v>
      </c>
      <c r="J51" s="31">
        <f>(INDEX(Option3!J$106:J$117, MATCH($D51, Option3!$G$106:$G$117,0)))*conv_2026*J$7</f>
        <v>886880.40845637291</v>
      </c>
      <c r="K51" s="31">
        <f>(INDEX(Option3!K$106:K$117, MATCH($D51, Option3!$G$106:$G$117,0)))*conv_2026*K$7</f>
        <v>945514.42526995379</v>
      </c>
      <c r="L51" s="31">
        <f>(INDEX(Option3!L$106:L$117, MATCH($D51, Option3!$G$106:$G$117,0)))*conv_2026*L$7</f>
        <v>1004148.4420835346</v>
      </c>
      <c r="M51" s="31">
        <f>(INDEX(Option3!M$106:M$117, MATCH($D51, Option3!$G$106:$G$117,0)))*conv_2026*M$7</f>
        <v>1062782.458897115</v>
      </c>
      <c r="N51" s="31">
        <f>(INDEX(Option3!N$106:N$117, MATCH($D51, Option3!$G$106:$G$117,0)))*conv_2026*N$7</f>
        <v>-2096540.5123061966</v>
      </c>
      <c r="O51" s="31">
        <f>(INDEX(Option3!O$106:O$117, MATCH($D51, Option3!$G$106:$G$117,0)))*conv_2026*O$7</f>
        <v>-2096540.5123061966</v>
      </c>
      <c r="P51" s="31">
        <f>(INDEX(Option3!P$106:P$117, MATCH($D51, Option3!$G$106:$G$117,0)))*conv_2026*P$7</f>
        <v>-2096540.5123061966</v>
      </c>
      <c r="Q51" s="31">
        <f>(INDEX(Option3!Q$106:Q$117, MATCH($D51, Option3!$G$106:$G$117,0)))*conv_2026*Q$7</f>
        <v>-2628332.0818156661</v>
      </c>
      <c r="R51" s="31">
        <f>(INDEX(Option3!R$106:R$117, MATCH($D51, Option3!$G$106:$G$117,0)))*conv_2026*R$7</f>
        <v>-2628332.0818156661</v>
      </c>
      <c r="S51" s="31">
        <f>(INDEX(Option3!S$106:S$117, MATCH($D51, Option3!$G$106:$G$117,0)))*conv_2026*S$7</f>
        <v>-2628332.0818156661</v>
      </c>
      <c r="T51" s="31">
        <f>(INDEX(Option3!T$106:T$117, MATCH($D51, Option3!$G$106:$G$117,0)))*conv_2026*T$7</f>
        <v>-2628332.0818156661</v>
      </c>
      <c r="U51" s="31">
        <f>(INDEX(Option3!U$106:U$117, MATCH($D51, Option3!$G$106:$G$117,0)))*conv_2026*U$7</f>
        <v>-2628332.0818156661</v>
      </c>
      <c r="V51" s="31">
        <f>(INDEX(Option3!V$106:V$117, MATCH($D51, Option3!$G$106:$G$117,0)))*conv_2026*V$7</f>
        <v>-2096540.5123061966</v>
      </c>
      <c r="W51" s="31">
        <f>(INDEX(Option3!W$106:W$117, MATCH($D51, Option3!$G$106:$G$117,0)))*conv_2026*W$7</f>
        <v>-2096540.5123061966</v>
      </c>
      <c r="X51" s="31">
        <f>(INDEX(Option3!X$106:X$117, MATCH($D51, Option3!$G$106:$G$117,0)))*conv_2026*X$7</f>
        <v>-2547943.5847332859</v>
      </c>
      <c r="Y51" s="31">
        <f>(INDEX(Option3!Y$106:Y$117, MATCH($D51, Option3!$G$106:$G$117,0)))*conv_2026*Y$7</f>
        <v>-2128635.4822720462</v>
      </c>
      <c r="Z51" s="31">
        <f>(INDEX(Option3!Z$106:Z$117, MATCH($D51, Option3!$G$106:$G$117,0)))*conv_2026*Z$7</f>
        <v>-1709327.3798108068</v>
      </c>
      <c r="AA51" s="31">
        <f>(INDEX(Option3!AA$106:AA$117, MATCH($D51, Option3!$G$106:$G$117,0)))*conv_2026*AA$7</f>
        <v>-1290019.2773495677</v>
      </c>
      <c r="AB51" s="31">
        <f>(INDEX(Option3!AB$106:AB$117, MATCH($D51, Option3!$G$106:$G$117,0)))*conv_2026*AB$7</f>
        <v>-870711.17488832807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186</v>
      </c>
      <c r="D56" s="253" t="str">
        <f>A56&amp;B56</f>
        <v>Option 4NPV</v>
      </c>
      <c r="E56" s="254"/>
      <c r="F56" s="31">
        <f t="shared" ref="F56:F65" si="6">SUMPRODUCT($H56:$AG56, $H$5:$AG$5)</f>
        <v>-1352745.9868332841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431838.56983813725</v>
      </c>
      <c r="J56" s="31">
        <f>(INDEX(Option4!J$106:J$117, MATCH($D56, Option4!$G$106:$G$117,0)))*conv_2026*J$7</f>
        <v>509667.05374761554</v>
      </c>
      <c r="K56" s="31">
        <f>(INDEX(Option4!K$106:K$117, MATCH($D56, Option4!$G$106:$G$117,0)))*conv_2026*K$7</f>
        <v>138414.42090722561</v>
      </c>
      <c r="L56" s="31">
        <f>(INDEX(Option4!L$106:L$117, MATCH($D56, Option4!$G$106:$G$117,0)))*conv_2026*L$7</f>
        <v>138414.42090722561</v>
      </c>
      <c r="M56" s="31">
        <f>(INDEX(Option4!M$106:M$117, MATCH($D56, Option4!$G$106:$G$117,0)))*conv_2026*M$7</f>
        <v>138414.42090722561</v>
      </c>
      <c r="N56" s="31">
        <f>(INDEX(Option4!N$106:N$117, MATCH($D56, Option4!$G$106:$G$117,0)))*conv_2026*N$7</f>
        <v>-251911.63872580175</v>
      </c>
      <c r="O56" s="31">
        <f>(INDEX(Option4!O$106:O$117, MATCH($D56, Option4!$G$106:$G$117,0)))*conv_2026*O$7</f>
        <v>-251911.63872580175</v>
      </c>
      <c r="P56" s="31">
        <f>(INDEX(Option4!P$106:P$117, MATCH($D56, Option4!$G$106:$G$117,0)))*conv_2026*P$7</f>
        <v>-251911.63872580175</v>
      </c>
      <c r="Q56" s="31">
        <f>(INDEX(Option4!Q$106:Q$117, MATCH($D56, Option4!$G$106:$G$117,0)))*conv_2026*Q$7</f>
        <v>-478656.19650414248</v>
      </c>
      <c r="R56" s="31">
        <f>(INDEX(Option4!R$106:R$117, MATCH($D56, Option4!$G$106:$G$117,0)))*conv_2026*R$7</f>
        <v>-478656.19650414248</v>
      </c>
      <c r="S56" s="31">
        <f>(INDEX(Option4!S$106:S$117, MATCH($D56, Option4!$G$106:$G$117,0)))*conv_2026*S$7</f>
        <v>-251911.63872580175</v>
      </c>
      <c r="T56" s="31">
        <f>(INDEX(Option4!T$106:T$117, MATCH($D56, Option4!$G$106:$G$117,0)))*conv_2026*T$7</f>
        <v>-251911.63872580175</v>
      </c>
      <c r="U56" s="31">
        <f>(INDEX(Option4!U$106:U$117, MATCH($D56, Option4!$G$106:$G$117,0)))*conv_2026*U$7</f>
        <v>-251911.63872580175</v>
      </c>
      <c r="V56" s="31">
        <f>(INDEX(Option4!V$106:V$117, MATCH($D56, Option4!$G$106:$G$117,0)))*conv_2026*V$7</f>
        <v>-251911.63872580175</v>
      </c>
      <c r="W56" s="31">
        <f>(INDEX(Option4!W$106:W$117, MATCH($D56, Option4!$G$106:$G$117,0)))*conv_2026*W$7</f>
        <v>-251911.63872580175</v>
      </c>
      <c r="X56" s="31">
        <f>(INDEX(Option4!X$106:X$117, MATCH($D56, Option4!$G$106:$G$117,0)))*conv_2026*X$7</f>
        <v>-497208.45220329089</v>
      </c>
      <c r="Y56" s="31">
        <f>(INDEX(Option4!Y$106:Y$117, MATCH($D56, Option4!$G$106:$G$117,0)))*conv_2026*Y$7</f>
        <v>-371252.63284038997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-2179123.1217949246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431838.56983813725</v>
      </c>
      <c r="J58" s="31">
        <f>(INDEX(Option4!J$106:J$117, MATCH($D58, Option4!$G$106:$G$117,0)))*conv_2026*J$7</f>
        <v>472541.79046357656</v>
      </c>
      <c r="K58" s="31">
        <f>(INDEX(Option4!K$106:K$117, MATCH($D58, Option4!$G$106:$G$117,0)))*conv_2026*K$7</f>
        <v>64163.89433914762</v>
      </c>
      <c r="L58" s="31">
        <f>(INDEX(Option4!L$106:L$117, MATCH($D58, Option4!$G$106:$G$117,0)))*conv_2026*L$7</f>
        <v>64163.89433914762</v>
      </c>
      <c r="M58" s="31">
        <f>(INDEX(Option4!M$106:M$117, MATCH($D58, Option4!$G$106:$G$117,0)))*conv_2026*M$7</f>
        <v>64163.89433914762</v>
      </c>
      <c r="N58" s="31">
        <f>(INDEX(Option4!N$106:N$117, MATCH($D58, Option4!$G$106:$G$117,0)))*conv_2026*N$7</f>
        <v>-326162.16529387975</v>
      </c>
      <c r="O58" s="31">
        <f>(INDEX(Option4!O$106:O$117, MATCH($D58, Option4!$G$106:$G$117,0)))*conv_2026*O$7</f>
        <v>-326162.16529387975</v>
      </c>
      <c r="P58" s="31">
        <f>(INDEX(Option4!P$106:P$117, MATCH($D58, Option4!$G$106:$G$117,0)))*conv_2026*P$7</f>
        <v>-326162.16529387975</v>
      </c>
      <c r="Q58" s="31">
        <f>(INDEX(Option4!Q$106:Q$117, MATCH($D58, Option4!$G$106:$G$117,0)))*conv_2026*Q$7</f>
        <v>-552906.72307222045</v>
      </c>
      <c r="R58" s="31">
        <f>(INDEX(Option4!R$106:R$117, MATCH($D58, Option4!$G$106:$G$117,0)))*conv_2026*R$7</f>
        <v>-552906.72307222045</v>
      </c>
      <c r="S58" s="31">
        <f>(INDEX(Option4!S$106:S$117, MATCH($D58, Option4!$G$106:$G$117,0)))*conv_2026*S$7</f>
        <v>-326162.16529387975</v>
      </c>
      <c r="T58" s="31">
        <f>(INDEX(Option4!T$106:T$117, MATCH($D58, Option4!$G$106:$G$117,0)))*conv_2026*T$7</f>
        <v>-326162.16529387975</v>
      </c>
      <c r="U58" s="31">
        <f>(INDEX(Option4!U$106:U$117, MATCH($D58, Option4!$G$106:$G$117,0)))*conv_2026*U$7</f>
        <v>-326162.16529387975</v>
      </c>
      <c r="V58" s="31">
        <f>(INDEX(Option4!V$106:V$117, MATCH($D58, Option4!$G$106:$G$117,0)))*conv_2026*V$7</f>
        <v>-326162.16529387975</v>
      </c>
      <c r="W58" s="31">
        <f>(INDEX(Option4!W$106:W$117, MATCH($D58, Option4!$G$106:$G$117,0)))*conv_2026*W$7</f>
        <v>-326162.16529387975</v>
      </c>
      <c r="X58" s="31">
        <f>(INDEX(Option4!X$106:X$117, MATCH($D58, Option4!$G$106:$G$117,0)))*conv_2026*X$7</f>
        <v>-571458.97877136886</v>
      </c>
      <c r="Y58" s="31">
        <f>(INDEX(Option4!Y$106:Y$117, MATCH($D58, Option4!$G$106:$G$117,0)))*conv_2026*Y$7</f>
        <v>-408377.89612442895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-526368.85187164252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431838.56983813725</v>
      </c>
      <c r="J59" s="31">
        <f>(INDEX(Option4!J$106:J$117, MATCH($D59, Option4!$G$106:$G$117,0)))*conv_2026*J$7</f>
        <v>546792.31703165453</v>
      </c>
      <c r="K59" s="31">
        <f>(INDEX(Option4!K$106:K$117, MATCH($D59, Option4!$G$106:$G$117,0)))*conv_2026*K$7</f>
        <v>212664.9474753036</v>
      </c>
      <c r="L59" s="31">
        <f>(INDEX(Option4!L$106:L$117, MATCH($D59, Option4!$G$106:$G$117,0)))*conv_2026*L$7</f>
        <v>212664.9474753036</v>
      </c>
      <c r="M59" s="31">
        <f>(INDEX(Option4!M$106:M$117, MATCH($D59, Option4!$G$106:$G$117,0)))*conv_2026*M$7</f>
        <v>212664.9474753036</v>
      </c>
      <c r="N59" s="31">
        <f>(INDEX(Option4!N$106:N$117, MATCH($D59, Option4!$G$106:$G$117,0)))*conv_2026*N$7</f>
        <v>-177661.11215772375</v>
      </c>
      <c r="O59" s="31">
        <f>(INDEX(Option4!O$106:O$117, MATCH($D59, Option4!$G$106:$G$117,0)))*conv_2026*O$7</f>
        <v>-177661.11215772375</v>
      </c>
      <c r="P59" s="31">
        <f>(INDEX(Option4!P$106:P$117, MATCH($D59, Option4!$G$106:$G$117,0)))*conv_2026*P$7</f>
        <v>-177661.11215772375</v>
      </c>
      <c r="Q59" s="31">
        <f>(INDEX(Option4!Q$106:Q$117, MATCH($D59, Option4!$G$106:$G$117,0)))*conv_2026*Q$7</f>
        <v>-404405.66993606451</v>
      </c>
      <c r="R59" s="31">
        <f>(INDEX(Option4!R$106:R$117, MATCH($D59, Option4!$G$106:$G$117,0)))*conv_2026*R$7</f>
        <v>-404405.66993606451</v>
      </c>
      <c r="S59" s="31">
        <f>(INDEX(Option4!S$106:S$117, MATCH($D59, Option4!$G$106:$G$117,0)))*conv_2026*S$7</f>
        <v>-177661.11215772375</v>
      </c>
      <c r="T59" s="31">
        <f>(INDEX(Option4!T$106:T$117, MATCH($D59, Option4!$G$106:$G$117,0)))*conv_2026*T$7</f>
        <v>-177661.11215772375</v>
      </c>
      <c r="U59" s="31">
        <f>(INDEX(Option4!U$106:U$117, MATCH($D59, Option4!$G$106:$G$117,0)))*conv_2026*U$7</f>
        <v>-177661.11215772375</v>
      </c>
      <c r="V59" s="31">
        <f>(INDEX(Option4!V$106:V$117, MATCH($D59, Option4!$G$106:$G$117,0)))*conv_2026*V$7</f>
        <v>-177661.11215772375</v>
      </c>
      <c r="W59" s="31">
        <f>(INDEX(Option4!W$106:W$117, MATCH($D59, Option4!$G$106:$G$117,0)))*conv_2026*W$7</f>
        <v>-177661.11215772375</v>
      </c>
      <c r="X59" s="31">
        <f>(INDEX(Option4!X$106:X$117, MATCH($D59, Option4!$G$106:$G$117,0)))*conv_2026*X$7</f>
        <v>-422957.92563521286</v>
      </c>
      <c r="Y59" s="31">
        <f>(INDEX(Option4!Y$106:Y$117, MATCH($D59, Option4!$G$106:$G$117,0)))*conv_2026*Y$7</f>
        <v>-334127.36955635092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-318142.6049842909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476746.68151312409</v>
      </c>
      <c r="J60" s="31">
        <f>(INDEX(Option4!J$106:J$117, MATCH($D60, Option4!$G$106:$G$117,0)))*conv_2026*J$7</f>
        <v>599483.27709758922</v>
      </c>
      <c r="K60" s="31">
        <f>(INDEX(Option4!K$106:K$117, MATCH($D60, Option4!$G$106:$G$117,0)))*conv_2026*K$7</f>
        <v>228230.64425719925</v>
      </c>
      <c r="L60" s="31">
        <f>(INDEX(Option4!L$106:L$117, MATCH($D60, Option4!$G$106:$G$117,0)))*conv_2026*L$7</f>
        <v>228230.64425719925</v>
      </c>
      <c r="M60" s="31">
        <f>(INDEX(Option4!M$106:M$117, MATCH($D60, Option4!$G$106:$G$117,0)))*conv_2026*M$7</f>
        <v>228230.64425719925</v>
      </c>
      <c r="N60" s="31">
        <f>(INDEX(Option4!N$106:N$117, MATCH($D60, Option4!$G$106:$G$117,0)))*conv_2026*N$7</f>
        <v>-162095.4153758281</v>
      </c>
      <c r="O60" s="31">
        <f>(INDEX(Option4!O$106:O$117, MATCH($D60, Option4!$G$106:$G$117,0)))*conv_2026*O$7</f>
        <v>-162095.4153758281</v>
      </c>
      <c r="P60" s="31">
        <f>(INDEX(Option4!P$106:P$117, MATCH($D60, Option4!$G$106:$G$117,0)))*conv_2026*P$7</f>
        <v>-162095.4153758281</v>
      </c>
      <c r="Q60" s="31">
        <f>(INDEX(Option4!Q$106:Q$117, MATCH($D60, Option4!$G$106:$G$117,0)))*conv_2026*Q$7</f>
        <v>-388839.97315416887</v>
      </c>
      <c r="R60" s="31">
        <f>(INDEX(Option4!R$106:R$117, MATCH($D60, Option4!$G$106:$G$117,0)))*conv_2026*R$7</f>
        <v>-388839.97315416887</v>
      </c>
      <c r="S60" s="31">
        <f>(INDEX(Option4!S$106:S$117, MATCH($D60, Option4!$G$106:$G$117,0)))*conv_2026*S$7</f>
        <v>-162095.4153758281</v>
      </c>
      <c r="T60" s="31">
        <f>(INDEX(Option4!T$106:T$117, MATCH($D60, Option4!$G$106:$G$117,0)))*conv_2026*T$7</f>
        <v>-162095.4153758281</v>
      </c>
      <c r="U60" s="31">
        <f>(INDEX(Option4!U$106:U$117, MATCH($D60, Option4!$G$106:$G$117,0)))*conv_2026*U$7</f>
        <v>-162095.4153758281</v>
      </c>
      <c r="V60" s="31">
        <f>(INDEX(Option4!V$106:V$117, MATCH($D60, Option4!$G$106:$G$117,0)))*conv_2026*V$7</f>
        <v>-162095.4153758281</v>
      </c>
      <c r="W60" s="31">
        <f>(INDEX(Option4!W$106:W$117, MATCH($D60, Option4!$G$106:$G$117,0)))*conv_2026*W$7</f>
        <v>-162095.4153758281</v>
      </c>
      <c r="X60" s="31">
        <f>(INDEX(Option4!X$106:X$117, MATCH($D60, Option4!$G$106:$G$117,0)))*conv_2026*X$7</f>
        <v>-452300.34052830405</v>
      </c>
      <c r="Y60" s="31">
        <f>(INDEX(Option4!Y$106:Y$117, MATCH($D60, Option4!$G$106:$G$117,0)))*conv_2026*Y$7</f>
        <v>-371252.63284038997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-2387349.3686822769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386930.45816315035</v>
      </c>
      <c r="J61" s="31">
        <f>(INDEX(Option4!J$106:J$117, MATCH($D61, Option4!$G$106:$G$117,0)))*conv_2026*J$7</f>
        <v>419850.83039764193</v>
      </c>
      <c r="K61" s="31">
        <f>(INDEX(Option4!K$106:K$117, MATCH($D61, Option4!$G$106:$G$117,0)))*conv_2026*K$7</f>
        <v>48598.197557251944</v>
      </c>
      <c r="L61" s="31">
        <f>(INDEX(Option4!L$106:L$117, MATCH($D61, Option4!$G$106:$G$117,0)))*conv_2026*L$7</f>
        <v>48598.197557251944</v>
      </c>
      <c r="M61" s="31">
        <f>(INDEX(Option4!M$106:M$117, MATCH($D61, Option4!$G$106:$G$117,0)))*conv_2026*M$7</f>
        <v>48598.197557251944</v>
      </c>
      <c r="N61" s="31">
        <f>(INDEX(Option4!N$106:N$117, MATCH($D61, Option4!$G$106:$G$117,0)))*conv_2026*N$7</f>
        <v>-341727.8620757754</v>
      </c>
      <c r="O61" s="31">
        <f>(INDEX(Option4!O$106:O$117, MATCH($D61, Option4!$G$106:$G$117,0)))*conv_2026*O$7</f>
        <v>-341727.8620757754</v>
      </c>
      <c r="P61" s="31">
        <f>(INDEX(Option4!P$106:P$117, MATCH($D61, Option4!$G$106:$G$117,0)))*conv_2026*P$7</f>
        <v>-341727.8620757754</v>
      </c>
      <c r="Q61" s="31">
        <f>(INDEX(Option4!Q$106:Q$117, MATCH($D61, Option4!$G$106:$G$117,0)))*conv_2026*Q$7</f>
        <v>-568472.41985411616</v>
      </c>
      <c r="R61" s="31">
        <f>(INDEX(Option4!R$106:R$117, MATCH($D61, Option4!$G$106:$G$117,0)))*conv_2026*R$7</f>
        <v>-568472.41985411616</v>
      </c>
      <c r="S61" s="31">
        <f>(INDEX(Option4!S$106:S$117, MATCH($D61, Option4!$G$106:$G$117,0)))*conv_2026*S$7</f>
        <v>-341727.8620757754</v>
      </c>
      <c r="T61" s="31">
        <f>(INDEX(Option4!T$106:T$117, MATCH($D61, Option4!$G$106:$G$117,0)))*conv_2026*T$7</f>
        <v>-341727.8620757754</v>
      </c>
      <c r="U61" s="31">
        <f>(INDEX(Option4!U$106:U$117, MATCH($D61, Option4!$G$106:$G$117,0)))*conv_2026*U$7</f>
        <v>-341727.8620757754</v>
      </c>
      <c r="V61" s="31">
        <f>(INDEX(Option4!V$106:V$117, MATCH($D61, Option4!$G$106:$G$117,0)))*conv_2026*V$7</f>
        <v>-341727.8620757754</v>
      </c>
      <c r="W61" s="31">
        <f>(INDEX(Option4!W$106:W$117, MATCH($D61, Option4!$G$106:$G$117,0)))*conv_2026*W$7</f>
        <v>-341727.8620757754</v>
      </c>
      <c r="X61" s="31">
        <f>(INDEX(Option4!X$106:X$117, MATCH($D61, Option4!$G$106:$G$117,0)))*conv_2026*X$7</f>
        <v>-542116.56387827778</v>
      </c>
      <c r="Y61" s="31">
        <f>(INDEX(Option4!Y$106:Y$117, MATCH($D61, Option4!$G$106:$G$117,0)))*conv_2026*Y$7</f>
        <v>-371252.63284038997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-3213726.5036439174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386930.45816315035</v>
      </c>
      <c r="J62" s="31">
        <f>(INDEX(Option4!J$106:J$117, MATCH($D62, Option4!$G$106:$G$117,0)))*conv_2026*J$7</f>
        <v>382725.56711360288</v>
      </c>
      <c r="K62" s="31">
        <f>(INDEX(Option4!K$106:K$117, MATCH($D62, Option4!$G$106:$G$117,0)))*conv_2026*K$7</f>
        <v>-25652.329010826037</v>
      </c>
      <c r="L62" s="31">
        <f>(INDEX(Option4!L$106:L$117, MATCH($D62, Option4!$G$106:$G$117,0)))*conv_2026*L$7</f>
        <v>-25652.329010826037</v>
      </c>
      <c r="M62" s="31">
        <f>(INDEX(Option4!M$106:M$117, MATCH($D62, Option4!$G$106:$G$117,0)))*conv_2026*M$7</f>
        <v>-25652.329010826037</v>
      </c>
      <c r="N62" s="31">
        <f>(INDEX(Option4!N$106:N$117, MATCH($D62, Option4!$G$106:$G$117,0)))*conv_2026*N$7</f>
        <v>-415978.38864385337</v>
      </c>
      <c r="O62" s="31">
        <f>(INDEX(Option4!O$106:O$117, MATCH($D62, Option4!$G$106:$G$117,0)))*conv_2026*O$7</f>
        <v>-415978.38864385337</v>
      </c>
      <c r="P62" s="31">
        <f>(INDEX(Option4!P$106:P$117, MATCH($D62, Option4!$G$106:$G$117,0)))*conv_2026*P$7</f>
        <v>-415978.38864385337</v>
      </c>
      <c r="Q62" s="31">
        <f>(INDEX(Option4!Q$106:Q$117, MATCH($D62, Option4!$G$106:$G$117,0)))*conv_2026*Q$7</f>
        <v>-642722.94642219401</v>
      </c>
      <c r="R62" s="31">
        <f>(INDEX(Option4!R$106:R$117, MATCH($D62, Option4!$G$106:$G$117,0)))*conv_2026*R$7</f>
        <v>-642722.94642219401</v>
      </c>
      <c r="S62" s="31">
        <f>(INDEX(Option4!S$106:S$117, MATCH($D62, Option4!$G$106:$G$117,0)))*conv_2026*S$7</f>
        <v>-415978.38864385337</v>
      </c>
      <c r="T62" s="31">
        <f>(INDEX(Option4!T$106:T$117, MATCH($D62, Option4!$G$106:$G$117,0)))*conv_2026*T$7</f>
        <v>-415978.38864385337</v>
      </c>
      <c r="U62" s="31">
        <f>(INDEX(Option4!U$106:U$117, MATCH($D62, Option4!$G$106:$G$117,0)))*conv_2026*U$7</f>
        <v>-415978.38864385337</v>
      </c>
      <c r="V62" s="31">
        <f>(INDEX(Option4!V$106:V$117, MATCH($D62, Option4!$G$106:$G$117,0)))*conv_2026*V$7</f>
        <v>-415978.38864385337</v>
      </c>
      <c r="W62" s="31">
        <f>(INDEX(Option4!W$106:W$117, MATCH($D62, Option4!$G$106:$G$117,0)))*conv_2026*W$7</f>
        <v>-415978.38864385337</v>
      </c>
      <c r="X62" s="31">
        <f>(INDEX(Option4!X$106:X$117, MATCH($D62, Option4!$G$106:$G$117,0)))*conv_2026*X$7</f>
        <v>-616367.09044635575</v>
      </c>
      <c r="Y62" s="31">
        <f>(INDEX(Option4!Y$106:Y$117, MATCH($D62, Option4!$G$106:$G$117,0)))*conv_2026*Y$7</f>
        <v>-408377.89612442895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-1352745.9868332841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431838.56983813725</v>
      </c>
      <c r="J63" s="31">
        <f>(INDEX(Option4!J$106:J$117, MATCH($D63, Option4!$G$106:$G$117,0)))*conv_2026*J$7</f>
        <v>509667.05374761554</v>
      </c>
      <c r="K63" s="31">
        <f>(INDEX(Option4!K$106:K$117, MATCH($D63, Option4!$G$106:$G$117,0)))*conv_2026*K$7</f>
        <v>138414.42090722561</v>
      </c>
      <c r="L63" s="31">
        <f>(INDEX(Option4!L$106:L$117, MATCH($D63, Option4!$G$106:$G$117,0)))*conv_2026*L$7</f>
        <v>138414.42090722561</v>
      </c>
      <c r="M63" s="31">
        <f>(INDEX(Option4!M$106:M$117, MATCH($D63, Option4!$G$106:$G$117,0)))*conv_2026*M$7</f>
        <v>138414.42090722561</v>
      </c>
      <c r="N63" s="31">
        <f>(INDEX(Option4!N$106:N$117, MATCH($D63, Option4!$G$106:$G$117,0)))*conv_2026*N$7</f>
        <v>-251911.63872580175</v>
      </c>
      <c r="O63" s="31">
        <f>(INDEX(Option4!O$106:O$117, MATCH($D63, Option4!$G$106:$G$117,0)))*conv_2026*O$7</f>
        <v>-251911.63872580175</v>
      </c>
      <c r="P63" s="31">
        <f>(INDEX(Option4!P$106:P$117, MATCH($D63, Option4!$G$106:$G$117,0)))*conv_2026*P$7</f>
        <v>-251911.63872580175</v>
      </c>
      <c r="Q63" s="31">
        <f>(INDEX(Option4!Q$106:Q$117, MATCH($D63, Option4!$G$106:$G$117,0)))*conv_2026*Q$7</f>
        <v>-478656.19650414248</v>
      </c>
      <c r="R63" s="31">
        <f>(INDEX(Option4!R$106:R$117, MATCH($D63, Option4!$G$106:$G$117,0)))*conv_2026*R$7</f>
        <v>-478656.19650414248</v>
      </c>
      <c r="S63" s="31">
        <f>(INDEX(Option4!S$106:S$117, MATCH($D63, Option4!$G$106:$G$117,0)))*conv_2026*S$7</f>
        <v>-251911.63872580175</v>
      </c>
      <c r="T63" s="31">
        <f>(INDEX(Option4!T$106:T$117, MATCH($D63, Option4!$G$106:$G$117,0)))*conv_2026*T$7</f>
        <v>-251911.63872580175</v>
      </c>
      <c r="U63" s="31">
        <f>(INDEX(Option4!U$106:U$117, MATCH($D63, Option4!$G$106:$G$117,0)))*conv_2026*U$7</f>
        <v>-251911.63872580175</v>
      </c>
      <c r="V63" s="31">
        <f>(INDEX(Option4!V$106:V$117, MATCH($D63, Option4!$G$106:$G$117,0)))*conv_2026*V$7</f>
        <v>-251911.63872580175</v>
      </c>
      <c r="W63" s="31">
        <f>(INDEX(Option4!W$106:W$117, MATCH($D63, Option4!$G$106:$G$117,0)))*conv_2026*W$7</f>
        <v>-251911.63872580175</v>
      </c>
      <c r="X63" s="31">
        <f>(INDEX(Option4!X$106:X$117, MATCH($D63, Option4!$G$106:$G$117,0)))*conv_2026*X$7</f>
        <v>-497208.45220329089</v>
      </c>
      <c r="Y63" s="31">
        <f>(INDEX(Option4!Y$106:Y$117, MATCH($D63, Option4!$G$106:$G$117,0)))*conv_2026*Y$7</f>
        <v>-371252.63284038997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-1352745.9868332841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431838.56983813725</v>
      </c>
      <c r="J64" s="31">
        <f>(INDEX(Option4!J$106:J$117, MATCH($D64, Option4!$G$106:$G$117,0)))*conv_2026*J$7</f>
        <v>509667.05374761554</v>
      </c>
      <c r="K64" s="31">
        <f>(INDEX(Option4!K$106:K$117, MATCH($D64, Option4!$G$106:$G$117,0)))*conv_2026*K$7</f>
        <v>138414.42090722561</v>
      </c>
      <c r="L64" s="31">
        <f>(INDEX(Option4!L$106:L$117, MATCH($D64, Option4!$G$106:$G$117,0)))*conv_2026*L$7</f>
        <v>138414.42090722561</v>
      </c>
      <c r="M64" s="31">
        <f>(INDEX(Option4!M$106:M$117, MATCH($D64, Option4!$G$106:$G$117,0)))*conv_2026*M$7</f>
        <v>138414.42090722561</v>
      </c>
      <c r="N64" s="31">
        <f>(INDEX(Option4!N$106:N$117, MATCH($D64, Option4!$G$106:$G$117,0)))*conv_2026*N$7</f>
        <v>-251911.63872580175</v>
      </c>
      <c r="O64" s="31">
        <f>(INDEX(Option4!O$106:O$117, MATCH($D64, Option4!$G$106:$G$117,0)))*conv_2026*O$7</f>
        <v>-251911.63872580175</v>
      </c>
      <c r="P64" s="31">
        <f>(INDEX(Option4!P$106:P$117, MATCH($D64, Option4!$G$106:$G$117,0)))*conv_2026*P$7</f>
        <v>-251911.63872580175</v>
      </c>
      <c r="Q64" s="31">
        <f>(INDEX(Option4!Q$106:Q$117, MATCH($D64, Option4!$G$106:$G$117,0)))*conv_2026*Q$7</f>
        <v>-478656.19650414248</v>
      </c>
      <c r="R64" s="31">
        <f>(INDEX(Option4!R$106:R$117, MATCH($D64, Option4!$G$106:$G$117,0)))*conv_2026*R$7</f>
        <v>-478656.19650414248</v>
      </c>
      <c r="S64" s="31">
        <f>(INDEX(Option4!S$106:S$117, MATCH($D64, Option4!$G$106:$G$117,0)))*conv_2026*S$7</f>
        <v>-251911.63872580175</v>
      </c>
      <c r="T64" s="31">
        <f>(INDEX(Option4!T$106:T$117, MATCH($D64, Option4!$G$106:$G$117,0)))*conv_2026*T$7</f>
        <v>-251911.63872580175</v>
      </c>
      <c r="U64" s="31">
        <f>(INDEX(Option4!U$106:U$117, MATCH($D64, Option4!$G$106:$G$117,0)))*conv_2026*U$7</f>
        <v>-251911.63872580175</v>
      </c>
      <c r="V64" s="31">
        <f>(INDEX(Option4!V$106:V$117, MATCH($D64, Option4!$G$106:$G$117,0)))*conv_2026*V$7</f>
        <v>-251911.63872580175</v>
      </c>
      <c r="W64" s="31">
        <f>(INDEX(Option4!W$106:W$117, MATCH($D64, Option4!$G$106:$G$117,0)))*conv_2026*W$7</f>
        <v>-251911.63872580175</v>
      </c>
      <c r="X64" s="31">
        <f>(INDEX(Option4!X$106:X$117, MATCH($D64, Option4!$G$106:$G$117,0)))*conv_2026*X$7</f>
        <v>-497208.45220329089</v>
      </c>
      <c r="Y64" s="31">
        <f>(INDEX(Option4!Y$106:Y$117, MATCH($D64, Option4!$G$106:$G$117,0)))*conv_2026*Y$7</f>
        <v>-371252.63284038997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-1352745.9868332841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431838.56983813725</v>
      </c>
      <c r="J65" s="31">
        <f>(INDEX(Option4!J$106:J$117, MATCH($D65, Option4!$G$106:$G$117,0)))*conv_2026*J$7</f>
        <v>509667.05374761554</v>
      </c>
      <c r="K65" s="31">
        <f>(INDEX(Option4!K$106:K$117, MATCH($D65, Option4!$G$106:$G$117,0)))*conv_2026*K$7</f>
        <v>138414.42090722561</v>
      </c>
      <c r="L65" s="31">
        <f>(INDEX(Option4!L$106:L$117, MATCH($D65, Option4!$G$106:$G$117,0)))*conv_2026*L$7</f>
        <v>138414.42090722561</v>
      </c>
      <c r="M65" s="31">
        <f>(INDEX(Option4!M$106:M$117, MATCH($D65, Option4!$G$106:$G$117,0)))*conv_2026*M$7</f>
        <v>138414.42090722561</v>
      </c>
      <c r="N65" s="31">
        <f>(INDEX(Option4!N$106:N$117, MATCH($D65, Option4!$G$106:$G$117,0)))*conv_2026*N$7</f>
        <v>-251911.63872580175</v>
      </c>
      <c r="O65" s="31">
        <f>(INDEX(Option4!O$106:O$117, MATCH($D65, Option4!$G$106:$G$117,0)))*conv_2026*O$7</f>
        <v>-251911.63872580175</v>
      </c>
      <c r="P65" s="31">
        <f>(INDEX(Option4!P$106:P$117, MATCH($D65, Option4!$G$106:$G$117,0)))*conv_2026*P$7</f>
        <v>-251911.63872580175</v>
      </c>
      <c r="Q65" s="31">
        <f>(INDEX(Option4!Q$106:Q$117, MATCH($D65, Option4!$G$106:$G$117,0)))*conv_2026*Q$7</f>
        <v>-478656.19650414248</v>
      </c>
      <c r="R65" s="31">
        <f>(INDEX(Option4!R$106:R$117, MATCH($D65, Option4!$G$106:$G$117,0)))*conv_2026*R$7</f>
        <v>-478656.19650414248</v>
      </c>
      <c r="S65" s="31">
        <f>(INDEX(Option4!S$106:S$117, MATCH($D65, Option4!$G$106:$G$117,0)))*conv_2026*S$7</f>
        <v>-251911.63872580175</v>
      </c>
      <c r="T65" s="31">
        <f>(INDEX(Option4!T$106:T$117, MATCH($D65, Option4!$G$106:$G$117,0)))*conv_2026*T$7</f>
        <v>-251911.63872580175</v>
      </c>
      <c r="U65" s="31">
        <f>(INDEX(Option4!U$106:U$117, MATCH($D65, Option4!$G$106:$G$117,0)))*conv_2026*U$7</f>
        <v>-251911.63872580175</v>
      </c>
      <c r="V65" s="31">
        <f>(INDEX(Option4!V$106:V$117, MATCH($D65, Option4!$G$106:$G$117,0)))*conv_2026*V$7</f>
        <v>-251911.63872580175</v>
      </c>
      <c r="W65" s="31">
        <f>(INDEX(Option4!W$106:W$117, MATCH($D65, Option4!$G$106:$G$117,0)))*conv_2026*W$7</f>
        <v>-251911.63872580175</v>
      </c>
      <c r="X65" s="31">
        <f>(INDEX(Option4!X$106:X$117, MATCH($D65, Option4!$G$106:$G$117,0)))*conv_2026*X$7</f>
        <v>-497208.45220329089</v>
      </c>
      <c r="Y65" s="31">
        <f>(INDEX(Option4!Y$106:Y$117, MATCH($D65, Option4!$G$106:$G$117,0)))*conv_2026*Y$7</f>
        <v>-371252.63284038997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153</v>
      </c>
      <c r="B70" s="253" t="s">
        <v>119</v>
      </c>
      <c r="C70" s="253" t="s">
        <v>186</v>
      </c>
      <c r="D70" s="253" t="str">
        <f>A70&amp;B70</f>
        <v>Option 5NPV</v>
      </c>
      <c r="E70" s="254"/>
      <c r="F70" s="31">
        <f t="shared" ref="F70:F79" si="8">SUMPRODUCT($H70:$AG70, $H$5:$AG$5)</f>
        <v>4763985.7623036634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916201.02796131768</v>
      </c>
      <c r="J70" s="31">
        <f>(INDEX(Option5!J$106:J$117, MATCH($D70, Option5!$G$106:$G$117,0)))*conv_2026*J$7</f>
        <v>1193266.2935058586</v>
      </c>
      <c r="K70" s="31">
        <f>(INDEX(Option5!K$106:K$117, MATCH($D70, Option5!$G$106:$G$117,0)))*conv_2026*K$7</f>
        <v>536887.984177351</v>
      </c>
      <c r="L70" s="31">
        <f>(INDEX(Option5!L$106:L$117, MATCH($D70, Option5!$G$106:$G$117,0)))*conv_2026*L$7</f>
        <v>536887.984177351</v>
      </c>
      <c r="M70" s="31">
        <f>(INDEX(Option5!M$106:M$117, MATCH($D70, Option5!$G$106:$G$117,0)))*conv_2026*M$7</f>
        <v>536887.984177351</v>
      </c>
      <c r="N70" s="31">
        <f>(INDEX(Option5!N$106:N$117, MATCH($D70, Option5!$G$106:$G$117,0)))*conv_2026*N$7</f>
        <v>146561.92454432356</v>
      </c>
      <c r="O70" s="31">
        <f>(INDEX(Option5!O$106:O$117, MATCH($D70, Option5!$G$106:$G$117,0)))*conv_2026*O$7</f>
        <v>146561.92454432356</v>
      </c>
      <c r="P70" s="31">
        <f>(INDEX(Option5!P$106:P$117, MATCH($D70, Option5!$G$106:$G$117,0)))*conv_2026*P$7</f>
        <v>146561.92454432356</v>
      </c>
      <c r="Q70" s="31">
        <f>(INDEX(Option5!Q$106:Q$117, MATCH($D70, Option5!$G$106:$G$117,0)))*conv_2026*Q$7</f>
        <v>-80182.633234016947</v>
      </c>
      <c r="R70" s="31">
        <f>(INDEX(Option5!R$106:R$117, MATCH($D70, Option5!$G$106:$G$117,0)))*conv_2026*R$7</f>
        <v>-80182.633234016947</v>
      </c>
      <c r="S70" s="31">
        <f>(INDEX(Option5!S$106:S$117, MATCH($D70, Option5!$G$106:$G$117,0)))*conv_2026*S$7</f>
        <v>146561.92454432356</v>
      </c>
      <c r="T70" s="31">
        <f>(INDEX(Option5!T$106:T$117, MATCH($D70, Option5!$G$106:$G$117,0)))*conv_2026*T$7</f>
        <v>146561.92454432356</v>
      </c>
      <c r="U70" s="31">
        <f>(INDEX(Option5!U$106:U$117, MATCH($D70, Option5!$G$106:$G$117,0)))*conv_2026*U$7</f>
        <v>146561.92454432356</v>
      </c>
      <c r="V70" s="31">
        <f>(INDEX(Option5!V$106:V$117, MATCH($D70, Option5!$G$106:$G$117,0)))*conv_2026*V$7</f>
        <v>146561.92454432356</v>
      </c>
      <c r="W70" s="31">
        <f>(INDEX(Option5!W$106:W$117, MATCH($D70, Option5!$G$106:$G$117,0)))*conv_2026*W$7</f>
        <v>146561.92454432356</v>
      </c>
      <c r="X70" s="31">
        <f>(INDEX(Option5!X$106:X$117, MATCH($D70, Option5!$G$106:$G$117,0)))*conv_2026*X$7</f>
        <v>-98734.88893316545</v>
      </c>
      <c r="Y70" s="31">
        <f>(INDEX(Option5!Y$106:Y$117, MATCH($D70, Option5!$G$106:$G$117,0)))*conv_2026*Y$7</f>
        <v>27220.930429735414</v>
      </c>
      <c r="Z70" s="31">
        <f>(INDEX(Option5!Z$106:Z$117, MATCH($D70, Option5!$G$106:$G$117,0)))*conv_2026*Z$7</f>
        <v>398473.56327012536</v>
      </c>
      <c r="AA70" s="31">
        <f>(INDEX(Option5!AA$106:AA$117, MATCH($D70, Option5!$G$106:$G$117,0)))*conv_2026*AA$7</f>
        <v>398473.56327012536</v>
      </c>
      <c r="AB70" s="31">
        <f>(INDEX(Option5!AB$106:AB$117, MATCH($D70, Option5!$G$106:$G$117,0)))*conv_2026*AB$7</f>
        <v>398473.56327012536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153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3196214.484051792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916201.02796131768</v>
      </c>
      <c r="J72" s="31">
        <f>(INDEX(Option5!J$106:J$117, MATCH($D72, Option5!$G$106:$G$117,0)))*conv_2026*J$7</f>
        <v>1127628.4625730079</v>
      </c>
      <c r="K72" s="31">
        <f>(INDEX(Option5!K$106:K$117, MATCH($D72, Option5!$G$106:$G$117,0)))*conv_2026*K$7</f>
        <v>405612.32231164951</v>
      </c>
      <c r="L72" s="31">
        <f>(INDEX(Option5!L$106:L$117, MATCH($D72, Option5!$G$106:$G$117,0)))*conv_2026*L$7</f>
        <v>405612.32231164951</v>
      </c>
      <c r="M72" s="31">
        <f>(INDEX(Option5!M$106:M$117, MATCH($D72, Option5!$G$106:$G$117,0)))*conv_2026*M$7</f>
        <v>405612.32231164951</v>
      </c>
      <c r="N72" s="31">
        <f>(INDEX(Option5!N$106:N$117, MATCH($D72, Option5!$G$106:$G$117,0)))*conv_2026*N$7</f>
        <v>15286.262678622006</v>
      </c>
      <c r="O72" s="31">
        <f>(INDEX(Option5!O$106:O$117, MATCH($D72, Option5!$G$106:$G$117,0)))*conv_2026*O$7</f>
        <v>15286.262678622006</v>
      </c>
      <c r="P72" s="31">
        <f>(INDEX(Option5!P$106:P$117, MATCH($D72, Option5!$G$106:$G$117,0)))*conv_2026*P$7</f>
        <v>15286.262678622006</v>
      </c>
      <c r="Q72" s="31">
        <f>(INDEX(Option5!Q$106:Q$117, MATCH($D72, Option5!$G$106:$G$117,0)))*conv_2026*Q$7</f>
        <v>-211458.2950997185</v>
      </c>
      <c r="R72" s="31">
        <f>(INDEX(Option5!R$106:R$117, MATCH($D72, Option5!$G$106:$G$117,0)))*conv_2026*R$7</f>
        <v>-211458.2950997185</v>
      </c>
      <c r="S72" s="31">
        <f>(INDEX(Option5!S$106:S$117, MATCH($D72, Option5!$G$106:$G$117,0)))*conv_2026*S$7</f>
        <v>15286.262678622006</v>
      </c>
      <c r="T72" s="31">
        <f>(INDEX(Option5!T$106:T$117, MATCH($D72, Option5!$G$106:$G$117,0)))*conv_2026*T$7</f>
        <v>15286.262678622006</v>
      </c>
      <c r="U72" s="31">
        <f>(INDEX(Option5!U$106:U$117, MATCH($D72, Option5!$G$106:$G$117,0)))*conv_2026*U$7</f>
        <v>15286.262678622006</v>
      </c>
      <c r="V72" s="31">
        <f>(INDEX(Option5!V$106:V$117, MATCH($D72, Option5!$G$106:$G$117,0)))*conv_2026*V$7</f>
        <v>15286.262678622006</v>
      </c>
      <c r="W72" s="31">
        <f>(INDEX(Option5!W$106:W$117, MATCH($D72, Option5!$G$106:$G$117,0)))*conv_2026*W$7</f>
        <v>15286.262678622006</v>
      </c>
      <c r="X72" s="31">
        <f>(INDEX(Option5!X$106:X$117, MATCH($D72, Option5!$G$106:$G$117,0)))*conv_2026*X$7</f>
        <v>-230010.55079886701</v>
      </c>
      <c r="Y72" s="31">
        <f>(INDEX(Option5!Y$106:Y$117, MATCH($D72, Option5!$G$106:$G$117,0)))*conv_2026*Y$7</f>
        <v>-66929.468151927154</v>
      </c>
      <c r="Z72" s="31">
        <f>(INDEX(Option5!Z$106:Z$117, MATCH($D72, Option5!$G$106:$G$117,0)))*conv_2026*Z$7</f>
        <v>341448.42797250178</v>
      </c>
      <c r="AA72" s="31">
        <f>(INDEX(Option5!AA$106:AA$117, MATCH($D72, Option5!$G$106:$G$117,0)))*conv_2026*AA$7</f>
        <v>341448.42797250178</v>
      </c>
      <c r="AB72" s="31">
        <f>(INDEX(Option5!AB$106:AB$117, MATCH($D72, Option5!$G$106:$G$117,0)))*conv_2026*AB$7</f>
        <v>341448.42797250178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153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6331757.0405555358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916201.02796131768</v>
      </c>
      <c r="J73" s="31">
        <f>(INDEX(Option5!J$106:J$117, MATCH($D73, Option5!$G$106:$G$117,0)))*conv_2026*J$7</f>
        <v>1258904.1244387096</v>
      </c>
      <c r="K73" s="31">
        <f>(INDEX(Option5!K$106:K$117, MATCH($D73, Option5!$G$106:$G$117,0)))*conv_2026*K$7</f>
        <v>668163.64604305255</v>
      </c>
      <c r="L73" s="31">
        <f>(INDEX(Option5!L$106:L$117, MATCH($D73, Option5!$G$106:$G$117,0)))*conv_2026*L$7</f>
        <v>668163.64604305255</v>
      </c>
      <c r="M73" s="31">
        <f>(INDEX(Option5!M$106:M$117, MATCH($D73, Option5!$G$106:$G$117,0)))*conv_2026*M$7</f>
        <v>668163.64604305255</v>
      </c>
      <c r="N73" s="31">
        <f>(INDEX(Option5!N$106:N$117, MATCH($D73, Option5!$G$106:$G$117,0)))*conv_2026*N$7</f>
        <v>277837.58641002508</v>
      </c>
      <c r="O73" s="31">
        <f>(INDEX(Option5!O$106:O$117, MATCH($D73, Option5!$G$106:$G$117,0)))*conv_2026*O$7</f>
        <v>277837.58641002508</v>
      </c>
      <c r="P73" s="31">
        <f>(INDEX(Option5!P$106:P$117, MATCH($D73, Option5!$G$106:$G$117,0)))*conv_2026*P$7</f>
        <v>277837.58641002508</v>
      </c>
      <c r="Q73" s="31">
        <f>(INDEX(Option5!Q$106:Q$117, MATCH($D73, Option5!$G$106:$G$117,0)))*conv_2026*Q$7</f>
        <v>51093.028631684603</v>
      </c>
      <c r="R73" s="31">
        <f>(INDEX(Option5!R$106:R$117, MATCH($D73, Option5!$G$106:$G$117,0)))*conv_2026*R$7</f>
        <v>51093.028631684603</v>
      </c>
      <c r="S73" s="31">
        <f>(INDEX(Option5!S$106:S$117, MATCH($D73, Option5!$G$106:$G$117,0)))*conv_2026*S$7</f>
        <v>277837.58641002508</v>
      </c>
      <c r="T73" s="31">
        <f>(INDEX(Option5!T$106:T$117, MATCH($D73, Option5!$G$106:$G$117,0)))*conv_2026*T$7</f>
        <v>277837.58641002508</v>
      </c>
      <c r="U73" s="31">
        <f>(INDEX(Option5!U$106:U$117, MATCH($D73, Option5!$G$106:$G$117,0)))*conv_2026*U$7</f>
        <v>277837.58641002508</v>
      </c>
      <c r="V73" s="31">
        <f>(INDEX(Option5!V$106:V$117, MATCH($D73, Option5!$G$106:$G$117,0)))*conv_2026*V$7</f>
        <v>277837.58641002508</v>
      </c>
      <c r="W73" s="31">
        <f>(INDEX(Option5!W$106:W$117, MATCH($D73, Option5!$G$106:$G$117,0)))*conv_2026*W$7</f>
        <v>277837.58641002508</v>
      </c>
      <c r="X73" s="31">
        <f>(INDEX(Option5!X$106:X$117, MATCH($D73, Option5!$G$106:$G$117,0)))*conv_2026*X$7</f>
        <v>32540.772932536089</v>
      </c>
      <c r="Y73" s="31">
        <f>(INDEX(Option5!Y$106:Y$117, MATCH($D73, Option5!$G$106:$G$117,0)))*conv_2026*Y$7</f>
        <v>121371.32901139797</v>
      </c>
      <c r="Z73" s="31">
        <f>(INDEX(Option5!Z$106:Z$117, MATCH($D73, Option5!$G$106:$G$117,0)))*conv_2026*Z$7</f>
        <v>455498.69856774894</v>
      </c>
      <c r="AA73" s="31">
        <f>(INDEX(Option5!AA$106:AA$117, MATCH($D73, Option5!$G$106:$G$117,0)))*conv_2026*AA$7</f>
        <v>455498.69856774894</v>
      </c>
      <c r="AB73" s="31">
        <f>(INDEX(Option5!AB$106:AB$117, MATCH($D73, Option5!$G$106:$G$117,0)))*conv_2026*AB$7</f>
        <v>455498.69856774894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153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7151656.4623565814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1009545.3854486225</v>
      </c>
      <c r="J74" s="31">
        <f>(INDEX(Option5!J$106:J$117, MATCH($D74, Option5!$G$106:$G$117,0)))*conv_2026*J$7</f>
        <v>1379955.0084804683</v>
      </c>
      <c r="K74" s="31">
        <f>(INDEX(Option5!K$106:K$117, MATCH($D74, Option5!$G$106:$G$117,0)))*conv_2026*K$7</f>
        <v>723576.69915196067</v>
      </c>
      <c r="L74" s="31">
        <f>(INDEX(Option5!L$106:L$117, MATCH($D74, Option5!$G$106:$G$117,0)))*conv_2026*L$7</f>
        <v>723576.69915196067</v>
      </c>
      <c r="M74" s="31">
        <f>(INDEX(Option5!M$106:M$117, MATCH($D74, Option5!$G$106:$G$117,0)))*conv_2026*M$7</f>
        <v>723576.69915196067</v>
      </c>
      <c r="N74" s="31">
        <f>(INDEX(Option5!N$106:N$117, MATCH($D74, Option5!$G$106:$G$117,0)))*conv_2026*N$7</f>
        <v>333250.63951893331</v>
      </c>
      <c r="O74" s="31">
        <f>(INDEX(Option5!O$106:O$117, MATCH($D74, Option5!$G$106:$G$117,0)))*conv_2026*O$7</f>
        <v>333250.63951893331</v>
      </c>
      <c r="P74" s="31">
        <f>(INDEX(Option5!P$106:P$117, MATCH($D74, Option5!$G$106:$G$117,0)))*conv_2026*P$7</f>
        <v>333250.63951893331</v>
      </c>
      <c r="Q74" s="31">
        <f>(INDEX(Option5!Q$106:Q$117, MATCH($D74, Option5!$G$106:$G$117,0)))*conv_2026*Q$7</f>
        <v>106506.08174059282</v>
      </c>
      <c r="R74" s="31">
        <f>(INDEX(Option5!R$106:R$117, MATCH($D74, Option5!$G$106:$G$117,0)))*conv_2026*R$7</f>
        <v>106506.08174059282</v>
      </c>
      <c r="S74" s="31">
        <f>(INDEX(Option5!S$106:S$117, MATCH($D74, Option5!$G$106:$G$117,0)))*conv_2026*S$7</f>
        <v>333250.63951893331</v>
      </c>
      <c r="T74" s="31">
        <f>(INDEX(Option5!T$106:T$117, MATCH($D74, Option5!$G$106:$G$117,0)))*conv_2026*T$7</f>
        <v>333250.63951893331</v>
      </c>
      <c r="U74" s="31">
        <f>(INDEX(Option5!U$106:U$117, MATCH($D74, Option5!$G$106:$G$117,0)))*conv_2026*U$7</f>
        <v>333250.63951893331</v>
      </c>
      <c r="V74" s="31">
        <f>(INDEX(Option5!V$106:V$117, MATCH($D74, Option5!$G$106:$G$117,0)))*conv_2026*V$7</f>
        <v>333250.63951893331</v>
      </c>
      <c r="W74" s="31">
        <f>(INDEX(Option5!W$106:W$117, MATCH($D74, Option5!$G$106:$G$117,0)))*conv_2026*W$7</f>
        <v>333250.63951893331</v>
      </c>
      <c r="X74" s="31">
        <f>(INDEX(Option5!X$106:X$117, MATCH($D74, Option5!$G$106:$G$117,0)))*conv_2026*X$7</f>
        <v>43045.714366457469</v>
      </c>
      <c r="Y74" s="31">
        <f>(INDEX(Option5!Y$106:Y$117, MATCH($D74, Option5!$G$106:$G$117,0)))*conv_2026*Y$7</f>
        <v>124093.42205437152</v>
      </c>
      <c r="Z74" s="31">
        <f>(INDEX(Option5!Z$106:Z$117, MATCH($D74, Option5!$G$106:$G$117,0)))*conv_2026*Z$7</f>
        <v>495346.05489476147</v>
      </c>
      <c r="AA74" s="31">
        <f>(INDEX(Option5!AA$106:AA$117, MATCH($D74, Option5!$G$106:$G$117,0)))*conv_2026*AA$7</f>
        <v>495346.05489476147</v>
      </c>
      <c r="AB74" s="31">
        <f>(INDEX(Option5!AB$106:AB$117, MATCH($D74, Option5!$G$106:$G$117,0)))*conv_2026*AB$7</f>
        <v>495346.05489476147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153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2376315.0622507436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822856.67047401285</v>
      </c>
      <c r="J75" s="31">
        <f>(INDEX(Option5!J$106:J$117, MATCH($D75, Option5!$G$106:$G$117,0)))*conv_2026*J$7</f>
        <v>1006577.5785312491</v>
      </c>
      <c r="K75" s="31">
        <f>(INDEX(Option5!K$106:K$117, MATCH($D75, Option5!$G$106:$G$117,0)))*conv_2026*K$7</f>
        <v>350199.26920274127</v>
      </c>
      <c r="L75" s="31">
        <f>(INDEX(Option5!L$106:L$117, MATCH($D75, Option5!$G$106:$G$117,0)))*conv_2026*L$7</f>
        <v>350199.26920274127</v>
      </c>
      <c r="M75" s="31">
        <f>(INDEX(Option5!M$106:M$117, MATCH($D75, Option5!$G$106:$G$117,0)))*conv_2026*M$7</f>
        <v>350199.26920274127</v>
      </c>
      <c r="N75" s="31">
        <f>(INDEX(Option5!N$106:N$117, MATCH($D75, Option5!$G$106:$G$117,0)))*conv_2026*N$7</f>
        <v>-40126.790430286208</v>
      </c>
      <c r="O75" s="31">
        <f>(INDEX(Option5!O$106:O$117, MATCH($D75, Option5!$G$106:$G$117,0)))*conv_2026*O$7</f>
        <v>-40126.790430286208</v>
      </c>
      <c r="P75" s="31">
        <f>(INDEX(Option5!P$106:P$117, MATCH($D75, Option5!$G$106:$G$117,0)))*conv_2026*P$7</f>
        <v>-40126.790430286208</v>
      </c>
      <c r="Q75" s="31">
        <f>(INDEX(Option5!Q$106:Q$117, MATCH($D75, Option5!$G$106:$G$117,0)))*conv_2026*Q$7</f>
        <v>-266871.34820862667</v>
      </c>
      <c r="R75" s="31">
        <f>(INDEX(Option5!R$106:R$117, MATCH($D75, Option5!$G$106:$G$117,0)))*conv_2026*R$7</f>
        <v>-266871.34820862667</v>
      </c>
      <c r="S75" s="31">
        <f>(INDEX(Option5!S$106:S$117, MATCH($D75, Option5!$G$106:$G$117,0)))*conv_2026*S$7</f>
        <v>-40126.790430286208</v>
      </c>
      <c r="T75" s="31">
        <f>(INDEX(Option5!T$106:T$117, MATCH($D75, Option5!$G$106:$G$117,0)))*conv_2026*T$7</f>
        <v>-40126.790430286208</v>
      </c>
      <c r="U75" s="31">
        <f>(INDEX(Option5!U$106:U$117, MATCH($D75, Option5!$G$106:$G$117,0)))*conv_2026*U$7</f>
        <v>-40126.790430286208</v>
      </c>
      <c r="V75" s="31">
        <f>(INDEX(Option5!V$106:V$117, MATCH($D75, Option5!$G$106:$G$117,0)))*conv_2026*V$7</f>
        <v>-40126.790430286208</v>
      </c>
      <c r="W75" s="31">
        <f>(INDEX(Option5!W$106:W$117, MATCH($D75, Option5!$G$106:$G$117,0)))*conv_2026*W$7</f>
        <v>-40126.790430286208</v>
      </c>
      <c r="X75" s="31">
        <f>(INDEX(Option5!X$106:X$117, MATCH($D75, Option5!$G$106:$G$117,0)))*conv_2026*X$7</f>
        <v>-240515.49223278835</v>
      </c>
      <c r="Y75" s="31">
        <f>(INDEX(Option5!Y$106:Y$117, MATCH($D75, Option5!$G$106:$G$117,0)))*conv_2026*Y$7</f>
        <v>-69651.561194900685</v>
      </c>
      <c r="Z75" s="31">
        <f>(INDEX(Option5!Z$106:Z$117, MATCH($D75, Option5!$G$106:$G$117,0)))*conv_2026*Z$7</f>
        <v>301601.07164548925</v>
      </c>
      <c r="AA75" s="31">
        <f>(INDEX(Option5!AA$106:AA$117, MATCH($D75, Option5!$G$106:$G$117,0)))*conv_2026*AA$7</f>
        <v>301601.07164548925</v>
      </c>
      <c r="AB75" s="31">
        <f>(INDEX(Option5!AB$106:AB$117, MATCH($D75, Option5!$G$106:$G$117,0)))*conv_2026*AB$7</f>
        <v>301601.07164548925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153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808543.78399887134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822856.67047401285</v>
      </c>
      <c r="J76" s="31">
        <f>(INDEX(Option5!J$106:J$117, MATCH($D76, Option5!$G$106:$G$117,0)))*conv_2026*J$7</f>
        <v>940939.74759839824</v>
      </c>
      <c r="K76" s="31">
        <f>(INDEX(Option5!K$106:K$117, MATCH($D76, Option5!$G$106:$G$117,0)))*conv_2026*K$7</f>
        <v>218923.60733703969</v>
      </c>
      <c r="L76" s="31">
        <f>(INDEX(Option5!L$106:L$117, MATCH($D76, Option5!$G$106:$G$117,0)))*conv_2026*L$7</f>
        <v>218923.60733703969</v>
      </c>
      <c r="M76" s="31">
        <f>(INDEX(Option5!M$106:M$117, MATCH($D76, Option5!$G$106:$G$117,0)))*conv_2026*M$7</f>
        <v>218923.60733703969</v>
      </c>
      <c r="N76" s="31">
        <f>(INDEX(Option5!N$106:N$117, MATCH($D76, Option5!$G$106:$G$117,0)))*conv_2026*N$7</f>
        <v>-171402.45229598778</v>
      </c>
      <c r="O76" s="31">
        <f>(INDEX(Option5!O$106:O$117, MATCH($D76, Option5!$G$106:$G$117,0)))*conv_2026*O$7</f>
        <v>-171402.45229598778</v>
      </c>
      <c r="P76" s="31">
        <f>(INDEX(Option5!P$106:P$117, MATCH($D76, Option5!$G$106:$G$117,0)))*conv_2026*P$7</f>
        <v>-171402.45229598778</v>
      </c>
      <c r="Q76" s="31">
        <f>(INDEX(Option5!Q$106:Q$117, MATCH($D76, Option5!$G$106:$G$117,0)))*conv_2026*Q$7</f>
        <v>-398147.01007432828</v>
      </c>
      <c r="R76" s="31">
        <f>(INDEX(Option5!R$106:R$117, MATCH($D76, Option5!$G$106:$G$117,0)))*conv_2026*R$7</f>
        <v>-398147.01007432828</v>
      </c>
      <c r="S76" s="31">
        <f>(INDEX(Option5!S$106:S$117, MATCH($D76, Option5!$G$106:$G$117,0)))*conv_2026*S$7</f>
        <v>-171402.45229598778</v>
      </c>
      <c r="T76" s="31">
        <f>(INDEX(Option5!T$106:T$117, MATCH($D76, Option5!$G$106:$G$117,0)))*conv_2026*T$7</f>
        <v>-171402.45229598778</v>
      </c>
      <c r="U76" s="31">
        <f>(INDEX(Option5!U$106:U$117, MATCH($D76, Option5!$G$106:$G$117,0)))*conv_2026*U$7</f>
        <v>-171402.45229598778</v>
      </c>
      <c r="V76" s="31">
        <f>(INDEX(Option5!V$106:V$117, MATCH($D76, Option5!$G$106:$G$117,0)))*conv_2026*V$7</f>
        <v>-171402.45229598778</v>
      </c>
      <c r="W76" s="31">
        <f>(INDEX(Option5!W$106:W$117, MATCH($D76, Option5!$G$106:$G$117,0)))*conv_2026*W$7</f>
        <v>-171402.45229598778</v>
      </c>
      <c r="X76" s="31">
        <f>(INDEX(Option5!X$106:X$117, MATCH($D76, Option5!$G$106:$G$117,0)))*conv_2026*X$7</f>
        <v>-371791.15409848996</v>
      </c>
      <c r="Y76" s="31">
        <f>(INDEX(Option5!Y$106:Y$117, MATCH($D76, Option5!$G$106:$G$117,0)))*conv_2026*Y$7</f>
        <v>-163801.95977656325</v>
      </c>
      <c r="Z76" s="31">
        <f>(INDEX(Option5!Z$106:Z$117, MATCH($D76, Option5!$G$106:$G$117,0)))*conv_2026*Z$7</f>
        <v>244575.9363478657</v>
      </c>
      <c r="AA76" s="31">
        <f>(INDEX(Option5!AA$106:AA$117, MATCH($D76, Option5!$G$106:$G$117,0)))*conv_2026*AA$7</f>
        <v>244575.9363478657</v>
      </c>
      <c r="AB76" s="31">
        <f>(INDEX(Option5!AB$106:AB$117, MATCH($D76, Option5!$G$106:$G$117,0)))*conv_2026*AB$7</f>
        <v>244575.9363478657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153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4763985.7623036634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916201.02796131768</v>
      </c>
      <c r="J77" s="31">
        <f>(INDEX(Option5!J$106:J$117, MATCH($D77, Option5!$G$106:$G$117,0)))*conv_2026*J$7</f>
        <v>1193266.2935058586</v>
      </c>
      <c r="K77" s="31">
        <f>(INDEX(Option5!K$106:K$117, MATCH($D77, Option5!$G$106:$G$117,0)))*conv_2026*K$7</f>
        <v>536887.984177351</v>
      </c>
      <c r="L77" s="31">
        <f>(INDEX(Option5!L$106:L$117, MATCH($D77, Option5!$G$106:$G$117,0)))*conv_2026*L$7</f>
        <v>536887.984177351</v>
      </c>
      <c r="M77" s="31">
        <f>(INDEX(Option5!M$106:M$117, MATCH($D77, Option5!$G$106:$G$117,0)))*conv_2026*M$7</f>
        <v>536887.984177351</v>
      </c>
      <c r="N77" s="31">
        <f>(INDEX(Option5!N$106:N$117, MATCH($D77, Option5!$G$106:$G$117,0)))*conv_2026*N$7</f>
        <v>146561.92454432356</v>
      </c>
      <c r="O77" s="31">
        <f>(INDEX(Option5!O$106:O$117, MATCH($D77, Option5!$G$106:$G$117,0)))*conv_2026*O$7</f>
        <v>146561.92454432356</v>
      </c>
      <c r="P77" s="31">
        <f>(INDEX(Option5!P$106:P$117, MATCH($D77, Option5!$G$106:$G$117,0)))*conv_2026*P$7</f>
        <v>146561.92454432356</v>
      </c>
      <c r="Q77" s="31">
        <f>(INDEX(Option5!Q$106:Q$117, MATCH($D77, Option5!$G$106:$G$117,0)))*conv_2026*Q$7</f>
        <v>-80182.633234016947</v>
      </c>
      <c r="R77" s="31">
        <f>(INDEX(Option5!R$106:R$117, MATCH($D77, Option5!$G$106:$G$117,0)))*conv_2026*R$7</f>
        <v>-80182.633234016947</v>
      </c>
      <c r="S77" s="31">
        <f>(INDEX(Option5!S$106:S$117, MATCH($D77, Option5!$G$106:$G$117,0)))*conv_2026*S$7</f>
        <v>146561.92454432356</v>
      </c>
      <c r="T77" s="31">
        <f>(INDEX(Option5!T$106:T$117, MATCH($D77, Option5!$G$106:$G$117,0)))*conv_2026*T$7</f>
        <v>146561.92454432356</v>
      </c>
      <c r="U77" s="31">
        <f>(INDEX(Option5!U$106:U$117, MATCH($D77, Option5!$G$106:$G$117,0)))*conv_2026*U$7</f>
        <v>146561.92454432356</v>
      </c>
      <c r="V77" s="31">
        <f>(INDEX(Option5!V$106:V$117, MATCH($D77, Option5!$G$106:$G$117,0)))*conv_2026*V$7</f>
        <v>146561.92454432356</v>
      </c>
      <c r="W77" s="31">
        <f>(INDEX(Option5!W$106:W$117, MATCH($D77, Option5!$G$106:$G$117,0)))*conv_2026*W$7</f>
        <v>146561.92454432356</v>
      </c>
      <c r="X77" s="31">
        <f>(INDEX(Option5!X$106:X$117, MATCH($D77, Option5!$G$106:$G$117,0)))*conv_2026*X$7</f>
        <v>-98734.88893316545</v>
      </c>
      <c r="Y77" s="31">
        <f>(INDEX(Option5!Y$106:Y$117, MATCH($D77, Option5!$G$106:$G$117,0)))*conv_2026*Y$7</f>
        <v>27220.930429735414</v>
      </c>
      <c r="Z77" s="31">
        <f>(INDEX(Option5!Z$106:Z$117, MATCH($D77, Option5!$G$106:$G$117,0)))*conv_2026*Z$7</f>
        <v>398473.56327012536</v>
      </c>
      <c r="AA77" s="31">
        <f>(INDEX(Option5!AA$106:AA$117, MATCH($D77, Option5!$G$106:$G$117,0)))*conv_2026*AA$7</f>
        <v>398473.56327012536</v>
      </c>
      <c r="AB77" s="31">
        <f>(INDEX(Option5!AB$106:AB$117, MATCH($D77, Option5!$G$106:$G$117,0)))*conv_2026*AB$7</f>
        <v>398473.56327012536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153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4763985.7623036634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916201.02796131768</v>
      </c>
      <c r="J78" s="31">
        <f>(INDEX(Option5!J$106:J$117, MATCH($D78, Option5!$G$106:$G$117,0)))*conv_2026*J$7</f>
        <v>1193266.2935058586</v>
      </c>
      <c r="K78" s="31">
        <f>(INDEX(Option5!K$106:K$117, MATCH($D78, Option5!$G$106:$G$117,0)))*conv_2026*K$7</f>
        <v>536887.984177351</v>
      </c>
      <c r="L78" s="31">
        <f>(INDEX(Option5!L$106:L$117, MATCH($D78, Option5!$G$106:$G$117,0)))*conv_2026*L$7</f>
        <v>536887.984177351</v>
      </c>
      <c r="M78" s="31">
        <f>(INDEX(Option5!M$106:M$117, MATCH($D78, Option5!$G$106:$G$117,0)))*conv_2026*M$7</f>
        <v>536887.984177351</v>
      </c>
      <c r="N78" s="31">
        <f>(INDEX(Option5!N$106:N$117, MATCH($D78, Option5!$G$106:$G$117,0)))*conv_2026*N$7</f>
        <v>146561.92454432356</v>
      </c>
      <c r="O78" s="31">
        <f>(INDEX(Option5!O$106:O$117, MATCH($D78, Option5!$G$106:$G$117,0)))*conv_2026*O$7</f>
        <v>146561.92454432356</v>
      </c>
      <c r="P78" s="31">
        <f>(INDEX(Option5!P$106:P$117, MATCH($D78, Option5!$G$106:$G$117,0)))*conv_2026*P$7</f>
        <v>146561.92454432356</v>
      </c>
      <c r="Q78" s="31">
        <f>(INDEX(Option5!Q$106:Q$117, MATCH($D78, Option5!$G$106:$G$117,0)))*conv_2026*Q$7</f>
        <v>-80182.633234016947</v>
      </c>
      <c r="R78" s="31">
        <f>(INDEX(Option5!R$106:R$117, MATCH($D78, Option5!$G$106:$G$117,0)))*conv_2026*R$7</f>
        <v>-80182.633234016947</v>
      </c>
      <c r="S78" s="31">
        <f>(INDEX(Option5!S$106:S$117, MATCH($D78, Option5!$G$106:$G$117,0)))*conv_2026*S$7</f>
        <v>146561.92454432356</v>
      </c>
      <c r="T78" s="31">
        <f>(INDEX(Option5!T$106:T$117, MATCH($D78, Option5!$G$106:$G$117,0)))*conv_2026*T$7</f>
        <v>146561.92454432356</v>
      </c>
      <c r="U78" s="31">
        <f>(INDEX(Option5!U$106:U$117, MATCH($D78, Option5!$G$106:$G$117,0)))*conv_2026*U$7</f>
        <v>146561.92454432356</v>
      </c>
      <c r="V78" s="31">
        <f>(INDEX(Option5!V$106:V$117, MATCH($D78, Option5!$G$106:$G$117,0)))*conv_2026*V$7</f>
        <v>146561.92454432356</v>
      </c>
      <c r="W78" s="31">
        <f>(INDEX(Option5!W$106:W$117, MATCH($D78, Option5!$G$106:$G$117,0)))*conv_2026*W$7</f>
        <v>146561.92454432356</v>
      </c>
      <c r="X78" s="31">
        <f>(INDEX(Option5!X$106:X$117, MATCH($D78, Option5!$G$106:$G$117,0)))*conv_2026*X$7</f>
        <v>-98734.88893316545</v>
      </c>
      <c r="Y78" s="31">
        <f>(INDEX(Option5!Y$106:Y$117, MATCH($D78, Option5!$G$106:$G$117,0)))*conv_2026*Y$7</f>
        <v>27220.930429735414</v>
      </c>
      <c r="Z78" s="31">
        <f>(INDEX(Option5!Z$106:Z$117, MATCH($D78, Option5!$G$106:$G$117,0)))*conv_2026*Z$7</f>
        <v>398473.56327012536</v>
      </c>
      <c r="AA78" s="31">
        <f>(INDEX(Option5!AA$106:AA$117, MATCH($D78, Option5!$G$106:$G$117,0)))*conv_2026*AA$7</f>
        <v>398473.56327012536</v>
      </c>
      <c r="AB78" s="31">
        <f>(INDEX(Option5!AB$106:AB$117, MATCH($D78, Option5!$G$106:$G$117,0)))*conv_2026*AB$7</f>
        <v>398473.56327012536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153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4763985.7623036634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916201.02796131768</v>
      </c>
      <c r="J79" s="31">
        <f>(INDEX(Option5!J$106:J$117, MATCH($D79, Option5!$G$106:$G$117,0)))*conv_2026*J$7</f>
        <v>1193266.2935058586</v>
      </c>
      <c r="K79" s="31">
        <f>(INDEX(Option5!K$106:K$117, MATCH($D79, Option5!$G$106:$G$117,0)))*conv_2026*K$7</f>
        <v>536887.984177351</v>
      </c>
      <c r="L79" s="31">
        <f>(INDEX(Option5!L$106:L$117, MATCH($D79, Option5!$G$106:$G$117,0)))*conv_2026*L$7</f>
        <v>536887.984177351</v>
      </c>
      <c r="M79" s="31">
        <f>(INDEX(Option5!M$106:M$117, MATCH($D79, Option5!$G$106:$G$117,0)))*conv_2026*M$7</f>
        <v>536887.984177351</v>
      </c>
      <c r="N79" s="31">
        <f>(INDEX(Option5!N$106:N$117, MATCH($D79, Option5!$G$106:$G$117,0)))*conv_2026*N$7</f>
        <v>146561.92454432356</v>
      </c>
      <c r="O79" s="31">
        <f>(INDEX(Option5!O$106:O$117, MATCH($D79, Option5!$G$106:$G$117,0)))*conv_2026*O$7</f>
        <v>146561.92454432356</v>
      </c>
      <c r="P79" s="31">
        <f>(INDEX(Option5!P$106:P$117, MATCH($D79, Option5!$G$106:$G$117,0)))*conv_2026*P$7</f>
        <v>146561.92454432356</v>
      </c>
      <c r="Q79" s="31">
        <f>(INDEX(Option5!Q$106:Q$117, MATCH($D79, Option5!$G$106:$G$117,0)))*conv_2026*Q$7</f>
        <v>-80182.633234016947</v>
      </c>
      <c r="R79" s="31">
        <f>(INDEX(Option5!R$106:R$117, MATCH($D79, Option5!$G$106:$G$117,0)))*conv_2026*R$7</f>
        <v>-80182.633234016947</v>
      </c>
      <c r="S79" s="31">
        <f>(INDEX(Option5!S$106:S$117, MATCH($D79, Option5!$G$106:$G$117,0)))*conv_2026*S$7</f>
        <v>146561.92454432356</v>
      </c>
      <c r="T79" s="31">
        <f>(INDEX(Option5!T$106:T$117, MATCH($D79, Option5!$G$106:$G$117,0)))*conv_2026*T$7</f>
        <v>146561.92454432356</v>
      </c>
      <c r="U79" s="31">
        <f>(INDEX(Option5!U$106:U$117, MATCH($D79, Option5!$G$106:$G$117,0)))*conv_2026*U$7</f>
        <v>146561.92454432356</v>
      </c>
      <c r="V79" s="31">
        <f>(INDEX(Option5!V$106:V$117, MATCH($D79, Option5!$G$106:$G$117,0)))*conv_2026*V$7</f>
        <v>146561.92454432356</v>
      </c>
      <c r="W79" s="31">
        <f>(INDEX(Option5!W$106:W$117, MATCH($D79, Option5!$G$106:$G$117,0)))*conv_2026*W$7</f>
        <v>146561.92454432356</v>
      </c>
      <c r="X79" s="31">
        <f>(INDEX(Option5!X$106:X$117, MATCH($D79, Option5!$G$106:$G$117,0)))*conv_2026*X$7</f>
        <v>-98734.88893316545</v>
      </c>
      <c r="Y79" s="31">
        <f>(INDEX(Option5!Y$106:Y$117, MATCH($D79, Option5!$G$106:$G$117,0)))*conv_2026*Y$7</f>
        <v>27220.930429735414</v>
      </c>
      <c r="Z79" s="31">
        <f>(INDEX(Option5!Z$106:Z$117, MATCH($D79, Option5!$G$106:$G$117,0)))*conv_2026*Z$7</f>
        <v>398473.56327012536</v>
      </c>
      <c r="AA79" s="31">
        <f>(INDEX(Option5!AA$106:AA$117, MATCH($D79, Option5!$G$106:$G$117,0)))*conv_2026*AA$7</f>
        <v>398473.56327012536</v>
      </c>
      <c r="AB79" s="31">
        <f>(INDEX(Option5!AB$106:AB$117, MATCH($D79, Option5!$G$106:$G$117,0)))*conv_2026*AB$7</f>
        <v>398473.56327012536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157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0</v>
      </c>
      <c r="G88" s="275" t="b">
        <v>0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228</v>
      </c>
      <c r="K89" s="283" t="s">
        <v>229</v>
      </c>
    </row>
    <row r="90" spans="1:34" s="8" customFormat="1" x14ac:dyDescent="0.2">
      <c r="A90" s="261" t="s">
        <v>119</v>
      </c>
      <c r="B90" s="261" t="s">
        <v>219</v>
      </c>
      <c r="C90" s="105">
        <f t="shared" ref="C90:G98" si="10">IF(OR($B90=0,C$88),"", INDEX($F$14:$F$81, MATCH(C$89&amp;$A90,$D$14:$D$81,0))/10^6)</f>
        <v>0</v>
      </c>
      <c r="D90" s="105">
        <f t="shared" si="10"/>
        <v>6.1167317491369451</v>
      </c>
      <c r="E90" s="105">
        <f t="shared" si="10"/>
        <v>-17.231477333077159</v>
      </c>
      <c r="F90" s="105">
        <f t="shared" si="10"/>
        <v>-1.3527459868332841</v>
      </c>
      <c r="G90" s="105">
        <f t="shared" si="10"/>
        <v>4.7639857623036637</v>
      </c>
      <c r="H90" s="186"/>
      <c r="I90" s="105">
        <f t="shared" ref="I90:I98" si="11">_xlfn.MAXIFS(C90:G90,_xlfn.ANCHORARRAY( C$88),FALSE)</f>
        <v>6.1167317491369451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5.3753376058467159</v>
      </c>
      <c r="E91" s="105">
        <f t="shared" si="10"/>
        <v>-21.837880507779783</v>
      </c>
      <c r="F91" s="105">
        <f t="shared" si="10"/>
        <v>-2.1791231217949245</v>
      </c>
      <c r="G91" s="105">
        <f t="shared" si="10"/>
        <v>3.1962144840517919</v>
      </c>
      <c r="H91" s="186"/>
      <c r="I91" s="105">
        <f t="shared" si="11"/>
        <v>5.3753376058467159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6.8581258924271804</v>
      </c>
      <c r="E92" s="105">
        <f t="shared" si="10"/>
        <v>-12.625074158374529</v>
      </c>
      <c r="F92" s="105">
        <f t="shared" si="10"/>
        <v>-0.52636885187164251</v>
      </c>
      <c r="G92" s="105">
        <f t="shared" si="10"/>
        <v>6.3317570405555355</v>
      </c>
      <c r="H92" s="186"/>
      <c r="I92" s="105">
        <f t="shared" si="11"/>
        <v>6.8581258924271804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7.4697990673408743</v>
      </c>
      <c r="E93" s="105">
        <f t="shared" si="10"/>
        <v>-12.142796239177891</v>
      </c>
      <c r="F93" s="105">
        <f t="shared" si="10"/>
        <v>-0.31814260498429092</v>
      </c>
      <c r="G93" s="105">
        <f t="shared" si="10"/>
        <v>7.1516564623565815</v>
      </c>
      <c r="H93" s="186"/>
      <c r="I93" s="105">
        <f t="shared" si="11"/>
        <v>7.4697990673408743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4.7636644309330212</v>
      </c>
      <c r="E94" s="105">
        <f t="shared" si="10"/>
        <v>-22.32015842697643</v>
      </c>
      <c r="F94" s="105">
        <f t="shared" si="10"/>
        <v>-2.3873493686822771</v>
      </c>
      <c r="G94" s="105">
        <f t="shared" si="10"/>
        <v>2.3763150622507436</v>
      </c>
      <c r="H94" s="186"/>
      <c r="I94" s="105">
        <f t="shared" si="11"/>
        <v>4.7636644309330212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4.0222702876427894</v>
      </c>
      <c r="E95" s="105">
        <f t="shared" si="10"/>
        <v>-26.926561601679058</v>
      </c>
      <c r="F95" s="105">
        <f t="shared" si="10"/>
        <v>-3.2137265036439175</v>
      </c>
      <c r="G95" s="105">
        <f t="shared" si="10"/>
        <v>0.80854378399887139</v>
      </c>
      <c r="H95" s="186"/>
      <c r="I95" s="105">
        <f t="shared" si="11"/>
        <v>4.0222702876427894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C048-0DFA-42D7-BEFA-471B2B9EFD35}">
  <sheetPr codeName="Sheet10">
    <tabColor rgb="FFFFFF00"/>
  </sheetPr>
  <dimension ref="A1:AC89"/>
  <sheetViews>
    <sheetView showGridLines="0" zoomScale="90" zoomScaleNormal="90"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7.125" style="1" customWidth="1"/>
    <col min="3" max="3" width="17" style="1" customWidth="1"/>
    <col min="4" max="4" width="40.875" style="1" customWidth="1"/>
    <col min="5" max="5" width="11" style="1" customWidth="1"/>
    <col min="6" max="6" width="9.375" style="344" customWidth="1"/>
    <col min="7" max="9" width="9.375" style="1" customWidth="1"/>
    <col min="10" max="23" width="9.375" style="12" customWidth="1"/>
    <col min="24" max="27" width="8.625" style="12" customWidth="1"/>
    <col min="28" max="28" width="12.125" style="12" customWidth="1"/>
    <col min="29" max="29" width="8.625" style="12" customWidth="1"/>
    <col min="30" max="30" width="9.5" style="1" bestFit="1" customWidth="1"/>
    <col min="31" max="16384" width="8" style="1"/>
  </cols>
  <sheetData>
    <row r="1" spans="1:29" ht="18.75" x14ac:dyDescent="0.3">
      <c r="A1" s="15" t="str">
        <f>bus</f>
        <v>Powercor</v>
      </c>
      <c r="B1" s="11"/>
      <c r="C1" s="11"/>
      <c r="D1" s="11"/>
      <c r="E1" s="11"/>
      <c r="F1" s="341"/>
      <c r="G1" s="11"/>
      <c r="H1" s="11"/>
      <c r="I1" s="11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</row>
    <row r="2" spans="1:29" ht="18.75" x14ac:dyDescent="0.3">
      <c r="A2" s="56" t="str">
        <f>proj</f>
        <v xml:space="preserve">Minimise bushfire risk from bare 22kV non-REFCL lines in HBRA </v>
      </c>
      <c r="B2" s="11"/>
      <c r="C2" s="11"/>
      <c r="D2" s="11"/>
      <c r="E2" s="11"/>
      <c r="F2" s="341"/>
      <c r="G2" s="11"/>
      <c r="H2" s="11"/>
      <c r="I2" s="11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</row>
    <row r="3" spans="1:29" ht="18.75" x14ac:dyDescent="0.3">
      <c r="A3" s="5" t="s">
        <v>245</v>
      </c>
      <c r="B3" s="343"/>
      <c r="C3" s="5"/>
      <c r="D3" s="5"/>
    </row>
    <row r="5" spans="1:29" ht="15" x14ac:dyDescent="0.2">
      <c r="A5" s="345"/>
      <c r="B5" s="345"/>
      <c r="C5" s="345"/>
      <c r="D5" s="345"/>
      <c r="E5" s="345"/>
      <c r="F5" s="346"/>
      <c r="G5" s="345"/>
      <c r="H5" s="345"/>
      <c r="I5" s="345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</row>
    <row r="6" spans="1:29" x14ac:dyDescent="0.2">
      <c r="C6" s="3"/>
      <c r="D6" s="3"/>
    </row>
    <row r="7" spans="1:29" x14ac:dyDescent="0.2">
      <c r="F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349" customFormat="1" x14ac:dyDescent="0.2">
      <c r="B8" s="350" t="s">
        <v>248</v>
      </c>
      <c r="D8" s="351"/>
    </row>
    <row r="9" spans="1:29" x14ac:dyDescent="0.2">
      <c r="F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">
      <c r="C10" s="12" t="s">
        <v>249</v>
      </c>
      <c r="E10" s="392">
        <v>0</v>
      </c>
      <c r="F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C11" s="12" t="s">
        <v>250</v>
      </c>
      <c r="E11" s="392">
        <v>0</v>
      </c>
      <c r="F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">
      <c r="D12" s="2"/>
      <c r="F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">
      <c r="D13" s="2"/>
      <c r="F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349" customFormat="1" x14ac:dyDescent="0.2">
      <c r="B14" s="350" t="s">
        <v>251</v>
      </c>
      <c r="D14" s="351"/>
    </row>
    <row r="15" spans="1:29" x14ac:dyDescent="0.2">
      <c r="F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">
      <c r="C16" s="12" t="s">
        <v>252</v>
      </c>
      <c r="E16" s="392">
        <v>62</v>
      </c>
      <c r="F16" s="1" t="s">
        <v>253</v>
      </c>
      <c r="G16" s="23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x14ac:dyDescent="0.2">
      <c r="C17" s="12" t="s">
        <v>254</v>
      </c>
      <c r="E17" s="353">
        <f>152*1000</f>
        <v>152000</v>
      </c>
      <c r="F17" s="1" t="s">
        <v>323</v>
      </c>
      <c r="G17" s="23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x14ac:dyDescent="0.2">
      <c r="C18" s="12" t="s">
        <v>255</v>
      </c>
      <c r="E18" s="354">
        <f>E17*E16</f>
        <v>9424000</v>
      </c>
      <c r="F18" s="1" t="s">
        <v>325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 x14ac:dyDescent="0.2">
      <c r="F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x14ac:dyDescent="0.2">
      <c r="C20" s="12" t="s">
        <v>256</v>
      </c>
      <c r="E20" s="145">
        <v>2</v>
      </c>
      <c r="F20" s="1" t="s">
        <v>257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x14ac:dyDescent="0.2">
      <c r="C21" s="12"/>
      <c r="F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29" x14ac:dyDescent="0.2">
      <c r="C22" s="12"/>
      <c r="E22" s="355" t="s">
        <v>19</v>
      </c>
      <c r="F22" s="355" t="s">
        <v>21</v>
      </c>
      <c r="G22" s="355" t="s">
        <v>20</v>
      </c>
      <c r="H22" s="355" t="s">
        <v>22</v>
      </c>
      <c r="I22" s="355" t="s">
        <v>93</v>
      </c>
      <c r="J22" s="355" t="str">
        <f t="shared" ref="J22:X22" si="0">LEFT(I22,4)+1&amp;"-"&amp;RIGHT(I22,2)+1</f>
        <v>2031-32</v>
      </c>
      <c r="K22" s="355" t="str">
        <f t="shared" si="0"/>
        <v>2032-33</v>
      </c>
      <c r="L22" s="355" t="str">
        <f t="shared" si="0"/>
        <v>2033-34</v>
      </c>
      <c r="M22" s="355" t="str">
        <f t="shared" si="0"/>
        <v>2034-35</v>
      </c>
      <c r="N22" s="355" t="str">
        <f t="shared" si="0"/>
        <v>2035-36</v>
      </c>
      <c r="O22" s="355" t="str">
        <f t="shared" si="0"/>
        <v>2036-37</v>
      </c>
      <c r="P22" s="355" t="str">
        <f t="shared" si="0"/>
        <v>2037-38</v>
      </c>
      <c r="Q22" s="355" t="str">
        <f t="shared" si="0"/>
        <v>2038-39</v>
      </c>
      <c r="R22" s="355" t="str">
        <f t="shared" si="0"/>
        <v>2039-40</v>
      </c>
      <c r="S22" s="355" t="str">
        <f t="shared" si="0"/>
        <v>2040-41</v>
      </c>
      <c r="T22" s="355" t="str">
        <f t="shared" si="0"/>
        <v>2041-42</v>
      </c>
      <c r="U22" s="355" t="str">
        <f t="shared" si="0"/>
        <v>2042-43</v>
      </c>
      <c r="V22" s="355" t="str">
        <f t="shared" si="0"/>
        <v>2043-44</v>
      </c>
      <c r="W22" s="355" t="str">
        <f t="shared" si="0"/>
        <v>2044-45</v>
      </c>
      <c r="X22" s="355" t="str">
        <f t="shared" si="0"/>
        <v>2045-46</v>
      </c>
      <c r="Y22" s="1"/>
      <c r="Z22" s="1"/>
      <c r="AA22" s="1"/>
      <c r="AB22" s="1"/>
      <c r="AC22" s="1"/>
    </row>
    <row r="23" spans="2:29" x14ac:dyDescent="0.2">
      <c r="C23" s="12" t="s">
        <v>258</v>
      </c>
      <c r="E23" s="356">
        <f>$E$18/$E$20</f>
        <v>4712000</v>
      </c>
      <c r="F23" s="356">
        <f>$E$18/$E$20</f>
        <v>4712000</v>
      </c>
      <c r="G23" s="356"/>
      <c r="H23" s="356"/>
      <c r="I23" s="35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29" x14ac:dyDescent="0.2">
      <c r="C24" s="12" t="s">
        <v>259</v>
      </c>
      <c r="F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29" x14ac:dyDescent="0.2">
      <c r="F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 s="349" customFormat="1" x14ac:dyDescent="0.2">
      <c r="B26" s="350" t="s">
        <v>260</v>
      </c>
      <c r="D26" s="351"/>
    </row>
    <row r="27" spans="2:29" s="358" customFormat="1" x14ac:dyDescent="0.2">
      <c r="B27" s="357"/>
      <c r="D27" s="359"/>
    </row>
    <row r="28" spans="2:29" s="358" customFormat="1" hidden="1" x14ac:dyDescent="0.2">
      <c r="B28" s="357"/>
      <c r="D28" s="2" t="s">
        <v>261</v>
      </c>
      <c r="E28" s="360">
        <v>3.5</v>
      </c>
      <c r="F28" s="1" t="s">
        <v>253</v>
      </c>
    </row>
    <row r="29" spans="2:29" s="358" customFormat="1" x14ac:dyDescent="0.2">
      <c r="B29" s="357"/>
      <c r="C29" s="12" t="s">
        <v>262</v>
      </c>
      <c r="E29" s="353">
        <v>5122.7370301085202</v>
      </c>
      <c r="F29" s="1" t="s">
        <v>323</v>
      </c>
    </row>
    <row r="30" spans="2:29" s="358" customFormat="1" x14ac:dyDescent="0.2">
      <c r="B30" s="357"/>
      <c r="C30" s="12" t="s">
        <v>264</v>
      </c>
      <c r="E30" s="362">
        <v>271.65301608462244</v>
      </c>
      <c r="F30" s="1" t="s">
        <v>323</v>
      </c>
    </row>
    <row r="31" spans="2:29" s="358" customFormat="1" x14ac:dyDescent="0.2">
      <c r="B31" s="357"/>
      <c r="C31" s="12" t="s">
        <v>265</v>
      </c>
      <c r="E31" s="362">
        <v>233.81652991952589</v>
      </c>
      <c r="F31" s="1" t="s">
        <v>323</v>
      </c>
    </row>
    <row r="32" spans="2:29" s="358" customFormat="1" x14ac:dyDescent="0.2">
      <c r="B32" s="357"/>
      <c r="C32" s="12" t="s">
        <v>266</v>
      </c>
      <c r="E32" s="362">
        <v>10.328781249363598</v>
      </c>
      <c r="F32" s="1" t="s">
        <v>323</v>
      </c>
    </row>
    <row r="33" spans="2:29" s="358" customFormat="1" x14ac:dyDescent="0.2">
      <c r="B33" s="357"/>
      <c r="D33" s="359"/>
    </row>
    <row r="34" spans="2:29" x14ac:dyDescent="0.2">
      <c r="C34" s="12" t="s">
        <v>267</v>
      </c>
      <c r="E34" s="363">
        <v>8795</v>
      </c>
      <c r="F34" s="1" t="s">
        <v>253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 x14ac:dyDescent="0.2">
      <c r="C35" s="12" t="s">
        <v>268</v>
      </c>
      <c r="E35" s="356">
        <f>E34*E29</f>
        <v>45054472.179804437</v>
      </c>
      <c r="F35" s="1" t="s">
        <v>325</v>
      </c>
      <c r="G35" s="23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x14ac:dyDescent="0.2">
      <c r="C36" s="12" t="s">
        <v>269</v>
      </c>
      <c r="E36" s="356">
        <f>E30*E34</f>
        <v>2389188.2764642541</v>
      </c>
      <c r="F36" s="1" t="s">
        <v>325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x14ac:dyDescent="0.2">
      <c r="C37" s="12" t="s">
        <v>270</v>
      </c>
      <c r="E37" s="356">
        <f>E31*E34</f>
        <v>2056416.3806422302</v>
      </c>
      <c r="F37" s="1" t="s">
        <v>325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 x14ac:dyDescent="0.2">
      <c r="C38" s="12" t="s">
        <v>271</v>
      </c>
      <c r="E38" s="356">
        <f>E34*E32</f>
        <v>90841.631088152833</v>
      </c>
      <c r="F38" s="1" t="s">
        <v>325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 x14ac:dyDescent="0.2">
      <c r="F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 x14ac:dyDescent="0.2">
      <c r="C40" s="12" t="s">
        <v>256</v>
      </c>
      <c r="E40" s="145">
        <v>5</v>
      </c>
      <c r="F40" s="1" t="s">
        <v>324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 x14ac:dyDescent="0.2">
      <c r="C41" s="12"/>
      <c r="F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x14ac:dyDescent="0.2">
      <c r="E42" s="355" t="s">
        <v>19</v>
      </c>
      <c r="F42" s="355" t="s">
        <v>21</v>
      </c>
      <c r="G42" s="355" t="s">
        <v>20</v>
      </c>
      <c r="H42" s="355" t="s">
        <v>22</v>
      </c>
      <c r="I42" s="355" t="s">
        <v>93</v>
      </c>
      <c r="J42" s="355" t="str">
        <f t="shared" ref="J42:X42" si="1">LEFT(I42,4)+1&amp;"-"&amp;RIGHT(I42,2)+1</f>
        <v>2031-32</v>
      </c>
      <c r="K42" s="355" t="str">
        <f t="shared" si="1"/>
        <v>2032-33</v>
      </c>
      <c r="L42" s="355" t="str">
        <f t="shared" si="1"/>
        <v>2033-34</v>
      </c>
      <c r="M42" s="355" t="str">
        <f t="shared" si="1"/>
        <v>2034-35</v>
      </c>
      <c r="N42" s="355" t="str">
        <f t="shared" si="1"/>
        <v>2035-36</v>
      </c>
      <c r="O42" s="355" t="str">
        <f t="shared" si="1"/>
        <v>2036-37</v>
      </c>
      <c r="P42" s="355" t="str">
        <f t="shared" si="1"/>
        <v>2037-38</v>
      </c>
      <c r="Q42" s="355" t="str">
        <f t="shared" si="1"/>
        <v>2038-39</v>
      </c>
      <c r="R42" s="355" t="str">
        <f t="shared" si="1"/>
        <v>2039-40</v>
      </c>
      <c r="S42" s="355" t="str">
        <f t="shared" si="1"/>
        <v>2040-41</v>
      </c>
      <c r="T42" s="355" t="str">
        <f t="shared" si="1"/>
        <v>2041-42</v>
      </c>
      <c r="U42" s="355" t="str">
        <f t="shared" si="1"/>
        <v>2042-43</v>
      </c>
      <c r="V42" s="355" t="str">
        <f t="shared" si="1"/>
        <v>2043-44</v>
      </c>
      <c r="W42" s="355" t="str">
        <f t="shared" si="1"/>
        <v>2044-45</v>
      </c>
      <c r="X42" s="355" t="str">
        <f t="shared" si="1"/>
        <v>2045-46</v>
      </c>
      <c r="Y42" s="1"/>
      <c r="Z42" s="1"/>
      <c r="AA42" s="1"/>
      <c r="AB42" s="1"/>
      <c r="AC42" s="1"/>
    </row>
    <row r="43" spans="2:29" x14ac:dyDescent="0.2">
      <c r="C43" s="12" t="s">
        <v>272</v>
      </c>
      <c r="E43" s="356">
        <f>$E$35/$E$40</f>
        <v>9010894.435960887</v>
      </c>
      <c r="F43" s="356">
        <f>$E$35/$E$40</f>
        <v>9010894.435960887</v>
      </c>
      <c r="G43" s="356">
        <f>$E$35/$E$40</f>
        <v>9010894.435960887</v>
      </c>
      <c r="H43" s="356">
        <f t="shared" ref="H43:I43" si="2">$E$35/$E$40</f>
        <v>9010894.435960887</v>
      </c>
      <c r="I43" s="356">
        <f t="shared" si="2"/>
        <v>9010894.435960887</v>
      </c>
      <c r="J43" s="1"/>
      <c r="K43" s="1"/>
      <c r="L43" s="356"/>
      <c r="M43" s="356"/>
      <c r="N43" s="356"/>
      <c r="O43" s="356"/>
      <c r="P43" s="35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x14ac:dyDescent="0.2">
      <c r="C44" s="12" t="s">
        <v>273</v>
      </c>
      <c r="E44" s="356">
        <f>$E$38</f>
        <v>90841.631088152833</v>
      </c>
      <c r="F44" s="356">
        <f t="shared" ref="F44:I44" si="3">$E$38</f>
        <v>90841.631088152833</v>
      </c>
      <c r="G44" s="356">
        <f t="shared" si="3"/>
        <v>90841.631088152833</v>
      </c>
      <c r="H44" s="356">
        <f t="shared" si="3"/>
        <v>90841.631088152833</v>
      </c>
      <c r="I44" s="356">
        <f t="shared" si="3"/>
        <v>90841.631088152833</v>
      </c>
      <c r="J44" s="356">
        <f>$E$37+$E$38</f>
        <v>2147258.0117303832</v>
      </c>
      <c r="K44" s="356">
        <f>$E$37+$E$38</f>
        <v>2147258.0117303832</v>
      </c>
      <c r="L44" s="356">
        <f>$E$37+$E$38</f>
        <v>2147258.0117303832</v>
      </c>
      <c r="M44" s="356">
        <f>$E$37+$E$38+$E$36/$E$40</f>
        <v>2625095.6670232341</v>
      </c>
      <c r="N44" s="356">
        <f t="shared" ref="N44:Q44" si="4">$E$37+$E$38+$E$36/$E$40</f>
        <v>2625095.6670232341</v>
      </c>
      <c r="O44" s="356">
        <f t="shared" si="4"/>
        <v>2625095.6670232341</v>
      </c>
      <c r="P44" s="356">
        <f t="shared" si="4"/>
        <v>2625095.6670232341</v>
      </c>
      <c r="Q44" s="356">
        <f t="shared" si="4"/>
        <v>2625095.6670232341</v>
      </c>
      <c r="R44" s="356">
        <f>$E$37+$E$38</f>
        <v>2147258.0117303832</v>
      </c>
      <c r="S44" s="356">
        <f>$E$37+$E$38</f>
        <v>2147258.0117303832</v>
      </c>
      <c r="T44" s="356">
        <f>($E$38+$E$37)/$E$40*4</f>
        <v>1717806.4093843065</v>
      </c>
      <c r="U44" s="356">
        <f>($E$38+$E$37)/$E$40*3</f>
        <v>1288354.8070382299</v>
      </c>
      <c r="V44" s="356">
        <f>($E$38+$E$37)/$E$40*2</f>
        <v>858903.20469215326</v>
      </c>
      <c r="W44" s="356">
        <f>($E$38+$E$37)/$E$40</f>
        <v>429451.60234607663</v>
      </c>
      <c r="X44" s="356"/>
      <c r="Y44" s="1"/>
      <c r="Z44" s="1"/>
      <c r="AA44" s="1"/>
      <c r="AB44" s="1"/>
      <c r="AC44" s="1"/>
    </row>
    <row r="45" spans="2:29" x14ac:dyDescent="0.2">
      <c r="D45" s="364"/>
      <c r="F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x14ac:dyDescent="0.2">
      <c r="E46" s="365"/>
      <c r="F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s="349" customFormat="1" x14ac:dyDescent="0.2">
      <c r="B47" s="350" t="s">
        <v>274</v>
      </c>
      <c r="D47" s="351"/>
    </row>
    <row r="48" spans="2:29" x14ac:dyDescent="0.2">
      <c r="B48" s="1" t="s">
        <v>275</v>
      </c>
      <c r="F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x14ac:dyDescent="0.2">
      <c r="B49" s="2"/>
      <c r="F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x14ac:dyDescent="0.2">
      <c r="C50" s="12" t="s">
        <v>276</v>
      </c>
      <c r="E50" s="363">
        <v>1500</v>
      </c>
      <c r="F50" s="1" t="s">
        <v>277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x14ac:dyDescent="0.2">
      <c r="C51" s="12" t="s">
        <v>268</v>
      </c>
      <c r="E51" s="356">
        <f>E50*E29</f>
        <v>7684105.5451627802</v>
      </c>
      <c r="F51" s="1" t="s">
        <v>325</v>
      </c>
      <c r="G51" s="23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x14ac:dyDescent="0.2">
      <c r="C52" s="12" t="s">
        <v>269</v>
      </c>
      <c r="E52" s="361">
        <f>E50*E30</f>
        <v>407479.52412693365</v>
      </c>
      <c r="F52" s="1" t="s">
        <v>325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 x14ac:dyDescent="0.2">
      <c r="C53" s="12" t="s">
        <v>270</v>
      </c>
      <c r="E53" s="361">
        <f>E50*E31</f>
        <v>350724.79487928882</v>
      </c>
      <c r="F53" s="1" t="s">
        <v>325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 x14ac:dyDescent="0.2">
      <c r="C54" s="12" t="s">
        <v>271</v>
      </c>
      <c r="E54" s="366">
        <f>E50*E32</f>
        <v>15493.171874045396</v>
      </c>
      <c r="F54" s="1" t="s">
        <v>325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 x14ac:dyDescent="0.2">
      <c r="C55" s="12"/>
      <c r="F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2" t="s">
        <v>256</v>
      </c>
      <c r="E56" s="145">
        <v>2</v>
      </c>
      <c r="F56" s="1" t="s">
        <v>257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2"/>
      <c r="F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2"/>
      <c r="E58" s="355" t="s">
        <v>19</v>
      </c>
      <c r="F58" s="355" t="s">
        <v>21</v>
      </c>
      <c r="G58" s="355" t="s">
        <v>20</v>
      </c>
      <c r="H58" s="355" t="s">
        <v>22</v>
      </c>
      <c r="I58" s="355" t="s">
        <v>93</v>
      </c>
      <c r="J58" s="355" t="str">
        <f t="shared" ref="J58:X58" si="5">LEFT(I58,4)+1&amp;"-"&amp;RIGHT(I58,2)+1</f>
        <v>2031-32</v>
      </c>
      <c r="K58" s="355" t="str">
        <f t="shared" si="5"/>
        <v>2032-33</v>
      </c>
      <c r="L58" s="355" t="str">
        <f t="shared" si="5"/>
        <v>2033-34</v>
      </c>
      <c r="M58" s="355" t="str">
        <f t="shared" si="5"/>
        <v>2034-35</v>
      </c>
      <c r="N58" s="355" t="str">
        <f t="shared" si="5"/>
        <v>2035-36</v>
      </c>
      <c r="O58" s="355" t="str">
        <f t="shared" si="5"/>
        <v>2036-37</v>
      </c>
      <c r="P58" s="355" t="str">
        <f t="shared" si="5"/>
        <v>2037-38</v>
      </c>
      <c r="Q58" s="355" t="str">
        <f t="shared" si="5"/>
        <v>2038-39</v>
      </c>
      <c r="R58" s="355" t="str">
        <f t="shared" si="5"/>
        <v>2039-40</v>
      </c>
      <c r="S58" s="355" t="str">
        <f t="shared" si="5"/>
        <v>2040-41</v>
      </c>
      <c r="T58" s="355" t="str">
        <f t="shared" si="5"/>
        <v>2041-42</v>
      </c>
      <c r="U58" s="355" t="str">
        <f t="shared" si="5"/>
        <v>2042-43</v>
      </c>
      <c r="V58" s="355" t="str">
        <f t="shared" si="5"/>
        <v>2043-44</v>
      </c>
      <c r="W58" s="355" t="str">
        <f t="shared" si="5"/>
        <v>2044-45</v>
      </c>
      <c r="X58" s="355" t="str">
        <f t="shared" si="5"/>
        <v>2045-46</v>
      </c>
      <c r="Y58" s="1"/>
      <c r="Z58" s="1"/>
      <c r="AA58" s="1"/>
      <c r="AB58" s="1"/>
      <c r="AC58" s="1"/>
    </row>
    <row r="59" spans="2:29" x14ac:dyDescent="0.2">
      <c r="C59" s="12" t="s">
        <v>278</v>
      </c>
      <c r="E59" s="367">
        <f>$E$51/$E$56</f>
        <v>3842052.7725813901</v>
      </c>
      <c r="F59" s="367">
        <f>$E$51/$E$56</f>
        <v>3842052.7725813901</v>
      </c>
      <c r="G59" s="368"/>
      <c r="H59" s="356"/>
      <c r="I59" s="356"/>
      <c r="J59" s="1"/>
      <c r="K59" s="1"/>
      <c r="L59" s="356"/>
      <c r="M59" s="356"/>
      <c r="N59" s="356"/>
      <c r="O59" s="356"/>
      <c r="P59" s="356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2" t="s">
        <v>279</v>
      </c>
      <c r="E60" s="356">
        <f>$E$54</f>
        <v>15493.171874045396</v>
      </c>
      <c r="F60" s="356">
        <f t="shared" ref="F60:I60" si="6">$E$54</f>
        <v>15493.171874045396</v>
      </c>
      <c r="G60" s="356">
        <f t="shared" si="6"/>
        <v>15493.171874045396</v>
      </c>
      <c r="H60" s="356">
        <f t="shared" si="6"/>
        <v>15493.171874045396</v>
      </c>
      <c r="I60" s="356">
        <f t="shared" si="6"/>
        <v>15493.171874045396</v>
      </c>
      <c r="J60" s="356">
        <f>$E$54+$E$53</f>
        <v>366217.96675333421</v>
      </c>
      <c r="K60" s="356">
        <f t="shared" ref="K60:L60" si="7">$E$54+$E$53</f>
        <v>366217.96675333421</v>
      </c>
      <c r="L60" s="356">
        <f t="shared" si="7"/>
        <v>366217.96675333421</v>
      </c>
      <c r="M60" s="356">
        <f>$E$54+$E$53+$E$52/$E$56</f>
        <v>569957.72881680098</v>
      </c>
      <c r="N60" s="356">
        <f>$E$54+$E$53+$E$52/$E$56</f>
        <v>569957.72881680098</v>
      </c>
      <c r="O60" s="356">
        <f t="shared" ref="O60:S60" si="8">$E$54+$E$53</f>
        <v>366217.96675333421</v>
      </c>
      <c r="P60" s="356">
        <f t="shared" si="8"/>
        <v>366217.96675333421</v>
      </c>
      <c r="Q60" s="356">
        <f t="shared" si="8"/>
        <v>366217.96675333421</v>
      </c>
      <c r="R60" s="356">
        <f t="shared" si="8"/>
        <v>366217.96675333421</v>
      </c>
      <c r="S60" s="356">
        <f t="shared" si="8"/>
        <v>366217.96675333421</v>
      </c>
      <c r="T60" s="356">
        <f>($E$53+$E$54)/2</f>
        <v>183108.98337666711</v>
      </c>
      <c r="U60" s="356"/>
      <c r="V60" s="356"/>
      <c r="W60" s="356"/>
      <c r="X60" s="356"/>
      <c r="Y60" s="1"/>
      <c r="Z60" s="1"/>
      <c r="AA60" s="1"/>
      <c r="AB60" s="1"/>
      <c r="AC60" s="1"/>
    </row>
    <row r="61" spans="2:29" x14ac:dyDescent="0.2">
      <c r="F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F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s="349" customFormat="1" x14ac:dyDescent="0.2">
      <c r="B63" s="350" t="s">
        <v>280</v>
      </c>
      <c r="D63" s="351"/>
    </row>
    <row r="64" spans="2:29" x14ac:dyDescent="0.2">
      <c r="F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 x14ac:dyDescent="0.2">
      <c r="B65" s="2"/>
      <c r="C65" s="1" t="s">
        <v>281</v>
      </c>
      <c r="F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 x14ac:dyDescent="0.2">
      <c r="B66" s="2"/>
      <c r="C66" s="1" t="s">
        <v>282</v>
      </c>
      <c r="F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 x14ac:dyDescent="0.2">
      <c r="B67" s="2"/>
      <c r="F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 x14ac:dyDescent="0.2">
      <c r="C68" s="12" t="s">
        <v>276</v>
      </c>
      <c r="E68" s="363">
        <v>1500</v>
      </c>
      <c r="F68" s="1" t="s">
        <v>277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 x14ac:dyDescent="0.2">
      <c r="C69" s="12" t="s">
        <v>268</v>
      </c>
      <c r="E69" s="356">
        <f>E68*E29</f>
        <v>7684105.5451627802</v>
      </c>
      <c r="F69" s="1" t="s">
        <v>325</v>
      </c>
      <c r="G69" s="23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 x14ac:dyDescent="0.2">
      <c r="C70" s="12" t="s">
        <v>269</v>
      </c>
      <c r="E70" s="361">
        <f>E68*E30</f>
        <v>407479.52412693365</v>
      </c>
      <c r="F70" s="1" t="s">
        <v>325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 x14ac:dyDescent="0.2">
      <c r="C71" s="12" t="s">
        <v>270</v>
      </c>
      <c r="E71" s="361">
        <f>E68*E31</f>
        <v>350724.79487928882</v>
      </c>
      <c r="F71" s="1" t="s">
        <v>325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 x14ac:dyDescent="0.2">
      <c r="C72" s="12" t="s">
        <v>271</v>
      </c>
      <c r="E72" s="366">
        <f>E68*E32</f>
        <v>15493.171874045396</v>
      </c>
      <c r="F72" s="1" t="s">
        <v>325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 x14ac:dyDescent="0.2">
      <c r="C73" s="12"/>
      <c r="F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 x14ac:dyDescent="0.2">
      <c r="C74" s="12" t="s">
        <v>283</v>
      </c>
      <c r="E74" s="352">
        <v>62</v>
      </c>
      <c r="F74" s="1" t="s">
        <v>253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 x14ac:dyDescent="0.2">
      <c r="C75" s="12" t="s">
        <v>284</v>
      </c>
      <c r="E75" s="369">
        <f>E17</f>
        <v>152000</v>
      </c>
      <c r="F75" s="1" t="s">
        <v>323</v>
      </c>
      <c r="G75" s="23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 x14ac:dyDescent="0.2">
      <c r="C76" s="12" t="s">
        <v>285</v>
      </c>
      <c r="E76" s="356">
        <f>E75*E74</f>
        <v>9424000</v>
      </c>
      <c r="F76" s="1" t="s">
        <v>325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 x14ac:dyDescent="0.2">
      <c r="C77" s="12"/>
      <c r="E77" s="356"/>
      <c r="F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 x14ac:dyDescent="0.2">
      <c r="C78" s="12" t="s">
        <v>286</v>
      </c>
      <c r="E78" s="356">
        <f>E69+E76</f>
        <v>17108105.545162782</v>
      </c>
      <c r="F78" s="1" t="s">
        <v>325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 x14ac:dyDescent="0.2">
      <c r="C79" s="12"/>
      <c r="F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 x14ac:dyDescent="0.2">
      <c r="C80" s="12" t="s">
        <v>256</v>
      </c>
      <c r="E80" s="145">
        <v>2</v>
      </c>
      <c r="F80" s="1" t="s">
        <v>257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3:29" x14ac:dyDescent="0.2">
      <c r="C81" s="12"/>
      <c r="F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3:29" x14ac:dyDescent="0.2">
      <c r="C82" s="12"/>
      <c r="E82" s="355" t="s">
        <v>19</v>
      </c>
      <c r="F82" s="355" t="s">
        <v>21</v>
      </c>
      <c r="G82" s="355" t="s">
        <v>20</v>
      </c>
      <c r="H82" s="355" t="s">
        <v>22</v>
      </c>
      <c r="I82" s="355" t="s">
        <v>93</v>
      </c>
      <c r="J82" s="355" t="str">
        <f t="shared" ref="J82:X82" si="9">LEFT(I82,4)+1&amp;"-"&amp;RIGHT(I82,2)+1</f>
        <v>2031-32</v>
      </c>
      <c r="K82" s="355" t="str">
        <f t="shared" si="9"/>
        <v>2032-33</v>
      </c>
      <c r="L82" s="355" t="str">
        <f t="shared" si="9"/>
        <v>2033-34</v>
      </c>
      <c r="M82" s="355" t="str">
        <f t="shared" si="9"/>
        <v>2034-35</v>
      </c>
      <c r="N82" s="355" t="str">
        <f t="shared" si="9"/>
        <v>2035-36</v>
      </c>
      <c r="O82" s="355" t="str">
        <f t="shared" si="9"/>
        <v>2036-37</v>
      </c>
      <c r="P82" s="355" t="str">
        <f t="shared" si="9"/>
        <v>2037-38</v>
      </c>
      <c r="Q82" s="355" t="str">
        <f t="shared" si="9"/>
        <v>2038-39</v>
      </c>
      <c r="R82" s="355" t="str">
        <f t="shared" si="9"/>
        <v>2039-40</v>
      </c>
      <c r="S82" s="355" t="str">
        <f t="shared" si="9"/>
        <v>2040-41</v>
      </c>
      <c r="T82" s="355" t="str">
        <f t="shared" si="9"/>
        <v>2041-42</v>
      </c>
      <c r="U82" s="355" t="str">
        <f t="shared" si="9"/>
        <v>2042-43</v>
      </c>
      <c r="V82" s="355" t="str">
        <f t="shared" si="9"/>
        <v>2043-44</v>
      </c>
      <c r="W82" s="355" t="str">
        <f t="shared" si="9"/>
        <v>2044-45</v>
      </c>
      <c r="X82" s="355" t="str">
        <f t="shared" si="9"/>
        <v>2045-46</v>
      </c>
      <c r="Y82" s="1"/>
      <c r="Z82" s="1"/>
      <c r="AA82" s="1"/>
      <c r="AB82" s="1"/>
      <c r="AC82" s="1"/>
    </row>
    <row r="83" spans="3:29" x14ac:dyDescent="0.2">
      <c r="C83" s="12" t="s">
        <v>287</v>
      </c>
      <c r="E83" s="367">
        <f>$E$69/$E$80</f>
        <v>3842052.7725813901</v>
      </c>
      <c r="F83" s="367">
        <f>$E$69/$E$80</f>
        <v>3842052.7725813901</v>
      </c>
      <c r="G83" s="368"/>
      <c r="H83" s="356"/>
      <c r="I83" s="356"/>
      <c r="J83" s="1"/>
      <c r="K83" s="1"/>
      <c r="L83" s="356"/>
      <c r="M83" s="356"/>
      <c r="N83" s="356"/>
      <c r="O83" s="356"/>
      <c r="P83" s="356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3:29" x14ac:dyDescent="0.2">
      <c r="C84" s="12" t="s">
        <v>288</v>
      </c>
      <c r="E84" s="367">
        <f>$E$76/$E$80</f>
        <v>4712000</v>
      </c>
      <c r="F84" s="367">
        <f t="shared" ref="F84" si="10">$E$76/$E$80</f>
        <v>4712000</v>
      </c>
      <c r="G84" s="368"/>
      <c r="H84" s="356"/>
      <c r="I84" s="356"/>
      <c r="J84" s="1"/>
      <c r="K84" s="1"/>
      <c r="L84" s="356"/>
      <c r="M84" s="356"/>
      <c r="N84" s="356"/>
      <c r="O84" s="356"/>
      <c r="P84" s="356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3:29" x14ac:dyDescent="0.2">
      <c r="C85" s="12" t="s">
        <v>289</v>
      </c>
      <c r="E85" s="356">
        <f>$E$72</f>
        <v>15493.171874045396</v>
      </c>
      <c r="F85" s="356">
        <f t="shared" ref="F85:H85" si="11">$E$72</f>
        <v>15493.171874045396</v>
      </c>
      <c r="G85" s="356">
        <f t="shared" si="11"/>
        <v>15493.171874045396</v>
      </c>
      <c r="H85" s="356">
        <f t="shared" si="11"/>
        <v>15493.171874045396</v>
      </c>
      <c r="I85" s="356">
        <f>$E$72</f>
        <v>15493.171874045396</v>
      </c>
      <c r="J85" s="356">
        <f>$E$72+$E$71</f>
        <v>366217.96675333421</v>
      </c>
      <c r="K85" s="356">
        <f>$E$72+$E$71</f>
        <v>366217.96675333421</v>
      </c>
      <c r="L85" s="356">
        <f>$E$72+$E$71</f>
        <v>366217.96675333421</v>
      </c>
      <c r="M85" s="356">
        <f>$E$72+$E$71+$E$70/$E$80</f>
        <v>569957.72881680098</v>
      </c>
      <c r="N85" s="356">
        <f>$E$72+$E$71+$E$70/$E$80</f>
        <v>569957.72881680098</v>
      </c>
      <c r="O85" s="356">
        <f>$E$72+$E$71</f>
        <v>366217.96675333421</v>
      </c>
      <c r="P85" s="356">
        <f>$E$72+$E$71</f>
        <v>366217.96675333421</v>
      </c>
      <c r="Q85" s="356">
        <f>$E$72+$E$71</f>
        <v>366217.96675333421</v>
      </c>
      <c r="R85" s="356">
        <f t="shared" ref="R85:S85" si="12">$E$72+$E$71</f>
        <v>366217.96675333421</v>
      </c>
      <c r="S85" s="356">
        <f t="shared" si="12"/>
        <v>366217.96675333421</v>
      </c>
      <c r="T85" s="356">
        <f>($E$72+$E$71)/2</f>
        <v>183108.98337666711</v>
      </c>
      <c r="U85" s="356"/>
      <c r="V85" s="356"/>
      <c r="W85" s="356"/>
      <c r="X85" s="356"/>
      <c r="Y85" s="1"/>
      <c r="Z85" s="1"/>
      <c r="AA85" s="1"/>
      <c r="AB85" s="1"/>
      <c r="AC85" s="1"/>
    </row>
    <row r="86" spans="3:29" x14ac:dyDescent="0.2">
      <c r="F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3:29" x14ac:dyDescent="0.2">
      <c r="F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9" spans="3:29" x14ac:dyDescent="0.2">
      <c r="E89" s="356"/>
      <c r="F89" s="356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A52D-CA3C-4474-B13D-B01A7402D4FF}">
  <sheetPr codeName="Sheet12">
    <tabColor rgb="FFFFFF00"/>
  </sheetPr>
  <dimension ref="A1:AC114"/>
  <sheetViews>
    <sheetView showGridLines="0" zoomScale="90" zoomScaleNormal="90"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16.125" style="1" customWidth="1"/>
    <col min="3" max="3" width="12.125" style="1" customWidth="1"/>
    <col min="4" max="4" width="38.625" style="1" customWidth="1"/>
    <col min="5" max="5" width="14.375" style="1" customWidth="1"/>
    <col min="6" max="6" width="11.125" style="1" customWidth="1"/>
    <col min="7" max="17" width="11.75" style="1" customWidth="1"/>
    <col min="18" max="22" width="14.25" style="1" customWidth="1"/>
    <col min="23" max="23" width="14.5" style="1" customWidth="1"/>
    <col min="24" max="25" width="12.25" style="1" customWidth="1"/>
    <col min="26" max="26" width="10.125" style="1" customWidth="1"/>
    <col min="27" max="28" width="11.375" style="1" customWidth="1"/>
    <col min="29" max="29" width="10.75" style="1" customWidth="1"/>
    <col min="30" max="16384" width="8" style="1"/>
  </cols>
  <sheetData>
    <row r="1" spans="1:29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8.75" x14ac:dyDescent="0.3">
      <c r="A2" s="56" t="str">
        <f>proj</f>
        <v xml:space="preserve">Minimise bushfire risk from bare 22kV non-REFCL lines in HBRA 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8.75" x14ac:dyDescent="0.3">
      <c r="A3" s="5" t="s">
        <v>290</v>
      </c>
      <c r="B3" s="343"/>
      <c r="C3" s="5"/>
      <c r="D3" s="5"/>
    </row>
    <row r="5" spans="1:29" ht="15" x14ac:dyDescent="0.2">
      <c r="A5" s="345"/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</row>
    <row r="7" spans="1:29" x14ac:dyDescent="0.2">
      <c r="D7" s="2" t="s">
        <v>246</v>
      </c>
      <c r="E7" s="348">
        <v>1.0564283958846428</v>
      </c>
    </row>
    <row r="8" spans="1:29" x14ac:dyDescent="0.2">
      <c r="D8" s="2" t="s">
        <v>247</v>
      </c>
      <c r="E8" s="348">
        <v>0.96300053508865679</v>
      </c>
    </row>
    <row r="10" spans="1:29" s="349" customFormat="1" x14ac:dyDescent="0.2">
      <c r="B10" s="350" t="s">
        <v>248</v>
      </c>
      <c r="D10" s="351"/>
    </row>
    <row r="12" spans="1:29" x14ac:dyDescent="0.2">
      <c r="C12" s="393" t="s">
        <v>291</v>
      </c>
    </row>
    <row r="13" spans="1:29" x14ac:dyDescent="0.2">
      <c r="C13" s="12" t="s">
        <v>292</v>
      </c>
      <c r="E13" s="371">
        <v>17325425.692508142</v>
      </c>
      <c r="F13" s="1" t="s">
        <v>325</v>
      </c>
    </row>
    <row r="15" spans="1:29" s="390" customFormat="1" ht="15" x14ac:dyDescent="0.25">
      <c r="C15" s="12" t="s">
        <v>319</v>
      </c>
      <c r="D15" s="1"/>
      <c r="E15" s="371">
        <v>175499842</v>
      </c>
      <c r="F15" s="390" t="s">
        <v>334</v>
      </c>
    </row>
    <row r="16" spans="1:29" s="390" customFormat="1" ht="15" x14ac:dyDescent="0.25">
      <c r="C16" s="390" t="s">
        <v>320</v>
      </c>
      <c r="E16" s="391">
        <f>E15/5</f>
        <v>35099968.399999999</v>
      </c>
      <c r="F16" s="390" t="s">
        <v>335</v>
      </c>
    </row>
    <row r="17" spans="2:7" s="390" customFormat="1" ht="15" x14ac:dyDescent="0.25">
      <c r="C17" s="390" t="s">
        <v>333</v>
      </c>
      <c r="E17" s="396">
        <v>7239</v>
      </c>
      <c r="F17" s="390" t="s">
        <v>253</v>
      </c>
    </row>
    <row r="18" spans="2:7" x14ac:dyDescent="0.2">
      <c r="C18" s="394" t="s">
        <v>321</v>
      </c>
      <c r="E18" s="397">
        <f>E16/E17</f>
        <v>4848.7316480176814</v>
      </c>
      <c r="F18" s="1" t="s">
        <v>323</v>
      </c>
      <c r="G18" s="364"/>
    </row>
    <row r="19" spans="2:7" x14ac:dyDescent="0.2">
      <c r="C19" s="394" t="s">
        <v>322</v>
      </c>
      <c r="E19" s="397">
        <v>40.17</v>
      </c>
      <c r="F19" s="1" t="s">
        <v>323</v>
      </c>
      <c r="G19" s="364"/>
    </row>
    <row r="20" spans="2:7" x14ac:dyDescent="0.2">
      <c r="C20" s="394" t="s">
        <v>293</v>
      </c>
      <c r="E20" s="397">
        <f>E18-E19</f>
        <v>4808.5616480176814</v>
      </c>
      <c r="F20" s="1" t="s">
        <v>323</v>
      </c>
      <c r="G20" s="364"/>
    </row>
    <row r="21" spans="2:7" x14ac:dyDescent="0.2">
      <c r="C21" s="394"/>
      <c r="E21" s="397"/>
      <c r="G21" s="364"/>
    </row>
    <row r="22" spans="2:7" x14ac:dyDescent="0.2">
      <c r="C22" s="12" t="s">
        <v>294</v>
      </c>
      <c r="E22" s="374">
        <f>Workings_costs!E34</f>
        <v>8795</v>
      </c>
      <c r="F22" s="1" t="s">
        <v>253</v>
      </c>
    </row>
    <row r="23" spans="2:7" x14ac:dyDescent="0.2">
      <c r="C23" s="12" t="s">
        <v>295</v>
      </c>
      <c r="E23" s="366">
        <f>E22*E20</f>
        <v>42291299.694315508</v>
      </c>
      <c r="F23" s="1" t="s">
        <v>325</v>
      </c>
    </row>
    <row r="26" spans="2:7" s="349" customFormat="1" x14ac:dyDescent="0.2">
      <c r="B26" s="350" t="s">
        <v>251</v>
      </c>
      <c r="D26" s="351"/>
    </row>
    <row r="28" spans="2:7" x14ac:dyDescent="0.2">
      <c r="D28" s="370" t="s">
        <v>291</v>
      </c>
    </row>
    <row r="29" spans="2:7" x14ac:dyDescent="0.2">
      <c r="D29" s="2" t="s">
        <v>296</v>
      </c>
      <c r="E29" s="353">
        <v>853135</v>
      </c>
      <c r="F29" s="1" t="s">
        <v>325</v>
      </c>
      <c r="G29" s="231"/>
    </row>
    <row r="30" spans="2:7" x14ac:dyDescent="0.2">
      <c r="D30" s="2" t="s">
        <v>297</v>
      </c>
      <c r="E30" s="375">
        <v>0.63500000000000001</v>
      </c>
      <c r="G30" s="376"/>
    </row>
    <row r="31" spans="2:7" x14ac:dyDescent="0.2">
      <c r="D31" s="2" t="s">
        <v>298</v>
      </c>
      <c r="E31" s="353">
        <v>572310.28509713337</v>
      </c>
      <c r="F31" s="1" t="s">
        <v>325</v>
      </c>
    </row>
    <row r="32" spans="2:7" x14ac:dyDescent="0.2">
      <c r="D32" s="2" t="s">
        <v>299</v>
      </c>
      <c r="E32" s="356">
        <f>$E$13-E31</f>
        <v>16753115.407411009</v>
      </c>
      <c r="F32" s="1" t="s">
        <v>325</v>
      </c>
    </row>
    <row r="33" spans="2:25" x14ac:dyDescent="0.2">
      <c r="D33" s="2"/>
      <c r="E33" s="356"/>
    </row>
    <row r="34" spans="2:25" x14ac:dyDescent="0.2">
      <c r="D34" s="2" t="s">
        <v>300</v>
      </c>
      <c r="E34" s="363">
        <v>62</v>
      </c>
      <c r="F34" s="1" t="s">
        <v>253</v>
      </c>
    </row>
    <row r="35" spans="2:25" x14ac:dyDescent="0.2">
      <c r="D35" s="372" t="s">
        <v>301</v>
      </c>
      <c r="E35" s="356">
        <f>E34*$E$20</f>
        <v>298130.82217709627</v>
      </c>
      <c r="F35" s="1" t="s">
        <v>325</v>
      </c>
    </row>
    <row r="36" spans="2:25" x14ac:dyDescent="0.2">
      <c r="D36" s="2"/>
      <c r="E36" s="356"/>
    </row>
    <row r="37" spans="2:25" x14ac:dyDescent="0.2">
      <c r="D37" s="2" t="s">
        <v>256</v>
      </c>
      <c r="E37" s="145">
        <v>2</v>
      </c>
      <c r="F37" s="1" t="s">
        <v>324</v>
      </c>
    </row>
    <row r="38" spans="2:25" x14ac:dyDescent="0.2">
      <c r="D38" s="2" t="s">
        <v>302</v>
      </c>
      <c r="E38" s="356">
        <f>E31/E37</f>
        <v>286155.14254856668</v>
      </c>
    </row>
    <row r="39" spans="2:25" x14ac:dyDescent="0.2">
      <c r="D39" s="2" t="s">
        <v>303</v>
      </c>
      <c r="E39" s="356">
        <f>E35/E37</f>
        <v>149065.41108854814</v>
      </c>
    </row>
    <row r="41" spans="2:25" x14ac:dyDescent="0.2">
      <c r="D41" s="2"/>
      <c r="E41" s="377" t="s">
        <v>304</v>
      </c>
      <c r="F41" s="378"/>
      <c r="G41" s="378"/>
      <c r="H41" s="378"/>
      <c r="I41" s="379"/>
      <c r="J41" s="380" t="s">
        <v>305</v>
      </c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2"/>
    </row>
    <row r="42" spans="2:25" x14ac:dyDescent="0.2">
      <c r="D42" s="2"/>
      <c r="E42" s="383" t="s">
        <v>19</v>
      </c>
      <c r="F42" s="355" t="s">
        <v>21</v>
      </c>
      <c r="G42" s="355" t="s">
        <v>20</v>
      </c>
      <c r="H42" s="355" t="s">
        <v>22</v>
      </c>
      <c r="I42" s="384" t="s">
        <v>93</v>
      </c>
      <c r="J42" s="383" t="str">
        <f t="shared" ref="J42:X42" si="0">LEFT(I42,4)+1&amp;"-"&amp;RIGHT(I42,2)+1</f>
        <v>2031-32</v>
      </c>
      <c r="K42" s="355" t="str">
        <f t="shared" si="0"/>
        <v>2032-33</v>
      </c>
      <c r="L42" s="355" t="str">
        <f t="shared" si="0"/>
        <v>2033-34</v>
      </c>
      <c r="M42" s="355" t="str">
        <f t="shared" si="0"/>
        <v>2034-35</v>
      </c>
      <c r="N42" s="355" t="str">
        <f t="shared" si="0"/>
        <v>2035-36</v>
      </c>
      <c r="O42" s="355" t="str">
        <f t="shared" si="0"/>
        <v>2036-37</v>
      </c>
      <c r="P42" s="355" t="str">
        <f t="shared" si="0"/>
        <v>2037-38</v>
      </c>
      <c r="Q42" s="355" t="str">
        <f t="shared" si="0"/>
        <v>2038-39</v>
      </c>
      <c r="R42" s="355" t="str">
        <f t="shared" si="0"/>
        <v>2039-40</v>
      </c>
      <c r="S42" s="355" t="str">
        <f t="shared" si="0"/>
        <v>2040-41</v>
      </c>
      <c r="T42" s="355" t="str">
        <f t="shared" si="0"/>
        <v>2041-42</v>
      </c>
      <c r="U42" s="355" t="str">
        <f t="shared" si="0"/>
        <v>2042-43</v>
      </c>
      <c r="V42" s="355" t="str">
        <f t="shared" si="0"/>
        <v>2043-44</v>
      </c>
      <c r="W42" s="355" t="str">
        <f t="shared" si="0"/>
        <v>2044-45</v>
      </c>
      <c r="X42" s="384" t="str">
        <f t="shared" si="0"/>
        <v>2045-46</v>
      </c>
      <c r="Y42" s="2"/>
    </row>
    <row r="43" spans="2:25" x14ac:dyDescent="0.2">
      <c r="C43" s="12" t="s">
        <v>306</v>
      </c>
      <c r="E43" s="356">
        <f>$E$13-$E$38</f>
        <v>17039270.549959578</v>
      </c>
      <c r="F43" s="356">
        <f>E43-$E$38</f>
        <v>16753115.407411011</v>
      </c>
      <c r="G43" s="356">
        <f>F43</f>
        <v>16753115.407411011</v>
      </c>
      <c r="H43" s="356">
        <f t="shared" ref="H43:X44" si="1">G43</f>
        <v>16753115.407411011</v>
      </c>
      <c r="I43" s="356">
        <f t="shared" si="1"/>
        <v>16753115.407411011</v>
      </c>
      <c r="J43" s="356">
        <f t="shared" si="1"/>
        <v>16753115.407411011</v>
      </c>
      <c r="K43" s="356">
        <f t="shared" si="1"/>
        <v>16753115.407411011</v>
      </c>
      <c r="L43" s="356">
        <f t="shared" si="1"/>
        <v>16753115.407411011</v>
      </c>
      <c r="M43" s="356">
        <f t="shared" si="1"/>
        <v>16753115.407411011</v>
      </c>
      <c r="N43" s="356">
        <f t="shared" si="1"/>
        <v>16753115.407411011</v>
      </c>
      <c r="O43" s="356">
        <f t="shared" si="1"/>
        <v>16753115.407411011</v>
      </c>
      <c r="P43" s="356">
        <f t="shared" si="1"/>
        <v>16753115.407411011</v>
      </c>
      <c r="Q43" s="356">
        <f t="shared" si="1"/>
        <v>16753115.407411011</v>
      </c>
      <c r="R43" s="356">
        <f t="shared" si="1"/>
        <v>16753115.407411011</v>
      </c>
      <c r="S43" s="356">
        <f t="shared" si="1"/>
        <v>16753115.407411011</v>
      </c>
      <c r="T43" s="356">
        <f t="shared" si="1"/>
        <v>16753115.407411011</v>
      </c>
      <c r="U43" s="356">
        <f t="shared" si="1"/>
        <v>16753115.407411011</v>
      </c>
      <c r="V43" s="356">
        <f t="shared" si="1"/>
        <v>16753115.407411011</v>
      </c>
      <c r="W43" s="356">
        <f t="shared" si="1"/>
        <v>16753115.407411011</v>
      </c>
      <c r="X43" s="356">
        <f t="shared" si="1"/>
        <v>16753115.407411011</v>
      </c>
    </row>
    <row r="44" spans="2:25" x14ac:dyDescent="0.2">
      <c r="C44" s="12" t="s">
        <v>307</v>
      </c>
      <c r="E44" s="356">
        <f>E23-E39</f>
        <v>42142234.283226959</v>
      </c>
      <c r="F44" s="356">
        <f>E44-$E$39</f>
        <v>41993168.872138411</v>
      </c>
      <c r="G44" s="356">
        <f>F44</f>
        <v>41993168.872138411</v>
      </c>
      <c r="H44" s="356">
        <f t="shared" si="1"/>
        <v>41993168.872138411</v>
      </c>
      <c r="I44" s="356">
        <f t="shared" si="1"/>
        <v>41993168.872138411</v>
      </c>
      <c r="J44" s="356">
        <f t="shared" si="1"/>
        <v>41993168.872138411</v>
      </c>
      <c r="K44" s="356">
        <f t="shared" si="1"/>
        <v>41993168.872138411</v>
      </c>
      <c r="L44" s="356">
        <f t="shared" si="1"/>
        <v>41993168.872138411</v>
      </c>
      <c r="M44" s="356">
        <f t="shared" si="1"/>
        <v>41993168.872138411</v>
      </c>
      <c r="N44" s="356">
        <f t="shared" si="1"/>
        <v>41993168.872138411</v>
      </c>
      <c r="O44" s="356">
        <f t="shared" si="1"/>
        <v>41993168.872138411</v>
      </c>
      <c r="P44" s="356">
        <f t="shared" si="1"/>
        <v>41993168.872138411</v>
      </c>
      <c r="Q44" s="356">
        <f t="shared" si="1"/>
        <v>41993168.872138411</v>
      </c>
      <c r="R44" s="356">
        <f t="shared" si="1"/>
        <v>41993168.872138411</v>
      </c>
      <c r="S44" s="356">
        <f t="shared" si="1"/>
        <v>41993168.872138411</v>
      </c>
      <c r="T44" s="356">
        <f t="shared" si="1"/>
        <v>41993168.872138411</v>
      </c>
      <c r="U44" s="356">
        <f t="shared" si="1"/>
        <v>41993168.872138411</v>
      </c>
      <c r="V44" s="356">
        <f t="shared" si="1"/>
        <v>41993168.872138411</v>
      </c>
      <c r="W44" s="356">
        <f t="shared" si="1"/>
        <v>41993168.872138411</v>
      </c>
      <c r="X44" s="356">
        <f t="shared" si="1"/>
        <v>41993168.872138411</v>
      </c>
    </row>
    <row r="45" spans="2:25" x14ac:dyDescent="0.2">
      <c r="D45" s="2"/>
      <c r="E45" s="356"/>
      <c r="F45" s="356"/>
      <c r="G45" s="356"/>
      <c r="H45" s="356"/>
      <c r="I45" s="356"/>
    </row>
    <row r="47" spans="2:25" s="349" customFormat="1" x14ac:dyDescent="0.2">
      <c r="B47" s="350" t="s">
        <v>260</v>
      </c>
      <c r="D47" s="351"/>
    </row>
    <row r="49" spans="3:25" x14ac:dyDescent="0.2">
      <c r="C49" s="393" t="s">
        <v>291</v>
      </c>
    </row>
    <row r="50" spans="3:25" x14ac:dyDescent="0.2">
      <c r="C50" s="12" t="s">
        <v>308</v>
      </c>
      <c r="E50" s="373">
        <v>1214892.6552673392</v>
      </c>
      <c r="F50" s="1" t="s">
        <v>325</v>
      </c>
    </row>
    <row r="51" spans="3:25" x14ac:dyDescent="0.2">
      <c r="C51" s="12" t="s">
        <v>299</v>
      </c>
      <c r="E51" s="356">
        <f>E13-E50</f>
        <v>16110533.037240803</v>
      </c>
      <c r="F51" s="1" t="s">
        <v>325</v>
      </c>
    </row>
    <row r="52" spans="3:25" x14ac:dyDescent="0.2">
      <c r="D52" s="2"/>
      <c r="E52" s="356"/>
    </row>
    <row r="53" spans="3:25" x14ac:dyDescent="0.2">
      <c r="C53" s="12" t="s">
        <v>309</v>
      </c>
      <c r="E53" s="385">
        <v>7.0000000000000007E-2</v>
      </c>
    </row>
    <row r="54" spans="3:25" x14ac:dyDescent="0.2">
      <c r="C54" s="12" t="s">
        <v>310</v>
      </c>
      <c r="E54" s="386">
        <f>E53*E20</f>
        <v>336.5993153612377</v>
      </c>
      <c r="F54" s="1" t="s">
        <v>323</v>
      </c>
    </row>
    <row r="55" spans="3:25" x14ac:dyDescent="0.2">
      <c r="C55" s="12" t="s">
        <v>294</v>
      </c>
      <c r="E55" s="374">
        <f>Workings_costs!E34</f>
        <v>8795</v>
      </c>
      <c r="F55" s="1" t="s">
        <v>253</v>
      </c>
    </row>
    <row r="56" spans="3:25" x14ac:dyDescent="0.2">
      <c r="C56" s="12" t="s">
        <v>311</v>
      </c>
      <c r="E56" s="369">
        <f>E55*E54</f>
        <v>2960390.9786020857</v>
      </c>
      <c r="F56" s="1" t="s">
        <v>325</v>
      </c>
    </row>
    <row r="58" spans="3:25" x14ac:dyDescent="0.2">
      <c r="C58" s="12" t="s">
        <v>256</v>
      </c>
      <c r="E58" s="145">
        <v>5</v>
      </c>
      <c r="F58" s="1" t="s">
        <v>324</v>
      </c>
    </row>
    <row r="59" spans="3:25" x14ac:dyDescent="0.2">
      <c r="C59" s="12" t="s">
        <v>302</v>
      </c>
      <c r="E59" s="356">
        <f>$E$50/$E$58</f>
        <v>242978.53105346783</v>
      </c>
    </row>
    <row r="60" spans="3:25" x14ac:dyDescent="0.2">
      <c r="C60" s="12" t="s">
        <v>303</v>
      </c>
      <c r="E60" s="356">
        <f>$E$56/E58</f>
        <v>592078.19572041719</v>
      </c>
      <c r="I60" s="356"/>
    </row>
    <row r="62" spans="3:25" x14ac:dyDescent="0.2">
      <c r="D62" s="2"/>
      <c r="E62" s="377" t="s">
        <v>304</v>
      </c>
      <c r="F62" s="378"/>
      <c r="G62" s="378"/>
      <c r="H62" s="378"/>
      <c r="I62" s="379"/>
      <c r="J62" s="380" t="s">
        <v>312</v>
      </c>
      <c r="K62" s="381"/>
      <c r="L62" s="381"/>
      <c r="M62" s="381"/>
      <c r="N62" s="381"/>
      <c r="O62" s="381"/>
      <c r="P62" s="381"/>
      <c r="Q62" s="381"/>
      <c r="R62" s="381"/>
      <c r="S62" s="381"/>
      <c r="T62" s="381"/>
      <c r="U62" s="381"/>
      <c r="V62" s="381"/>
      <c r="W62" s="381"/>
      <c r="X62" s="382"/>
    </row>
    <row r="63" spans="3:25" x14ac:dyDescent="0.2">
      <c r="D63" s="2"/>
      <c r="E63" s="383" t="s">
        <v>19</v>
      </c>
      <c r="F63" s="355" t="s">
        <v>21</v>
      </c>
      <c r="G63" s="355" t="s">
        <v>20</v>
      </c>
      <c r="H63" s="355" t="s">
        <v>22</v>
      </c>
      <c r="I63" s="384" t="s">
        <v>93</v>
      </c>
      <c r="J63" s="383" t="str">
        <f t="shared" ref="J63:X63" si="2">LEFT(I63,4)+1&amp;"-"&amp;RIGHT(I63,2)+1</f>
        <v>2031-32</v>
      </c>
      <c r="K63" s="355" t="str">
        <f t="shared" si="2"/>
        <v>2032-33</v>
      </c>
      <c r="L63" s="355" t="str">
        <f t="shared" si="2"/>
        <v>2033-34</v>
      </c>
      <c r="M63" s="355" t="str">
        <f t="shared" si="2"/>
        <v>2034-35</v>
      </c>
      <c r="N63" s="355" t="str">
        <f t="shared" si="2"/>
        <v>2035-36</v>
      </c>
      <c r="O63" s="355" t="str">
        <f t="shared" si="2"/>
        <v>2036-37</v>
      </c>
      <c r="P63" s="355" t="str">
        <f t="shared" si="2"/>
        <v>2037-38</v>
      </c>
      <c r="Q63" s="355" t="str">
        <f t="shared" si="2"/>
        <v>2038-39</v>
      </c>
      <c r="R63" s="355" t="str">
        <f t="shared" si="2"/>
        <v>2039-40</v>
      </c>
      <c r="S63" s="355" t="str">
        <f t="shared" si="2"/>
        <v>2040-41</v>
      </c>
      <c r="T63" s="355" t="str">
        <f t="shared" si="2"/>
        <v>2041-42</v>
      </c>
      <c r="U63" s="355" t="str">
        <f t="shared" si="2"/>
        <v>2042-43</v>
      </c>
      <c r="V63" s="355" t="str">
        <f t="shared" si="2"/>
        <v>2043-44</v>
      </c>
      <c r="W63" s="355" t="str">
        <f t="shared" si="2"/>
        <v>2044-45</v>
      </c>
      <c r="X63" s="384" t="str">
        <f t="shared" si="2"/>
        <v>2045-46</v>
      </c>
      <c r="Y63" s="2"/>
    </row>
    <row r="64" spans="3:25" x14ac:dyDescent="0.2">
      <c r="C64" s="12" t="s">
        <v>306</v>
      </c>
      <c r="E64" s="356">
        <f>$E$13-$E$59</f>
        <v>17082447.161454674</v>
      </c>
      <c r="F64" s="356">
        <f>E64-$E$59</f>
        <v>16839468.630401205</v>
      </c>
      <c r="G64" s="356">
        <f t="shared" ref="G64:I64" si="3">F64-$E$59</f>
        <v>16596490.099347737</v>
      </c>
      <c r="H64" s="356">
        <f t="shared" si="3"/>
        <v>16353511.568294268</v>
      </c>
      <c r="I64" s="356">
        <f t="shared" si="3"/>
        <v>16110533.0372408</v>
      </c>
      <c r="J64" s="356">
        <f>I64</f>
        <v>16110533.0372408</v>
      </c>
      <c r="K64" s="356">
        <f>J64</f>
        <v>16110533.0372408</v>
      </c>
      <c r="L64" s="356">
        <f t="shared" ref="L64:S65" si="4">K64</f>
        <v>16110533.0372408</v>
      </c>
      <c r="M64" s="356">
        <f t="shared" si="4"/>
        <v>16110533.0372408</v>
      </c>
      <c r="N64" s="356">
        <f t="shared" si="4"/>
        <v>16110533.0372408</v>
      </c>
      <c r="O64" s="356">
        <f t="shared" si="4"/>
        <v>16110533.0372408</v>
      </c>
      <c r="P64" s="356">
        <f t="shared" si="4"/>
        <v>16110533.0372408</v>
      </c>
      <c r="Q64" s="356">
        <f t="shared" si="4"/>
        <v>16110533.0372408</v>
      </c>
      <c r="R64" s="356">
        <f t="shared" si="4"/>
        <v>16110533.0372408</v>
      </c>
      <c r="S64" s="356">
        <f t="shared" si="4"/>
        <v>16110533.0372408</v>
      </c>
      <c r="T64" s="356">
        <f>S64+$E$59</f>
        <v>16353511.568294268</v>
      </c>
      <c r="U64" s="356">
        <f t="shared" ref="U64:X64" si="5">T64+$E$59</f>
        <v>16596490.099347737</v>
      </c>
      <c r="V64" s="356">
        <f t="shared" si="5"/>
        <v>16839468.630401205</v>
      </c>
      <c r="W64" s="356">
        <f>V64+$E$59</f>
        <v>17082447.161454674</v>
      </c>
      <c r="X64" s="356">
        <f t="shared" si="5"/>
        <v>17325425.692508142</v>
      </c>
    </row>
    <row r="65" spans="2:24" x14ac:dyDescent="0.2">
      <c r="C65" s="12" t="s">
        <v>307</v>
      </c>
      <c r="E65" s="356">
        <f>E23-E60</f>
        <v>41699221.498595089</v>
      </c>
      <c r="F65" s="356">
        <f>E65-$E$60</f>
        <v>41107143.302874669</v>
      </c>
      <c r="G65" s="356">
        <f t="shared" ref="G65:I65" si="6">F65-$E$60</f>
        <v>40515065.10715425</v>
      </c>
      <c r="H65" s="356">
        <f t="shared" si="6"/>
        <v>39922986.911433831</v>
      </c>
      <c r="I65" s="356">
        <f t="shared" si="6"/>
        <v>39330908.715713412</v>
      </c>
      <c r="J65" s="356">
        <f>I65</f>
        <v>39330908.715713412</v>
      </c>
      <c r="K65" s="356">
        <f t="shared" ref="K65" si="7">J65</f>
        <v>39330908.715713412</v>
      </c>
      <c r="L65" s="356">
        <f t="shared" si="4"/>
        <v>39330908.715713412</v>
      </c>
      <c r="M65" s="356">
        <f t="shared" si="4"/>
        <v>39330908.715713412</v>
      </c>
      <c r="N65" s="356">
        <f t="shared" si="4"/>
        <v>39330908.715713412</v>
      </c>
      <c r="O65" s="356">
        <f t="shared" si="4"/>
        <v>39330908.715713412</v>
      </c>
      <c r="P65" s="356">
        <f t="shared" si="4"/>
        <v>39330908.715713412</v>
      </c>
      <c r="Q65" s="356">
        <f t="shared" si="4"/>
        <v>39330908.715713412</v>
      </c>
      <c r="R65" s="356">
        <f t="shared" si="4"/>
        <v>39330908.715713412</v>
      </c>
      <c r="S65" s="356">
        <f t="shared" si="4"/>
        <v>39330908.715713412</v>
      </c>
      <c r="T65" s="356">
        <f>H65</f>
        <v>39922986.911433831</v>
      </c>
      <c r="U65" s="356">
        <f>G65</f>
        <v>40515065.10715425</v>
      </c>
      <c r="V65" s="356">
        <f>F65</f>
        <v>41107143.302874669</v>
      </c>
      <c r="W65" s="356">
        <f>E65</f>
        <v>41699221.498595089</v>
      </c>
      <c r="X65" s="356">
        <f>E23</f>
        <v>42291299.694315508</v>
      </c>
    </row>
    <row r="68" spans="2:24" s="349" customFormat="1" x14ac:dyDescent="0.2">
      <c r="B68" s="350" t="s">
        <v>274</v>
      </c>
      <c r="D68" s="351"/>
    </row>
    <row r="70" spans="2:24" x14ac:dyDescent="0.2">
      <c r="D70" s="370" t="s">
        <v>291</v>
      </c>
    </row>
    <row r="71" spans="2:24" x14ac:dyDescent="0.2">
      <c r="C71" s="12" t="s">
        <v>313</v>
      </c>
      <c r="E71" s="373">
        <v>302138.52122300782</v>
      </c>
      <c r="F71" s="1" t="s">
        <v>325</v>
      </c>
    </row>
    <row r="72" spans="2:24" x14ac:dyDescent="0.2">
      <c r="C72" s="12" t="s">
        <v>299</v>
      </c>
      <c r="E72" s="356">
        <f>$E$13-E71</f>
        <v>17023287.171285134</v>
      </c>
      <c r="F72" s="1" t="s">
        <v>325</v>
      </c>
      <c r="G72" s="356"/>
    </row>
    <row r="73" spans="2:24" x14ac:dyDescent="0.2">
      <c r="D73" s="2"/>
      <c r="E73" s="356"/>
    </row>
    <row r="74" spans="2:24" x14ac:dyDescent="0.2">
      <c r="C74" s="393" t="s">
        <v>233</v>
      </c>
      <c r="E74" s="356"/>
    </row>
    <row r="75" spans="2:24" x14ac:dyDescent="0.2">
      <c r="C75" s="12" t="s">
        <v>309</v>
      </c>
      <c r="E75" s="387">
        <f>E53</f>
        <v>7.0000000000000007E-2</v>
      </c>
      <c r="G75" s="231"/>
    </row>
    <row r="76" spans="2:24" x14ac:dyDescent="0.2">
      <c r="C76" s="12" t="s">
        <v>314</v>
      </c>
      <c r="E76" s="386">
        <f>E75*E20</f>
        <v>336.5993153612377</v>
      </c>
      <c r="F76" s="1" t="s">
        <v>323</v>
      </c>
    </row>
    <row r="77" spans="2:24" x14ac:dyDescent="0.2">
      <c r="C77" s="12" t="s">
        <v>315</v>
      </c>
      <c r="E77" s="388">
        <f>Workings_costs!E50</f>
        <v>1500</v>
      </c>
      <c r="F77" s="1" t="s">
        <v>253</v>
      </c>
    </row>
    <row r="78" spans="2:24" x14ac:dyDescent="0.2">
      <c r="C78" s="12" t="s">
        <v>311</v>
      </c>
      <c r="E78" s="373">
        <v>504898.97304185655</v>
      </c>
      <c r="F78" s="1" t="s">
        <v>325</v>
      </c>
    </row>
    <row r="79" spans="2:24" x14ac:dyDescent="0.2">
      <c r="C79" s="12"/>
    </row>
    <row r="80" spans="2:24" x14ac:dyDescent="0.2">
      <c r="C80" s="12" t="s">
        <v>256</v>
      </c>
      <c r="E80" s="395">
        <f>Workings_costs!E56</f>
        <v>2</v>
      </c>
      <c r="F80" s="1" t="s">
        <v>257</v>
      </c>
    </row>
    <row r="81" spans="2:25" x14ac:dyDescent="0.2">
      <c r="C81" s="12" t="s">
        <v>302</v>
      </c>
      <c r="E81" s="356">
        <f>$E$71/$E$107</f>
        <v>151069.26061150391</v>
      </c>
      <c r="F81" s="1" t="s">
        <v>325</v>
      </c>
    </row>
    <row r="82" spans="2:25" x14ac:dyDescent="0.2">
      <c r="C82" s="12" t="s">
        <v>303</v>
      </c>
      <c r="E82" s="356">
        <f>$E$78/$E$107</f>
        <v>252449.48652092827</v>
      </c>
      <c r="F82" s="1" t="s">
        <v>325</v>
      </c>
    </row>
    <row r="83" spans="2:25" x14ac:dyDescent="0.2">
      <c r="C83" s="12"/>
    </row>
    <row r="84" spans="2:25" ht="13.5" customHeight="1" x14ac:dyDescent="0.2">
      <c r="C84" s="12"/>
      <c r="E84" s="377" t="s">
        <v>304</v>
      </c>
      <c r="F84" s="379"/>
      <c r="G84" s="380" t="s">
        <v>312</v>
      </c>
      <c r="H84" s="381"/>
      <c r="I84" s="381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2"/>
      <c r="V84" s="110"/>
      <c r="W84" s="110"/>
      <c r="X84" s="389"/>
    </row>
    <row r="85" spans="2:25" x14ac:dyDescent="0.2">
      <c r="C85" s="12"/>
      <c r="E85" s="383" t="s">
        <v>19</v>
      </c>
      <c r="F85" s="384" t="s">
        <v>21</v>
      </c>
      <c r="G85" s="383" t="s">
        <v>20</v>
      </c>
      <c r="H85" s="355" t="s">
        <v>22</v>
      </c>
      <c r="I85" s="355" t="s">
        <v>93</v>
      </c>
      <c r="J85" s="355" t="str">
        <f t="shared" ref="J85:X85" si="8">LEFT(I85,4)+1&amp;"-"&amp;RIGHT(I85,2)+1</f>
        <v>2031-32</v>
      </c>
      <c r="K85" s="355" t="str">
        <f t="shared" si="8"/>
        <v>2032-33</v>
      </c>
      <c r="L85" s="355" t="str">
        <f t="shared" si="8"/>
        <v>2033-34</v>
      </c>
      <c r="M85" s="355" t="str">
        <f t="shared" si="8"/>
        <v>2034-35</v>
      </c>
      <c r="N85" s="355" t="str">
        <f t="shared" si="8"/>
        <v>2035-36</v>
      </c>
      <c r="O85" s="355" t="str">
        <f t="shared" si="8"/>
        <v>2036-37</v>
      </c>
      <c r="P85" s="355" t="str">
        <f t="shared" si="8"/>
        <v>2037-38</v>
      </c>
      <c r="Q85" s="355" t="str">
        <f t="shared" si="8"/>
        <v>2038-39</v>
      </c>
      <c r="R85" s="355" t="str">
        <f t="shared" si="8"/>
        <v>2039-40</v>
      </c>
      <c r="S85" s="355" t="str">
        <f t="shared" si="8"/>
        <v>2040-41</v>
      </c>
      <c r="T85" s="355" t="str">
        <f t="shared" si="8"/>
        <v>2041-42</v>
      </c>
      <c r="U85" s="384" t="str">
        <f t="shared" si="8"/>
        <v>2042-43</v>
      </c>
      <c r="V85" s="355" t="str">
        <f t="shared" si="8"/>
        <v>2043-44</v>
      </c>
      <c r="W85" s="355" t="str">
        <f t="shared" si="8"/>
        <v>2044-45</v>
      </c>
      <c r="X85" s="384" t="str">
        <f t="shared" si="8"/>
        <v>2045-46</v>
      </c>
      <c r="Y85" s="2"/>
    </row>
    <row r="86" spans="2:25" x14ac:dyDescent="0.2">
      <c r="C86" s="12" t="s">
        <v>306</v>
      </c>
      <c r="E86" s="356">
        <f>$E$13-$E$81</f>
        <v>17174356.431896638</v>
      </c>
      <c r="F86" s="356">
        <f>E86-E81</f>
        <v>17023287.171285134</v>
      </c>
      <c r="G86" s="356">
        <f>F86</f>
        <v>17023287.171285134</v>
      </c>
      <c r="H86" s="356">
        <f t="shared" ref="H86:S87" si="9">G86</f>
        <v>17023287.171285134</v>
      </c>
      <c r="I86" s="356">
        <f t="shared" si="9"/>
        <v>17023287.171285134</v>
      </c>
      <c r="J86" s="356">
        <f t="shared" si="9"/>
        <v>17023287.171285134</v>
      </c>
      <c r="K86" s="356">
        <f t="shared" si="9"/>
        <v>17023287.171285134</v>
      </c>
      <c r="L86" s="356">
        <f t="shared" si="9"/>
        <v>17023287.171285134</v>
      </c>
      <c r="M86" s="356">
        <f t="shared" si="9"/>
        <v>17023287.171285134</v>
      </c>
      <c r="N86" s="356">
        <f t="shared" si="9"/>
        <v>17023287.171285134</v>
      </c>
      <c r="O86" s="356">
        <f t="shared" si="9"/>
        <v>17023287.171285134</v>
      </c>
      <c r="P86" s="356">
        <f t="shared" si="9"/>
        <v>17023287.171285134</v>
      </c>
      <c r="Q86" s="356">
        <f t="shared" si="9"/>
        <v>17023287.171285134</v>
      </c>
      <c r="R86" s="356">
        <f t="shared" si="9"/>
        <v>17023287.171285134</v>
      </c>
      <c r="S86" s="356">
        <f t="shared" si="9"/>
        <v>17023287.171285134</v>
      </c>
      <c r="T86" s="356">
        <f>S86+$E$93/$E$107</f>
        <v>17174356.431896638</v>
      </c>
      <c r="U86" s="356">
        <f>T86+$E$93/$E$107</f>
        <v>17325425.692508142</v>
      </c>
      <c r="V86" s="356">
        <f>U86</f>
        <v>17325425.692508142</v>
      </c>
      <c r="W86" s="356">
        <f t="shared" ref="W86:X87" si="10">V86</f>
        <v>17325425.692508142</v>
      </c>
      <c r="X86" s="356">
        <f t="shared" si="10"/>
        <v>17325425.692508142</v>
      </c>
      <c r="Y86" s="356"/>
    </row>
    <row r="87" spans="2:25" x14ac:dyDescent="0.2">
      <c r="C87" s="12" t="s">
        <v>307</v>
      </c>
      <c r="E87" s="356">
        <f>E23-E82</f>
        <v>42038850.207794577</v>
      </c>
      <c r="F87" s="356">
        <f>E87-E82</f>
        <v>41786400.721273646</v>
      </c>
      <c r="G87" s="356">
        <f>F87</f>
        <v>41786400.721273646</v>
      </c>
      <c r="H87" s="356">
        <f t="shared" si="9"/>
        <v>41786400.721273646</v>
      </c>
      <c r="I87" s="356">
        <f t="shared" si="9"/>
        <v>41786400.721273646</v>
      </c>
      <c r="J87" s="356">
        <f t="shared" si="9"/>
        <v>41786400.721273646</v>
      </c>
      <c r="K87" s="356">
        <f t="shared" si="9"/>
        <v>41786400.721273646</v>
      </c>
      <c r="L87" s="356">
        <f t="shared" si="9"/>
        <v>41786400.721273646</v>
      </c>
      <c r="M87" s="356">
        <f t="shared" si="9"/>
        <v>41786400.721273646</v>
      </c>
      <c r="N87" s="356">
        <f t="shared" si="9"/>
        <v>41786400.721273646</v>
      </c>
      <c r="O87" s="356">
        <f t="shared" si="9"/>
        <v>41786400.721273646</v>
      </c>
      <c r="P87" s="356">
        <f t="shared" si="9"/>
        <v>41786400.721273646</v>
      </c>
      <c r="Q87" s="356">
        <f t="shared" si="9"/>
        <v>41786400.721273646</v>
      </c>
      <c r="R87" s="356">
        <f t="shared" si="9"/>
        <v>41786400.721273646</v>
      </c>
      <c r="S87" s="356">
        <f t="shared" si="9"/>
        <v>41786400.721273646</v>
      </c>
      <c r="T87" s="356">
        <f>S87+$E$82</f>
        <v>42038850.207794577</v>
      </c>
      <c r="U87" s="356">
        <f>T87+$E$82</f>
        <v>42291299.694315508</v>
      </c>
      <c r="V87" s="356">
        <f>U87</f>
        <v>42291299.694315508</v>
      </c>
      <c r="W87" s="356">
        <f t="shared" si="10"/>
        <v>42291299.694315508</v>
      </c>
      <c r="X87" s="356">
        <f t="shared" si="10"/>
        <v>42291299.694315508</v>
      </c>
    </row>
    <row r="90" spans="2:25" s="349" customFormat="1" x14ac:dyDescent="0.2">
      <c r="B90" s="350" t="s">
        <v>280</v>
      </c>
      <c r="D90" s="351"/>
    </row>
    <row r="92" spans="2:25" x14ac:dyDescent="0.2">
      <c r="D92" s="370" t="s">
        <v>291</v>
      </c>
    </row>
    <row r="93" spans="2:25" x14ac:dyDescent="0.2">
      <c r="D93" s="2" t="s">
        <v>313</v>
      </c>
      <c r="E93" s="373">
        <v>302138.52122300782</v>
      </c>
      <c r="F93" s="1" t="s">
        <v>325</v>
      </c>
    </row>
    <row r="94" spans="2:25" x14ac:dyDescent="0.2">
      <c r="D94" s="2" t="s">
        <v>298</v>
      </c>
      <c r="E94" s="356">
        <f>E31</f>
        <v>572310.28509713337</v>
      </c>
      <c r="F94" s="1" t="s">
        <v>325</v>
      </c>
    </row>
    <row r="95" spans="2:25" x14ac:dyDescent="0.2">
      <c r="D95" s="2" t="s">
        <v>316</v>
      </c>
      <c r="E95" s="356">
        <f>E94+E93</f>
        <v>874448.80632014119</v>
      </c>
      <c r="F95" s="1" t="s">
        <v>325</v>
      </c>
    </row>
    <row r="96" spans="2:25" x14ac:dyDescent="0.2">
      <c r="D96" s="2" t="s">
        <v>299</v>
      </c>
      <c r="E96" s="356">
        <f>$E$13-$E$95</f>
        <v>16450976.886188</v>
      </c>
      <c r="F96" s="1" t="s">
        <v>325</v>
      </c>
      <c r="G96" s="356"/>
    </row>
    <row r="97" spans="4:25" x14ac:dyDescent="0.2">
      <c r="D97" s="2"/>
      <c r="E97" s="356"/>
    </row>
    <row r="98" spans="4:25" x14ac:dyDescent="0.2">
      <c r="D98" s="370" t="s">
        <v>233</v>
      </c>
      <c r="E98" s="356"/>
    </row>
    <row r="99" spans="4:25" x14ac:dyDescent="0.2">
      <c r="D99" s="2" t="s">
        <v>309</v>
      </c>
      <c r="E99" s="387">
        <f>E53</f>
        <v>7.0000000000000007E-2</v>
      </c>
      <c r="G99" s="231"/>
    </row>
    <row r="100" spans="4:25" x14ac:dyDescent="0.2">
      <c r="D100" s="2" t="s">
        <v>314</v>
      </c>
      <c r="E100" s="386">
        <f>E99*E20</f>
        <v>336.5993153612377</v>
      </c>
      <c r="F100" s="1" t="s">
        <v>263</v>
      </c>
    </row>
    <row r="101" spans="4:25" x14ac:dyDescent="0.2">
      <c r="D101" s="2" t="s">
        <v>315</v>
      </c>
      <c r="E101" s="388">
        <f>Workings_costs!E68</f>
        <v>1500</v>
      </c>
      <c r="F101" s="1" t="s">
        <v>253</v>
      </c>
    </row>
    <row r="102" spans="4:25" x14ac:dyDescent="0.2">
      <c r="D102" s="2" t="s">
        <v>311</v>
      </c>
      <c r="E102" s="356">
        <f>E101*E100</f>
        <v>504898.97304185655</v>
      </c>
      <c r="F102" s="1" t="s">
        <v>325</v>
      </c>
    </row>
    <row r="103" spans="4:25" x14ac:dyDescent="0.2">
      <c r="D103" s="2" t="s">
        <v>300</v>
      </c>
      <c r="E103" s="388">
        <f>Workings_costs!E74</f>
        <v>62</v>
      </c>
      <c r="F103" s="1" t="s">
        <v>253</v>
      </c>
    </row>
    <row r="104" spans="4:25" x14ac:dyDescent="0.2">
      <c r="D104" s="372" t="s">
        <v>317</v>
      </c>
      <c r="E104" s="356">
        <f>E103*E20</f>
        <v>298130.82217709627</v>
      </c>
      <c r="F104" s="1" t="s">
        <v>325</v>
      </c>
    </row>
    <row r="105" spans="4:25" x14ac:dyDescent="0.2">
      <c r="D105" s="2" t="s">
        <v>318</v>
      </c>
      <c r="E105" s="356">
        <f>E23-E102-E104</f>
        <v>41488269.899096556</v>
      </c>
      <c r="F105" s="1" t="s">
        <v>325</v>
      </c>
      <c r="G105" s="356"/>
    </row>
    <row r="107" spans="4:25" x14ac:dyDescent="0.2">
      <c r="D107" s="2" t="s">
        <v>256</v>
      </c>
      <c r="E107" s="145">
        <v>2</v>
      </c>
    </row>
    <row r="108" spans="4:25" x14ac:dyDescent="0.2">
      <c r="D108" s="2" t="s">
        <v>302</v>
      </c>
      <c r="E108" s="356">
        <f>E95/$E$107</f>
        <v>437224.40316007059</v>
      </c>
      <c r="F108" s="1" t="s">
        <v>325</v>
      </c>
    </row>
    <row r="109" spans="4:25" x14ac:dyDescent="0.2">
      <c r="D109" s="2" t="s">
        <v>303</v>
      </c>
      <c r="E109" s="356">
        <f>(E102+E104)/$E$107</f>
        <v>401514.89760947641</v>
      </c>
      <c r="F109" s="1" t="s">
        <v>325</v>
      </c>
    </row>
    <row r="111" spans="4:25" ht="13.5" customHeight="1" x14ac:dyDescent="0.2">
      <c r="D111" s="2"/>
      <c r="E111" s="377" t="s">
        <v>304</v>
      </c>
      <c r="F111" s="379"/>
      <c r="G111" s="380" t="s">
        <v>312</v>
      </c>
      <c r="H111" s="381"/>
      <c r="I111" s="381"/>
      <c r="J111" s="381"/>
      <c r="K111" s="381"/>
      <c r="L111" s="381"/>
      <c r="M111" s="381"/>
      <c r="N111" s="381"/>
      <c r="O111" s="381"/>
      <c r="P111" s="381"/>
      <c r="Q111" s="381"/>
      <c r="R111" s="381"/>
      <c r="S111" s="381"/>
      <c r="T111" s="381"/>
      <c r="U111" s="382"/>
      <c r="V111" s="110"/>
      <c r="W111" s="110"/>
      <c r="X111" s="389"/>
    </row>
    <row r="112" spans="4:25" x14ac:dyDescent="0.2">
      <c r="D112" s="2"/>
      <c r="E112" s="383" t="s">
        <v>19</v>
      </c>
      <c r="F112" s="384" t="s">
        <v>21</v>
      </c>
      <c r="G112" s="383" t="s">
        <v>20</v>
      </c>
      <c r="H112" s="355" t="s">
        <v>22</v>
      </c>
      <c r="I112" s="355" t="s">
        <v>93</v>
      </c>
      <c r="J112" s="355" t="str">
        <f t="shared" ref="J112:X112" si="11">LEFT(I112,4)+1&amp;"-"&amp;RIGHT(I112,2)+1</f>
        <v>2031-32</v>
      </c>
      <c r="K112" s="355" t="str">
        <f t="shared" si="11"/>
        <v>2032-33</v>
      </c>
      <c r="L112" s="355" t="str">
        <f t="shared" si="11"/>
        <v>2033-34</v>
      </c>
      <c r="M112" s="355" t="str">
        <f t="shared" si="11"/>
        <v>2034-35</v>
      </c>
      <c r="N112" s="355" t="str">
        <f t="shared" si="11"/>
        <v>2035-36</v>
      </c>
      <c r="O112" s="355" t="str">
        <f t="shared" si="11"/>
        <v>2036-37</v>
      </c>
      <c r="P112" s="355" t="str">
        <f t="shared" si="11"/>
        <v>2037-38</v>
      </c>
      <c r="Q112" s="355" t="str">
        <f t="shared" si="11"/>
        <v>2038-39</v>
      </c>
      <c r="R112" s="355" t="str">
        <f t="shared" si="11"/>
        <v>2039-40</v>
      </c>
      <c r="S112" s="355" t="str">
        <f t="shared" si="11"/>
        <v>2040-41</v>
      </c>
      <c r="T112" s="355" t="str">
        <f t="shared" si="11"/>
        <v>2041-42</v>
      </c>
      <c r="U112" s="384" t="str">
        <f t="shared" si="11"/>
        <v>2042-43</v>
      </c>
      <c r="V112" s="355" t="str">
        <f t="shared" si="11"/>
        <v>2043-44</v>
      </c>
      <c r="W112" s="355" t="str">
        <f t="shared" si="11"/>
        <v>2044-45</v>
      </c>
      <c r="X112" s="384" t="str">
        <f t="shared" si="11"/>
        <v>2045-46</v>
      </c>
      <c r="Y112" s="2"/>
    </row>
    <row r="113" spans="4:25" x14ac:dyDescent="0.2">
      <c r="D113" s="2" t="s">
        <v>306</v>
      </c>
      <c r="E113" s="356">
        <f>$E$13-$E$108</f>
        <v>16888201.289348073</v>
      </c>
      <c r="F113" s="356">
        <f>E113-$E$108</f>
        <v>16450976.886188002</v>
      </c>
      <c r="G113" s="356">
        <f>F113</f>
        <v>16450976.886188002</v>
      </c>
      <c r="H113" s="356">
        <f t="shared" ref="H113:S114" si="12">G113</f>
        <v>16450976.886188002</v>
      </c>
      <c r="I113" s="356">
        <f t="shared" si="12"/>
        <v>16450976.886188002</v>
      </c>
      <c r="J113" s="356">
        <f t="shared" si="12"/>
        <v>16450976.886188002</v>
      </c>
      <c r="K113" s="356">
        <f t="shared" si="12"/>
        <v>16450976.886188002</v>
      </c>
      <c r="L113" s="356">
        <f t="shared" si="12"/>
        <v>16450976.886188002</v>
      </c>
      <c r="M113" s="356">
        <f t="shared" si="12"/>
        <v>16450976.886188002</v>
      </c>
      <c r="N113" s="356">
        <f t="shared" si="12"/>
        <v>16450976.886188002</v>
      </c>
      <c r="O113" s="356">
        <f t="shared" si="12"/>
        <v>16450976.886188002</v>
      </c>
      <c r="P113" s="356">
        <f t="shared" si="12"/>
        <v>16450976.886188002</v>
      </c>
      <c r="Q113" s="356">
        <f t="shared" si="12"/>
        <v>16450976.886188002</v>
      </c>
      <c r="R113" s="356">
        <f t="shared" si="12"/>
        <v>16450976.886188002</v>
      </c>
      <c r="S113" s="356">
        <f t="shared" si="12"/>
        <v>16450976.886188002</v>
      </c>
      <c r="T113" s="356">
        <f>S113+$E$93/$E$107</f>
        <v>16602046.146799507</v>
      </c>
      <c r="U113" s="356">
        <f>T113+$E$93/$E$107</f>
        <v>16753115.407411011</v>
      </c>
      <c r="V113" s="356">
        <f>U113</f>
        <v>16753115.407411011</v>
      </c>
      <c r="W113" s="356">
        <f t="shared" ref="W113:X114" si="13">V113</f>
        <v>16753115.407411011</v>
      </c>
      <c r="X113" s="356">
        <f t="shared" si="13"/>
        <v>16753115.407411011</v>
      </c>
      <c r="Y113" s="356"/>
    </row>
    <row r="114" spans="4:25" x14ac:dyDescent="0.2">
      <c r="D114" s="2" t="s">
        <v>307</v>
      </c>
      <c r="E114" s="356">
        <f>E23-E109</f>
        <v>41889784.796706028</v>
      </c>
      <c r="F114" s="356">
        <f>E114-E109</f>
        <v>41488269.899096549</v>
      </c>
      <c r="G114" s="356">
        <f>F114</f>
        <v>41488269.899096549</v>
      </c>
      <c r="H114" s="356">
        <f t="shared" si="12"/>
        <v>41488269.899096549</v>
      </c>
      <c r="I114" s="356">
        <f t="shared" si="12"/>
        <v>41488269.899096549</v>
      </c>
      <c r="J114" s="356">
        <f t="shared" si="12"/>
        <v>41488269.899096549</v>
      </c>
      <c r="K114" s="356">
        <f t="shared" si="12"/>
        <v>41488269.899096549</v>
      </c>
      <c r="L114" s="356">
        <f t="shared" si="12"/>
        <v>41488269.899096549</v>
      </c>
      <c r="M114" s="356">
        <f t="shared" si="12"/>
        <v>41488269.899096549</v>
      </c>
      <c r="N114" s="356">
        <f t="shared" si="12"/>
        <v>41488269.899096549</v>
      </c>
      <c r="O114" s="356">
        <f t="shared" si="12"/>
        <v>41488269.899096549</v>
      </c>
      <c r="P114" s="356">
        <f t="shared" si="12"/>
        <v>41488269.899096549</v>
      </c>
      <c r="Q114" s="356">
        <f t="shared" si="12"/>
        <v>41488269.899096549</v>
      </c>
      <c r="R114" s="356">
        <f t="shared" si="12"/>
        <v>41488269.899096549</v>
      </c>
      <c r="S114" s="356">
        <f t="shared" si="12"/>
        <v>41488269.899096549</v>
      </c>
      <c r="T114" s="356">
        <f>S114+$E$102/2</f>
        <v>41740719.38561748</v>
      </c>
      <c r="U114" s="356">
        <f>T114+$E$102/2</f>
        <v>41993168.872138411</v>
      </c>
      <c r="V114" s="356">
        <f>U114</f>
        <v>41993168.872138411</v>
      </c>
      <c r="W114" s="356">
        <f t="shared" si="13"/>
        <v>41993168.872138411</v>
      </c>
      <c r="X114" s="356">
        <f t="shared" si="13"/>
        <v>41993168.872138411</v>
      </c>
    </row>
  </sheetData>
  <mergeCells count="8">
    <mergeCell ref="E111:F111"/>
    <mergeCell ref="G111:U111"/>
    <mergeCell ref="E41:I41"/>
    <mergeCell ref="J41:X41"/>
    <mergeCell ref="E62:I62"/>
    <mergeCell ref="J62:X62"/>
    <mergeCell ref="E84:F84"/>
    <mergeCell ref="G84:U84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 xml:space="preserve">Minimise bushfire risk from bare 22kV non-REFCL lines in HBRA 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199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184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185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210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211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212</v>
      </c>
      <c r="D23" s="41">
        <f>D22/D21</f>
        <v>1</v>
      </c>
    </row>
    <row r="25" spans="1:34" x14ac:dyDescent="0.2">
      <c r="B25" s="81" t="s">
        <v>237</v>
      </c>
      <c r="C25" s="8" t="str">
        <f>start</f>
        <v>2026-27</v>
      </c>
    </row>
    <row r="28" spans="1:34" s="1" customFormat="1" ht="15" x14ac:dyDescent="0.2">
      <c r="A28" s="18" t="s">
        <v>208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191</v>
      </c>
      <c r="D31" s="194" t="s">
        <v>198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>
        <f>Option4!$G$92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153</v>
      </c>
      <c r="C35" s="191">
        <f>Option5!$G$92</f>
        <v>1</v>
      </c>
      <c r="D35" s="10" t="b">
        <f>NOT(Data!C13)</f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191</v>
      </c>
      <c r="C38" s="195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D4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242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162</v>
      </c>
      <c r="B70" s="239" t="s">
        <v>209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 xml:space="preserve">Minimise bushfire risk from bare 22kV non-REFCL lines in HBRA 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197</v>
      </c>
      <c r="F8" s="8" t="s">
        <v>227</v>
      </c>
      <c r="T8"/>
      <c r="U8"/>
      <c r="V8"/>
    </row>
    <row r="9" spans="1:27" x14ac:dyDescent="0.2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145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146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0</v>
      </c>
      <c r="D13" s="8" t="str">
        <f>IF(C13, $C$8, "")</f>
        <v/>
      </c>
      <c r="F13" s="8" t="b">
        <f>C13</f>
        <v>0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186</v>
      </c>
      <c r="C35" s="23">
        <v>1</v>
      </c>
      <c r="T35"/>
      <c r="U35"/>
      <c r="V35"/>
      <c r="W35"/>
    </row>
    <row r="36" spans="1:23" x14ac:dyDescent="0.2">
      <c r="B36" s="23" t="s">
        <v>170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158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159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160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162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162</v>
      </c>
      <c r="C75" s="153" t="s">
        <v>161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189</v>
      </c>
      <c r="C78" s="8" t="s">
        <v>190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176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177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158</v>
      </c>
      <c r="R106" s="8" t="s">
        <v>27</v>
      </c>
      <c r="T106" s="8" t="s">
        <v>224</v>
      </c>
      <c r="U106"/>
      <c r="V106" s="8" t="s">
        <v>234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235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8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2025-01-29T15:50:46Z</dcterms:modified>
</cp:coreProperties>
</file>