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2.xml" ContentType="application/vnd.openxmlformats-officedocument.themeOverrid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/>
  <xr:revisionPtr revIDLastSave="0" documentId="13_ncr:1_{92A220E6-CF10-4DF8-80F6-6DD24B633C55}" xr6:coauthVersionLast="47" xr6:coauthVersionMax="47" xr10:uidLastSave="{00000000-0000-0000-0000-000000000000}"/>
  <bookViews>
    <workbookView xWindow="8775" yWindow="0" windowWidth="20130" windowHeight="15585" tabRatio="684" xr2:uid="{00000000-000D-0000-FFFF-FFFF00000000}"/>
  </bookViews>
  <sheets>
    <sheet name="Cover" sheetId="86" r:id="rId1"/>
    <sheet name="Summary" sheetId="33" r:id="rId2"/>
    <sheet name="Assumptions" sheetId="43" r:id="rId3"/>
    <sheet name="Option1 (base case)" sheetId="68" r:id="rId4"/>
    <sheet name="Option2" sheetId="81" r:id="rId5"/>
    <sheet name="Option3" sheetId="72" r:id="rId6"/>
    <sheet name="Option4" sheetId="73" r:id="rId7"/>
    <sheet name="Option5" sheetId="82" r:id="rId8"/>
    <sheet name="Consol" sheetId="75" r:id="rId9"/>
    <sheet name="Sensitivity_calcs" sheetId="85" r:id="rId10"/>
    <sheet name="Workings_risks" sheetId="88" r:id="rId11"/>
    <sheet name="Reliability data" sheetId="87" r:id="rId12"/>
    <sheet name="Misc_calcs" sheetId="62" r:id="rId13"/>
    <sheet name="Data" sheetId="47" r:id="rId14"/>
  </sheets>
  <definedNames>
    <definedName name="bus">Assumptions!$E$6</definedName>
    <definedName name="bushfire_outage_duration">Workings_risks!$F$18</definedName>
    <definedName name="compliance">Data!$E$16</definedName>
    <definedName name="conv_2026">Misc_calcs!$D$19</definedName>
    <definedName name="custval_date">Assumptions!$G$34</definedName>
    <definedName name="CY_years">Misc_calcs!$H$6:$M$6</definedName>
    <definedName name="first_year">Misc_calcs!$C$38</definedName>
    <definedName name="hy_dates">Misc_calcs!$H$11:$R$11</definedName>
    <definedName name="hy_escalation">Misc_calcs!$H$15:$R$15</definedName>
    <definedName name="input_dollars">Assumptions!$G$27</definedName>
    <definedName name="list">list_start:OFFSET(list_start, 0,0,count, 1)</definedName>
    <definedName name="mill_conv">Data!$C$71</definedName>
    <definedName name="options">Data!$B$9:$B$13</definedName>
    <definedName name="output_dollars">Assumptions!$G$33</definedName>
    <definedName name="preferred">Summary!$C$18</definedName>
    <definedName name="_xlnm.Print_Area" localSheetId="2">Assumptions!$A$1:$P$122</definedName>
    <definedName name="proj">Assumptions!$E$8</definedName>
    <definedName name="real_disc">Assumptions!$G$28</definedName>
    <definedName name="sheets">Cover!$A$40</definedName>
    <definedName name="solar_demand_correction">'Option1 (base case)'!$E$27</definedName>
    <definedName name="start">Assumptions!$E$22</definedName>
    <definedName name="start_year">Misc_calcs!$C$25</definedName>
    <definedName name="thous_conv">Data!$C$70</definedName>
    <definedName name="vcr_date">Assumptions!$G$29</definedName>
    <definedName name="vcr_esc">Misc_calcs!$D$23</definedName>
    <definedName name="years">Assumptions!$G$31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0" i="86" l="1"/>
  <c r="E112" i="72" l="1"/>
  <c r="E50" i="81"/>
  <c r="D50" i="81"/>
  <c r="C50" i="81"/>
  <c r="E49" i="81"/>
  <c r="D49" i="81"/>
  <c r="C49" i="81"/>
  <c r="E48" i="81"/>
  <c r="D48" i="81"/>
  <c r="C48" i="81"/>
  <c r="E47" i="81"/>
  <c r="D47" i="81"/>
  <c r="C47" i="81"/>
  <c r="E46" i="81"/>
  <c r="D46" i="81"/>
  <c r="C46" i="81"/>
  <c r="E45" i="81"/>
  <c r="D45" i="81"/>
  <c r="C45" i="81"/>
  <c r="E50" i="72"/>
  <c r="D50" i="72"/>
  <c r="C50" i="72"/>
  <c r="E49" i="72"/>
  <c r="D49" i="72"/>
  <c r="C49" i="72"/>
  <c r="E48" i="72"/>
  <c r="D48" i="72"/>
  <c r="C48" i="72"/>
  <c r="E47" i="72"/>
  <c r="D47" i="72"/>
  <c r="C47" i="72"/>
  <c r="E46" i="72"/>
  <c r="D46" i="72"/>
  <c r="C46" i="72"/>
  <c r="E45" i="72"/>
  <c r="D45" i="72"/>
  <c r="C45" i="72"/>
  <c r="E50" i="82"/>
  <c r="D50" i="82"/>
  <c r="C50" i="82"/>
  <c r="E49" i="82"/>
  <c r="D49" i="82"/>
  <c r="C49" i="82"/>
  <c r="E48" i="82"/>
  <c r="D48" i="82"/>
  <c r="C48" i="82"/>
  <c r="E47" i="82"/>
  <c r="D47" i="82"/>
  <c r="C47" i="82"/>
  <c r="E46" i="82"/>
  <c r="D46" i="82"/>
  <c r="C46" i="82"/>
  <c r="E45" i="82"/>
  <c r="D45" i="82"/>
  <c r="C45" i="82"/>
  <c r="D46" i="73"/>
  <c r="D47" i="73"/>
  <c r="D48" i="73"/>
  <c r="D49" i="73"/>
  <c r="D50" i="73"/>
  <c r="D45" i="73"/>
  <c r="C50" i="73"/>
  <c r="C49" i="73"/>
  <c r="C48" i="73"/>
  <c r="C47" i="73"/>
  <c r="C46" i="73"/>
  <c r="C45" i="73"/>
  <c r="E46" i="73"/>
  <c r="E47" i="73"/>
  <c r="E48" i="73"/>
  <c r="E49" i="73"/>
  <c r="E50" i="73"/>
  <c r="E51" i="73"/>
  <c r="E52" i="73"/>
  <c r="E45" i="73"/>
  <c r="E47" i="68"/>
  <c r="E48" i="68"/>
  <c r="E49" i="68"/>
  <c r="E50" i="68"/>
  <c r="E46" i="68"/>
  <c r="E45" i="68"/>
  <c r="E51" i="68"/>
  <c r="E52" i="68"/>
  <c r="L45" i="81" l="1"/>
  <c r="L45" i="72" s="1"/>
  <c r="K45" i="81"/>
  <c r="K45" i="72" s="1"/>
  <c r="J45" i="81"/>
  <c r="J45" i="72" s="1"/>
  <c r="I45" i="81"/>
  <c r="I45" i="72" s="1"/>
  <c r="J46" i="81"/>
  <c r="J46" i="72" s="1"/>
  <c r="K46" i="81"/>
  <c r="K46" i="72" s="1"/>
  <c r="L46" i="81"/>
  <c r="L46" i="72" s="1"/>
  <c r="J47" i="81"/>
  <c r="J47" i="72" s="1"/>
  <c r="K47" i="81"/>
  <c r="K47" i="72" s="1"/>
  <c r="L47" i="81"/>
  <c r="L47" i="72" s="1"/>
  <c r="J48" i="81"/>
  <c r="J48" i="72" s="1"/>
  <c r="K48" i="81"/>
  <c r="K48" i="72" s="1"/>
  <c r="L48" i="81"/>
  <c r="L48" i="72" s="1"/>
  <c r="J49" i="81"/>
  <c r="J49" i="72" s="1"/>
  <c r="K49" i="81"/>
  <c r="K49" i="72" s="1"/>
  <c r="L49" i="81"/>
  <c r="L49" i="72" s="1"/>
  <c r="J50" i="81"/>
  <c r="K50" i="81"/>
  <c r="L50" i="81"/>
  <c r="I50" i="81"/>
  <c r="I49" i="81"/>
  <c r="I49" i="72" s="1"/>
  <c r="I48" i="81"/>
  <c r="I48" i="72" s="1"/>
  <c r="I47" i="81"/>
  <c r="I47" i="72" s="1"/>
  <c r="I46" i="81"/>
  <c r="I46" i="72" s="1"/>
  <c r="H41" i="43" a="1"/>
  <c r="H41" i="43" s="1"/>
  <c r="J25" i="88"/>
  <c r="J28" i="88" s="1"/>
  <c r="F13" i="88"/>
  <c r="A2" i="88"/>
  <c r="A1" i="88"/>
  <c r="K17" i="87"/>
  <c r="K23" i="87" s="1"/>
  <c r="K16" i="87"/>
  <c r="K14" i="87"/>
  <c r="K8" i="87"/>
  <c r="K9" i="87" s="1"/>
  <c r="K10" i="87" s="1"/>
  <c r="K4" i="87"/>
  <c r="F19" i="88" s="1"/>
  <c r="K15" i="87" l="1"/>
  <c r="N31" i="88"/>
  <c r="O31" i="88"/>
  <c r="AC31" i="88"/>
  <c r="I31" i="88"/>
  <c r="J31" i="88"/>
  <c r="K31" i="88"/>
  <c r="L31" i="88"/>
  <c r="M31" i="88"/>
  <c r="K20" i="87"/>
  <c r="AD31" i="88"/>
  <c r="AE31" i="88"/>
  <c r="AF31" i="88"/>
  <c r="AG31" i="88"/>
  <c r="I32" i="88"/>
  <c r="P31" i="88"/>
  <c r="Q31" i="88"/>
  <c r="R31" i="88"/>
  <c r="S31" i="88"/>
  <c r="T31" i="88"/>
  <c r="W31" i="88"/>
  <c r="Y31" i="88"/>
  <c r="Z31" i="88"/>
  <c r="AA31" i="88"/>
  <c r="U31" i="88"/>
  <c r="V31" i="88"/>
  <c r="X31" i="88"/>
  <c r="AB31" i="88"/>
  <c r="X27" i="68"/>
  <c r="W27" i="68"/>
  <c r="M27" i="68"/>
  <c r="K25" i="88"/>
  <c r="K28" i="88" s="1"/>
  <c r="AB27" i="68"/>
  <c r="AA27" i="68"/>
  <c r="Z27" i="68"/>
  <c r="Y27" i="68"/>
  <c r="V27" i="68"/>
  <c r="R27" i="68"/>
  <c r="Q27" i="68"/>
  <c r="L27" i="68"/>
  <c r="L27" i="72" s="1"/>
  <c r="K27" i="68"/>
  <c r="K27" i="72" s="1"/>
  <c r="J27" i="68"/>
  <c r="J27" i="72" s="1"/>
  <c r="AF27" i="68"/>
  <c r="AE27" i="68"/>
  <c r="AD27" i="68"/>
  <c r="AC27" i="68"/>
  <c r="J32" i="88"/>
  <c r="U27" i="68"/>
  <c r="T27" i="68"/>
  <c r="S27" i="68"/>
  <c r="P27" i="68"/>
  <c r="O27" i="68"/>
  <c r="I27" i="68"/>
  <c r="I27" i="72" s="1"/>
  <c r="N27" i="68"/>
  <c r="AG27" i="68"/>
  <c r="K19" i="87"/>
  <c r="K22" i="87"/>
  <c r="I9" i="68"/>
  <c r="K32" i="88" l="1"/>
  <c r="L25" i="88"/>
  <c r="L28" i="88" s="1"/>
  <c r="L27" i="81"/>
  <c r="I27" i="81"/>
  <c r="J27" i="81"/>
  <c r="K27" i="81"/>
  <c r="H9" i="68"/>
  <c r="H9" i="75" s="1"/>
  <c r="H5" i="75" s="1"/>
  <c r="I24" i="88"/>
  <c r="C25" i="62"/>
  <c r="A2" i="43"/>
  <c r="M25" i="88" l="1"/>
  <c r="M28" i="88" s="1"/>
  <c r="L32" i="88"/>
  <c r="C115" i="43"/>
  <c r="C116" i="43"/>
  <c r="C118" i="43"/>
  <c r="C119" i="43"/>
  <c r="N25" i="88" l="1"/>
  <c r="N28" i="88" s="1"/>
  <c r="M32" i="88"/>
  <c r="A92" i="85"/>
  <c r="A93" i="85"/>
  <c r="A94" i="85"/>
  <c r="A95" i="85"/>
  <c r="A96" i="85"/>
  <c r="A97" i="85"/>
  <c r="A98" i="85"/>
  <c r="A91" i="85"/>
  <c r="B92" i="85"/>
  <c r="B93" i="85"/>
  <c r="B94" i="85"/>
  <c r="B95" i="85"/>
  <c r="B96" i="85"/>
  <c r="B97" i="85"/>
  <c r="B98" i="85"/>
  <c r="B91" i="85"/>
  <c r="G106" i="82"/>
  <c r="G106" i="73"/>
  <c r="G106" i="72"/>
  <c r="G106" i="81"/>
  <c r="G106" i="68"/>
  <c r="E117" i="82"/>
  <c r="D117" i="82"/>
  <c r="C117" i="82"/>
  <c r="A117" i="82"/>
  <c r="G117" i="82" s="1"/>
  <c r="E116" i="82"/>
  <c r="D116" i="82"/>
  <c r="C116" i="82"/>
  <c r="A116" i="82"/>
  <c r="G116" i="82" s="1"/>
  <c r="E115" i="82"/>
  <c r="D115" i="82"/>
  <c r="C115" i="82"/>
  <c r="A115" i="82"/>
  <c r="G115" i="82" s="1"/>
  <c r="E114" i="82"/>
  <c r="D114" i="82"/>
  <c r="C114" i="82"/>
  <c r="A114" i="82"/>
  <c r="G114" i="82" s="1"/>
  <c r="E113" i="82"/>
  <c r="D113" i="82"/>
  <c r="C113" i="82"/>
  <c r="A113" i="82"/>
  <c r="G113" i="82" s="1"/>
  <c r="E112" i="82"/>
  <c r="D112" i="82"/>
  <c r="C112" i="82"/>
  <c r="A112" i="82"/>
  <c r="G112" i="82" s="1"/>
  <c r="E111" i="82"/>
  <c r="D111" i="82"/>
  <c r="C111" i="82"/>
  <c r="A111" i="82"/>
  <c r="G111" i="82" s="1"/>
  <c r="E110" i="82"/>
  <c r="D110" i="82"/>
  <c r="C110" i="82"/>
  <c r="A110" i="82"/>
  <c r="G110" i="82" s="1"/>
  <c r="E109" i="82"/>
  <c r="D109" i="82"/>
  <c r="E117" i="73"/>
  <c r="D117" i="73"/>
  <c r="C117" i="73"/>
  <c r="A117" i="73"/>
  <c r="G117" i="73" s="1"/>
  <c r="E116" i="73"/>
  <c r="D116" i="73"/>
  <c r="C116" i="73"/>
  <c r="A116" i="73"/>
  <c r="G116" i="73" s="1"/>
  <c r="E115" i="73"/>
  <c r="D115" i="73"/>
  <c r="C115" i="73"/>
  <c r="A115" i="73"/>
  <c r="G115" i="73" s="1"/>
  <c r="E114" i="73"/>
  <c r="D114" i="73"/>
  <c r="C114" i="73"/>
  <c r="A114" i="73"/>
  <c r="G114" i="73" s="1"/>
  <c r="E113" i="73"/>
  <c r="D113" i="73"/>
  <c r="C113" i="73"/>
  <c r="A113" i="73"/>
  <c r="G113" i="73" s="1"/>
  <c r="E112" i="73"/>
  <c r="D112" i="73"/>
  <c r="C112" i="73"/>
  <c r="A112" i="73"/>
  <c r="G112" i="73" s="1"/>
  <c r="E111" i="73"/>
  <c r="D111" i="73"/>
  <c r="C111" i="73"/>
  <c r="A111" i="73"/>
  <c r="G111" i="73" s="1"/>
  <c r="E110" i="73"/>
  <c r="D110" i="73"/>
  <c r="C110" i="73"/>
  <c r="A110" i="73"/>
  <c r="G110" i="73" s="1"/>
  <c r="E109" i="73"/>
  <c r="D109" i="73"/>
  <c r="E117" i="72"/>
  <c r="D117" i="72"/>
  <c r="C117" i="72"/>
  <c r="A117" i="72"/>
  <c r="G117" i="72" s="1"/>
  <c r="E116" i="72"/>
  <c r="D116" i="72"/>
  <c r="C116" i="72"/>
  <c r="A116" i="72"/>
  <c r="G116" i="72" s="1"/>
  <c r="E115" i="72"/>
  <c r="D115" i="72"/>
  <c r="C115" i="72"/>
  <c r="A115" i="72"/>
  <c r="G115" i="72" s="1"/>
  <c r="E114" i="72"/>
  <c r="D114" i="72"/>
  <c r="C114" i="72"/>
  <c r="A114" i="72"/>
  <c r="G114" i="72" s="1"/>
  <c r="E113" i="72"/>
  <c r="D113" i="72"/>
  <c r="C113" i="72"/>
  <c r="A113" i="72"/>
  <c r="G113" i="72" s="1"/>
  <c r="D112" i="72"/>
  <c r="C112" i="72"/>
  <c r="A112" i="72"/>
  <c r="G112" i="72" s="1"/>
  <c r="E111" i="72"/>
  <c r="D111" i="72"/>
  <c r="C111" i="72"/>
  <c r="A111" i="72"/>
  <c r="G111" i="72" s="1"/>
  <c r="E110" i="72"/>
  <c r="D110" i="72"/>
  <c r="C110" i="72"/>
  <c r="A110" i="72"/>
  <c r="G110" i="72" s="1"/>
  <c r="E109" i="72"/>
  <c r="D109" i="72"/>
  <c r="E117" i="68"/>
  <c r="D117" i="68"/>
  <c r="C117" i="68"/>
  <c r="A117" i="68"/>
  <c r="G117" i="68" s="1"/>
  <c r="E116" i="68"/>
  <c r="D116" i="68"/>
  <c r="C116" i="68"/>
  <c r="A116" i="68"/>
  <c r="G116" i="68" s="1"/>
  <c r="E115" i="68"/>
  <c r="D115" i="68"/>
  <c r="C115" i="68"/>
  <c r="A115" i="68"/>
  <c r="G115" i="68" s="1"/>
  <c r="E114" i="68"/>
  <c r="D114" i="68"/>
  <c r="C114" i="68"/>
  <c r="A114" i="68"/>
  <c r="G114" i="68" s="1"/>
  <c r="E113" i="68"/>
  <c r="D113" i="68"/>
  <c r="C113" i="68"/>
  <c r="A113" i="68"/>
  <c r="G113" i="68" s="1"/>
  <c r="E112" i="68"/>
  <c r="D112" i="68"/>
  <c r="C112" i="68"/>
  <c r="A112" i="68"/>
  <c r="G112" i="68" s="1"/>
  <c r="E111" i="68"/>
  <c r="D111" i="68"/>
  <c r="C111" i="68"/>
  <c r="A111" i="68"/>
  <c r="G111" i="68" s="1"/>
  <c r="E110" i="68"/>
  <c r="D110" i="68"/>
  <c r="C110" i="68"/>
  <c r="A110" i="68"/>
  <c r="G110" i="68" s="1"/>
  <c r="E109" i="68"/>
  <c r="D109" i="68"/>
  <c r="A111" i="81"/>
  <c r="A112" i="81"/>
  <c r="A113" i="81"/>
  <c r="A114" i="81"/>
  <c r="A115" i="81"/>
  <c r="A116" i="81"/>
  <c r="A117" i="81"/>
  <c r="A110" i="81"/>
  <c r="E109" i="81"/>
  <c r="D109" i="81"/>
  <c r="C117" i="81"/>
  <c r="C116" i="81"/>
  <c r="C115" i="81"/>
  <c r="D115" i="81"/>
  <c r="E115" i="81"/>
  <c r="D116" i="81"/>
  <c r="E116" i="81"/>
  <c r="D117" i="81"/>
  <c r="E117" i="81"/>
  <c r="E114" i="81"/>
  <c r="D114" i="81"/>
  <c r="E113" i="81"/>
  <c r="D113" i="81"/>
  <c r="D112" i="81"/>
  <c r="E111" i="81"/>
  <c r="D111" i="81"/>
  <c r="E110" i="81"/>
  <c r="D110" i="81"/>
  <c r="O25" i="88" l="1"/>
  <c r="O28" i="88" s="1"/>
  <c r="N32" i="88"/>
  <c r="J77" i="68"/>
  <c r="K77" i="68"/>
  <c r="L77" i="68"/>
  <c r="M77" i="68"/>
  <c r="N77" i="68"/>
  <c r="O77" i="68"/>
  <c r="P77" i="68"/>
  <c r="Q77" i="68"/>
  <c r="R77" i="68"/>
  <c r="S77" i="68"/>
  <c r="T77" i="68"/>
  <c r="U77" i="68"/>
  <c r="V77" i="68"/>
  <c r="W77" i="68"/>
  <c r="X77" i="68"/>
  <c r="Y77" i="68"/>
  <c r="Z77" i="68"/>
  <c r="AA77" i="68"/>
  <c r="AB77" i="68"/>
  <c r="AC77" i="68"/>
  <c r="AD77" i="68"/>
  <c r="AE77" i="68"/>
  <c r="AF77" i="68"/>
  <c r="AG77" i="68"/>
  <c r="J78" i="68"/>
  <c r="K78" i="68"/>
  <c r="L78" i="68"/>
  <c r="M78" i="68"/>
  <c r="N78" i="68"/>
  <c r="O78" i="68"/>
  <c r="P78" i="68"/>
  <c r="Q78" i="68"/>
  <c r="R78" i="68"/>
  <c r="S78" i="68"/>
  <c r="T78" i="68"/>
  <c r="U78" i="68"/>
  <c r="V78" i="68"/>
  <c r="W78" i="68"/>
  <c r="X78" i="68"/>
  <c r="Y78" i="68"/>
  <c r="Z78" i="68"/>
  <c r="AA78" i="68"/>
  <c r="AB78" i="68"/>
  <c r="AC78" i="68"/>
  <c r="AD78" i="68"/>
  <c r="AE78" i="68"/>
  <c r="AF78" i="68"/>
  <c r="AG78" i="68"/>
  <c r="J79" i="68"/>
  <c r="K79" i="68"/>
  <c r="L79" i="68"/>
  <c r="M79" i="68"/>
  <c r="N79" i="68"/>
  <c r="O79" i="68"/>
  <c r="P79" i="68"/>
  <c r="Q79" i="68"/>
  <c r="R79" i="68"/>
  <c r="S79" i="68"/>
  <c r="T79" i="68"/>
  <c r="U79" i="68"/>
  <c r="V79" i="68"/>
  <c r="W79" i="68"/>
  <c r="X79" i="68"/>
  <c r="Y79" i="68"/>
  <c r="Z79" i="68"/>
  <c r="AA79" i="68"/>
  <c r="AB79" i="68"/>
  <c r="AC79" i="68"/>
  <c r="AD79" i="68"/>
  <c r="AE79" i="68"/>
  <c r="AF79" i="68"/>
  <c r="AG79" i="68"/>
  <c r="I79" i="68"/>
  <c r="I78" i="68"/>
  <c r="I77" i="68"/>
  <c r="J77" i="82"/>
  <c r="K77" i="82"/>
  <c r="L77" i="82"/>
  <c r="M77" i="82"/>
  <c r="N77" i="82"/>
  <c r="O77" i="82"/>
  <c r="P77" i="82"/>
  <c r="Q77" i="82"/>
  <c r="R77" i="82"/>
  <c r="S77" i="82"/>
  <c r="T77" i="82"/>
  <c r="U77" i="82"/>
  <c r="V77" i="82"/>
  <c r="W77" i="82"/>
  <c r="X77" i="82"/>
  <c r="Y77" i="82"/>
  <c r="Z77" i="82"/>
  <c r="AA77" i="82"/>
  <c r="AB77" i="82"/>
  <c r="AC77" i="82"/>
  <c r="AD77" i="82"/>
  <c r="AE77" i="82"/>
  <c r="AF77" i="82"/>
  <c r="AG77" i="82"/>
  <c r="J78" i="82"/>
  <c r="K78" i="82"/>
  <c r="L78" i="82"/>
  <c r="M78" i="82"/>
  <c r="N78" i="82"/>
  <c r="O78" i="82"/>
  <c r="P78" i="82"/>
  <c r="Q78" i="82"/>
  <c r="R78" i="82"/>
  <c r="S78" i="82"/>
  <c r="T78" i="82"/>
  <c r="U78" i="82"/>
  <c r="V78" i="82"/>
  <c r="W78" i="82"/>
  <c r="X78" i="82"/>
  <c r="Y78" i="82"/>
  <c r="Z78" i="82"/>
  <c r="AA78" i="82"/>
  <c r="AB78" i="82"/>
  <c r="AC78" i="82"/>
  <c r="AD78" i="82"/>
  <c r="AE78" i="82"/>
  <c r="AF78" i="82"/>
  <c r="AG78" i="82"/>
  <c r="J79" i="82"/>
  <c r="K79" i="82"/>
  <c r="L79" i="82"/>
  <c r="M79" i="82"/>
  <c r="N79" i="82"/>
  <c r="O79" i="82"/>
  <c r="P79" i="82"/>
  <c r="Q79" i="82"/>
  <c r="R79" i="82"/>
  <c r="S79" i="82"/>
  <c r="T79" i="82"/>
  <c r="U79" i="82"/>
  <c r="V79" i="82"/>
  <c r="W79" i="82"/>
  <c r="X79" i="82"/>
  <c r="Y79" i="82"/>
  <c r="Z79" i="82"/>
  <c r="AA79" i="82"/>
  <c r="AB79" i="82"/>
  <c r="AC79" i="82"/>
  <c r="AD79" i="82"/>
  <c r="AE79" i="82"/>
  <c r="AF79" i="82"/>
  <c r="AG79" i="82"/>
  <c r="I79" i="82"/>
  <c r="I78" i="82"/>
  <c r="I77" i="82"/>
  <c r="J77" i="73"/>
  <c r="K77" i="73"/>
  <c r="L77" i="73"/>
  <c r="M77" i="73"/>
  <c r="N77" i="73"/>
  <c r="O77" i="73"/>
  <c r="P77" i="73"/>
  <c r="Q77" i="73"/>
  <c r="R77" i="73"/>
  <c r="S77" i="73"/>
  <c r="T77" i="73"/>
  <c r="U77" i="73"/>
  <c r="V77" i="73"/>
  <c r="W77" i="73"/>
  <c r="X77" i="73"/>
  <c r="Y77" i="73"/>
  <c r="Z77" i="73"/>
  <c r="AA77" i="73"/>
  <c r="AB77" i="73"/>
  <c r="AC77" i="73"/>
  <c r="AD77" i="73"/>
  <c r="AE77" i="73"/>
  <c r="AF77" i="73"/>
  <c r="AG77" i="73"/>
  <c r="J78" i="73"/>
  <c r="K78" i="73"/>
  <c r="L78" i="73"/>
  <c r="M78" i="73"/>
  <c r="N78" i="73"/>
  <c r="O78" i="73"/>
  <c r="P78" i="73"/>
  <c r="Q78" i="73"/>
  <c r="R78" i="73"/>
  <c r="S78" i="73"/>
  <c r="T78" i="73"/>
  <c r="U78" i="73"/>
  <c r="V78" i="73"/>
  <c r="W78" i="73"/>
  <c r="X78" i="73"/>
  <c r="Y78" i="73"/>
  <c r="Z78" i="73"/>
  <c r="AA78" i="73"/>
  <c r="AB78" i="73"/>
  <c r="AC78" i="73"/>
  <c r="AD78" i="73"/>
  <c r="AE78" i="73"/>
  <c r="AF78" i="73"/>
  <c r="AG78" i="73"/>
  <c r="J79" i="73"/>
  <c r="K79" i="73"/>
  <c r="L79" i="73"/>
  <c r="M79" i="73"/>
  <c r="N79" i="73"/>
  <c r="O79" i="73"/>
  <c r="P79" i="73"/>
  <c r="Q79" i="73"/>
  <c r="R79" i="73"/>
  <c r="S79" i="73"/>
  <c r="T79" i="73"/>
  <c r="U79" i="73"/>
  <c r="V79" i="73"/>
  <c r="W79" i="73"/>
  <c r="X79" i="73"/>
  <c r="Y79" i="73"/>
  <c r="Z79" i="73"/>
  <c r="AA79" i="73"/>
  <c r="AB79" i="73"/>
  <c r="AC79" i="73"/>
  <c r="AD79" i="73"/>
  <c r="AE79" i="73"/>
  <c r="AF79" i="73"/>
  <c r="AG79" i="73"/>
  <c r="I79" i="73"/>
  <c r="I78" i="73"/>
  <c r="I77" i="73"/>
  <c r="J79" i="72"/>
  <c r="K79" i="72"/>
  <c r="L79" i="72"/>
  <c r="M79" i="72"/>
  <c r="N79" i="72"/>
  <c r="O79" i="72"/>
  <c r="P79" i="72"/>
  <c r="Q79" i="72"/>
  <c r="R79" i="72"/>
  <c r="S79" i="72"/>
  <c r="T79" i="72"/>
  <c r="U79" i="72"/>
  <c r="V79" i="72"/>
  <c r="W79" i="72"/>
  <c r="X79" i="72"/>
  <c r="Y79" i="72"/>
  <c r="Z79" i="72"/>
  <c r="AA79" i="72"/>
  <c r="AB79" i="72"/>
  <c r="AC79" i="72"/>
  <c r="AD79" i="72"/>
  <c r="AE79" i="72"/>
  <c r="AF79" i="72"/>
  <c r="AG79" i="72"/>
  <c r="I79" i="72"/>
  <c r="I78" i="72"/>
  <c r="I77" i="72"/>
  <c r="J79" i="81"/>
  <c r="K79" i="81"/>
  <c r="L79" i="81"/>
  <c r="M79" i="81"/>
  <c r="N79" i="81"/>
  <c r="O79" i="81"/>
  <c r="P79" i="81"/>
  <c r="Q79" i="81"/>
  <c r="R79" i="81"/>
  <c r="S79" i="81"/>
  <c r="T79" i="81"/>
  <c r="U79" i="81"/>
  <c r="V79" i="81"/>
  <c r="W79" i="81"/>
  <c r="X79" i="81"/>
  <c r="Y79" i="81"/>
  <c r="Z79" i="81"/>
  <c r="AA79" i="81"/>
  <c r="AB79" i="81"/>
  <c r="AC79" i="81"/>
  <c r="AD79" i="81"/>
  <c r="AE79" i="81"/>
  <c r="AF79" i="81"/>
  <c r="AG79" i="81"/>
  <c r="I79" i="81"/>
  <c r="I78" i="81"/>
  <c r="I77" i="81"/>
  <c r="H9" i="85"/>
  <c r="H98" i="75"/>
  <c r="B41" i="62"/>
  <c r="B43" i="62" s="1"/>
  <c r="R108" i="47"/>
  <c r="R109" i="47" s="1"/>
  <c r="R110" i="47" s="1"/>
  <c r="R111" i="47" s="1"/>
  <c r="R112" i="47" s="1"/>
  <c r="R113" i="47" s="1"/>
  <c r="P25" i="88" l="1"/>
  <c r="P28" i="88" s="1"/>
  <c r="O32" i="88"/>
  <c r="D66" i="33"/>
  <c r="E16" i="47"/>
  <c r="F9" i="47" s="1"/>
  <c r="Q25" i="88" l="1"/>
  <c r="Q28" i="88" s="1"/>
  <c r="P32" i="88"/>
  <c r="C22" i="85"/>
  <c r="C20" i="85"/>
  <c r="C18" i="85"/>
  <c r="C16" i="85"/>
  <c r="D76" i="33"/>
  <c r="C67" i="33"/>
  <c r="C89" i="85" a="1"/>
  <c r="C89" i="85" s="1"/>
  <c r="F66" i="33" s="1"/>
  <c r="C72" i="33"/>
  <c r="C74" i="33"/>
  <c r="H40" i="85"/>
  <c r="G37" i="75"/>
  <c r="D14" i="85"/>
  <c r="D70" i="85"/>
  <c r="D56" i="85"/>
  <c r="C78" i="85"/>
  <c r="C76" i="85"/>
  <c r="C74" i="85"/>
  <c r="C72" i="85"/>
  <c r="C64" i="85"/>
  <c r="C62" i="85"/>
  <c r="C60" i="85"/>
  <c r="C58" i="85"/>
  <c r="C50" i="85"/>
  <c r="C48" i="85"/>
  <c r="C46" i="85"/>
  <c r="C44" i="85"/>
  <c r="D42" i="85"/>
  <c r="R25" i="88" l="1"/>
  <c r="R28" i="88" s="1"/>
  <c r="Q32" i="88"/>
  <c r="B65" i="85"/>
  <c r="D65" i="85" s="1"/>
  <c r="B59" i="85"/>
  <c r="D59" i="85" s="1"/>
  <c r="B75" i="85"/>
  <c r="D75" i="85" s="1"/>
  <c r="B61" i="85"/>
  <c r="D61" i="85" s="1"/>
  <c r="B62" i="85"/>
  <c r="D62" i="85" s="1"/>
  <c r="K74" i="33"/>
  <c r="D75" i="33"/>
  <c r="H66" i="33"/>
  <c r="I66" i="33"/>
  <c r="J66" i="33"/>
  <c r="G66" i="33"/>
  <c r="B76" i="85"/>
  <c r="D76" i="85" s="1"/>
  <c r="B73" i="85"/>
  <c r="D73" i="85" s="1"/>
  <c r="B63" i="85"/>
  <c r="D63" i="85" s="1"/>
  <c r="B60" i="85"/>
  <c r="D60" i="85" s="1"/>
  <c r="B64" i="85"/>
  <c r="D64" i="85" s="1"/>
  <c r="B77" i="85"/>
  <c r="D77" i="85" s="1"/>
  <c r="B74" i="85"/>
  <c r="D74" i="85" s="1"/>
  <c r="B78" i="85"/>
  <c r="D78" i="85" s="1"/>
  <c r="B79" i="85"/>
  <c r="D79" i="85" s="1"/>
  <c r="B58" i="85"/>
  <c r="D58" i="85" s="1"/>
  <c r="B72" i="85"/>
  <c r="D72" i="85" s="1"/>
  <c r="C112" i="81"/>
  <c r="C114" i="81"/>
  <c r="C36" i="85"/>
  <c r="C110" i="81"/>
  <c r="C23" i="85"/>
  <c r="C21" i="85"/>
  <c r="R32" i="88" l="1"/>
  <c r="S25" i="88"/>
  <c r="S28" i="88" s="1"/>
  <c r="C30" i="85"/>
  <c r="C32" i="85"/>
  <c r="C34" i="85"/>
  <c r="C19" i="85"/>
  <c r="C111" i="81"/>
  <c r="C17" i="85"/>
  <c r="C68" i="33"/>
  <c r="C70" i="33"/>
  <c r="C113" i="81"/>
  <c r="C61" i="85"/>
  <c r="C47" i="85"/>
  <c r="C75" i="85"/>
  <c r="C63" i="85"/>
  <c r="C49" i="85"/>
  <c r="C77" i="85"/>
  <c r="C45" i="85"/>
  <c r="C73" i="85"/>
  <c r="C59" i="85"/>
  <c r="C35" i="85"/>
  <c r="C51" i="85"/>
  <c r="C65" i="85"/>
  <c r="C79" i="85"/>
  <c r="C37" i="85"/>
  <c r="G70" i="75"/>
  <c r="G56" i="75"/>
  <c r="G42" i="75"/>
  <c r="G28" i="75"/>
  <c r="G14" i="75"/>
  <c r="S32" i="88" l="1"/>
  <c r="T25" i="88"/>
  <c r="T28" i="88" s="1"/>
  <c r="C31" i="85"/>
  <c r="C33" i="85"/>
  <c r="C73" i="33"/>
  <c r="A6" i="85"/>
  <c r="A2" i="85"/>
  <c r="A1" i="85"/>
  <c r="U25" i="88" l="1"/>
  <c r="U28" i="88" s="1"/>
  <c r="T32" i="88"/>
  <c r="C71" i="33"/>
  <c r="C69" i="33"/>
  <c r="C21" i="62"/>
  <c r="B74" i="62"/>
  <c r="C67" i="62"/>
  <c r="C66" i="62"/>
  <c r="C65" i="62"/>
  <c r="C62" i="62"/>
  <c r="C63" i="62"/>
  <c r="C61" i="62"/>
  <c r="C58" i="62"/>
  <c r="C59" i="62"/>
  <c r="C57" i="62"/>
  <c r="C55" i="62"/>
  <c r="C54" i="62"/>
  <c r="C53" i="62"/>
  <c r="C51" i="62"/>
  <c r="C50" i="62"/>
  <c r="C49" i="62"/>
  <c r="A1" i="81"/>
  <c r="A2" i="81"/>
  <c r="A1" i="68"/>
  <c r="A2" i="68"/>
  <c r="A2" i="72"/>
  <c r="A2" i="73"/>
  <c r="A2" i="82"/>
  <c r="A1" i="72"/>
  <c r="A1" i="73"/>
  <c r="A1" i="82"/>
  <c r="A1" i="75"/>
  <c r="A2" i="75"/>
  <c r="E9" i="47"/>
  <c r="I6" i="68"/>
  <c r="C9" i="33" a="1"/>
  <c r="C9" i="33" s="1"/>
  <c r="U32" i="88" l="1"/>
  <c r="V25" i="88"/>
  <c r="V28" i="88" s="1"/>
  <c r="D65" i="62"/>
  <c r="C4" i="82" s="1"/>
  <c r="D57" i="62"/>
  <c r="C4" i="72" s="1"/>
  <c r="D53" i="62"/>
  <c r="C4" i="81" s="1"/>
  <c r="D61" i="62"/>
  <c r="C4" i="73" s="1"/>
  <c r="D49" i="62"/>
  <c r="C4" i="68" s="1"/>
  <c r="D92" i="75"/>
  <c r="W25" i="88" l="1"/>
  <c r="W28" i="88" s="1"/>
  <c r="V32" i="88"/>
  <c r="D9" i="47"/>
  <c r="A6" i="75"/>
  <c r="X25" i="88" l="1"/>
  <c r="X28" i="88" s="1"/>
  <c r="W32" i="88"/>
  <c r="I6" i="75"/>
  <c r="I6" i="85" s="1"/>
  <c r="H6" i="75"/>
  <c r="H6" i="85" s="1"/>
  <c r="H11" i="85" s="1" a="1"/>
  <c r="H11" i="85" s="1"/>
  <c r="G17" i="33"/>
  <c r="D29" i="33"/>
  <c r="I8" i="33"/>
  <c r="H8" i="33"/>
  <c r="A15" i="75"/>
  <c r="A29" i="75"/>
  <c r="A43" i="75"/>
  <c r="A57" i="75"/>
  <c r="A71" i="75"/>
  <c r="AG17" i="81"/>
  <c r="AF17" i="81"/>
  <c r="AE17" i="81"/>
  <c r="AD17" i="81"/>
  <c r="AC17" i="81"/>
  <c r="AB17" i="81"/>
  <c r="AA17" i="81"/>
  <c r="Z17" i="81"/>
  <c r="Y17" i="81"/>
  <c r="X17" i="81"/>
  <c r="W17" i="81"/>
  <c r="V17" i="81"/>
  <c r="U17" i="81"/>
  <c r="T17" i="81"/>
  <c r="S17" i="81"/>
  <c r="R17" i="81"/>
  <c r="Q17" i="81"/>
  <c r="P17" i="81"/>
  <c r="O17" i="81"/>
  <c r="N17" i="81"/>
  <c r="M17" i="81"/>
  <c r="L17" i="81"/>
  <c r="K17" i="81"/>
  <c r="J17" i="81"/>
  <c r="I17" i="81"/>
  <c r="AG31" i="82" a="1"/>
  <c r="AG31" i="82" s="1"/>
  <c r="AF31" i="82" a="1"/>
  <c r="AF31" i="82" s="1"/>
  <c r="AE31" i="82" a="1"/>
  <c r="AE31" i="82" s="1"/>
  <c r="AD31" i="82" a="1"/>
  <c r="AD31" i="82" s="1"/>
  <c r="AC31" i="82" a="1"/>
  <c r="AC31" i="82" s="1"/>
  <c r="AB31" i="82" a="1"/>
  <c r="AB31" i="82" s="1"/>
  <c r="AA31" i="82" a="1"/>
  <c r="AA31" i="82" s="1"/>
  <c r="Z31" i="82" a="1"/>
  <c r="Z31" i="82" s="1"/>
  <c r="Y31" i="82" a="1"/>
  <c r="Y31" i="82" s="1"/>
  <c r="X31" i="82" a="1"/>
  <c r="X31" i="82" s="1"/>
  <c r="W31" i="82" a="1"/>
  <c r="W31" i="82" s="1"/>
  <c r="V31" i="82" a="1"/>
  <c r="V31" i="82" s="1"/>
  <c r="U31" i="82" a="1"/>
  <c r="U31" i="82" s="1"/>
  <c r="T31" i="82" a="1"/>
  <c r="T31" i="82" s="1"/>
  <c r="S31" i="82" a="1"/>
  <c r="S31" i="82" s="1"/>
  <c r="R31" i="82" a="1"/>
  <c r="R31" i="82" s="1"/>
  <c r="Q31" i="82" a="1"/>
  <c r="Q31" i="82" s="1"/>
  <c r="P31" i="82" a="1"/>
  <c r="P31" i="82" s="1"/>
  <c r="O31" i="82" a="1"/>
  <c r="O31" i="82" s="1"/>
  <c r="N31" i="82" a="1"/>
  <c r="N31" i="82" s="1"/>
  <c r="M31" i="82" a="1"/>
  <c r="M31" i="82" s="1"/>
  <c r="L31" i="82" a="1"/>
  <c r="L31" i="82" s="1"/>
  <c r="K31" i="82" a="1"/>
  <c r="K31" i="82" s="1"/>
  <c r="J31" i="82" a="1"/>
  <c r="J31" i="82" s="1"/>
  <c r="I31" i="82" a="1"/>
  <c r="I31" i="82" s="1"/>
  <c r="AG17" i="82"/>
  <c r="AF17" i="82"/>
  <c r="AE17" i="82"/>
  <c r="AD17" i="82"/>
  <c r="AC17" i="82"/>
  <c r="AB17" i="82"/>
  <c r="AA17" i="82"/>
  <c r="Z17" i="82"/>
  <c r="Y17" i="82"/>
  <c r="X17" i="82"/>
  <c r="W17" i="82"/>
  <c r="V17" i="82"/>
  <c r="U17" i="82"/>
  <c r="T17" i="82"/>
  <c r="S17" i="82"/>
  <c r="R17" i="82"/>
  <c r="Q17" i="82"/>
  <c r="P17" i="82"/>
  <c r="O17" i="82"/>
  <c r="N17" i="82"/>
  <c r="M17" i="82"/>
  <c r="L17" i="82"/>
  <c r="K17" i="82"/>
  <c r="J17" i="82"/>
  <c r="I17" i="82"/>
  <c r="AG31" i="73" a="1"/>
  <c r="AG31" i="73" s="1"/>
  <c r="AF31" i="73" a="1"/>
  <c r="AF31" i="73" s="1"/>
  <c r="AE31" i="73" a="1"/>
  <c r="AE31" i="73" s="1"/>
  <c r="AD31" i="73" a="1"/>
  <c r="AD31" i="73" s="1"/>
  <c r="AC31" i="73" a="1"/>
  <c r="AC31" i="73" s="1"/>
  <c r="AB31" i="73" a="1"/>
  <c r="AB31" i="73" s="1"/>
  <c r="AA31" i="73" a="1"/>
  <c r="AA31" i="73" s="1"/>
  <c r="Z31" i="73" a="1"/>
  <c r="Z31" i="73" s="1"/>
  <c r="Y31" i="73" a="1"/>
  <c r="Y31" i="73" s="1"/>
  <c r="X31" i="73" a="1"/>
  <c r="X31" i="73" s="1"/>
  <c r="W31" i="73" a="1"/>
  <c r="W31" i="73" s="1"/>
  <c r="V31" i="73" a="1"/>
  <c r="V31" i="73" s="1"/>
  <c r="U31" i="73" a="1"/>
  <c r="U31" i="73" s="1"/>
  <c r="T31" i="73" a="1"/>
  <c r="T31" i="73" s="1"/>
  <c r="S31" i="73" a="1"/>
  <c r="S31" i="73" s="1"/>
  <c r="R31" i="73" a="1"/>
  <c r="R31" i="73" s="1"/>
  <c r="Q31" i="73" a="1"/>
  <c r="Q31" i="73" s="1"/>
  <c r="P31" i="73" a="1"/>
  <c r="P31" i="73" s="1"/>
  <c r="O31" i="73" a="1"/>
  <c r="O31" i="73" s="1"/>
  <c r="N31" i="73" a="1"/>
  <c r="N31" i="73" s="1"/>
  <c r="M31" i="73" a="1"/>
  <c r="M31" i="73" s="1"/>
  <c r="L31" i="73" a="1"/>
  <c r="L31" i="73" s="1"/>
  <c r="K31" i="73" a="1"/>
  <c r="K31" i="73" s="1"/>
  <c r="J31" i="73" a="1"/>
  <c r="J31" i="73" s="1"/>
  <c r="I31" i="73" a="1"/>
  <c r="I31" i="73" s="1"/>
  <c r="AG17" i="73"/>
  <c r="AF17" i="73"/>
  <c r="AE17" i="73"/>
  <c r="AD17" i="73"/>
  <c r="AC17" i="73"/>
  <c r="AB17" i="73"/>
  <c r="AA17" i="73"/>
  <c r="Z17" i="73"/>
  <c r="Y17" i="73"/>
  <c r="X17" i="73"/>
  <c r="W17" i="73"/>
  <c r="V17" i="73"/>
  <c r="U17" i="73"/>
  <c r="T17" i="73"/>
  <c r="S17" i="73"/>
  <c r="R17" i="73"/>
  <c r="Q17" i="73"/>
  <c r="P17" i="73"/>
  <c r="O17" i="73"/>
  <c r="N17" i="73"/>
  <c r="M17" i="73"/>
  <c r="L17" i="73"/>
  <c r="K17" i="73"/>
  <c r="J17" i="73"/>
  <c r="I17" i="73"/>
  <c r="AG83" i="81"/>
  <c r="AG69" i="81"/>
  <c r="AG68" i="81"/>
  <c r="AG67" i="81"/>
  <c r="AG83" i="72"/>
  <c r="AG69" i="72"/>
  <c r="AG68" i="72"/>
  <c r="AG67" i="72"/>
  <c r="AG17" i="72"/>
  <c r="AG83" i="73"/>
  <c r="AG69" i="73"/>
  <c r="AG68" i="73"/>
  <c r="AG67" i="73"/>
  <c r="AG83" i="82"/>
  <c r="AG69" i="82"/>
  <c r="AG68" i="82"/>
  <c r="AG67" i="82"/>
  <c r="AG84" i="68"/>
  <c r="AG83" i="68"/>
  <c r="AG69" i="68"/>
  <c r="AG68" i="68"/>
  <c r="AG67" i="68"/>
  <c r="AG98" i="75"/>
  <c r="AG17" i="68"/>
  <c r="AF83" i="81"/>
  <c r="AF69" i="81"/>
  <c r="AF68" i="81"/>
  <c r="AF67" i="81"/>
  <c r="AF83" i="72"/>
  <c r="AF69" i="72"/>
  <c r="AF68" i="72"/>
  <c r="AF67" i="72"/>
  <c r="AF17" i="72"/>
  <c r="AF83" i="73"/>
  <c r="AF69" i="73"/>
  <c r="AF68" i="73"/>
  <c r="AF67" i="73"/>
  <c r="AF83" i="82"/>
  <c r="AF69" i="82"/>
  <c r="AF68" i="82"/>
  <c r="AF67" i="82"/>
  <c r="AF84" i="68"/>
  <c r="AF83" i="68"/>
  <c r="AF69" i="68"/>
  <c r="AF68" i="68"/>
  <c r="AF67" i="68"/>
  <c r="AF98" i="75"/>
  <c r="AF17" i="68"/>
  <c r="AE83" i="81"/>
  <c r="AE69" i="81"/>
  <c r="AE68" i="81"/>
  <c r="AE67" i="81"/>
  <c r="AE83" i="72"/>
  <c r="AE69" i="72"/>
  <c r="AE68" i="72"/>
  <c r="AE67" i="72"/>
  <c r="AE17" i="72"/>
  <c r="AE83" i="73"/>
  <c r="AE69" i="73"/>
  <c r="AE68" i="73"/>
  <c r="AE67" i="73"/>
  <c r="AE83" i="82"/>
  <c r="AE69" i="82"/>
  <c r="AE68" i="82"/>
  <c r="AE67" i="82"/>
  <c r="AE84" i="68"/>
  <c r="AE83" i="68"/>
  <c r="AE69" i="68"/>
  <c r="AE68" i="68"/>
  <c r="AE67" i="68"/>
  <c r="AE98" i="75"/>
  <c r="AE17" i="68"/>
  <c r="AD83" i="81"/>
  <c r="AD69" i="81"/>
  <c r="AD68" i="81"/>
  <c r="AD67" i="81"/>
  <c r="AD83" i="72"/>
  <c r="AD69" i="72"/>
  <c r="AD68" i="72"/>
  <c r="AD67" i="72"/>
  <c r="AD17" i="72"/>
  <c r="AD83" i="73"/>
  <c r="AD69" i="73"/>
  <c r="AD68" i="73"/>
  <c r="AD67" i="73"/>
  <c r="AD83" i="82"/>
  <c r="AD69" i="82"/>
  <c r="AD68" i="82"/>
  <c r="AD67" i="82"/>
  <c r="AD84" i="68"/>
  <c r="AD83" i="68"/>
  <c r="AD69" i="68"/>
  <c r="AD68" i="68"/>
  <c r="AD67" i="68"/>
  <c r="AD98" i="75"/>
  <c r="AD17" i="68"/>
  <c r="AC83" i="81"/>
  <c r="AC69" i="81"/>
  <c r="AC68" i="81"/>
  <c r="AC67" i="81"/>
  <c r="AC83" i="72"/>
  <c r="AC69" i="72"/>
  <c r="AC68" i="72"/>
  <c r="AC67" i="72"/>
  <c r="AC17" i="72"/>
  <c r="AC83" i="73"/>
  <c r="AC69" i="73"/>
  <c r="AC68" i="73"/>
  <c r="AC67" i="73"/>
  <c r="AC83" i="82"/>
  <c r="AC69" i="82"/>
  <c r="AC68" i="82"/>
  <c r="AC67" i="82"/>
  <c r="AC84" i="68"/>
  <c r="AC83" i="68"/>
  <c r="AC69" i="68"/>
  <c r="AC68" i="68"/>
  <c r="AC67" i="68"/>
  <c r="AC98" i="75"/>
  <c r="AC17" i="68"/>
  <c r="G81" i="75"/>
  <c r="G80" i="75"/>
  <c r="G79" i="75"/>
  <c r="G67" i="75"/>
  <c r="G66" i="75"/>
  <c r="G65" i="75"/>
  <c r="G53" i="75"/>
  <c r="G52" i="75"/>
  <c r="G51" i="75"/>
  <c r="G39" i="75"/>
  <c r="G38" i="75"/>
  <c r="G23" i="75"/>
  <c r="G24" i="75"/>
  <c r="G25" i="75"/>
  <c r="AA27" i="81" l="1"/>
  <c r="AB27" i="81"/>
  <c r="AC27" i="81"/>
  <c r="AD27" i="81"/>
  <c r="AE27" i="81"/>
  <c r="AF27" i="81"/>
  <c r="M27" i="81"/>
  <c r="AG27" i="81"/>
  <c r="N27" i="81"/>
  <c r="O27" i="81"/>
  <c r="W27" i="81"/>
  <c r="P27" i="81"/>
  <c r="Q27" i="81"/>
  <c r="R27" i="81"/>
  <c r="S27" i="81"/>
  <c r="T27" i="81"/>
  <c r="U27" i="81"/>
  <c r="V27" i="81"/>
  <c r="X27" i="81"/>
  <c r="Y27" i="81"/>
  <c r="Z27" i="81"/>
  <c r="N45" i="81"/>
  <c r="N45" i="72" s="1"/>
  <c r="O45" i="81"/>
  <c r="O45" i="72" s="1"/>
  <c r="W45" i="81"/>
  <c r="W45" i="72" s="1"/>
  <c r="O47" i="81"/>
  <c r="O47" i="72" s="1"/>
  <c r="Z48" i="81"/>
  <c r="Z48" i="72" s="1"/>
  <c r="U46" i="81"/>
  <c r="U46" i="72" s="1"/>
  <c r="T46" i="81"/>
  <c r="T46" i="72" s="1"/>
  <c r="U47" i="81"/>
  <c r="U47" i="72" s="1"/>
  <c r="AB45" i="81"/>
  <c r="AB45" i="72" s="1"/>
  <c r="AE48" i="81"/>
  <c r="AE48" i="72" s="1"/>
  <c r="AA47" i="81"/>
  <c r="AA47" i="72" s="1"/>
  <c r="AA49" i="81"/>
  <c r="AA49" i="72" s="1"/>
  <c r="Z47" i="81"/>
  <c r="Z47" i="72" s="1"/>
  <c r="Y49" i="81"/>
  <c r="Y49" i="72" s="1"/>
  <c r="V50" i="81"/>
  <c r="X45" i="81"/>
  <c r="X45" i="72" s="1"/>
  <c r="M46" i="81"/>
  <c r="M46" i="72" s="1"/>
  <c r="AD49" i="81"/>
  <c r="AD49" i="72" s="1"/>
  <c r="Q48" i="81"/>
  <c r="Q48" i="72" s="1"/>
  <c r="R50" i="81"/>
  <c r="AF48" i="81"/>
  <c r="AF48" i="72" s="1"/>
  <c r="Y50" i="81"/>
  <c r="AA45" i="81"/>
  <c r="AA45" i="72" s="1"/>
  <c r="V46" i="81"/>
  <c r="V46" i="72" s="1"/>
  <c r="Z50" i="81"/>
  <c r="T49" i="81"/>
  <c r="T49" i="72" s="1"/>
  <c r="Q47" i="81"/>
  <c r="Q47" i="72" s="1"/>
  <c r="Q46" i="81"/>
  <c r="Q46" i="72" s="1"/>
  <c r="AB46" i="81"/>
  <c r="AB46" i="72" s="1"/>
  <c r="AA50" i="81"/>
  <c r="AE46" i="81"/>
  <c r="AE46" i="72" s="1"/>
  <c r="AG49" i="81"/>
  <c r="AG49" i="72" s="1"/>
  <c r="AE49" i="81"/>
  <c r="AE49" i="72" s="1"/>
  <c r="M48" i="81"/>
  <c r="M48" i="72" s="1"/>
  <c r="W46" i="81"/>
  <c r="W46" i="72" s="1"/>
  <c r="V49" i="81"/>
  <c r="V49" i="72" s="1"/>
  <c r="T45" i="81"/>
  <c r="T45" i="72" s="1"/>
  <c r="W48" i="81"/>
  <c r="W48" i="72" s="1"/>
  <c r="S47" i="81"/>
  <c r="S47" i="72" s="1"/>
  <c r="Z46" i="81"/>
  <c r="Z46" i="72" s="1"/>
  <c r="R49" i="81"/>
  <c r="R49" i="72" s="1"/>
  <c r="AB49" i="81"/>
  <c r="AB49" i="72" s="1"/>
  <c r="S45" i="81"/>
  <c r="S45" i="72" s="1"/>
  <c r="Q50" i="81"/>
  <c r="R48" i="81"/>
  <c r="R48" i="72" s="1"/>
  <c r="V47" i="81"/>
  <c r="V47" i="72" s="1"/>
  <c r="M47" i="81"/>
  <c r="M47" i="72" s="1"/>
  <c r="N46" i="81"/>
  <c r="N46" i="72" s="1"/>
  <c r="R45" i="81"/>
  <c r="R45" i="72" s="1"/>
  <c r="O50" i="81"/>
  <c r="X48" i="81"/>
  <c r="X48" i="72" s="1"/>
  <c r="AG46" i="81"/>
  <c r="AG46" i="72" s="1"/>
  <c r="Y46" i="81"/>
  <c r="Y46" i="72" s="1"/>
  <c r="AC47" i="81"/>
  <c r="AC47" i="72" s="1"/>
  <c r="Q45" i="81"/>
  <c r="Q45" i="72" s="1"/>
  <c r="AD47" i="81"/>
  <c r="AD47" i="72" s="1"/>
  <c r="M50" i="81"/>
  <c r="U48" i="81"/>
  <c r="U48" i="72" s="1"/>
  <c r="Z49" i="81"/>
  <c r="Z49" i="72" s="1"/>
  <c r="X50" i="81"/>
  <c r="P45" i="81"/>
  <c r="P45" i="72" s="1"/>
  <c r="N48" i="81"/>
  <c r="N48" i="72" s="1"/>
  <c r="AA46" i="81"/>
  <c r="AA46" i="72" s="1"/>
  <c r="P47" i="81"/>
  <c r="P47" i="72" s="1"/>
  <c r="AC49" i="81"/>
  <c r="AC49" i="72" s="1"/>
  <c r="AF47" i="81"/>
  <c r="AF47" i="72" s="1"/>
  <c r="AG45" i="81"/>
  <c r="AG45" i="72" s="1"/>
  <c r="X49" i="81"/>
  <c r="X49" i="72" s="1"/>
  <c r="U49" i="81"/>
  <c r="U49" i="72" s="1"/>
  <c r="N49" i="81"/>
  <c r="N49" i="72" s="1"/>
  <c r="AG47" i="81"/>
  <c r="AG47" i="72" s="1"/>
  <c r="AD46" i="81"/>
  <c r="AD46" i="72" s="1"/>
  <c r="AF45" i="81"/>
  <c r="AF45" i="72" s="1"/>
  <c r="AF46" i="81"/>
  <c r="AF46" i="72" s="1"/>
  <c r="AC50" i="81"/>
  <c r="Q49" i="81"/>
  <c r="Q49" i="72" s="1"/>
  <c r="AC48" i="81"/>
  <c r="AC48" i="72" s="1"/>
  <c r="R46" i="81"/>
  <c r="R46" i="72" s="1"/>
  <c r="AE45" i="81"/>
  <c r="AE45" i="72" s="1"/>
  <c r="P49" i="81"/>
  <c r="P49" i="72" s="1"/>
  <c r="V48" i="81"/>
  <c r="V48" i="72" s="1"/>
  <c r="W49" i="81"/>
  <c r="W49" i="72" s="1"/>
  <c r="AB47" i="81"/>
  <c r="AB47" i="72" s="1"/>
  <c r="S48" i="81"/>
  <c r="S48" i="72" s="1"/>
  <c r="AD45" i="81"/>
  <c r="AD45" i="72" s="1"/>
  <c r="M49" i="81"/>
  <c r="M49" i="72" s="1"/>
  <c r="AB48" i="81"/>
  <c r="AB48" i="72" s="1"/>
  <c r="AD50" i="81"/>
  <c r="T47" i="81"/>
  <c r="T47" i="72" s="1"/>
  <c r="T50" i="81"/>
  <c r="Y48" i="81"/>
  <c r="Y48" i="72" s="1"/>
  <c r="N50" i="81"/>
  <c r="AF49" i="81"/>
  <c r="AF49" i="72" s="1"/>
  <c r="M45" i="81"/>
  <c r="M45" i="72" s="1"/>
  <c r="AG50" i="81"/>
  <c r="V45" i="81"/>
  <c r="V45" i="72" s="1"/>
  <c r="AA48" i="81"/>
  <c r="AA48" i="72" s="1"/>
  <c r="U45" i="81"/>
  <c r="U45" i="72" s="1"/>
  <c r="U50" i="81"/>
  <c r="AC45" i="81"/>
  <c r="AC45" i="72" s="1"/>
  <c r="W47" i="81"/>
  <c r="W47" i="72" s="1"/>
  <c r="Z45" i="81"/>
  <c r="Z45" i="72" s="1"/>
  <c r="P50" i="81"/>
  <c r="Y45" i="81"/>
  <c r="Y45" i="72" s="1"/>
  <c r="AE47" i="81"/>
  <c r="AE47" i="72" s="1"/>
  <c r="S49" i="81"/>
  <c r="S49" i="72" s="1"/>
  <c r="S46" i="81"/>
  <c r="S46" i="72" s="1"/>
  <c r="W50" i="81"/>
  <c r="R47" i="81"/>
  <c r="R47" i="72" s="1"/>
  <c r="S50" i="81"/>
  <c r="X47" i="81"/>
  <c r="X47" i="72" s="1"/>
  <c r="AC46" i="81"/>
  <c r="AC46" i="72" s="1"/>
  <c r="T48" i="81"/>
  <c r="T48" i="72" s="1"/>
  <c r="AB50" i="81"/>
  <c r="AF50" i="81"/>
  <c r="Y47" i="81"/>
  <c r="Y47" i="72" s="1"/>
  <c r="X46" i="81"/>
  <c r="X46" i="72" s="1"/>
  <c r="N47" i="81"/>
  <c r="N47" i="72" s="1"/>
  <c r="O49" i="81"/>
  <c r="O49" i="72" s="1"/>
  <c r="O46" i="81"/>
  <c r="O46" i="72" s="1"/>
  <c r="AE50" i="81"/>
  <c r="O48" i="81"/>
  <c r="O48" i="72" s="1"/>
  <c r="P46" i="81"/>
  <c r="P46" i="72" s="1"/>
  <c r="AD48" i="81"/>
  <c r="AD48" i="72" s="1"/>
  <c r="P48" i="81"/>
  <c r="P48" i="72" s="1"/>
  <c r="AG48" i="81"/>
  <c r="AG48" i="72" s="1"/>
  <c r="X32" i="88"/>
  <c r="Y25" i="88"/>
  <c r="Y28" i="88" s="1"/>
  <c r="A30" i="75"/>
  <c r="A31" i="75" s="1"/>
  <c r="A32" i="75" s="1"/>
  <c r="A33" i="75" s="1"/>
  <c r="A34" i="75" s="1"/>
  <c r="A35" i="75" s="1"/>
  <c r="A36" i="75" s="1"/>
  <c r="A37" i="75" s="1"/>
  <c r="A38" i="75" s="1"/>
  <c r="A39" i="75" s="1"/>
  <c r="A28" i="75"/>
  <c r="D28" i="75" s="1"/>
  <c r="A16" i="75"/>
  <c r="A92" i="75" s="1"/>
  <c r="A14" i="75"/>
  <c r="D14" i="75" s="1"/>
  <c r="A72" i="75"/>
  <c r="A73" i="75" s="1"/>
  <c r="A74" i="75" s="1"/>
  <c r="A75" i="75" s="1"/>
  <c r="A76" i="75" s="1"/>
  <c r="A77" i="75" s="1"/>
  <c r="A78" i="75" s="1"/>
  <c r="A79" i="75" s="1"/>
  <c r="A80" i="75" s="1"/>
  <c r="A81" i="75" s="1"/>
  <c r="A70" i="75"/>
  <c r="D70" i="75" s="1"/>
  <c r="A58" i="75"/>
  <c r="A59" i="75" s="1"/>
  <c r="A60" i="75" s="1"/>
  <c r="A61" i="75" s="1"/>
  <c r="A62" i="75" s="1"/>
  <c r="A63" i="75" s="1"/>
  <c r="A64" i="75" s="1"/>
  <c r="A65" i="75" s="1"/>
  <c r="A66" i="75" s="1"/>
  <c r="A67" i="75" s="1"/>
  <c r="A56" i="75"/>
  <c r="D56" i="75" s="1"/>
  <c r="A44" i="75"/>
  <c r="A45" i="75" s="1"/>
  <c r="A46" i="75" s="1"/>
  <c r="A47" i="75" s="1"/>
  <c r="A48" i="75" s="1"/>
  <c r="A49" i="75" s="1"/>
  <c r="A50" i="75" s="1"/>
  <c r="A51" i="75" s="1"/>
  <c r="A52" i="75" s="1"/>
  <c r="A53" i="75" s="1"/>
  <c r="A42" i="75"/>
  <c r="D42" i="75" s="1"/>
  <c r="H5" i="85"/>
  <c r="H11" i="75" a="1"/>
  <c r="H11" i="75" s="1"/>
  <c r="G90" i="73" a="1"/>
  <c r="G90" i="73" s="1"/>
  <c r="AF15" i="75"/>
  <c r="AG15" i="75"/>
  <c r="AE15" i="75"/>
  <c r="AD15" i="75"/>
  <c r="AC15" i="75"/>
  <c r="AB17" i="72"/>
  <c r="AA17" i="72"/>
  <c r="Z17" i="72"/>
  <c r="Y17" i="72"/>
  <c r="X17" i="72"/>
  <c r="W17" i="72"/>
  <c r="V17" i="72"/>
  <c r="U17" i="72"/>
  <c r="T17" i="72"/>
  <c r="S17" i="72"/>
  <c r="R17" i="72"/>
  <c r="Q17" i="72"/>
  <c r="P17" i="72"/>
  <c r="O17" i="72"/>
  <c r="N17" i="72"/>
  <c r="M17" i="72"/>
  <c r="L17" i="72"/>
  <c r="K17" i="72"/>
  <c r="J17" i="72"/>
  <c r="I17" i="72"/>
  <c r="S27" i="72" l="1"/>
  <c r="R27" i="72"/>
  <c r="Q27" i="72"/>
  <c r="P27" i="72"/>
  <c r="O27" i="72"/>
  <c r="N27" i="72"/>
  <c r="AG27" i="72"/>
  <c r="M27" i="72"/>
  <c r="AF27" i="72"/>
  <c r="AE27" i="72"/>
  <c r="AD27" i="72"/>
  <c r="AC27" i="72"/>
  <c r="AB27" i="72"/>
  <c r="AA27" i="72"/>
  <c r="Z27" i="72"/>
  <c r="Y27" i="72"/>
  <c r="X27" i="72"/>
  <c r="W27" i="72"/>
  <c r="V27" i="72"/>
  <c r="U27" i="72"/>
  <c r="T27" i="72"/>
  <c r="Y32" i="88"/>
  <c r="Z25" i="88"/>
  <c r="Z28" i="88" s="1"/>
  <c r="A17" i="75"/>
  <c r="A18" i="75" s="1"/>
  <c r="A19" i="75" s="1"/>
  <c r="A20" i="75" s="1"/>
  <c r="A21" i="75" s="1"/>
  <c r="A22" i="75" s="1"/>
  <c r="A23" i="75" s="1"/>
  <c r="C58" i="43"/>
  <c r="G67" i="43"/>
  <c r="G66" i="43"/>
  <c r="G65" i="43"/>
  <c r="G64" i="43"/>
  <c r="G63" i="43"/>
  <c r="G62" i="43"/>
  <c r="G61" i="43"/>
  <c r="G60" i="43"/>
  <c r="G59" i="43"/>
  <c r="C60" i="43"/>
  <c r="C61" i="43"/>
  <c r="C62" i="43"/>
  <c r="C63" i="43"/>
  <c r="C64" i="43"/>
  <c r="C65" i="43"/>
  <c r="C66" i="43"/>
  <c r="C67" i="43"/>
  <c r="C59" i="43"/>
  <c r="AA25" i="88" l="1"/>
  <c r="AA28" i="88" s="1"/>
  <c r="Z32" i="88"/>
  <c r="A24" i="75"/>
  <c r="A25" i="75" s="1"/>
  <c r="A99" i="75"/>
  <c r="H99" i="75" s="1"/>
  <c r="D91" i="75"/>
  <c r="AA32" i="88" l="1"/>
  <c r="AB25" i="88"/>
  <c r="AB28" i="88" s="1"/>
  <c r="N7" i="68"/>
  <c r="O7" i="68" s="1"/>
  <c r="P7" i="68" s="1"/>
  <c r="Q7" i="68" s="1"/>
  <c r="R7" i="68" s="1"/>
  <c r="S7" i="68" s="1"/>
  <c r="T7" i="68" s="1"/>
  <c r="U7" i="68" s="1"/>
  <c r="V7" i="68" s="1"/>
  <c r="W7" i="68" s="1"/>
  <c r="X7" i="68" s="1"/>
  <c r="Y7" i="68" s="1"/>
  <c r="Z7" i="68" s="1"/>
  <c r="AA7" i="68" s="1"/>
  <c r="AB7" i="68" s="1"/>
  <c r="AC7" i="68" s="1"/>
  <c r="M7" i="68"/>
  <c r="L7" i="68"/>
  <c r="K7" i="68"/>
  <c r="J7" i="68"/>
  <c r="I7" i="68"/>
  <c r="AB32" i="88" l="1"/>
  <c r="AC25" i="88"/>
  <c r="AC28" i="88" s="1"/>
  <c r="AC7" i="81"/>
  <c r="AC42" i="81" s="1"/>
  <c r="AC7" i="73"/>
  <c r="AC42" i="73" s="1"/>
  <c r="AD7" i="68"/>
  <c r="AC7" i="82"/>
  <c r="AC42" i="68"/>
  <c r="AC7" i="72"/>
  <c r="AC42" i="72" s="1"/>
  <c r="AD25" i="88" l="1"/>
  <c r="AD28" i="88" s="1"/>
  <c r="AC32" i="88"/>
  <c r="AC42" i="82"/>
  <c r="AD7" i="81"/>
  <c r="AD42" i="81" s="1"/>
  <c r="AD7" i="73"/>
  <c r="AD42" i="73" s="1"/>
  <c r="AD42" i="68"/>
  <c r="AE7" i="68"/>
  <c r="AD7" i="82"/>
  <c r="AD7" i="72"/>
  <c r="AD42" i="72" s="1"/>
  <c r="AE25" i="88" l="1"/>
  <c r="AE28" i="88" s="1"/>
  <c r="AD32" i="88"/>
  <c r="AE7" i="81"/>
  <c r="AE42" i="81" s="1"/>
  <c r="AF7" i="68"/>
  <c r="AE7" i="82"/>
  <c r="AE42" i="68"/>
  <c r="AE7" i="73"/>
  <c r="AE7" i="72"/>
  <c r="AE42" i="72" s="1"/>
  <c r="AD42" i="82"/>
  <c r="G44" i="75"/>
  <c r="C44" i="75"/>
  <c r="G58" i="75"/>
  <c r="C58" i="75"/>
  <c r="G72" i="75"/>
  <c r="C72" i="75"/>
  <c r="AE32" i="88" l="1"/>
  <c r="AF25" i="88"/>
  <c r="AF28" i="88" s="1"/>
  <c r="AE42" i="73"/>
  <c r="AE42" i="82"/>
  <c r="AF7" i="81"/>
  <c r="AF42" i="81" s="1"/>
  <c r="AG7" i="68"/>
  <c r="AF7" i="73"/>
  <c r="AF42" i="73" s="1"/>
  <c r="AF7" i="82"/>
  <c r="AF42" i="68"/>
  <c r="AF7" i="72"/>
  <c r="AF42" i="72" s="1"/>
  <c r="G30" i="75"/>
  <c r="C30" i="75"/>
  <c r="C16" i="75"/>
  <c r="G16" i="75"/>
  <c r="AG25" i="88" l="1"/>
  <c r="AG28" i="88" s="1"/>
  <c r="AF32" i="88"/>
  <c r="AG7" i="81"/>
  <c r="AG42" i="81" s="1"/>
  <c r="AG7" i="73"/>
  <c r="AG7" i="82"/>
  <c r="AG42" i="68"/>
  <c r="AG7" i="72"/>
  <c r="AG42" i="72" s="1"/>
  <c r="AF42" i="82"/>
  <c r="D17" i="75"/>
  <c r="H92" i="75"/>
  <c r="D16" i="75"/>
  <c r="AG32" i="88" l="1"/>
  <c r="AG42" i="73"/>
  <c r="AG42" i="82"/>
  <c r="AB84" i="68" l="1"/>
  <c r="AA84" i="68"/>
  <c r="Z84" i="68"/>
  <c r="Y84" i="68"/>
  <c r="X84" i="68"/>
  <c r="W84" i="68"/>
  <c r="V84" i="68"/>
  <c r="U84" i="68"/>
  <c r="T84" i="68"/>
  <c r="S84" i="68"/>
  <c r="R84" i="68"/>
  <c r="Q84" i="68"/>
  <c r="P84" i="68"/>
  <c r="O84" i="68"/>
  <c r="N84" i="68"/>
  <c r="M84" i="68"/>
  <c r="L84" i="68"/>
  <c r="K84" i="68"/>
  <c r="J84" i="68"/>
  <c r="I84" i="68"/>
  <c r="AB83" i="68"/>
  <c r="AA83" i="68"/>
  <c r="Z83" i="68"/>
  <c r="Y83" i="68"/>
  <c r="X83" i="68"/>
  <c r="W83" i="68"/>
  <c r="V83" i="68"/>
  <c r="U83" i="68"/>
  <c r="T83" i="68"/>
  <c r="S83" i="68"/>
  <c r="R83" i="68"/>
  <c r="Q83" i="68"/>
  <c r="P83" i="68"/>
  <c r="O83" i="68"/>
  <c r="N83" i="68"/>
  <c r="M83" i="68"/>
  <c r="L83" i="68"/>
  <c r="K83" i="68"/>
  <c r="J83" i="68"/>
  <c r="I83" i="68"/>
  <c r="AB83" i="81"/>
  <c r="AA83" i="81"/>
  <c r="Z83" i="81"/>
  <c r="Y83" i="81"/>
  <c r="X83" i="81"/>
  <c r="W83" i="81"/>
  <c r="V83" i="81"/>
  <c r="U83" i="81"/>
  <c r="T83" i="81"/>
  <c r="S83" i="81"/>
  <c r="R83" i="81"/>
  <c r="Q83" i="81"/>
  <c r="P83" i="81"/>
  <c r="O83" i="81"/>
  <c r="N83" i="81"/>
  <c r="M83" i="81"/>
  <c r="L83" i="81"/>
  <c r="K83" i="81"/>
  <c r="J83" i="81"/>
  <c r="I83" i="81"/>
  <c r="AB83" i="82"/>
  <c r="AA83" i="82"/>
  <c r="Z83" i="82"/>
  <c r="Y83" i="82"/>
  <c r="X83" i="82"/>
  <c r="W83" i="82"/>
  <c r="V83" i="82"/>
  <c r="U83" i="82"/>
  <c r="T83" i="82"/>
  <c r="S83" i="82"/>
  <c r="R83" i="82"/>
  <c r="Q83" i="82"/>
  <c r="P83" i="82"/>
  <c r="O83" i="82"/>
  <c r="N83" i="82"/>
  <c r="M83" i="82"/>
  <c r="L83" i="82"/>
  <c r="K83" i="82"/>
  <c r="J83" i="82"/>
  <c r="I83" i="82"/>
  <c r="J83" i="73"/>
  <c r="K83" i="73"/>
  <c r="L83" i="73"/>
  <c r="M83" i="73"/>
  <c r="N83" i="73"/>
  <c r="O83" i="73"/>
  <c r="P83" i="73"/>
  <c r="Q83" i="73"/>
  <c r="R83" i="73"/>
  <c r="S83" i="73"/>
  <c r="T83" i="73"/>
  <c r="U83" i="73"/>
  <c r="V83" i="73"/>
  <c r="W83" i="73"/>
  <c r="X83" i="73"/>
  <c r="Y83" i="73"/>
  <c r="Z83" i="73"/>
  <c r="AA83" i="73"/>
  <c r="AB83" i="73"/>
  <c r="I83" i="73"/>
  <c r="J83" i="72"/>
  <c r="K83" i="72"/>
  <c r="L83" i="72"/>
  <c r="M83" i="72"/>
  <c r="N83" i="72"/>
  <c r="O83" i="72"/>
  <c r="P83" i="72"/>
  <c r="Q83" i="72"/>
  <c r="R83" i="72"/>
  <c r="S83" i="72"/>
  <c r="T83" i="72"/>
  <c r="U83" i="72"/>
  <c r="V83" i="72"/>
  <c r="W83" i="72"/>
  <c r="X83" i="72"/>
  <c r="Y83" i="72"/>
  <c r="Z83" i="72"/>
  <c r="AA83" i="72"/>
  <c r="AB83" i="72"/>
  <c r="I83" i="72"/>
  <c r="C78" i="75"/>
  <c r="C77" i="75"/>
  <c r="C76" i="75"/>
  <c r="C75" i="75"/>
  <c r="C74" i="75"/>
  <c r="C71" i="75"/>
  <c r="C64" i="75"/>
  <c r="C57" i="75"/>
  <c r="C63" i="75"/>
  <c r="C62" i="75"/>
  <c r="C61" i="75"/>
  <c r="C60" i="75"/>
  <c r="K67" i="82"/>
  <c r="M67" i="81"/>
  <c r="L67" i="81"/>
  <c r="I67" i="81"/>
  <c r="J67" i="81"/>
  <c r="K67" i="81"/>
  <c r="N67" i="81"/>
  <c r="O67" i="81"/>
  <c r="P67" i="81"/>
  <c r="Q67" i="81"/>
  <c r="R67" i="81"/>
  <c r="S67" i="81"/>
  <c r="T67" i="81"/>
  <c r="U67" i="81"/>
  <c r="V67" i="81"/>
  <c r="W67" i="81"/>
  <c r="X67" i="81"/>
  <c r="Y67" i="81"/>
  <c r="Z67" i="81"/>
  <c r="AA67" i="81"/>
  <c r="AB67" i="81"/>
  <c r="J68" i="81"/>
  <c r="K68" i="81"/>
  <c r="L68" i="81"/>
  <c r="M68" i="81"/>
  <c r="N68" i="81"/>
  <c r="O68" i="81"/>
  <c r="P68" i="81"/>
  <c r="Q68" i="81"/>
  <c r="R68" i="81"/>
  <c r="S68" i="81"/>
  <c r="T68" i="81"/>
  <c r="U68" i="81"/>
  <c r="V68" i="81"/>
  <c r="W68" i="81"/>
  <c r="X68" i="81"/>
  <c r="Y68" i="81"/>
  <c r="Z68" i="81"/>
  <c r="AA68" i="81"/>
  <c r="AB68" i="81"/>
  <c r="J69" i="81"/>
  <c r="K69" i="81"/>
  <c r="L69" i="81"/>
  <c r="M69" i="81"/>
  <c r="N69" i="81"/>
  <c r="O69" i="81"/>
  <c r="P69" i="81"/>
  <c r="Q69" i="81"/>
  <c r="R69" i="81"/>
  <c r="S69" i="81"/>
  <c r="T69" i="81"/>
  <c r="U69" i="81"/>
  <c r="V69" i="81"/>
  <c r="W69" i="81"/>
  <c r="X69" i="81"/>
  <c r="Y69" i="81"/>
  <c r="Z69" i="81"/>
  <c r="AA69" i="81"/>
  <c r="AB69" i="81"/>
  <c r="J67" i="72"/>
  <c r="K67" i="72"/>
  <c r="L67" i="72"/>
  <c r="M67" i="72"/>
  <c r="N67" i="72"/>
  <c r="O67" i="72"/>
  <c r="P67" i="72"/>
  <c r="Q67" i="72"/>
  <c r="R67" i="72"/>
  <c r="S67" i="72"/>
  <c r="T67" i="72"/>
  <c r="U67" i="72"/>
  <c r="V67" i="72"/>
  <c r="W67" i="72"/>
  <c r="X67" i="72"/>
  <c r="Y67" i="72"/>
  <c r="Z67" i="72"/>
  <c r="AA67" i="72"/>
  <c r="AB67" i="72"/>
  <c r="J68" i="72"/>
  <c r="K68" i="72"/>
  <c r="L68" i="72"/>
  <c r="M68" i="72"/>
  <c r="N68" i="72"/>
  <c r="O68" i="72"/>
  <c r="P68" i="72"/>
  <c r="Q68" i="72"/>
  <c r="R68" i="72"/>
  <c r="S68" i="72"/>
  <c r="T68" i="72"/>
  <c r="U68" i="72"/>
  <c r="V68" i="72"/>
  <c r="W68" i="72"/>
  <c r="X68" i="72"/>
  <c r="Y68" i="72"/>
  <c r="Z68" i="72"/>
  <c r="AA68" i="72"/>
  <c r="AB68" i="72"/>
  <c r="J69" i="72"/>
  <c r="K69" i="72"/>
  <c r="L69" i="72"/>
  <c r="M69" i="72"/>
  <c r="N69" i="72"/>
  <c r="O69" i="72"/>
  <c r="P69" i="72"/>
  <c r="Q69" i="72"/>
  <c r="R69" i="72"/>
  <c r="S69" i="72"/>
  <c r="T69" i="72"/>
  <c r="U69" i="72"/>
  <c r="V69" i="72"/>
  <c r="W69" i="72"/>
  <c r="X69" i="72"/>
  <c r="Y69" i="72"/>
  <c r="Z69" i="72"/>
  <c r="AA69" i="72"/>
  <c r="AB69" i="72"/>
  <c r="J67" i="73"/>
  <c r="K67" i="73"/>
  <c r="L67" i="73"/>
  <c r="M67" i="73"/>
  <c r="N67" i="73"/>
  <c r="O67" i="73"/>
  <c r="P67" i="73"/>
  <c r="Q67" i="73"/>
  <c r="R67" i="73"/>
  <c r="S67" i="73"/>
  <c r="T67" i="73"/>
  <c r="U67" i="73"/>
  <c r="V67" i="73"/>
  <c r="W67" i="73"/>
  <c r="X67" i="73"/>
  <c r="Y67" i="73"/>
  <c r="Z67" i="73"/>
  <c r="AA67" i="73"/>
  <c r="AB67" i="73"/>
  <c r="J68" i="73"/>
  <c r="K68" i="73"/>
  <c r="L68" i="73"/>
  <c r="M68" i="73"/>
  <c r="N68" i="73"/>
  <c r="O68" i="73"/>
  <c r="P68" i="73"/>
  <c r="Q68" i="73"/>
  <c r="R68" i="73"/>
  <c r="S68" i="73"/>
  <c r="T68" i="73"/>
  <c r="U68" i="73"/>
  <c r="V68" i="73"/>
  <c r="W68" i="73"/>
  <c r="X68" i="73"/>
  <c r="Y68" i="73"/>
  <c r="Z68" i="73"/>
  <c r="AA68" i="73"/>
  <c r="AB68" i="73"/>
  <c r="J69" i="73"/>
  <c r="K69" i="73"/>
  <c r="L69" i="73"/>
  <c r="M69" i="73"/>
  <c r="N69" i="73"/>
  <c r="O69" i="73"/>
  <c r="P69" i="73"/>
  <c r="Q69" i="73"/>
  <c r="R69" i="73"/>
  <c r="S69" i="73"/>
  <c r="T69" i="73"/>
  <c r="U69" i="73"/>
  <c r="V69" i="73"/>
  <c r="W69" i="73"/>
  <c r="X69" i="73"/>
  <c r="Y69" i="73"/>
  <c r="Z69" i="73"/>
  <c r="AA69" i="73"/>
  <c r="AB69" i="73"/>
  <c r="J67" i="82"/>
  <c r="L67" i="82"/>
  <c r="M67" i="82"/>
  <c r="N67" i="82"/>
  <c r="O67" i="82"/>
  <c r="P67" i="82"/>
  <c r="Q67" i="82"/>
  <c r="R67" i="82"/>
  <c r="S67" i="82"/>
  <c r="T67" i="82"/>
  <c r="U67" i="82"/>
  <c r="V67" i="82"/>
  <c r="W67" i="82"/>
  <c r="X67" i="82"/>
  <c r="Y67" i="82"/>
  <c r="Z67" i="82"/>
  <c r="AA67" i="82"/>
  <c r="AB67" i="82"/>
  <c r="J68" i="82"/>
  <c r="K68" i="82"/>
  <c r="L68" i="82"/>
  <c r="M68" i="82"/>
  <c r="N68" i="82"/>
  <c r="O68" i="82"/>
  <c r="P68" i="82"/>
  <c r="Q68" i="82"/>
  <c r="R68" i="82"/>
  <c r="S68" i="82"/>
  <c r="T68" i="82"/>
  <c r="U68" i="82"/>
  <c r="V68" i="82"/>
  <c r="W68" i="82"/>
  <c r="X68" i="82"/>
  <c r="Y68" i="82"/>
  <c r="Z68" i="82"/>
  <c r="AA68" i="82"/>
  <c r="AB68" i="82"/>
  <c r="J69" i="82"/>
  <c r="K69" i="82"/>
  <c r="L69" i="82"/>
  <c r="M69" i="82"/>
  <c r="N69" i="82"/>
  <c r="O69" i="82"/>
  <c r="P69" i="82"/>
  <c r="Q69" i="82"/>
  <c r="R69" i="82"/>
  <c r="S69" i="82"/>
  <c r="T69" i="82"/>
  <c r="U69" i="82"/>
  <c r="V69" i="82"/>
  <c r="W69" i="82"/>
  <c r="X69" i="82"/>
  <c r="Y69" i="82"/>
  <c r="Z69" i="82"/>
  <c r="AA69" i="82"/>
  <c r="AB69" i="82"/>
  <c r="J67" i="68"/>
  <c r="K67" i="68"/>
  <c r="L67" i="68"/>
  <c r="M67" i="68"/>
  <c r="N67" i="68"/>
  <c r="O67" i="68"/>
  <c r="P67" i="68"/>
  <c r="Q67" i="68"/>
  <c r="R67" i="68"/>
  <c r="S67" i="68"/>
  <c r="T67" i="68"/>
  <c r="U67" i="68"/>
  <c r="V67" i="68"/>
  <c r="W67" i="68"/>
  <c r="X67" i="68"/>
  <c r="Y67" i="68"/>
  <c r="Z67" i="68"/>
  <c r="AA67" i="68"/>
  <c r="AB67" i="68"/>
  <c r="J68" i="68"/>
  <c r="K68" i="68"/>
  <c r="L68" i="68"/>
  <c r="M68" i="68"/>
  <c r="N68" i="68"/>
  <c r="O68" i="68"/>
  <c r="P68" i="68"/>
  <c r="Q68" i="68"/>
  <c r="R68" i="68"/>
  <c r="S68" i="68"/>
  <c r="T68" i="68"/>
  <c r="U68" i="68"/>
  <c r="V68" i="68"/>
  <c r="W68" i="68"/>
  <c r="X68" i="68"/>
  <c r="Y68" i="68"/>
  <c r="Z68" i="68"/>
  <c r="AA68" i="68"/>
  <c r="AB68" i="68"/>
  <c r="J69" i="68"/>
  <c r="K69" i="68"/>
  <c r="L69" i="68"/>
  <c r="M69" i="68"/>
  <c r="N69" i="68"/>
  <c r="O69" i="68"/>
  <c r="P69" i="68"/>
  <c r="Q69" i="68"/>
  <c r="R69" i="68"/>
  <c r="S69" i="68"/>
  <c r="T69" i="68"/>
  <c r="U69" i="68"/>
  <c r="V69" i="68"/>
  <c r="W69" i="68"/>
  <c r="X69" i="68"/>
  <c r="Y69" i="68"/>
  <c r="Z69" i="68"/>
  <c r="AA69" i="68"/>
  <c r="AB69" i="68"/>
  <c r="I69" i="81"/>
  <c r="I68" i="81"/>
  <c r="I69" i="72"/>
  <c r="I68" i="72"/>
  <c r="I67" i="72"/>
  <c r="I69" i="73"/>
  <c r="I68" i="73"/>
  <c r="I67" i="73"/>
  <c r="I69" i="82"/>
  <c r="I68" i="82"/>
  <c r="I67" i="82"/>
  <c r="I69" i="68"/>
  <c r="I68" i="68"/>
  <c r="I67" i="68"/>
  <c r="C79" i="81"/>
  <c r="C78" i="81"/>
  <c r="C77" i="81"/>
  <c r="C74" i="81"/>
  <c r="C73" i="81"/>
  <c r="C72" i="81"/>
  <c r="C69" i="81"/>
  <c r="C68" i="81"/>
  <c r="C67" i="81"/>
  <c r="C79" i="72"/>
  <c r="C78" i="72"/>
  <c r="C77" i="72"/>
  <c r="C74" i="72"/>
  <c r="C73" i="72"/>
  <c r="C72" i="72"/>
  <c r="C69" i="72"/>
  <c r="C68" i="72"/>
  <c r="C67" i="72"/>
  <c r="C79" i="73"/>
  <c r="C78" i="73"/>
  <c r="C77" i="73"/>
  <c r="C74" i="73"/>
  <c r="C73" i="73"/>
  <c r="C72" i="73"/>
  <c r="C69" i="73"/>
  <c r="C68" i="73"/>
  <c r="C67" i="73"/>
  <c r="C79" i="82"/>
  <c r="C78" i="82"/>
  <c r="C77" i="82"/>
  <c r="C74" i="82"/>
  <c r="C73" i="82"/>
  <c r="C72" i="82"/>
  <c r="C69" i="82"/>
  <c r="C68" i="82"/>
  <c r="C67" i="82"/>
  <c r="C79" i="68"/>
  <c r="C78" i="68"/>
  <c r="C77" i="68"/>
  <c r="C74" i="68"/>
  <c r="C73" i="68"/>
  <c r="C72" i="68"/>
  <c r="C69" i="68"/>
  <c r="C68" i="68"/>
  <c r="C67" i="68"/>
  <c r="I72" i="68" l="1" a="1"/>
  <c r="I72" i="68" s="1"/>
  <c r="I73" i="68" a="1"/>
  <c r="I73" i="68" s="1"/>
  <c r="I80" i="68" s="1"/>
  <c r="I82" i="68" s="1"/>
  <c r="I107" i="68" s="1"/>
  <c r="I74" i="68" a="1"/>
  <c r="I74" i="68" s="1"/>
  <c r="W15" i="75"/>
  <c r="O15" i="75"/>
  <c r="Y15" i="75"/>
  <c r="Q15" i="75"/>
  <c r="X15" i="75"/>
  <c r="P15" i="75"/>
  <c r="V15" i="75"/>
  <c r="N15" i="75"/>
  <c r="U15" i="75"/>
  <c r="M15" i="75"/>
  <c r="AB15" i="75"/>
  <c r="T15" i="75"/>
  <c r="L15" i="75"/>
  <c r="S15" i="75"/>
  <c r="AA15" i="75"/>
  <c r="K15" i="75"/>
  <c r="Z15" i="75"/>
  <c r="R15" i="75"/>
  <c r="J15" i="75"/>
  <c r="C50" i="75"/>
  <c r="C49" i="75"/>
  <c r="C48" i="75"/>
  <c r="C47" i="75"/>
  <c r="C46" i="75"/>
  <c r="C43" i="75"/>
  <c r="G50" i="75"/>
  <c r="G49" i="75"/>
  <c r="G48" i="75"/>
  <c r="G47" i="75"/>
  <c r="G46" i="75"/>
  <c r="G43" i="75"/>
  <c r="D41" i="75"/>
  <c r="C64" i="82"/>
  <c r="A7" i="82"/>
  <c r="I6" i="82"/>
  <c r="A6" i="82"/>
  <c r="D82" i="75"/>
  <c r="C36" i="75"/>
  <c r="C22" i="75"/>
  <c r="I72" i="82" l="1" a="1"/>
  <c r="I72" i="82" s="1"/>
  <c r="I74" i="82" a="1"/>
  <c r="I74" i="82" s="1"/>
  <c r="I73" i="82" a="1"/>
  <c r="I73" i="82" s="1"/>
  <c r="C13" i="47"/>
  <c r="D43" i="75"/>
  <c r="C64" i="72"/>
  <c r="F13" i="47" l="1"/>
  <c r="D35" i="62"/>
  <c r="D13" i="47"/>
  <c r="A4" i="82" s="1"/>
  <c r="I80" i="82"/>
  <c r="I82" i="82" s="1"/>
  <c r="I107" i="82" s="1"/>
  <c r="D44" i="75"/>
  <c r="C34" i="75" l="1"/>
  <c r="G29" i="33"/>
  <c r="H29" i="33"/>
  <c r="I29" i="33"/>
  <c r="J29" i="33"/>
  <c r="F29" i="33"/>
  <c r="A7" i="81"/>
  <c r="I6" i="81"/>
  <c r="A6" i="81"/>
  <c r="I72" i="81" l="1" a="1"/>
  <c r="I72" i="81" s="1"/>
  <c r="J77" i="81" s="1"/>
  <c r="I73" i="81" a="1"/>
  <c r="I73" i="81" s="1"/>
  <c r="J78" i="81" s="1"/>
  <c r="I74" i="81" a="1"/>
  <c r="I74" i="81" s="1"/>
  <c r="D72" i="75"/>
  <c r="D58" i="75"/>
  <c r="D46" i="75"/>
  <c r="D30" i="75"/>
  <c r="C10" i="47"/>
  <c r="F10" i="47" s="1"/>
  <c r="D32" i="62" l="1"/>
  <c r="D10" i="47"/>
  <c r="A4" i="81" s="1"/>
  <c r="I80" i="81"/>
  <c r="D65" i="75"/>
  <c r="D79" i="75"/>
  <c r="D37" i="75"/>
  <c r="D47" i="75"/>
  <c r="I82" i="81" l="1"/>
  <c r="I107" i="81" s="1"/>
  <c r="D81" i="75"/>
  <c r="D80" i="75"/>
  <c r="D39" i="75"/>
  <c r="D38" i="75"/>
  <c r="D67" i="75"/>
  <c r="D66" i="75"/>
  <c r="D25" i="75"/>
  <c r="D24" i="75"/>
  <c r="D48" i="75"/>
  <c r="D31" i="75"/>
  <c r="A7" i="73"/>
  <c r="I6" i="73"/>
  <c r="A6" i="73"/>
  <c r="A7" i="72"/>
  <c r="I6" i="72"/>
  <c r="A6" i="72"/>
  <c r="I74" i="73" l="1" a="1"/>
  <c r="I74" i="73" s="1"/>
  <c r="I72" i="73" a="1"/>
  <c r="I72" i="73" s="1"/>
  <c r="I73" i="73" a="1"/>
  <c r="I73" i="73" s="1"/>
  <c r="I72" i="72" a="1"/>
  <c r="I72" i="72" s="1"/>
  <c r="J77" i="72" s="1"/>
  <c r="I74" i="72" a="1"/>
  <c r="I74" i="72" s="1"/>
  <c r="I73" i="72" a="1"/>
  <c r="I73" i="72" s="1"/>
  <c r="J78" i="72" s="1"/>
  <c r="D49" i="75"/>
  <c r="I80" i="73" l="1"/>
  <c r="D51" i="75"/>
  <c r="D50" i="75"/>
  <c r="I82" i="73" l="1"/>
  <c r="I107" i="73" s="1"/>
  <c r="D53" i="75"/>
  <c r="D52" i="75"/>
  <c r="C43" i="62" l="1"/>
  <c r="D76" i="75"/>
  <c r="D62" i="75"/>
  <c r="D34" i="75"/>
  <c r="D26" i="75"/>
  <c r="D27" i="75"/>
  <c r="D59" i="75"/>
  <c r="D69" i="75"/>
  <c r="D73" i="75"/>
  <c r="D23" i="75"/>
  <c r="G78" i="75"/>
  <c r="G77" i="75"/>
  <c r="G76" i="75"/>
  <c r="G75" i="75"/>
  <c r="G74" i="75"/>
  <c r="G71" i="75"/>
  <c r="G64" i="75"/>
  <c r="G63" i="75"/>
  <c r="G62" i="75"/>
  <c r="G61" i="75"/>
  <c r="G60" i="75"/>
  <c r="G57" i="75"/>
  <c r="G36" i="75"/>
  <c r="G35" i="75"/>
  <c r="G34" i="75"/>
  <c r="G33" i="75"/>
  <c r="G32" i="75"/>
  <c r="G29" i="75"/>
  <c r="C20" i="75"/>
  <c r="D20" i="75" s="1"/>
  <c r="G22" i="75"/>
  <c r="G21" i="75"/>
  <c r="G20" i="75"/>
  <c r="G19" i="75"/>
  <c r="G18" i="75"/>
  <c r="G15" i="75"/>
  <c r="J98" i="75" l="1"/>
  <c r="K98" i="75"/>
  <c r="L98" i="75"/>
  <c r="M98" i="75"/>
  <c r="N98" i="75"/>
  <c r="O98" i="75"/>
  <c r="P98" i="75"/>
  <c r="Q98" i="75"/>
  <c r="R98" i="75"/>
  <c r="S98" i="75"/>
  <c r="T98" i="75"/>
  <c r="U98" i="75"/>
  <c r="V98" i="75"/>
  <c r="W98" i="75"/>
  <c r="X98" i="75"/>
  <c r="Y98" i="75"/>
  <c r="Z98" i="75"/>
  <c r="AA98" i="75"/>
  <c r="AB98" i="75"/>
  <c r="C11" i="47" l="1"/>
  <c r="C12" i="47"/>
  <c r="I98" i="75"/>
  <c r="D98" i="75" l="1"/>
  <c r="F12" i="47"/>
  <c r="F11" i="47"/>
  <c r="D33" i="62"/>
  <c r="D34" i="62"/>
  <c r="D12" i="47"/>
  <c r="A4" i="73" s="1"/>
  <c r="G92" i="73" s="1"/>
  <c r="D11" i="47"/>
  <c r="A4" i="72" s="1"/>
  <c r="J7" i="82"/>
  <c r="J42" i="82" s="1"/>
  <c r="K7" i="82"/>
  <c r="K42" i="82" s="1"/>
  <c r="L7" i="82"/>
  <c r="L42" i="82" s="1"/>
  <c r="M7" i="82"/>
  <c r="M42" i="82" s="1"/>
  <c r="N7" i="82"/>
  <c r="N42" i="82" s="1"/>
  <c r="I7" i="82"/>
  <c r="I42" i="82" s="1"/>
  <c r="C88" i="85" l="1" a="1"/>
  <c r="C34" i="62"/>
  <c r="L7" i="81"/>
  <c r="L42" i="81" s="1"/>
  <c r="N7" i="81"/>
  <c r="N42" i="81" s="1"/>
  <c r="M7" i="81"/>
  <c r="M42" i="81" s="1"/>
  <c r="K7" i="81"/>
  <c r="K42" i="81" s="1"/>
  <c r="I7" i="81"/>
  <c r="I42" i="81" s="1"/>
  <c r="J7" i="81"/>
  <c r="J42" i="81" s="1"/>
  <c r="N42" i="68"/>
  <c r="N7" i="73"/>
  <c r="N42" i="73" s="1"/>
  <c r="N7" i="72"/>
  <c r="N42" i="72" s="1"/>
  <c r="M42" i="68"/>
  <c r="M7" i="72"/>
  <c r="M42" i="72" s="1"/>
  <c r="M7" i="73"/>
  <c r="M42" i="73" s="1"/>
  <c r="K42" i="68"/>
  <c r="K7" i="73"/>
  <c r="K42" i="73" s="1"/>
  <c r="K7" i="72"/>
  <c r="K42" i="72" s="1"/>
  <c r="L42" i="68"/>
  <c r="L7" i="73"/>
  <c r="L42" i="73" s="1"/>
  <c r="L7" i="72"/>
  <c r="L42" i="72" s="1"/>
  <c r="I42" i="68"/>
  <c r="I7" i="73"/>
  <c r="I42" i="73" s="1"/>
  <c r="I7" i="72"/>
  <c r="I42" i="72" s="1"/>
  <c r="J42" i="68"/>
  <c r="J7" i="73"/>
  <c r="J42" i="73" s="1"/>
  <c r="J7" i="72"/>
  <c r="J42" i="72" s="1"/>
  <c r="O7" i="82"/>
  <c r="O42" i="82" s="1"/>
  <c r="J17" i="68"/>
  <c r="K17" i="68"/>
  <c r="L17" i="68"/>
  <c r="M17" i="68"/>
  <c r="N17" i="68"/>
  <c r="O17" i="68"/>
  <c r="P17" i="68"/>
  <c r="Q17" i="68"/>
  <c r="R17" i="68"/>
  <c r="S17" i="68"/>
  <c r="T17" i="68"/>
  <c r="U17" i="68"/>
  <c r="V17" i="68"/>
  <c r="W17" i="68"/>
  <c r="X17" i="68"/>
  <c r="Y17" i="68"/>
  <c r="Z17" i="68"/>
  <c r="AA17" i="68"/>
  <c r="AB17" i="68"/>
  <c r="I17" i="68"/>
  <c r="J6" i="68"/>
  <c r="J6" i="75" s="1"/>
  <c r="J6" i="85" s="1"/>
  <c r="D97" i="85" l="1"/>
  <c r="G74" i="33" s="1"/>
  <c r="F97" i="85"/>
  <c r="I74" i="33" s="1"/>
  <c r="F96" i="85"/>
  <c r="F93" i="85"/>
  <c r="F91" i="85"/>
  <c r="F90" i="85"/>
  <c r="G93" i="85"/>
  <c r="G94" i="85"/>
  <c r="G92" i="85"/>
  <c r="D98" i="85"/>
  <c r="G75" i="33" s="1"/>
  <c r="G90" i="85"/>
  <c r="F98" i="85"/>
  <c r="I75" i="33" s="1"/>
  <c r="F95" i="85"/>
  <c r="F92" i="85"/>
  <c r="E98" i="85"/>
  <c r="D96" i="85"/>
  <c r="G73" i="33" s="1"/>
  <c r="F94" i="85"/>
  <c r="E97" i="85"/>
  <c r="G98" i="85"/>
  <c r="J75" i="33" s="1"/>
  <c r="G96" i="85"/>
  <c r="E96" i="85"/>
  <c r="G91" i="85"/>
  <c r="G97" i="85"/>
  <c r="J74" i="33" s="1"/>
  <c r="G95" i="85"/>
  <c r="C88" i="85"/>
  <c r="J74" i="68" a="1"/>
  <c r="J74" i="68" s="1"/>
  <c r="J72" i="68" a="1"/>
  <c r="J72" i="68" s="1"/>
  <c r="J73" i="68" a="1"/>
  <c r="J73" i="68" s="1"/>
  <c r="J6" i="82"/>
  <c r="K6" i="68"/>
  <c r="K6" i="75" s="1"/>
  <c r="K6" i="85" s="1"/>
  <c r="J6" i="81"/>
  <c r="J6" i="73"/>
  <c r="J6" i="72"/>
  <c r="O7" i="81"/>
  <c r="O42" i="81" s="1"/>
  <c r="O7" i="73"/>
  <c r="O42" i="73" s="1"/>
  <c r="O7" i="72"/>
  <c r="O42" i="72" s="1"/>
  <c r="P7" i="82"/>
  <c r="P42" i="82" s="1"/>
  <c r="O42" i="68"/>
  <c r="K88" i="85" l="1"/>
  <c r="K97" i="85" s="1"/>
  <c r="L74" i="33" s="1"/>
  <c r="C98" i="85"/>
  <c r="F75" i="33" s="1"/>
  <c r="C97" i="85"/>
  <c r="F74" i="33" s="1"/>
  <c r="C96" i="85"/>
  <c r="F73" i="33" s="1"/>
  <c r="K6" i="82"/>
  <c r="K72" i="68" a="1"/>
  <c r="K72" i="68" s="1"/>
  <c r="K73" i="68" a="1"/>
  <c r="K73" i="68" s="1"/>
  <c r="K74" i="68" a="1"/>
  <c r="K74" i="68" s="1"/>
  <c r="J72" i="82" a="1"/>
  <c r="J72" i="82" s="1"/>
  <c r="J74" i="82" a="1"/>
  <c r="J74" i="82" s="1"/>
  <c r="J73" i="82" a="1"/>
  <c r="J73" i="82" s="1"/>
  <c r="J74" i="73" a="1"/>
  <c r="J74" i="73" s="1"/>
  <c r="J73" i="73" a="1"/>
  <c r="J73" i="73" s="1"/>
  <c r="J72" i="73" a="1"/>
  <c r="J72" i="73" s="1"/>
  <c r="J73" i="81" a="1"/>
  <c r="J73" i="81" s="1"/>
  <c r="K78" i="81" s="1"/>
  <c r="J72" i="81" a="1"/>
  <c r="J72" i="81" s="1"/>
  <c r="K77" i="81" s="1"/>
  <c r="J74" i="81" a="1"/>
  <c r="J74" i="81" s="1"/>
  <c r="J73" i="72" a="1"/>
  <c r="J73" i="72" s="1"/>
  <c r="K78" i="72" s="1"/>
  <c r="J72" i="72" a="1"/>
  <c r="J72" i="72" s="1"/>
  <c r="K77" i="72" s="1"/>
  <c r="J74" i="72" a="1"/>
  <c r="J74" i="72" s="1"/>
  <c r="J80" i="68"/>
  <c r="J82" i="68" s="1"/>
  <c r="J107" i="68" s="1"/>
  <c r="L6" i="68"/>
  <c r="L6" i="75" s="1"/>
  <c r="L6" i="85" s="1"/>
  <c r="K6" i="81"/>
  <c r="G90" i="81" s="1" a="1"/>
  <c r="G90" i="81" s="1"/>
  <c r="G92" i="81" s="1"/>
  <c r="C32" i="62" s="1"/>
  <c r="K6" i="73"/>
  <c r="K6" i="72"/>
  <c r="G90" i="72" s="1" a="1"/>
  <c r="G90" i="72" s="1"/>
  <c r="G92" i="72" s="1"/>
  <c r="C33" i="62" s="1"/>
  <c r="P7" i="81"/>
  <c r="P42" i="81" s="1"/>
  <c r="P7" i="73"/>
  <c r="P42" i="73" s="1"/>
  <c r="P7" i="72"/>
  <c r="P42" i="72" s="1"/>
  <c r="Q7" i="82"/>
  <c r="Q42" i="82" s="1"/>
  <c r="P42" i="68"/>
  <c r="K72" i="72" l="1" a="1"/>
  <c r="K72" i="72" s="1"/>
  <c r="L77" i="72" s="1"/>
  <c r="K73" i="72" a="1"/>
  <c r="K73" i="72" s="1"/>
  <c r="L78" i="72" s="1"/>
  <c r="K74" i="72" a="1"/>
  <c r="K74" i="72" s="1"/>
  <c r="L72" i="68" a="1"/>
  <c r="L72" i="68" s="1"/>
  <c r="L73" i="68" a="1"/>
  <c r="L73" i="68" s="1"/>
  <c r="L74" i="68" a="1"/>
  <c r="L74" i="68" s="1"/>
  <c r="K74" i="73" a="1"/>
  <c r="K74" i="73" s="1"/>
  <c r="K72" i="73" a="1"/>
  <c r="K72" i="73" s="1"/>
  <c r="K73" i="73" a="1"/>
  <c r="K73" i="73" s="1"/>
  <c r="K73" i="81" a="1"/>
  <c r="K73" i="81" s="1"/>
  <c r="L78" i="81" s="1"/>
  <c r="K72" i="81" a="1"/>
  <c r="K72" i="81" s="1"/>
  <c r="L77" i="81" s="1"/>
  <c r="K74" i="81" a="1"/>
  <c r="K74" i="81" s="1"/>
  <c r="K73" i="82" a="1"/>
  <c r="K73" i="82" s="1"/>
  <c r="K72" i="82" a="1"/>
  <c r="K72" i="82" s="1"/>
  <c r="K80" i="82" s="1"/>
  <c r="K82" i="82" s="1"/>
  <c r="K107" i="82" s="1"/>
  <c r="K74" i="82" a="1"/>
  <c r="K74" i="82" s="1"/>
  <c r="J80" i="81"/>
  <c r="K80" i="68"/>
  <c r="K82" i="68" s="1"/>
  <c r="K107" i="68" s="1"/>
  <c r="J80" i="82"/>
  <c r="J82" i="82" s="1"/>
  <c r="J107" i="82" s="1"/>
  <c r="J80" i="73"/>
  <c r="L6" i="82"/>
  <c r="M6" i="68"/>
  <c r="M6" i="75" s="1"/>
  <c r="M6" i="85" s="1"/>
  <c r="L6" i="81"/>
  <c r="L6" i="72"/>
  <c r="L6" i="73"/>
  <c r="Q7" i="81"/>
  <c r="Q42" i="81" s="1"/>
  <c r="Q7" i="73"/>
  <c r="Q42" i="73" s="1"/>
  <c r="Q7" i="72"/>
  <c r="Q42" i="72" s="1"/>
  <c r="R7" i="82"/>
  <c r="R42" i="82" s="1"/>
  <c r="Q42" i="68"/>
  <c r="J82" i="73" l="1"/>
  <c r="J107" i="73" s="1"/>
  <c r="J82" i="81"/>
  <c r="J107" i="81" s="1"/>
  <c r="L74" i="82" a="1"/>
  <c r="L74" i="82" s="1"/>
  <c r="L72" i="82" a="1"/>
  <c r="L72" i="82" s="1"/>
  <c r="L73" i="82" a="1"/>
  <c r="L73" i="82" s="1"/>
  <c r="M72" i="68" a="1"/>
  <c r="M72" i="68" s="1"/>
  <c r="M74" i="68" a="1"/>
  <c r="M74" i="68" s="1"/>
  <c r="M73" i="68" a="1"/>
  <c r="M73" i="68" s="1"/>
  <c r="L72" i="73" a="1"/>
  <c r="L72" i="73" s="1"/>
  <c r="L73" i="73" a="1"/>
  <c r="L73" i="73" s="1"/>
  <c r="L74" i="73" a="1"/>
  <c r="L74" i="73" s="1"/>
  <c r="L72" i="72" a="1"/>
  <c r="L72" i="72" s="1"/>
  <c r="M77" i="72" s="1"/>
  <c r="L73" i="72" a="1"/>
  <c r="L73" i="72" s="1"/>
  <c r="M78" i="72" s="1"/>
  <c r="L74" i="72" a="1"/>
  <c r="L74" i="72" s="1"/>
  <c r="L74" i="81" a="1"/>
  <c r="L74" i="81" s="1"/>
  <c r="L72" i="81" a="1"/>
  <c r="L72" i="81" s="1"/>
  <c r="M77" i="81" s="1"/>
  <c r="L73" i="81" a="1"/>
  <c r="L73" i="81" s="1"/>
  <c r="M78" i="81" s="1"/>
  <c r="K80" i="81"/>
  <c r="L80" i="68"/>
  <c r="L82" i="68" s="1"/>
  <c r="L107" i="68" s="1"/>
  <c r="K80" i="73"/>
  <c r="M6" i="82"/>
  <c r="N6" i="68"/>
  <c r="N6" i="75" s="1"/>
  <c r="N6" i="85" s="1"/>
  <c r="M6" i="81"/>
  <c r="M6" i="72"/>
  <c r="M6" i="73"/>
  <c r="R7" i="81"/>
  <c r="R42" i="81" s="1"/>
  <c r="R7" i="73"/>
  <c r="R42" i="73" s="1"/>
  <c r="R7" i="72"/>
  <c r="R42" i="72" s="1"/>
  <c r="S7" i="82"/>
  <c r="S42" i="82" s="1"/>
  <c r="R42" i="68"/>
  <c r="K82" i="73" l="1"/>
  <c r="K107" i="73" s="1"/>
  <c r="K82" i="81"/>
  <c r="K107" i="81" s="1"/>
  <c r="M74" i="82" a="1"/>
  <c r="M74" i="82" s="1"/>
  <c r="M72" i="82" a="1"/>
  <c r="M72" i="82" s="1"/>
  <c r="M73" i="82" a="1"/>
  <c r="M73" i="82" s="1"/>
  <c r="M72" i="73" a="1"/>
  <c r="M72" i="73" s="1"/>
  <c r="M73" i="73" a="1"/>
  <c r="M73" i="73" s="1"/>
  <c r="M74" i="73" a="1"/>
  <c r="M74" i="73" s="1"/>
  <c r="M74" i="81" a="1"/>
  <c r="M74" i="81" s="1"/>
  <c r="M73" i="81" a="1"/>
  <c r="M73" i="81" s="1"/>
  <c r="N78" i="81" s="1"/>
  <c r="M72" i="81" a="1"/>
  <c r="M72" i="81" s="1"/>
  <c r="N77" i="81" s="1"/>
  <c r="M72" i="72" a="1"/>
  <c r="M72" i="72" s="1"/>
  <c r="N77" i="72" s="1"/>
  <c r="M73" i="72" a="1"/>
  <c r="M73" i="72" s="1"/>
  <c r="N78" i="72" s="1"/>
  <c r="M74" i="72" a="1"/>
  <c r="M74" i="72" s="1"/>
  <c r="N74" i="68" a="1"/>
  <c r="N74" i="68" s="1"/>
  <c r="N73" i="68" a="1"/>
  <c r="N73" i="68" s="1"/>
  <c r="N72" i="68" a="1"/>
  <c r="N72" i="68" s="1"/>
  <c r="L80" i="81"/>
  <c r="M80" i="68"/>
  <c r="M82" i="68" s="1"/>
  <c r="M107" i="68" s="1"/>
  <c r="L80" i="82"/>
  <c r="L82" i="82" s="1"/>
  <c r="L107" i="82" s="1"/>
  <c r="L80" i="73"/>
  <c r="N6" i="82"/>
  <c r="O6" i="68"/>
  <c r="O6" i="75" s="1"/>
  <c r="O6" i="85" s="1"/>
  <c r="N6" i="81"/>
  <c r="N6" i="72"/>
  <c r="N6" i="73"/>
  <c r="S7" i="81"/>
  <c r="S42" i="81" s="1"/>
  <c r="S7" i="73"/>
  <c r="S42" i="73" s="1"/>
  <c r="S7" i="72"/>
  <c r="S42" i="72" s="1"/>
  <c r="T7" i="82"/>
  <c r="T42" i="82" s="1"/>
  <c r="S42" i="68"/>
  <c r="L82" i="73" l="1"/>
  <c r="L107" i="73" s="1"/>
  <c r="L82" i="81"/>
  <c r="L107" i="81" s="1"/>
  <c r="N73" i="72" a="1"/>
  <c r="N73" i="72" s="1"/>
  <c r="O78" i="72" s="1"/>
  <c r="N74" i="72" a="1"/>
  <c r="N74" i="72" s="1"/>
  <c r="N72" i="72" a="1"/>
  <c r="N72" i="72" s="1"/>
  <c r="O77" i="72" s="1"/>
  <c r="N74" i="73" a="1"/>
  <c r="N74" i="73" s="1"/>
  <c r="N72" i="73" a="1"/>
  <c r="N72" i="73" s="1"/>
  <c r="N73" i="73" a="1"/>
  <c r="N73" i="73" s="1"/>
  <c r="N73" i="81" a="1"/>
  <c r="N73" i="81" s="1"/>
  <c r="O78" i="81" s="1"/>
  <c r="N74" i="81" a="1"/>
  <c r="N74" i="81" s="1"/>
  <c r="N72" i="81" a="1"/>
  <c r="N72" i="81" s="1"/>
  <c r="O77" i="81" s="1"/>
  <c r="O72" i="68" a="1"/>
  <c r="O72" i="68" s="1"/>
  <c r="O74" i="68" a="1"/>
  <c r="O74" i="68" s="1"/>
  <c r="O73" i="68" a="1"/>
  <c r="O73" i="68" s="1"/>
  <c r="N73" i="82" a="1"/>
  <c r="N73" i="82" s="1"/>
  <c r="N74" i="82" a="1"/>
  <c r="N74" i="82" s="1"/>
  <c r="N72" i="82" a="1"/>
  <c r="N72" i="82" s="1"/>
  <c r="M80" i="81"/>
  <c r="N80" i="68"/>
  <c r="N82" i="68" s="1"/>
  <c r="N107" i="68" s="1"/>
  <c r="M80" i="82"/>
  <c r="M82" i="82" s="1"/>
  <c r="M107" i="82" s="1"/>
  <c r="M80" i="73"/>
  <c r="O6" i="82"/>
  <c r="P6" i="68"/>
  <c r="P6" i="75" s="1"/>
  <c r="P6" i="85" s="1"/>
  <c r="O6" i="81"/>
  <c r="O6" i="72"/>
  <c r="O6" i="73"/>
  <c r="T7" i="81"/>
  <c r="T42" i="81" s="1"/>
  <c r="T7" i="73"/>
  <c r="T42" i="73" s="1"/>
  <c r="T7" i="72"/>
  <c r="T42" i="72" s="1"/>
  <c r="T42" i="68"/>
  <c r="U7" i="82"/>
  <c r="U42" i="82" s="1"/>
  <c r="M82" i="73" l="1"/>
  <c r="M107" i="73" s="1"/>
  <c r="M82" i="81"/>
  <c r="M107" i="81" s="1"/>
  <c r="O74" i="72" a="1"/>
  <c r="O74" i="72" s="1"/>
  <c r="O73" i="72" a="1"/>
  <c r="O73" i="72" s="1"/>
  <c r="P78" i="72" s="1"/>
  <c r="O72" i="72" a="1"/>
  <c r="O72" i="72" s="1"/>
  <c r="P77" i="72" s="1"/>
  <c r="O72" i="81" a="1"/>
  <c r="O72" i="81" s="1"/>
  <c r="P77" i="81" s="1"/>
  <c r="O74" i="81" a="1"/>
  <c r="O74" i="81" s="1"/>
  <c r="O73" i="81" a="1"/>
  <c r="O73" i="81" s="1"/>
  <c r="P78" i="81" s="1"/>
  <c r="O73" i="73" a="1"/>
  <c r="O73" i="73" s="1"/>
  <c r="O72" i="73" a="1"/>
  <c r="O72" i="73" s="1"/>
  <c r="O74" i="73" a="1"/>
  <c r="O74" i="73" s="1"/>
  <c r="P73" i="68" a="1"/>
  <c r="P73" i="68" s="1"/>
  <c r="P74" i="68" a="1"/>
  <c r="P74" i="68" s="1"/>
  <c r="P72" i="68" a="1"/>
  <c r="P72" i="68" s="1"/>
  <c r="O72" i="82" a="1"/>
  <c r="O72" i="82" s="1"/>
  <c r="O73" i="82" a="1"/>
  <c r="O73" i="82" s="1"/>
  <c r="O74" i="82" a="1"/>
  <c r="O74" i="82" s="1"/>
  <c r="N80" i="81"/>
  <c r="O80" i="68"/>
  <c r="O82" i="68" s="1"/>
  <c r="O107" i="68" s="1"/>
  <c r="N80" i="73"/>
  <c r="N80" i="82"/>
  <c r="N82" i="82" s="1"/>
  <c r="N107" i="82" s="1"/>
  <c r="P6" i="82"/>
  <c r="Q6" i="68"/>
  <c r="Q6" i="75" s="1"/>
  <c r="Q6" i="85" s="1"/>
  <c r="P6" i="81"/>
  <c r="P6" i="72"/>
  <c r="P6" i="73"/>
  <c r="U7" i="81"/>
  <c r="U42" i="81" s="1"/>
  <c r="U7" i="72"/>
  <c r="U42" i="72" s="1"/>
  <c r="U7" i="73"/>
  <c r="U42" i="73" s="1"/>
  <c r="U42" i="68"/>
  <c r="V7" i="82"/>
  <c r="V42" i="82" s="1"/>
  <c r="N82" i="73" l="1"/>
  <c r="N107" i="73" s="1"/>
  <c r="N82" i="81"/>
  <c r="N107" i="81" s="1"/>
  <c r="P73" i="72" a="1"/>
  <c r="P73" i="72" s="1"/>
  <c r="Q78" i="72" s="1"/>
  <c r="P72" i="72" a="1"/>
  <c r="P72" i="72" s="1"/>
  <c r="Q77" i="72" s="1"/>
  <c r="P74" i="72" a="1"/>
  <c r="P74" i="72" s="1"/>
  <c r="P72" i="81" a="1"/>
  <c r="P72" i="81" s="1"/>
  <c r="Q77" i="81" s="1"/>
  <c r="P74" i="81" a="1"/>
  <c r="P74" i="81" s="1"/>
  <c r="P73" i="81" a="1"/>
  <c r="P73" i="81" s="1"/>
  <c r="Q78" i="81" s="1"/>
  <c r="P74" i="73" a="1"/>
  <c r="P74" i="73" s="1"/>
  <c r="P73" i="73" a="1"/>
  <c r="P73" i="73" s="1"/>
  <c r="P72" i="73" a="1"/>
  <c r="P72" i="73" s="1"/>
  <c r="P74" i="82" a="1"/>
  <c r="P74" i="82" s="1"/>
  <c r="P73" i="82" a="1"/>
  <c r="P73" i="82" s="1"/>
  <c r="P72" i="82" a="1"/>
  <c r="P72" i="82" s="1"/>
  <c r="Q72" i="68" a="1"/>
  <c r="Q72" i="68" s="1"/>
  <c r="Q74" i="68" a="1"/>
  <c r="Q74" i="68" s="1"/>
  <c r="Q73" i="68" a="1"/>
  <c r="Q73" i="68" s="1"/>
  <c r="O80" i="81"/>
  <c r="P80" i="68"/>
  <c r="P82" i="68" s="1"/>
  <c r="P107" i="68" s="1"/>
  <c r="O80" i="82"/>
  <c r="O82" i="82" s="1"/>
  <c r="O107" i="82" s="1"/>
  <c r="O80" i="73"/>
  <c r="Q6" i="82"/>
  <c r="R6" i="68"/>
  <c r="R6" i="75" s="1"/>
  <c r="R6" i="85" s="1"/>
  <c r="Q6" i="81"/>
  <c r="Q6" i="73"/>
  <c r="Q6" i="72"/>
  <c r="V7" i="81"/>
  <c r="V42" i="81" s="1"/>
  <c r="V7" i="73"/>
  <c r="V42" i="73" s="1"/>
  <c r="V7" i="72"/>
  <c r="V42" i="72" s="1"/>
  <c r="V42" i="68"/>
  <c r="W7" i="82"/>
  <c r="W42" i="82" s="1"/>
  <c r="O82" i="73" l="1"/>
  <c r="O107" i="73" s="1"/>
  <c r="O82" i="81"/>
  <c r="O107" i="81" s="1"/>
  <c r="Q73" i="72" a="1"/>
  <c r="Q73" i="72" s="1"/>
  <c r="R78" i="72" s="1"/>
  <c r="Q74" i="72" a="1"/>
  <c r="Q74" i="72" s="1"/>
  <c r="Q72" i="72" a="1"/>
  <c r="Q72" i="72" s="1"/>
  <c r="R77" i="72" s="1"/>
  <c r="Q72" i="73" a="1"/>
  <c r="Q72" i="73" s="1"/>
  <c r="Q74" i="73" a="1"/>
  <c r="Q74" i="73" s="1"/>
  <c r="Q73" i="73" a="1"/>
  <c r="Q73" i="73" s="1"/>
  <c r="Q73" i="82" a="1"/>
  <c r="Q73" i="82" s="1"/>
  <c r="Q72" i="82" a="1"/>
  <c r="Q72" i="82" s="1"/>
  <c r="Q74" i="82" a="1"/>
  <c r="Q74" i="82" s="1"/>
  <c r="Q73" i="81" a="1"/>
  <c r="Q73" i="81" s="1"/>
  <c r="R78" i="81" s="1"/>
  <c r="Q74" i="81" a="1"/>
  <c r="Q74" i="81" s="1"/>
  <c r="Q72" i="81" a="1"/>
  <c r="Q72" i="81" s="1"/>
  <c r="R77" i="81" s="1"/>
  <c r="R74" i="68" a="1"/>
  <c r="R74" i="68" s="1"/>
  <c r="R72" i="68" a="1"/>
  <c r="R72" i="68" s="1"/>
  <c r="R73" i="68" a="1"/>
  <c r="R73" i="68" s="1"/>
  <c r="P80" i="81"/>
  <c r="Q80" i="68"/>
  <c r="Q82" i="68" s="1"/>
  <c r="Q107" i="68" s="1"/>
  <c r="P80" i="73"/>
  <c r="P80" i="82"/>
  <c r="P82" i="82" s="1"/>
  <c r="P107" i="82" s="1"/>
  <c r="R6" i="82"/>
  <c r="S6" i="68"/>
  <c r="S6" i="75" s="1"/>
  <c r="S6" i="85" s="1"/>
  <c r="R6" i="81"/>
  <c r="R6" i="73"/>
  <c r="R6" i="72"/>
  <c r="W7" i="81"/>
  <c r="W42" i="81" s="1"/>
  <c r="W7" i="73"/>
  <c r="W42" i="73" s="1"/>
  <c r="W7" i="72"/>
  <c r="W42" i="72" s="1"/>
  <c r="W42" i="68"/>
  <c r="X7" i="82"/>
  <c r="X42" i="82" s="1"/>
  <c r="P82" i="73" l="1"/>
  <c r="P107" i="73" s="1"/>
  <c r="P82" i="81"/>
  <c r="P107" i="81" s="1"/>
  <c r="R72" i="82" a="1"/>
  <c r="R72" i="82" s="1"/>
  <c r="R73" i="82" a="1"/>
  <c r="R73" i="82" s="1"/>
  <c r="R74" i="82" a="1"/>
  <c r="R74" i="82" s="1"/>
  <c r="R72" i="73" a="1"/>
  <c r="R72" i="73" s="1"/>
  <c r="R74" i="73" a="1"/>
  <c r="R74" i="73" s="1"/>
  <c r="R73" i="73" a="1"/>
  <c r="R73" i="73" s="1"/>
  <c r="R72" i="81" a="1"/>
  <c r="R72" i="81" s="1"/>
  <c r="S77" i="81" s="1"/>
  <c r="R73" i="81" a="1"/>
  <c r="R73" i="81" s="1"/>
  <c r="S78" i="81" s="1"/>
  <c r="R74" i="81" a="1"/>
  <c r="R74" i="81" s="1"/>
  <c r="R73" i="72" a="1"/>
  <c r="R73" i="72" s="1"/>
  <c r="S78" i="72" s="1"/>
  <c r="R72" i="72" a="1"/>
  <c r="R72" i="72" s="1"/>
  <c r="S77" i="72" s="1"/>
  <c r="R74" i="72" a="1"/>
  <c r="R74" i="72" s="1"/>
  <c r="S72" i="68" a="1"/>
  <c r="S72" i="68" s="1"/>
  <c r="S74" i="68" a="1"/>
  <c r="S74" i="68" s="1"/>
  <c r="S73" i="68" a="1"/>
  <c r="S73" i="68" s="1"/>
  <c r="Q80" i="81"/>
  <c r="R80" i="68"/>
  <c r="Q80" i="73"/>
  <c r="Q80" i="82"/>
  <c r="Q82" i="82" s="1"/>
  <c r="Q107" i="82" s="1"/>
  <c r="S6" i="82"/>
  <c r="T6" i="68"/>
  <c r="T6" i="75" s="1"/>
  <c r="T6" i="85" s="1"/>
  <c r="S6" i="81"/>
  <c r="S6" i="73"/>
  <c r="S6" i="72"/>
  <c r="X7" i="81"/>
  <c r="X42" i="81" s="1"/>
  <c r="X7" i="73"/>
  <c r="X42" i="73" s="1"/>
  <c r="X7" i="72"/>
  <c r="X42" i="72" s="1"/>
  <c r="X42" i="68"/>
  <c r="Y7" i="82"/>
  <c r="Y42" i="82" s="1"/>
  <c r="R82" i="68" l="1"/>
  <c r="R107" i="68" s="1"/>
  <c r="Q82" i="73"/>
  <c r="Q107" i="73" s="1"/>
  <c r="Q82" i="81"/>
  <c r="Q107" i="81" s="1"/>
  <c r="S74" i="82" a="1"/>
  <c r="S74" i="82" s="1"/>
  <c r="S73" i="82" a="1"/>
  <c r="S73" i="82" s="1"/>
  <c r="S72" i="82" a="1"/>
  <c r="S72" i="82" s="1"/>
  <c r="S74" i="72" a="1"/>
  <c r="S74" i="72" s="1"/>
  <c r="S72" i="72" a="1"/>
  <c r="S72" i="72" s="1"/>
  <c r="T77" i="72" s="1"/>
  <c r="S73" i="72" a="1"/>
  <c r="S73" i="72" s="1"/>
  <c r="T78" i="72" s="1"/>
  <c r="S72" i="73" a="1"/>
  <c r="S72" i="73" s="1"/>
  <c r="S74" i="73" a="1"/>
  <c r="S74" i="73" s="1"/>
  <c r="S73" i="73" a="1"/>
  <c r="S73" i="73" s="1"/>
  <c r="S73" i="81" a="1"/>
  <c r="S73" i="81" s="1"/>
  <c r="T78" i="81" s="1"/>
  <c r="S74" i="81" a="1"/>
  <c r="S74" i="81" s="1"/>
  <c r="S72" i="81" a="1"/>
  <c r="S72" i="81" s="1"/>
  <c r="T77" i="81" s="1"/>
  <c r="T73" i="68" a="1"/>
  <c r="T73" i="68" s="1"/>
  <c r="T74" i="68" a="1"/>
  <c r="T74" i="68" s="1"/>
  <c r="T72" i="68" a="1"/>
  <c r="T72" i="68" s="1"/>
  <c r="R80" i="81"/>
  <c r="S80" i="68"/>
  <c r="R80" i="73"/>
  <c r="R80" i="82"/>
  <c r="T6" i="82"/>
  <c r="U6" i="68"/>
  <c r="U6" i="75" s="1"/>
  <c r="U6" i="85" s="1"/>
  <c r="T6" i="81"/>
  <c r="T6" i="72"/>
  <c r="T6" i="73"/>
  <c r="Y7" i="81"/>
  <c r="Y42" i="81" s="1"/>
  <c r="Y7" i="73"/>
  <c r="Y42" i="73" s="1"/>
  <c r="Y7" i="72"/>
  <c r="Y42" i="72" s="1"/>
  <c r="Y42" i="68"/>
  <c r="Z7" i="82"/>
  <c r="Z42" i="82" s="1"/>
  <c r="R82" i="82" l="1"/>
  <c r="R107" i="82" s="1"/>
  <c r="S82" i="68"/>
  <c r="S107" i="68" s="1"/>
  <c r="R82" i="73"/>
  <c r="R107" i="73" s="1"/>
  <c r="R82" i="81"/>
  <c r="R107" i="81" s="1"/>
  <c r="U72" i="68" a="1"/>
  <c r="U72" i="68" s="1"/>
  <c r="U74" i="68" a="1"/>
  <c r="U74" i="68" s="1"/>
  <c r="U73" i="68" a="1"/>
  <c r="U73" i="68" s="1"/>
  <c r="T74" i="73" a="1"/>
  <c r="T74" i="73" s="1"/>
  <c r="T72" i="73" a="1"/>
  <c r="T72" i="73" s="1"/>
  <c r="T73" i="73" a="1"/>
  <c r="T73" i="73" s="1"/>
  <c r="T73" i="72" a="1"/>
  <c r="T73" i="72" s="1"/>
  <c r="U78" i="72" s="1"/>
  <c r="T72" i="72" a="1"/>
  <c r="T72" i="72" s="1"/>
  <c r="U77" i="72" s="1"/>
  <c r="T74" i="72" a="1"/>
  <c r="T74" i="72" s="1"/>
  <c r="T72" i="81" a="1"/>
  <c r="T72" i="81" s="1"/>
  <c r="U77" i="81" s="1"/>
  <c r="T73" i="81" a="1"/>
  <c r="T73" i="81" s="1"/>
  <c r="U78" i="81" s="1"/>
  <c r="T74" i="81" a="1"/>
  <c r="T74" i="81" s="1"/>
  <c r="T72" i="82" a="1"/>
  <c r="T72" i="82" s="1"/>
  <c r="T73" i="82" a="1"/>
  <c r="T73" i="82" s="1"/>
  <c r="T74" i="82" a="1"/>
  <c r="T74" i="82" s="1"/>
  <c r="S80" i="81"/>
  <c r="T80" i="68"/>
  <c r="S80" i="82"/>
  <c r="S80" i="73"/>
  <c r="U6" i="82"/>
  <c r="G90" i="82" s="1" a="1"/>
  <c r="G90" i="82" s="1"/>
  <c r="G92" i="82" s="1"/>
  <c r="V6" i="68"/>
  <c r="V6" i="75" s="1"/>
  <c r="V6" i="85" s="1"/>
  <c r="U6" i="81"/>
  <c r="U6" i="72"/>
  <c r="U6" i="73"/>
  <c r="Z7" i="81"/>
  <c r="Z42" i="81" s="1"/>
  <c r="Z7" i="73"/>
  <c r="Z42" i="73" s="1"/>
  <c r="Z7" i="72"/>
  <c r="Z42" i="72" s="1"/>
  <c r="Z42" i="68"/>
  <c r="AA7" i="82"/>
  <c r="AA42" i="82" s="1"/>
  <c r="S82" i="82" l="1"/>
  <c r="S107" i="82" s="1"/>
  <c r="T82" i="68"/>
  <c r="T107" i="68" s="1"/>
  <c r="C35" i="62"/>
  <c r="C38" i="62" s="1" a="1"/>
  <c r="C38" i="62" s="1"/>
  <c r="N7" i="75" s="1"/>
  <c r="N7" i="85" s="1"/>
  <c r="N18" i="85" s="1"/>
  <c r="S82" i="73"/>
  <c r="S107" i="73" s="1"/>
  <c r="S82" i="81"/>
  <c r="S107" i="81" s="1"/>
  <c r="U74" i="73" a="1"/>
  <c r="U74" i="73" s="1"/>
  <c r="U72" i="73" a="1"/>
  <c r="U72" i="73" s="1"/>
  <c r="U73" i="73" a="1"/>
  <c r="U73" i="73" s="1"/>
  <c r="U74" i="72" a="1"/>
  <c r="U74" i="72" s="1"/>
  <c r="U72" i="72" a="1"/>
  <c r="U72" i="72" s="1"/>
  <c r="V77" i="72" s="1"/>
  <c r="U73" i="72" a="1"/>
  <c r="U73" i="72" s="1"/>
  <c r="V78" i="72" s="1"/>
  <c r="U74" i="82" a="1"/>
  <c r="U74" i="82" s="1"/>
  <c r="U73" i="82" a="1"/>
  <c r="U73" i="82" s="1"/>
  <c r="U72" i="82" a="1"/>
  <c r="U72" i="82" s="1"/>
  <c r="U72" i="81" a="1"/>
  <c r="U72" i="81" s="1"/>
  <c r="V77" i="81" s="1"/>
  <c r="U73" i="81" a="1"/>
  <c r="U73" i="81" s="1"/>
  <c r="V78" i="81" s="1"/>
  <c r="U74" i="81" a="1"/>
  <c r="U74" i="81" s="1"/>
  <c r="V72" i="68" a="1"/>
  <c r="V72" i="68" s="1"/>
  <c r="V73" i="68" a="1"/>
  <c r="V73" i="68" s="1"/>
  <c r="V74" i="68" a="1"/>
  <c r="V74" i="68" s="1"/>
  <c r="T80" i="81"/>
  <c r="U80" i="68"/>
  <c r="T80" i="73"/>
  <c r="T80" i="82"/>
  <c r="V6" i="82"/>
  <c r="W6" i="68"/>
  <c r="W6" i="75" s="1"/>
  <c r="W6" i="85" s="1"/>
  <c r="V6" i="81"/>
  <c r="V6" i="72"/>
  <c r="V6" i="73"/>
  <c r="AA7" i="81"/>
  <c r="AA42" i="81" s="1"/>
  <c r="AA7" i="73"/>
  <c r="AA42" i="73" s="1"/>
  <c r="AA7" i="72"/>
  <c r="AA42" i="72" s="1"/>
  <c r="AA42" i="68"/>
  <c r="AB7" i="82"/>
  <c r="AB42" i="82" s="1"/>
  <c r="T82" i="82" l="1"/>
  <c r="T107" i="82" s="1"/>
  <c r="U82" i="68"/>
  <c r="U107" i="68" s="1"/>
  <c r="V7" i="75"/>
  <c r="V7" i="85" s="1"/>
  <c r="V18" i="85" s="1"/>
  <c r="Q7" i="75"/>
  <c r="Q7" i="85" s="1"/>
  <c r="Q18" i="85" s="1"/>
  <c r="L7" i="75"/>
  <c r="L7" i="85" s="1"/>
  <c r="L18" i="85" s="1"/>
  <c r="J7" i="75"/>
  <c r="J7" i="85" s="1"/>
  <c r="J18" i="85" s="1"/>
  <c r="M7" i="75"/>
  <c r="M7" i="85" s="1"/>
  <c r="M18" i="85" s="1"/>
  <c r="P7" i="75"/>
  <c r="P7" i="85" s="1"/>
  <c r="P18" i="85" s="1"/>
  <c r="I7" i="75"/>
  <c r="W7" i="75"/>
  <c r="W7" i="85" s="1"/>
  <c r="W18" i="85" s="1"/>
  <c r="H7" i="75"/>
  <c r="H7" i="85" s="1"/>
  <c r="H18" i="85" s="1"/>
  <c r="T7" i="75"/>
  <c r="T7" i="85" s="1"/>
  <c r="T18" i="85" s="1"/>
  <c r="S7" i="75"/>
  <c r="S7" i="85" s="1"/>
  <c r="S18" i="85" s="1"/>
  <c r="K7" i="75"/>
  <c r="K7" i="85" s="1"/>
  <c r="K18" i="85" s="1"/>
  <c r="R7" i="75"/>
  <c r="R7" i="85" s="1"/>
  <c r="R18" i="85" s="1"/>
  <c r="O7" i="75"/>
  <c r="O7" i="85" s="1"/>
  <c r="O18" i="85" s="1"/>
  <c r="U7" i="75"/>
  <c r="U7" i="85" s="1"/>
  <c r="U18" i="85" s="1"/>
  <c r="T82" i="73"/>
  <c r="T107" i="73" s="1"/>
  <c r="T82" i="81"/>
  <c r="T107" i="81" s="1"/>
  <c r="V73" i="72" a="1"/>
  <c r="V73" i="72" s="1"/>
  <c r="W78" i="72" s="1"/>
  <c r="V72" i="72" a="1"/>
  <c r="V72" i="72" s="1"/>
  <c r="W77" i="72" s="1"/>
  <c r="V74" i="72" a="1"/>
  <c r="V74" i="72" s="1"/>
  <c r="V72" i="82" a="1"/>
  <c r="V72" i="82" s="1"/>
  <c r="V73" i="82" a="1"/>
  <c r="V73" i="82" s="1"/>
  <c r="V74" i="82" a="1"/>
  <c r="V74" i="82" s="1"/>
  <c r="V73" i="73" a="1"/>
  <c r="V73" i="73" s="1"/>
  <c r="V72" i="73" a="1"/>
  <c r="V72" i="73" s="1"/>
  <c r="V74" i="73" a="1"/>
  <c r="V74" i="73" s="1"/>
  <c r="V74" i="81" a="1"/>
  <c r="V74" i="81" s="1"/>
  <c r="V72" i="81" a="1"/>
  <c r="V72" i="81" s="1"/>
  <c r="W77" i="81" s="1"/>
  <c r="V73" i="81" a="1"/>
  <c r="V73" i="81" s="1"/>
  <c r="W78" i="81" s="1"/>
  <c r="W73" i="68" a="1"/>
  <c r="W73" i="68" s="1"/>
  <c r="W74" i="68" a="1"/>
  <c r="W74" i="68" s="1"/>
  <c r="W72" i="68" a="1"/>
  <c r="W72" i="68" s="1"/>
  <c r="U80" i="81"/>
  <c r="V80" i="68"/>
  <c r="V82" i="68" s="1"/>
  <c r="V107" i="68" s="1"/>
  <c r="U80" i="73"/>
  <c r="U80" i="82"/>
  <c r="W6" i="82"/>
  <c r="X6" i="68"/>
  <c r="X6" i="75" s="1"/>
  <c r="W6" i="81"/>
  <c r="W6" i="72"/>
  <c r="W6" i="73"/>
  <c r="AB7" i="81"/>
  <c r="AB42" i="81" s="1"/>
  <c r="AB7" i="73"/>
  <c r="AB42" i="73" s="1"/>
  <c r="AB7" i="72"/>
  <c r="AB42" i="72" s="1"/>
  <c r="AB42" i="68"/>
  <c r="U82" i="82" l="1"/>
  <c r="U107" i="82" s="1"/>
  <c r="X7" i="75"/>
  <c r="X7" i="85" s="1"/>
  <c r="X18" i="85" s="1"/>
  <c r="X6" i="85"/>
  <c r="I7" i="85"/>
  <c r="U82" i="73"/>
  <c r="U107" i="73" s="1"/>
  <c r="U82" i="81"/>
  <c r="U107" i="81" s="1"/>
  <c r="W74" i="82" a="1"/>
  <c r="W74" i="82" s="1"/>
  <c r="W73" i="82" a="1"/>
  <c r="W73" i="82" s="1"/>
  <c r="W72" i="82" a="1"/>
  <c r="W72" i="82" s="1"/>
  <c r="W73" i="72" a="1"/>
  <c r="W73" i="72" s="1"/>
  <c r="X78" i="72" s="1"/>
  <c r="W72" i="72" a="1"/>
  <c r="W72" i="72" s="1"/>
  <c r="X77" i="72" s="1"/>
  <c r="W74" i="72" a="1"/>
  <c r="W74" i="72" s="1"/>
  <c r="W73" i="81" a="1"/>
  <c r="W73" i="81" s="1"/>
  <c r="X78" i="81" s="1"/>
  <c r="W72" i="81" a="1"/>
  <c r="W72" i="81" s="1"/>
  <c r="X77" i="81" s="1"/>
  <c r="W74" i="81" a="1"/>
  <c r="W74" i="81" s="1"/>
  <c r="X73" i="68" a="1"/>
  <c r="X73" i="68" s="1"/>
  <c r="X72" i="68" a="1"/>
  <c r="X72" i="68" s="1"/>
  <c r="X74" i="68" a="1"/>
  <c r="X74" i="68" s="1"/>
  <c r="W72" i="73" a="1"/>
  <c r="W72" i="73" s="1"/>
  <c r="W74" i="73" a="1"/>
  <c r="W74" i="73" s="1"/>
  <c r="W73" i="73" a="1"/>
  <c r="W73" i="73" s="1"/>
  <c r="V80" i="81"/>
  <c r="W80" i="68"/>
  <c r="W82" i="68" s="1"/>
  <c r="W107" i="68" s="1"/>
  <c r="V80" i="82"/>
  <c r="V82" i="82" s="1"/>
  <c r="V107" i="82" s="1"/>
  <c r="V80" i="73"/>
  <c r="X6" i="82"/>
  <c r="Y6" i="68"/>
  <c r="Y6" i="75" s="1"/>
  <c r="X6" i="81"/>
  <c r="X6" i="72"/>
  <c r="X6" i="73"/>
  <c r="I18" i="85" l="1"/>
  <c r="I23" i="85"/>
  <c r="Y7" i="75"/>
  <c r="Y7" i="85" s="1"/>
  <c r="Y18" i="85" s="1"/>
  <c r="Y6" i="85"/>
  <c r="V82" i="73"/>
  <c r="V107" i="73" s="1"/>
  <c r="V82" i="81"/>
  <c r="V107" i="81" s="1"/>
  <c r="X74" i="82" a="1"/>
  <c r="X74" i="82" s="1"/>
  <c r="X72" i="82" a="1"/>
  <c r="X72" i="82" s="1"/>
  <c r="X73" i="82" a="1"/>
  <c r="X73" i="82" s="1"/>
  <c r="X74" i="73" a="1"/>
  <c r="X74" i="73" s="1"/>
  <c r="X73" i="73" a="1"/>
  <c r="X73" i="73" s="1"/>
  <c r="X72" i="73" a="1"/>
  <c r="X72" i="73" s="1"/>
  <c r="X73" i="72" a="1"/>
  <c r="X73" i="72" s="1"/>
  <c r="Y78" i="72" s="1"/>
  <c r="X72" i="72" a="1"/>
  <c r="X72" i="72" s="1"/>
  <c r="Y77" i="72" s="1"/>
  <c r="X74" i="72" a="1"/>
  <c r="X74" i="72" s="1"/>
  <c r="Y74" i="68" a="1"/>
  <c r="Y74" i="68" s="1"/>
  <c r="Y73" i="68" a="1"/>
  <c r="Y73" i="68" s="1"/>
  <c r="Y72" i="68" a="1"/>
  <c r="Y72" i="68" s="1"/>
  <c r="X72" i="81" a="1"/>
  <c r="X72" i="81" s="1"/>
  <c r="Y77" i="81" s="1"/>
  <c r="X74" i="81" a="1"/>
  <c r="X74" i="81" s="1"/>
  <c r="X73" i="81" a="1"/>
  <c r="X73" i="81" s="1"/>
  <c r="Y78" i="81" s="1"/>
  <c r="W80" i="81"/>
  <c r="X80" i="68"/>
  <c r="X82" i="68" s="1"/>
  <c r="X107" i="68" s="1"/>
  <c r="W80" i="73"/>
  <c r="W80" i="82"/>
  <c r="W82" i="82" s="1"/>
  <c r="W107" i="82" s="1"/>
  <c r="Y6" i="82"/>
  <c r="Z6" i="68"/>
  <c r="Z6" i="75" s="1"/>
  <c r="Y6" i="81"/>
  <c r="Y6" i="73"/>
  <c r="Y6" i="72"/>
  <c r="Z7" i="75" l="1"/>
  <c r="Z7" i="85" s="1"/>
  <c r="Z18" i="85" s="1"/>
  <c r="Z6" i="85"/>
  <c r="W82" i="73"/>
  <c r="W107" i="73" s="1"/>
  <c r="W82" i="81"/>
  <c r="W107" i="81" s="1"/>
  <c r="Y72" i="82" a="1"/>
  <c r="Y72" i="82" s="1"/>
  <c r="Y73" i="82" a="1"/>
  <c r="Y73" i="82" s="1"/>
  <c r="Y74" i="82" a="1"/>
  <c r="Y74" i="82" s="1"/>
  <c r="Y73" i="72" a="1"/>
  <c r="Y73" i="72" s="1"/>
  <c r="Z78" i="72" s="1"/>
  <c r="Y72" i="72" a="1"/>
  <c r="Y72" i="72" s="1"/>
  <c r="Z77" i="72" s="1"/>
  <c r="Y74" i="72" a="1"/>
  <c r="Y74" i="72" s="1"/>
  <c r="Y72" i="73" a="1"/>
  <c r="Y72" i="73" s="1"/>
  <c r="Y73" i="73" a="1"/>
  <c r="Y73" i="73" s="1"/>
  <c r="Y74" i="73" a="1"/>
  <c r="Y74" i="73" s="1"/>
  <c r="Y73" i="81" a="1"/>
  <c r="Y73" i="81" s="1"/>
  <c r="Z78" i="81" s="1"/>
  <c r="Y72" i="81" a="1"/>
  <c r="Y72" i="81" s="1"/>
  <c r="Z77" i="81" s="1"/>
  <c r="Y74" i="81" a="1"/>
  <c r="Y74" i="81" s="1"/>
  <c r="Z72" i="68" a="1"/>
  <c r="Z72" i="68" s="1"/>
  <c r="Z73" i="68" a="1"/>
  <c r="Z73" i="68" s="1"/>
  <c r="Z74" i="68" a="1"/>
  <c r="Z74" i="68" s="1"/>
  <c r="X80" i="81"/>
  <c r="Y80" i="68"/>
  <c r="Y82" i="68" s="1"/>
  <c r="Y107" i="68" s="1"/>
  <c r="X80" i="73"/>
  <c r="X80" i="82"/>
  <c r="X82" i="82" s="1"/>
  <c r="X107" i="82" s="1"/>
  <c r="Z6" i="82"/>
  <c r="AA6" i="68"/>
  <c r="AA6" i="75" s="1"/>
  <c r="Z6" i="81"/>
  <c r="Z6" i="73"/>
  <c r="Z6" i="72"/>
  <c r="AA7" i="75" l="1"/>
  <c r="AA7" i="85" s="1"/>
  <c r="AA18" i="85" s="1"/>
  <c r="AA6" i="85"/>
  <c r="X82" i="73"/>
  <c r="X107" i="73" s="1"/>
  <c r="X82" i="81"/>
  <c r="X107" i="81" s="1"/>
  <c r="Z74" i="72" a="1"/>
  <c r="Z74" i="72" s="1"/>
  <c r="Z73" i="72" a="1"/>
  <c r="Z73" i="72" s="1"/>
  <c r="AA78" i="72" s="1"/>
  <c r="Z72" i="72" a="1"/>
  <c r="Z72" i="72" s="1"/>
  <c r="AA77" i="72" s="1"/>
  <c r="Z72" i="82" a="1"/>
  <c r="Z72" i="82" s="1"/>
  <c r="Z73" i="82" a="1"/>
  <c r="Z73" i="82" s="1"/>
  <c r="Z74" i="82" a="1"/>
  <c r="Z74" i="82" s="1"/>
  <c r="Z74" i="73" a="1"/>
  <c r="Z74" i="73" s="1"/>
  <c r="Z72" i="73" a="1"/>
  <c r="Z72" i="73" s="1"/>
  <c r="Z73" i="73" a="1"/>
  <c r="Z73" i="73" s="1"/>
  <c r="Z74" i="81" a="1"/>
  <c r="Z74" i="81" s="1"/>
  <c r="Z72" i="81" a="1"/>
  <c r="Z72" i="81" s="1"/>
  <c r="AA77" i="81" s="1"/>
  <c r="Z73" i="81" a="1"/>
  <c r="Z73" i="81" s="1"/>
  <c r="AA78" i="81" s="1"/>
  <c r="AA72" i="68" a="1"/>
  <c r="AA72" i="68" s="1"/>
  <c r="AA73" i="68" a="1"/>
  <c r="AA73" i="68" s="1"/>
  <c r="AA74" i="68" a="1"/>
  <c r="AA74" i="68" s="1"/>
  <c r="Y80" i="81"/>
  <c r="Z80" i="68"/>
  <c r="Z82" i="68" s="1"/>
  <c r="Z107" i="68" s="1"/>
  <c r="Y80" i="73"/>
  <c r="Y80" i="82"/>
  <c r="Y82" i="82" s="1"/>
  <c r="Y107" i="82" s="1"/>
  <c r="AA6" i="82"/>
  <c r="AB6" i="68"/>
  <c r="AB6" i="75" s="1"/>
  <c r="AA6" i="81"/>
  <c r="AA6" i="73"/>
  <c r="AA6" i="72"/>
  <c r="AB7" i="75" l="1"/>
  <c r="AB7" i="85" s="1"/>
  <c r="AB18" i="85" s="1"/>
  <c r="AB6" i="85"/>
  <c r="Y82" i="73"/>
  <c r="Y107" i="73" s="1"/>
  <c r="Y82" i="81"/>
  <c r="Y107" i="81" s="1"/>
  <c r="AA72" i="73" a="1"/>
  <c r="AA72" i="73" s="1"/>
  <c r="AA74" i="73" a="1"/>
  <c r="AA74" i="73" s="1"/>
  <c r="AA73" i="73" a="1"/>
  <c r="AA73" i="73" s="1"/>
  <c r="AA73" i="81" a="1"/>
  <c r="AA73" i="81" s="1"/>
  <c r="AB78" i="81" s="1"/>
  <c r="AA74" i="81" a="1"/>
  <c r="AA74" i="81" s="1"/>
  <c r="AA72" i="81" a="1"/>
  <c r="AA72" i="81" s="1"/>
  <c r="AB77" i="81" s="1"/>
  <c r="AC6" i="68"/>
  <c r="AB74" i="68" a="1"/>
  <c r="AB74" i="68" s="1"/>
  <c r="AB73" i="68" a="1"/>
  <c r="AB73" i="68" s="1"/>
  <c r="AB72" i="68" a="1"/>
  <c r="AB72" i="68" s="1"/>
  <c r="AA72" i="72" a="1"/>
  <c r="AA72" i="72" s="1"/>
  <c r="AB77" i="72" s="1"/>
  <c r="AA74" i="72" a="1"/>
  <c r="AA74" i="72" s="1"/>
  <c r="AA73" i="72" a="1"/>
  <c r="AA73" i="72" s="1"/>
  <c r="AB78" i="72" s="1"/>
  <c r="AA74" i="82" a="1"/>
  <c r="AA74" i="82" s="1"/>
  <c r="AA73" i="82" a="1"/>
  <c r="AA73" i="82" s="1"/>
  <c r="AA72" i="82" a="1"/>
  <c r="AA72" i="82" s="1"/>
  <c r="Z80" i="81"/>
  <c r="AA80" i="68"/>
  <c r="AA82" i="68" s="1"/>
  <c r="AA107" i="68" s="1"/>
  <c r="Z80" i="82"/>
  <c r="Z82" i="82" s="1"/>
  <c r="Z107" i="82" s="1"/>
  <c r="Z80" i="73"/>
  <c r="AB6" i="82"/>
  <c r="AB6" i="81"/>
  <c r="AB6" i="72"/>
  <c r="AB6" i="73"/>
  <c r="Z82" i="73" l="1"/>
  <c r="Z107" i="73" s="1"/>
  <c r="Z82" i="81"/>
  <c r="Z107" i="81" s="1"/>
  <c r="AC6" i="73"/>
  <c r="AC6" i="75"/>
  <c r="AC6" i="82"/>
  <c r="AC73" i="82" s="1" a="1"/>
  <c r="AC73" i="82" s="1"/>
  <c r="AC72" i="73" a="1"/>
  <c r="AC72" i="73" s="1"/>
  <c r="AC80" i="73" s="1"/>
  <c r="AC74" i="73" a="1"/>
  <c r="AC74" i="73" s="1"/>
  <c r="AC73" i="73" a="1"/>
  <c r="AC73" i="73" s="1"/>
  <c r="AC6" i="72"/>
  <c r="AB74" i="82" a="1"/>
  <c r="AB74" i="82" s="1"/>
  <c r="AB73" i="82" a="1"/>
  <c r="AB73" i="82" s="1"/>
  <c r="AB72" i="82" a="1"/>
  <c r="AB72" i="82" s="1"/>
  <c r="AC72" i="82" a="1"/>
  <c r="AC72" i="82" s="1"/>
  <c r="AC80" i="82" s="1"/>
  <c r="AC82" i="82" s="1"/>
  <c r="AC107" i="82" s="1"/>
  <c r="AC74" i="82" a="1"/>
  <c r="AC74" i="82" s="1"/>
  <c r="AC72" i="68" a="1"/>
  <c r="AC72" i="68" s="1"/>
  <c r="AC74" i="68" a="1"/>
  <c r="AC74" i="68" s="1"/>
  <c r="AC73" i="68" a="1"/>
  <c r="AC73" i="68" s="1"/>
  <c r="AC80" i="68" s="1"/>
  <c r="AC82" i="68" s="1"/>
  <c r="AC107" i="68" s="1"/>
  <c r="AC6" i="81"/>
  <c r="AB74" i="73" a="1"/>
  <c r="AB74" i="73" s="1"/>
  <c r="AB73" i="73" a="1"/>
  <c r="AB73" i="73" s="1"/>
  <c r="AB72" i="73" a="1"/>
  <c r="AB72" i="73" s="1"/>
  <c r="AD6" i="68"/>
  <c r="AB74" i="72" a="1"/>
  <c r="AB74" i="72" s="1"/>
  <c r="AB72" i="72" a="1"/>
  <c r="AB72" i="72" s="1"/>
  <c r="AC77" i="72" s="1"/>
  <c r="AB73" i="72" a="1"/>
  <c r="AB73" i="72" s="1"/>
  <c r="AC78" i="72" s="1"/>
  <c r="AB74" i="81" a="1"/>
  <c r="AB74" i="81" s="1"/>
  <c r="AB72" i="81" a="1"/>
  <c r="AB72" i="81" s="1"/>
  <c r="AC77" i="81" s="1"/>
  <c r="AB73" i="81" a="1"/>
  <c r="AB73" i="81" s="1"/>
  <c r="AC78" i="81" s="1"/>
  <c r="AA80" i="81"/>
  <c r="AB80" i="68"/>
  <c r="AB82" i="68" s="1"/>
  <c r="AB107" i="68" s="1"/>
  <c r="AD6" i="73"/>
  <c r="AA80" i="82"/>
  <c r="AA82" i="82" s="1"/>
  <c r="AA107" i="82" s="1"/>
  <c r="AA80" i="73"/>
  <c r="I9" i="85"/>
  <c r="AC7" i="75" l="1"/>
  <c r="AC7" i="85" s="1"/>
  <c r="AC18" i="85" s="1"/>
  <c r="AC6" i="85"/>
  <c r="AA82" i="73"/>
  <c r="AA107" i="73" s="1"/>
  <c r="AC82" i="73"/>
  <c r="AC107" i="73" s="1"/>
  <c r="AA82" i="81"/>
  <c r="AA107" i="81" s="1"/>
  <c r="AE6" i="68"/>
  <c r="AE6" i="75" s="1"/>
  <c r="AD6" i="75"/>
  <c r="AD6" i="81"/>
  <c r="AD73" i="81" s="1" a="1"/>
  <c r="AD73" i="81" s="1"/>
  <c r="AE78" i="81" s="1"/>
  <c r="AD6" i="82"/>
  <c r="AD73" i="82" s="1" a="1"/>
  <c r="AD73" i="82" s="1"/>
  <c r="AD6" i="72"/>
  <c r="AD74" i="72" s="1" a="1"/>
  <c r="AD74" i="72" s="1"/>
  <c r="AC73" i="81" a="1"/>
  <c r="AC73" i="81" s="1"/>
  <c r="AD78" i="81" s="1"/>
  <c r="AC74" i="81" a="1"/>
  <c r="AC74" i="81" s="1"/>
  <c r="AC72" i="81" a="1"/>
  <c r="AC72" i="81" s="1"/>
  <c r="AD77" i="81" s="1"/>
  <c r="AE74" i="68" a="1"/>
  <c r="AE74" i="68" s="1"/>
  <c r="AE72" i="68" a="1"/>
  <c r="AE72" i="68" s="1"/>
  <c r="AE73" i="68" a="1"/>
  <c r="AE73" i="68" s="1"/>
  <c r="AE80" i="68" s="1"/>
  <c r="AE82" i="68" s="1"/>
  <c r="AE107" i="68" s="1"/>
  <c r="AC72" i="72" a="1"/>
  <c r="AC72" i="72" s="1"/>
  <c r="AD77" i="72" s="1"/>
  <c r="AC73" i="72" a="1"/>
  <c r="AC73" i="72" s="1"/>
  <c r="AD78" i="72" s="1"/>
  <c r="AC74" i="72" a="1"/>
  <c r="AC74" i="72" s="1"/>
  <c r="AD73" i="73" a="1"/>
  <c r="AD73" i="73" s="1"/>
  <c r="AD74" i="73" a="1"/>
  <c r="AD74" i="73" s="1"/>
  <c r="AD72" i="73" a="1"/>
  <c r="AD72" i="73" s="1"/>
  <c r="AD80" i="73" s="1"/>
  <c r="AD73" i="68" a="1"/>
  <c r="AD73" i="68" s="1"/>
  <c r="AD80" i="68" s="1"/>
  <c r="AD82" i="68" s="1"/>
  <c r="AD107" i="68" s="1"/>
  <c r="AD72" i="68" a="1"/>
  <c r="AD72" i="68" s="1"/>
  <c r="AD74" i="68" a="1"/>
  <c r="AD74" i="68" s="1"/>
  <c r="AB80" i="81"/>
  <c r="AE6" i="73"/>
  <c r="AF6" i="68"/>
  <c r="AF6" i="75" s="1"/>
  <c r="AE6" i="81"/>
  <c r="AE6" i="72"/>
  <c r="AE6" i="82"/>
  <c r="AB80" i="73"/>
  <c r="AB80" i="82"/>
  <c r="AB82" i="82" s="1"/>
  <c r="AB107" i="82" s="1"/>
  <c r="I9" i="75"/>
  <c r="I5" i="75" s="1"/>
  <c r="I9" i="82"/>
  <c r="I9" i="81"/>
  <c r="I9" i="73"/>
  <c r="I9" i="72"/>
  <c r="J9" i="68"/>
  <c r="J9" i="85" l="1"/>
  <c r="J24" i="88"/>
  <c r="AF7" i="75"/>
  <c r="AF7" i="85" s="1"/>
  <c r="AF18" i="85" s="1"/>
  <c r="AF6" i="85"/>
  <c r="AE7" i="75"/>
  <c r="AE7" i="85" s="1"/>
  <c r="AE18" i="85" s="1"/>
  <c r="AE6" i="85"/>
  <c r="AD7" i="75"/>
  <c r="AD7" i="85" s="1"/>
  <c r="AD18" i="85" s="1"/>
  <c r="AD6" i="85"/>
  <c r="AB82" i="73"/>
  <c r="AB107" i="73" s="1"/>
  <c r="AD82" i="73"/>
  <c r="AD107" i="73" s="1"/>
  <c r="I5" i="85"/>
  <c r="AB82" i="81"/>
  <c r="AB107" i="81" s="1"/>
  <c r="AD74" i="82" a="1"/>
  <c r="AD74" i="82" s="1"/>
  <c r="AD74" i="81" a="1"/>
  <c r="AD74" i="81" s="1"/>
  <c r="AD72" i="81" a="1"/>
  <c r="AD72" i="81" s="1"/>
  <c r="AE77" i="81" s="1"/>
  <c r="AD73" i="72" a="1"/>
  <c r="AD73" i="72" s="1"/>
  <c r="AE78" i="72" s="1"/>
  <c r="AC80" i="81"/>
  <c r="AD72" i="72" a="1"/>
  <c r="AD72" i="72" s="1"/>
  <c r="AE77" i="72" s="1"/>
  <c r="AD72" i="82" a="1"/>
  <c r="AD72" i="82" s="1"/>
  <c r="AD80" i="82" s="1"/>
  <c r="AD82" i="82" s="1"/>
  <c r="AD107" i="82" s="1"/>
  <c r="AE74" i="82" a="1"/>
  <c r="AE74" i="82" s="1"/>
  <c r="AE72" i="82" a="1"/>
  <c r="AE72" i="82" s="1"/>
  <c r="AE80" i="82" s="1"/>
  <c r="AE82" i="82" s="1"/>
  <c r="AE107" i="82" s="1"/>
  <c r="AE73" i="82" a="1"/>
  <c r="AE73" i="82" s="1"/>
  <c r="AE72" i="81" a="1"/>
  <c r="AE72" i="81" s="1"/>
  <c r="AF77" i="81" s="1"/>
  <c r="AE74" i="81" a="1"/>
  <c r="AE74" i="81" s="1"/>
  <c r="AE73" i="81" a="1"/>
  <c r="AE73" i="81" s="1"/>
  <c r="AF78" i="81" s="1"/>
  <c r="AF73" i="68" a="1"/>
  <c r="AF73" i="68" s="1"/>
  <c r="AF80" i="68" s="1"/>
  <c r="AF82" i="68" s="1"/>
  <c r="AF107" i="68" s="1"/>
  <c r="AF72" i="68" a="1"/>
  <c r="AF72" i="68" s="1"/>
  <c r="AF74" i="68" a="1"/>
  <c r="AF74" i="68" s="1"/>
  <c r="AE73" i="73" a="1"/>
  <c r="AE73" i="73" s="1"/>
  <c r="AE72" i="73" a="1"/>
  <c r="AE72" i="73" s="1"/>
  <c r="AE80" i="73" s="1"/>
  <c r="AE74" i="73" a="1"/>
  <c r="AE74" i="73" s="1"/>
  <c r="AE72" i="72" a="1"/>
  <c r="AE72" i="72" s="1"/>
  <c r="AF77" i="72" s="1"/>
  <c r="AE74" i="72" a="1"/>
  <c r="AE74" i="72" s="1"/>
  <c r="AE73" i="72" a="1"/>
  <c r="AE73" i="72" s="1"/>
  <c r="AF78" i="72" s="1"/>
  <c r="AF6" i="73"/>
  <c r="AG6" i="68"/>
  <c r="AG6" i="75" s="1"/>
  <c r="AF6" i="81"/>
  <c r="AF6" i="72"/>
  <c r="AF6" i="82"/>
  <c r="I88" i="75"/>
  <c r="I97" i="75" s="1"/>
  <c r="J9" i="75"/>
  <c r="J5" i="75" s="1"/>
  <c r="J9" i="82"/>
  <c r="J9" i="81"/>
  <c r="J9" i="72"/>
  <c r="J9" i="73"/>
  <c r="K9" i="68"/>
  <c r="K9" i="85" l="1"/>
  <c r="K24" i="88"/>
  <c r="AG7" i="75"/>
  <c r="AG7" i="85" s="1"/>
  <c r="AG18" i="85" s="1"/>
  <c r="AG6" i="85"/>
  <c r="AE82" i="73"/>
  <c r="AE107" i="73" s="1"/>
  <c r="J5" i="85"/>
  <c r="AC82" i="81"/>
  <c r="AC107" i="81" s="1"/>
  <c r="AD80" i="81"/>
  <c r="AF72" i="82" a="1"/>
  <c r="AF72" i="82" s="1"/>
  <c r="AF80" i="82" s="1"/>
  <c r="AF82" i="82" s="1"/>
  <c r="AF107" i="82" s="1"/>
  <c r="AF74" i="82" a="1"/>
  <c r="AF74" i="82" s="1"/>
  <c r="AF73" i="82" a="1"/>
  <c r="AF73" i="82" s="1"/>
  <c r="AF74" i="72" a="1"/>
  <c r="AF74" i="72" s="1"/>
  <c r="AF73" i="72" a="1"/>
  <c r="AF73" i="72" s="1"/>
  <c r="AG78" i="72" s="1"/>
  <c r="AF72" i="72" a="1"/>
  <c r="AF72" i="72" s="1"/>
  <c r="AG77" i="72" s="1"/>
  <c r="AF72" i="81" a="1"/>
  <c r="AF72" i="81" s="1"/>
  <c r="AG77" i="81" s="1"/>
  <c r="AF73" i="81" a="1"/>
  <c r="AF73" i="81" s="1"/>
  <c r="AG78" i="81" s="1"/>
  <c r="AF74" i="81" a="1"/>
  <c r="AF74" i="81" s="1"/>
  <c r="AG74" i="68" a="1"/>
  <c r="AG74" i="68" s="1"/>
  <c r="AG73" i="68" a="1"/>
  <c r="AG73" i="68" s="1"/>
  <c r="AG80" i="68" s="1"/>
  <c r="AG82" i="68" s="1"/>
  <c r="AG107" i="68" s="1"/>
  <c r="AG72" i="68" a="1"/>
  <c r="AG72" i="68" s="1"/>
  <c r="AF74" i="73" a="1"/>
  <c r="AF74" i="73" s="1"/>
  <c r="AF73" i="73" a="1"/>
  <c r="AF73" i="73" s="1"/>
  <c r="AF72" i="73" a="1"/>
  <c r="AF72" i="73" s="1"/>
  <c r="AF80" i="73" s="1"/>
  <c r="AE80" i="81"/>
  <c r="AG6" i="73"/>
  <c r="AG6" i="81"/>
  <c r="AG6" i="72"/>
  <c r="AG6" i="82"/>
  <c r="J88" i="75"/>
  <c r="J97" i="75" s="1"/>
  <c r="K9" i="75"/>
  <c r="K5" i="75" s="1"/>
  <c r="K9" i="82"/>
  <c r="K9" i="81"/>
  <c r="L9" i="68"/>
  <c r="K9" i="72"/>
  <c r="K9" i="73"/>
  <c r="L9" i="85" l="1"/>
  <c r="L24" i="88"/>
  <c r="AF82" i="73"/>
  <c r="AF107" i="73" s="1"/>
  <c r="K5" i="85"/>
  <c r="AD82" i="81"/>
  <c r="AD107" i="81" s="1"/>
  <c r="AE82" i="81"/>
  <c r="AE107" i="81" s="1"/>
  <c r="AG74" i="82" a="1"/>
  <c r="AG74" i="82" s="1"/>
  <c r="AG72" i="82" a="1"/>
  <c r="AG72" i="82" s="1"/>
  <c r="AG80" i="82" s="1"/>
  <c r="AG82" i="82" s="1"/>
  <c r="AG107" i="82" s="1"/>
  <c r="AG73" i="82" a="1"/>
  <c r="AG73" i="82" s="1"/>
  <c r="AG72" i="72" a="1"/>
  <c r="AG72" i="72" s="1"/>
  <c r="AG73" i="72" a="1"/>
  <c r="AG73" i="72" s="1"/>
  <c r="AG74" i="72" a="1"/>
  <c r="AG74" i="72" s="1"/>
  <c r="AG72" i="81" a="1"/>
  <c r="AG72" i="81" s="1"/>
  <c r="AG73" i="81" a="1"/>
  <c r="AG73" i="81" s="1"/>
  <c r="AG74" i="81" a="1"/>
  <c r="AG74" i="81" s="1"/>
  <c r="AG73" i="73" a="1"/>
  <c r="AG73" i="73" s="1"/>
  <c r="AG74" i="73" a="1"/>
  <c r="AG74" i="73" s="1"/>
  <c r="AG72" i="73" a="1"/>
  <c r="AG72" i="73" s="1"/>
  <c r="AG80" i="73" s="1"/>
  <c r="AF80" i="81"/>
  <c r="K88" i="75"/>
  <c r="K97" i="75" s="1"/>
  <c r="L9" i="75"/>
  <c r="L5" i="75" s="1"/>
  <c r="L9" i="82"/>
  <c r="L9" i="81"/>
  <c r="M9" i="68"/>
  <c r="L9" i="73"/>
  <c r="L9" i="72"/>
  <c r="M9" i="85" l="1"/>
  <c r="M24" i="88"/>
  <c r="AG82" i="73"/>
  <c r="AG107" i="73" s="1"/>
  <c r="L5" i="85"/>
  <c r="AF82" i="81"/>
  <c r="AF107" i="81" s="1"/>
  <c r="AG80" i="81"/>
  <c r="L88" i="75"/>
  <c r="L97" i="75" s="1"/>
  <c r="M9" i="75"/>
  <c r="M5" i="75" s="1"/>
  <c r="M9" i="82"/>
  <c r="M9" i="81"/>
  <c r="N9" i="68"/>
  <c r="M9" i="73"/>
  <c r="M9" i="72"/>
  <c r="N9" i="85" l="1"/>
  <c r="N24" i="88"/>
  <c r="M5" i="85"/>
  <c r="AG82" i="81"/>
  <c r="AG107" i="81" s="1"/>
  <c r="M88" i="75"/>
  <c r="M97" i="75" s="1"/>
  <c r="N9" i="75"/>
  <c r="N5" i="75" s="1"/>
  <c r="N9" i="82"/>
  <c r="N9" i="81"/>
  <c r="O9" i="68"/>
  <c r="N9" i="73"/>
  <c r="N9" i="72"/>
  <c r="O9" i="85" l="1"/>
  <c r="O24" i="88"/>
  <c r="N5" i="85"/>
  <c r="N88" i="75"/>
  <c r="N97" i="75" s="1"/>
  <c r="O9" i="75"/>
  <c r="O5" i="75" s="1"/>
  <c r="O9" i="82"/>
  <c r="O9" i="81"/>
  <c r="P9" i="68"/>
  <c r="O9" i="73"/>
  <c r="O9" i="72"/>
  <c r="P9" i="85" l="1"/>
  <c r="P24" i="88"/>
  <c r="O5" i="85"/>
  <c r="O88" i="75"/>
  <c r="O97" i="75" s="1"/>
  <c r="P9" i="75"/>
  <c r="P5" i="75" s="1"/>
  <c r="P9" i="82"/>
  <c r="P9" i="81"/>
  <c r="Q9" i="68"/>
  <c r="P9" i="73"/>
  <c r="P9" i="72"/>
  <c r="Q9" i="85" l="1"/>
  <c r="Q24" i="88"/>
  <c r="P5" i="85"/>
  <c r="P88" i="75"/>
  <c r="P97" i="75" s="1"/>
  <c r="Q9" i="75"/>
  <c r="Q5" i="75" s="1"/>
  <c r="Q9" i="82"/>
  <c r="Q9" i="81"/>
  <c r="R9" i="68"/>
  <c r="Q9" i="73"/>
  <c r="Q9" i="72"/>
  <c r="R9" i="85" l="1"/>
  <c r="R24" i="88"/>
  <c r="Q5" i="85"/>
  <c r="Q88" i="75"/>
  <c r="Q97" i="75" s="1"/>
  <c r="R9" i="75"/>
  <c r="R5" i="75" s="1"/>
  <c r="R9" i="82"/>
  <c r="R9" i="81"/>
  <c r="S9" i="68"/>
  <c r="R9" i="72"/>
  <c r="R9" i="73"/>
  <c r="S9" i="85" l="1"/>
  <c r="S24" i="88"/>
  <c r="R5" i="85"/>
  <c r="R88" i="75"/>
  <c r="R97" i="75" s="1"/>
  <c r="S9" i="75"/>
  <c r="S5" i="75" s="1"/>
  <c r="S9" i="82"/>
  <c r="S9" i="81"/>
  <c r="T9" i="68"/>
  <c r="S9" i="72"/>
  <c r="S9" i="73"/>
  <c r="T9" i="85" l="1"/>
  <c r="T24" i="88"/>
  <c r="S5" i="85"/>
  <c r="S88" i="75"/>
  <c r="S97" i="75" s="1"/>
  <c r="T9" i="75"/>
  <c r="T5" i="75" s="1"/>
  <c r="T9" i="82"/>
  <c r="T9" i="81"/>
  <c r="U9" i="68"/>
  <c r="T9" i="73"/>
  <c r="T9" i="72"/>
  <c r="U9" i="85" l="1"/>
  <c r="U24" i="88"/>
  <c r="T5" i="85"/>
  <c r="T88" i="75"/>
  <c r="T97" i="75" s="1"/>
  <c r="U9" i="75"/>
  <c r="U5" i="75" s="1"/>
  <c r="U9" i="82"/>
  <c r="U9" i="81"/>
  <c r="V9" i="68"/>
  <c r="U9" i="72"/>
  <c r="U9" i="73"/>
  <c r="V9" i="85" l="1"/>
  <c r="V24" i="88"/>
  <c r="U5" i="85"/>
  <c r="U88" i="75"/>
  <c r="U97" i="75" s="1"/>
  <c r="V9" i="75"/>
  <c r="V5" i="75" s="1"/>
  <c r="V9" i="82"/>
  <c r="V9" i="81"/>
  <c r="W9" i="68"/>
  <c r="V9" i="73"/>
  <c r="V9" i="72"/>
  <c r="W9" i="85" l="1"/>
  <c r="W24" i="88"/>
  <c r="V5" i="85"/>
  <c r="V88" i="75"/>
  <c r="V97" i="75" s="1"/>
  <c r="W9" i="75"/>
  <c r="W5" i="75" s="1"/>
  <c r="W9" i="82"/>
  <c r="W9" i="81"/>
  <c r="X9" i="68"/>
  <c r="W9" i="73"/>
  <c r="W9" i="72"/>
  <c r="X9" i="85" l="1"/>
  <c r="X24" i="88"/>
  <c r="W5" i="85"/>
  <c r="W88" i="75"/>
  <c r="W97" i="75" s="1"/>
  <c r="X9" i="75"/>
  <c r="X5" i="75" s="1"/>
  <c r="X9" i="82"/>
  <c r="X9" i="81"/>
  <c r="Y9" i="68"/>
  <c r="X9" i="73"/>
  <c r="X9" i="72"/>
  <c r="Y9" i="85" l="1"/>
  <c r="Y24" i="88"/>
  <c r="X5" i="85"/>
  <c r="X88" i="75"/>
  <c r="X97" i="75" s="1"/>
  <c r="Y9" i="75"/>
  <c r="Y5" i="75" s="1"/>
  <c r="Y9" i="82"/>
  <c r="Y9" i="81"/>
  <c r="Z9" i="68"/>
  <c r="Y9" i="73"/>
  <c r="Y9" i="72"/>
  <c r="Z9" i="85" l="1"/>
  <c r="Z24" i="88"/>
  <c r="Y5" i="85"/>
  <c r="Y88" i="75"/>
  <c r="Y97" i="75" s="1"/>
  <c r="Z9" i="75"/>
  <c r="Z5" i="75" s="1"/>
  <c r="Z9" i="82"/>
  <c r="Z9" i="81"/>
  <c r="AA9" i="68"/>
  <c r="Z9" i="72"/>
  <c r="Z9" i="73"/>
  <c r="AA9" i="85" l="1"/>
  <c r="AA24" i="88"/>
  <c r="Z5" i="85"/>
  <c r="Z88" i="75"/>
  <c r="Z97" i="75" s="1"/>
  <c r="AA9" i="75"/>
  <c r="AA5" i="75" s="1"/>
  <c r="AA9" i="82"/>
  <c r="AA9" i="81"/>
  <c r="AB9" i="68"/>
  <c r="AA9" i="72"/>
  <c r="AA9" i="73"/>
  <c r="AB9" i="85" l="1"/>
  <c r="AB24" i="88"/>
  <c r="AA5" i="85"/>
  <c r="AC9" i="68"/>
  <c r="AA88" i="75"/>
  <c r="AA97" i="75" s="1"/>
  <c r="AB9" i="75"/>
  <c r="AB5" i="75" s="1"/>
  <c r="AB9" i="82"/>
  <c r="AB9" i="81"/>
  <c r="AB9" i="73"/>
  <c r="AB9" i="72"/>
  <c r="AC9" i="85" l="1"/>
  <c r="AC24" i="88"/>
  <c r="AC9" i="75"/>
  <c r="AC88" i="75" s="1"/>
  <c r="AC97" i="75" s="1"/>
  <c r="AC9" i="72"/>
  <c r="AC9" i="73"/>
  <c r="AD9" i="68"/>
  <c r="AC9" i="81"/>
  <c r="AC9" i="82"/>
  <c r="AB88" i="75"/>
  <c r="AB97" i="75" s="1"/>
  <c r="AD9" i="85" l="1"/>
  <c r="AD24" i="88"/>
  <c r="AC5" i="75"/>
  <c r="AC5" i="85" s="1"/>
  <c r="AB5" i="85"/>
  <c r="AD9" i="82"/>
  <c r="AD9" i="72"/>
  <c r="AD9" i="75"/>
  <c r="AD9" i="73"/>
  <c r="AD9" i="81"/>
  <c r="AE9" i="68"/>
  <c r="C98" i="43"/>
  <c r="C99" i="43"/>
  <c r="C100" i="43"/>
  <c r="C101" i="43"/>
  <c r="C102" i="43"/>
  <c r="C103" i="43"/>
  <c r="C104" i="43"/>
  <c r="C105" i="43"/>
  <c r="A44" i="47"/>
  <c r="A45" i="47" s="1"/>
  <c r="A46" i="47" s="1"/>
  <c r="A47" i="47" s="1"/>
  <c r="A48" i="47" s="1"/>
  <c r="A49" i="47" s="1"/>
  <c r="A50" i="47" s="1"/>
  <c r="A51" i="47" s="1"/>
  <c r="A52" i="47" s="1"/>
  <c r="A53" i="47" s="1"/>
  <c r="A54" i="47" s="1"/>
  <c r="A55" i="47" s="1"/>
  <c r="AE9" i="85" l="1"/>
  <c r="AE24" i="88"/>
  <c r="AD5" i="75"/>
  <c r="AD5" i="85" s="1"/>
  <c r="AD88" i="75"/>
  <c r="AD97" i="75" s="1"/>
  <c r="AE9" i="81"/>
  <c r="AE9" i="82"/>
  <c r="AE9" i="75"/>
  <c r="AE88" i="75" s="1"/>
  <c r="AE97" i="75" s="1"/>
  <c r="AE9" i="72"/>
  <c r="AE9" i="73"/>
  <c r="AF9" i="68"/>
  <c r="G8" i="33"/>
  <c r="AF9" i="85" l="1"/>
  <c r="AF24" i="88"/>
  <c r="AE5" i="75"/>
  <c r="AE5" i="85" s="1"/>
  <c r="AF9" i="82"/>
  <c r="AF9" i="81"/>
  <c r="AF9" i="75"/>
  <c r="AF9" i="72"/>
  <c r="AF9" i="73"/>
  <c r="AG9" i="68"/>
  <c r="AG9" i="85" l="1"/>
  <c r="AG24" i="88"/>
  <c r="AF5" i="75"/>
  <c r="AF5" i="85" s="1"/>
  <c r="AF88" i="75"/>
  <c r="AF97" i="75" s="1"/>
  <c r="AG9" i="82"/>
  <c r="AG9" i="75"/>
  <c r="AG9" i="81"/>
  <c r="AG9" i="73"/>
  <c r="AG9" i="72"/>
  <c r="AG5" i="75" l="1"/>
  <c r="AG5" i="85" s="1"/>
  <c r="AG88" i="75"/>
  <c r="AG97" i="75" s="1"/>
  <c r="C14" i="43" l="1" a="1"/>
  <c r="G27" i="43"/>
  <c r="H94" i="43"/>
  <c r="C17" i="62"/>
  <c r="H11" i="62"/>
  <c r="I11" i="62"/>
  <c r="I12" i="62" s="1"/>
  <c r="G34" i="82" l="1"/>
  <c r="G33" i="82"/>
  <c r="G14" i="82"/>
  <c r="G31" i="73"/>
  <c r="G55" i="72"/>
  <c r="G19" i="72"/>
  <c r="G33" i="81"/>
  <c r="G15" i="81"/>
  <c r="G17" i="73"/>
  <c r="G55" i="82"/>
  <c r="G55" i="81"/>
  <c r="G33" i="73"/>
  <c r="G54" i="81"/>
  <c r="G32" i="73"/>
  <c r="G34" i="81"/>
  <c r="G32" i="82"/>
  <c r="G28" i="82"/>
  <c r="G30" i="73"/>
  <c r="G54" i="72"/>
  <c r="G17" i="72"/>
  <c r="G32" i="81"/>
  <c r="G14" i="81"/>
  <c r="G54" i="73"/>
  <c r="G14" i="72"/>
  <c r="G34" i="73"/>
  <c r="G19" i="81"/>
  <c r="G15" i="73"/>
  <c r="G15" i="82"/>
  <c r="G16" i="81"/>
  <c r="G31" i="82"/>
  <c r="G57" i="73"/>
  <c r="G28" i="73"/>
  <c r="G28" i="72"/>
  <c r="G16" i="72"/>
  <c r="G31" i="81"/>
  <c r="G55" i="68"/>
  <c r="G33" i="72"/>
  <c r="G17" i="82"/>
  <c r="G32" i="72"/>
  <c r="G16" i="82"/>
  <c r="G17" i="81"/>
  <c r="G30" i="72"/>
  <c r="G30" i="82"/>
  <c r="G55" i="73"/>
  <c r="G19" i="73"/>
  <c r="G34" i="72"/>
  <c r="G15" i="72"/>
  <c r="G30" i="81"/>
  <c r="G54" i="68"/>
  <c r="G19" i="82"/>
  <c r="G28" i="81"/>
  <c r="G16" i="73"/>
  <c r="G54" i="82"/>
  <c r="G31" i="72"/>
  <c r="G14" i="73"/>
  <c r="C22" i="62"/>
  <c r="G34" i="68"/>
  <c r="G16" i="68"/>
  <c r="G33" i="68"/>
  <c r="G17" i="68"/>
  <c r="G14" i="68"/>
  <c r="G32" i="68"/>
  <c r="G31" i="68"/>
  <c r="G30" i="68"/>
  <c r="G28" i="68"/>
  <c r="G15" i="68"/>
  <c r="G19" i="68"/>
  <c r="H12" i="62"/>
  <c r="H13" i="62" s="1"/>
  <c r="G57" i="82"/>
  <c r="G57" i="68"/>
  <c r="G57" i="72"/>
  <c r="G57" i="81"/>
  <c r="G78" i="73"/>
  <c r="G77" i="81"/>
  <c r="G78" i="72"/>
  <c r="G77" i="72"/>
  <c r="G79" i="72"/>
  <c r="G77" i="73"/>
  <c r="G80" i="81"/>
  <c r="G79" i="81"/>
  <c r="G79" i="73"/>
  <c r="G78" i="81"/>
  <c r="H56" i="43"/>
  <c r="H82" i="43"/>
  <c r="H83" i="43"/>
  <c r="G80" i="68"/>
  <c r="G74" i="81"/>
  <c r="G73" i="82"/>
  <c r="G69" i="72"/>
  <c r="G68" i="68"/>
  <c r="G74" i="72"/>
  <c r="G69" i="73"/>
  <c r="G78" i="68"/>
  <c r="G72" i="81"/>
  <c r="G79" i="82"/>
  <c r="G74" i="68"/>
  <c r="G72" i="73"/>
  <c r="G68" i="81"/>
  <c r="G67" i="82"/>
  <c r="G80" i="72"/>
  <c r="G79" i="68"/>
  <c r="G73" i="81"/>
  <c r="G72" i="82"/>
  <c r="G68" i="72"/>
  <c r="G67" i="68"/>
  <c r="G80" i="82"/>
  <c r="G77" i="68"/>
  <c r="G73" i="73"/>
  <c r="G69" i="81"/>
  <c r="G68" i="82"/>
  <c r="G78" i="82"/>
  <c r="G73" i="68"/>
  <c r="G67" i="81"/>
  <c r="G74" i="73"/>
  <c r="G69" i="68"/>
  <c r="G68" i="73"/>
  <c r="G77" i="82"/>
  <c r="G74" i="82"/>
  <c r="G67" i="73"/>
  <c r="G72" i="72"/>
  <c r="G80" i="73"/>
  <c r="G73" i="72"/>
  <c r="G69" i="82"/>
  <c r="G67" i="72"/>
  <c r="G72" i="68"/>
  <c r="G85" i="82"/>
  <c r="G83" i="82"/>
  <c r="G82" i="82"/>
  <c r="G64" i="82"/>
  <c r="G84" i="82"/>
  <c r="G87" i="82"/>
  <c r="G83" i="73"/>
  <c r="G82" i="72"/>
  <c r="G82" i="73"/>
  <c r="G87" i="72"/>
  <c r="G87" i="73"/>
  <c r="G85" i="68"/>
  <c r="G85" i="73"/>
  <c r="G83" i="68"/>
  <c r="G85" i="72"/>
  <c r="G84" i="68"/>
  <c r="G84" i="72"/>
  <c r="G64" i="72"/>
  <c r="G84" i="73"/>
  <c r="G83" i="72"/>
  <c r="G82" i="68"/>
  <c r="G87" i="68"/>
  <c r="G64" i="81"/>
  <c r="G83" i="81"/>
  <c r="G87" i="81"/>
  <c r="G85" i="81"/>
  <c r="G82" i="81"/>
  <c r="G84" i="81"/>
  <c r="G64" i="73"/>
  <c r="G64" i="68"/>
  <c r="C14" i="43"/>
  <c r="C3" i="73" l="1"/>
  <c r="C3" i="82"/>
  <c r="C3" i="81"/>
  <c r="C3" i="72"/>
  <c r="Z57" i="73" a="1"/>
  <c r="Z57" i="73" s="1"/>
  <c r="K57" i="73" a="1"/>
  <c r="K57" i="73" s="1"/>
  <c r="Y57" i="73" a="1"/>
  <c r="Y57" i="73" s="1"/>
  <c r="W57" i="73" a="1"/>
  <c r="W57" i="73" s="1"/>
  <c r="J57" i="73" a="1"/>
  <c r="J57" i="73" s="1"/>
  <c r="S57" i="73" a="1"/>
  <c r="S57" i="73" s="1"/>
  <c r="I57" i="73" a="1"/>
  <c r="I57" i="73" s="1"/>
  <c r="AG57" i="73" a="1"/>
  <c r="AG57" i="73" s="1"/>
  <c r="AE57" i="73" a="1"/>
  <c r="AE57" i="73" s="1"/>
  <c r="AA57" i="73" a="1"/>
  <c r="AA57" i="73" s="1"/>
  <c r="Q57" i="73" a="1"/>
  <c r="Q57" i="73" s="1"/>
  <c r="R57" i="73" a="1"/>
  <c r="R57" i="73" s="1"/>
  <c r="O57" i="73" a="1"/>
  <c r="O57" i="73" s="1"/>
  <c r="AC57" i="73" a="1"/>
  <c r="AC57" i="73" s="1"/>
  <c r="AD57" i="73" a="1"/>
  <c r="AD57" i="73" s="1"/>
  <c r="AF57" i="73" a="1"/>
  <c r="AF57" i="73" s="1"/>
  <c r="L57" i="73" a="1"/>
  <c r="L57" i="73" s="1"/>
  <c r="M57" i="73" a="1"/>
  <c r="M57" i="73" s="1"/>
  <c r="N57" i="73" a="1"/>
  <c r="N57" i="73" s="1"/>
  <c r="P57" i="73" a="1"/>
  <c r="P57" i="73" s="1"/>
  <c r="T57" i="73" a="1"/>
  <c r="T57" i="73" s="1"/>
  <c r="U57" i="73" a="1"/>
  <c r="U57" i="73" s="1"/>
  <c r="V57" i="73" a="1"/>
  <c r="V57" i="73" s="1"/>
  <c r="X57" i="73" a="1"/>
  <c r="X57" i="73" s="1"/>
  <c r="AB57" i="73" a="1"/>
  <c r="AB57" i="73" s="1"/>
  <c r="W57" i="81" a="1"/>
  <c r="W57" i="81" s="1"/>
  <c r="S57" i="81" a="1"/>
  <c r="S57" i="81" s="1"/>
  <c r="Q57" i="81" a="1"/>
  <c r="Q57" i="81" s="1"/>
  <c r="O57" i="81" a="1"/>
  <c r="O57" i="81" s="1"/>
  <c r="AG57" i="81" a="1"/>
  <c r="AG57" i="81" s="1"/>
  <c r="K57" i="81" a="1"/>
  <c r="K57" i="81" s="1"/>
  <c r="AE57" i="81" a="1"/>
  <c r="AE57" i="81" s="1"/>
  <c r="I57" i="81" a="1"/>
  <c r="I57" i="81" s="1"/>
  <c r="AA57" i="81" a="1"/>
  <c r="AA57" i="81" s="1"/>
  <c r="Y57" i="81" a="1"/>
  <c r="Y57" i="81" s="1"/>
  <c r="AC57" i="81" a="1"/>
  <c r="AC57" i="81" s="1"/>
  <c r="AD57" i="81" a="1"/>
  <c r="AD57" i="81" s="1"/>
  <c r="AF57" i="81" a="1"/>
  <c r="AF57" i="81" s="1"/>
  <c r="M57" i="81" a="1"/>
  <c r="M57" i="81" s="1"/>
  <c r="L57" i="81" a="1"/>
  <c r="L57" i="81" s="1"/>
  <c r="N57" i="81" a="1"/>
  <c r="N57" i="81" s="1"/>
  <c r="J57" i="81" a="1"/>
  <c r="J57" i="81" s="1"/>
  <c r="P57" i="81" a="1"/>
  <c r="P57" i="81" s="1"/>
  <c r="R57" i="81" a="1"/>
  <c r="R57" i="81" s="1"/>
  <c r="T57" i="81" a="1"/>
  <c r="T57" i="81" s="1"/>
  <c r="U57" i="81" a="1"/>
  <c r="U57" i="81" s="1"/>
  <c r="V57" i="81" a="1"/>
  <c r="V57" i="81" s="1"/>
  <c r="X57" i="81" a="1"/>
  <c r="X57" i="81" s="1"/>
  <c r="Z57" i="81" a="1"/>
  <c r="Z57" i="81" s="1"/>
  <c r="AB57" i="81" a="1"/>
  <c r="AB57" i="81" s="1"/>
  <c r="W57" i="82" a="1"/>
  <c r="W57" i="82" s="1"/>
  <c r="Q57" i="82" a="1"/>
  <c r="Q57" i="82" s="1"/>
  <c r="O57" i="82" a="1"/>
  <c r="O57" i="82" s="1"/>
  <c r="I57" i="82" a="1"/>
  <c r="I57" i="82" s="1"/>
  <c r="I85" i="82" s="1"/>
  <c r="AG57" i="82" a="1"/>
  <c r="AG57" i="82" s="1"/>
  <c r="AG85" i="82" s="1"/>
  <c r="AE57" i="82" a="1"/>
  <c r="AE57" i="82" s="1"/>
  <c r="AE85" i="82" s="1"/>
  <c r="Y57" i="82" a="1"/>
  <c r="Y57" i="82" s="1"/>
  <c r="AC57" i="82" a="1"/>
  <c r="AC57" i="82" s="1"/>
  <c r="AC85" i="82" s="1"/>
  <c r="AD57" i="82" a="1"/>
  <c r="AD57" i="82" s="1"/>
  <c r="AD85" i="82" s="1"/>
  <c r="AF57" i="82" a="1"/>
  <c r="AF57" i="82" s="1"/>
  <c r="AF85" i="82" s="1"/>
  <c r="K57" i="82" a="1"/>
  <c r="K57" i="82" s="1"/>
  <c r="N57" i="82" a="1"/>
  <c r="N57" i="82" s="1"/>
  <c r="L57" i="82" a="1"/>
  <c r="L57" i="82" s="1"/>
  <c r="J57" i="82" a="1"/>
  <c r="J57" i="82" s="1"/>
  <c r="M57" i="82" a="1"/>
  <c r="M57" i="82" s="1"/>
  <c r="P57" i="82" a="1"/>
  <c r="P57" i="82" s="1"/>
  <c r="R57" i="82" a="1"/>
  <c r="R57" i="82" s="1"/>
  <c r="S57" i="82" a="1"/>
  <c r="S57" i="82" s="1"/>
  <c r="T57" i="82" a="1"/>
  <c r="T57" i="82" s="1"/>
  <c r="U57" i="82" a="1"/>
  <c r="U57" i="82" s="1"/>
  <c r="V57" i="82" a="1"/>
  <c r="V57" i="82" s="1"/>
  <c r="X57" i="82" a="1"/>
  <c r="X57" i="82" s="1"/>
  <c r="Z57" i="82" a="1"/>
  <c r="Z57" i="82" s="1"/>
  <c r="AA57" i="82" a="1"/>
  <c r="AA57" i="82" s="1"/>
  <c r="AB57" i="82" a="1"/>
  <c r="AB57" i="82" s="1"/>
  <c r="AC57" i="72" a="1"/>
  <c r="AC57" i="72" s="1"/>
  <c r="AD57" i="72" a="1"/>
  <c r="AD57" i="72" s="1"/>
  <c r="AE57" i="72" a="1"/>
  <c r="AE57" i="72" s="1"/>
  <c r="AF57" i="72" a="1"/>
  <c r="AF57" i="72" s="1"/>
  <c r="AG57" i="72" a="1"/>
  <c r="AG57" i="72" s="1"/>
  <c r="AC57" i="68" a="1"/>
  <c r="AC57" i="68" s="1"/>
  <c r="AC85" i="68" s="1"/>
  <c r="AC108" i="68" s="1"/>
  <c r="AD57" i="68" a="1"/>
  <c r="AD57" i="68" s="1"/>
  <c r="AD85" i="68" s="1"/>
  <c r="AD108" i="68" s="1"/>
  <c r="AE57" i="68" a="1"/>
  <c r="AE57" i="68" s="1"/>
  <c r="AE85" i="68" s="1"/>
  <c r="AE108" i="68" s="1"/>
  <c r="AF57" i="68" a="1"/>
  <c r="AF57" i="68" s="1"/>
  <c r="AF85" i="68" s="1"/>
  <c r="AF108" i="68" s="1"/>
  <c r="AG57" i="68" a="1"/>
  <c r="AG57" i="68" s="1"/>
  <c r="AG85" i="68" s="1"/>
  <c r="AG108" i="68" s="1"/>
  <c r="X57" i="72" a="1"/>
  <c r="X57" i="72" s="1"/>
  <c r="S57" i="72" a="1"/>
  <c r="S57" i="72" s="1"/>
  <c r="J57" i="72" a="1"/>
  <c r="J57" i="72" s="1"/>
  <c r="R57" i="72" a="1"/>
  <c r="R57" i="72" s="1"/>
  <c r="P57" i="72" a="1"/>
  <c r="P57" i="72" s="1"/>
  <c r="O57" i="72" a="1"/>
  <c r="O57" i="72" s="1"/>
  <c r="Z57" i="72" a="1"/>
  <c r="Z57" i="72" s="1"/>
  <c r="L57" i="72" a="1"/>
  <c r="L57" i="72" s="1"/>
  <c r="K57" i="72" a="1"/>
  <c r="K57" i="72" s="1"/>
  <c r="N57" i="72" a="1"/>
  <c r="N57" i="72" s="1"/>
  <c r="I57" i="72" a="1"/>
  <c r="I57" i="72" s="1"/>
  <c r="M57" i="72" a="1"/>
  <c r="M57" i="72" s="1"/>
  <c r="Q57" i="72" a="1"/>
  <c r="Q57" i="72" s="1"/>
  <c r="T57" i="72" a="1"/>
  <c r="T57" i="72" s="1"/>
  <c r="U57" i="72" a="1"/>
  <c r="U57" i="72" s="1"/>
  <c r="V57" i="72" a="1"/>
  <c r="V57" i="72" s="1"/>
  <c r="W57" i="72" a="1"/>
  <c r="W57" i="72" s="1"/>
  <c r="Y57" i="72" a="1"/>
  <c r="Y57" i="72" s="1"/>
  <c r="AA57" i="72" a="1"/>
  <c r="AA57" i="72" s="1"/>
  <c r="AB57" i="72" a="1"/>
  <c r="AB57" i="72" s="1"/>
  <c r="D13" i="33"/>
  <c r="Q57" i="68" a="1"/>
  <c r="Q57" i="68" s="1"/>
  <c r="Q85" i="68" s="1"/>
  <c r="Q108" i="68" s="1"/>
  <c r="W57" i="68" a="1"/>
  <c r="W57" i="68" s="1"/>
  <c r="W85" i="68" s="1"/>
  <c r="W108" i="68" s="1"/>
  <c r="U57" i="68" a="1"/>
  <c r="U57" i="68" s="1"/>
  <c r="U85" i="68" s="1"/>
  <c r="U108" i="68" s="1"/>
  <c r="P57" i="68" a="1"/>
  <c r="P57" i="68" s="1"/>
  <c r="P85" i="68" s="1"/>
  <c r="P108" i="68" s="1"/>
  <c r="X57" i="68" a="1"/>
  <c r="X57" i="68" s="1"/>
  <c r="X85" i="68" s="1"/>
  <c r="X108" i="68" s="1"/>
  <c r="AB57" i="68" a="1"/>
  <c r="AB57" i="68" s="1"/>
  <c r="AB85" i="68" s="1"/>
  <c r="AB108" i="68" s="1"/>
  <c r="I57" i="68" a="1"/>
  <c r="I57" i="68" s="1"/>
  <c r="I85" i="68" s="1"/>
  <c r="I108" i="68" s="1"/>
  <c r="O57" i="68" a="1"/>
  <c r="O57" i="68" s="1"/>
  <c r="O85" i="68" s="1"/>
  <c r="O108" i="68" s="1"/>
  <c r="Y57" i="68" a="1"/>
  <c r="Y57" i="68" s="1"/>
  <c r="Y85" i="68" s="1"/>
  <c r="Y108" i="68" s="1"/>
  <c r="N57" i="68" a="1"/>
  <c r="N57" i="68" s="1"/>
  <c r="N85" i="68" s="1"/>
  <c r="N108" i="68" s="1"/>
  <c r="T57" i="68" a="1"/>
  <c r="T57" i="68" s="1"/>
  <c r="T85" i="68" s="1"/>
  <c r="T108" i="68" s="1"/>
  <c r="Z57" i="68" a="1"/>
  <c r="Z57" i="68" s="1"/>
  <c r="Z85" i="68" s="1"/>
  <c r="Z108" i="68" s="1"/>
  <c r="M57" i="68" a="1"/>
  <c r="M57" i="68" s="1"/>
  <c r="M85" i="68" s="1"/>
  <c r="M108" i="68" s="1"/>
  <c r="R57" i="68" a="1"/>
  <c r="R57" i="68" s="1"/>
  <c r="R85" i="68" s="1"/>
  <c r="R108" i="68" s="1"/>
  <c r="AA57" i="68" a="1"/>
  <c r="AA57" i="68" s="1"/>
  <c r="AA85" i="68" s="1"/>
  <c r="AA108" i="68" s="1"/>
  <c r="L57" i="68" a="1"/>
  <c r="L57" i="68" s="1"/>
  <c r="L85" i="68" s="1"/>
  <c r="L108" i="68" s="1"/>
  <c r="K57" i="68" a="1"/>
  <c r="K57" i="68" s="1"/>
  <c r="K85" i="68" s="1"/>
  <c r="K108" i="68" s="1"/>
  <c r="S57" i="68" a="1"/>
  <c r="S57" i="68" s="1"/>
  <c r="S85" i="68" s="1"/>
  <c r="S108" i="68" s="1"/>
  <c r="J57" i="68" a="1"/>
  <c r="J57" i="68" s="1"/>
  <c r="J85" i="68" s="1"/>
  <c r="J108" i="68" s="1"/>
  <c r="V57" i="68" a="1"/>
  <c r="V57" i="68" s="1"/>
  <c r="V85" i="68" s="1"/>
  <c r="V108" i="68" s="1"/>
  <c r="D10" i="33"/>
  <c r="D11" i="33"/>
  <c r="D9" i="33"/>
  <c r="D12" i="33"/>
  <c r="H99" i="43"/>
  <c r="H100" i="43"/>
  <c r="H101" i="43"/>
  <c r="H102" i="43"/>
  <c r="H103" i="43"/>
  <c r="H104" i="43"/>
  <c r="H105" i="43"/>
  <c r="H98" i="43"/>
  <c r="U85" i="72" l="1"/>
  <c r="Z85" i="72"/>
  <c r="AC85" i="72"/>
  <c r="T85" i="72"/>
  <c r="O85" i="72"/>
  <c r="Q85" i="72"/>
  <c r="P85" i="72"/>
  <c r="AB85" i="72"/>
  <c r="M85" i="72"/>
  <c r="R85" i="72"/>
  <c r="AE85" i="73"/>
  <c r="AA85" i="72"/>
  <c r="I85" i="72"/>
  <c r="J85" i="72"/>
  <c r="AG85" i="72"/>
  <c r="AF85" i="73"/>
  <c r="AG85" i="73"/>
  <c r="Y85" i="72"/>
  <c r="N85" i="72"/>
  <c r="S85" i="72"/>
  <c r="AF85" i="72"/>
  <c r="AD85" i="73"/>
  <c r="I85" i="73"/>
  <c r="W85" i="72"/>
  <c r="K85" i="72"/>
  <c r="X85" i="72"/>
  <c r="AE85" i="72"/>
  <c r="AC85" i="73"/>
  <c r="V85" i="72"/>
  <c r="L85" i="72"/>
  <c r="AD85" i="72"/>
  <c r="AE85" i="81"/>
  <c r="AC85" i="81"/>
  <c r="AF85" i="81"/>
  <c r="AG85" i="81"/>
  <c r="AD85" i="81"/>
  <c r="Q80" i="72"/>
  <c r="I80" i="72"/>
  <c r="AG87" i="68"/>
  <c r="AG106" i="68" s="1"/>
  <c r="AG112" i="68" s="1" a="1"/>
  <c r="AG112" i="68" s="1"/>
  <c r="AF87" i="68"/>
  <c r="AF106" i="68" s="1"/>
  <c r="AF112" i="68" s="1" a="1"/>
  <c r="AF112" i="68" s="1"/>
  <c r="AE87" i="68"/>
  <c r="AE106" i="68" s="1"/>
  <c r="AE112" i="68" s="1" a="1"/>
  <c r="AE112" i="68" s="1"/>
  <c r="AD87" i="68"/>
  <c r="AD106" i="68" s="1"/>
  <c r="AD112" i="68" s="1" a="1"/>
  <c r="AD112" i="68" s="1"/>
  <c r="AC87" i="68"/>
  <c r="AC106" i="68" s="1"/>
  <c r="AC112" i="68" s="1" a="1"/>
  <c r="AC112" i="68" s="1"/>
  <c r="AA85" i="81"/>
  <c r="T85" i="73"/>
  <c r="S85" i="81"/>
  <c r="Y85" i="81"/>
  <c r="W85" i="73"/>
  <c r="Q85" i="73"/>
  <c r="O85" i="73"/>
  <c r="O85" i="82"/>
  <c r="O85" i="81"/>
  <c r="R85" i="81"/>
  <c r="V85" i="73"/>
  <c r="X85" i="73"/>
  <c r="T85" i="82"/>
  <c r="V85" i="82"/>
  <c r="M85" i="81"/>
  <c r="J85" i="81"/>
  <c r="T85" i="81"/>
  <c r="AA85" i="73"/>
  <c r="P85" i="73"/>
  <c r="Q85" i="82"/>
  <c r="J85" i="82"/>
  <c r="K85" i="82"/>
  <c r="J85" i="73"/>
  <c r="V85" i="81"/>
  <c r="K85" i="81"/>
  <c r="I85" i="81"/>
  <c r="U85" i="73"/>
  <c r="U85" i="82"/>
  <c r="AA85" i="82"/>
  <c r="R85" i="82"/>
  <c r="AB85" i="81"/>
  <c r="Z85" i="81"/>
  <c r="W85" i="81"/>
  <c r="N85" i="73"/>
  <c r="Z85" i="73"/>
  <c r="AB85" i="82"/>
  <c r="W85" i="82"/>
  <c r="P85" i="82"/>
  <c r="N85" i="81"/>
  <c r="Q85" i="81"/>
  <c r="L85" i="81"/>
  <c r="X85" i="81"/>
  <c r="M85" i="73"/>
  <c r="K85" i="73"/>
  <c r="Y85" i="82"/>
  <c r="Z85" i="82"/>
  <c r="M85" i="82"/>
  <c r="N85" i="82"/>
  <c r="S85" i="73"/>
  <c r="R85" i="73"/>
  <c r="S85" i="82"/>
  <c r="U85" i="81"/>
  <c r="P85" i="81"/>
  <c r="AB85" i="73"/>
  <c r="L85" i="73"/>
  <c r="Y85" i="73"/>
  <c r="X85" i="82"/>
  <c r="L85" i="82"/>
  <c r="AG117" i="68" l="1" a="1"/>
  <c r="AG117" i="68" s="1"/>
  <c r="AG116" i="68" a="1"/>
  <c r="AG116" i="68" s="1"/>
  <c r="AG115" i="68" a="1"/>
  <c r="AG115" i="68" s="1"/>
  <c r="AG113" i="68" a="1"/>
  <c r="AG113" i="68" s="1"/>
  <c r="AG110" i="68" a="1"/>
  <c r="AG110" i="68" s="1"/>
  <c r="AG111" i="68" a="1"/>
  <c r="AG111" i="68" s="1"/>
  <c r="AG114" i="68" a="1"/>
  <c r="AG114" i="68" s="1"/>
  <c r="AF117" i="68" a="1"/>
  <c r="AF117" i="68" s="1"/>
  <c r="AF113" i="68" a="1"/>
  <c r="AF113" i="68" s="1"/>
  <c r="AF116" i="68" a="1"/>
  <c r="AF116" i="68" s="1"/>
  <c r="AF115" i="68" a="1"/>
  <c r="AF115" i="68" s="1"/>
  <c r="AF114" i="68" a="1"/>
  <c r="AF114" i="68" s="1"/>
  <c r="AF111" i="68" a="1"/>
  <c r="AF111" i="68" s="1"/>
  <c r="AF110" i="68" a="1"/>
  <c r="AF110" i="68" s="1"/>
  <c r="AE113" i="68" a="1"/>
  <c r="AE113" i="68" s="1"/>
  <c r="AE117" i="68" a="1"/>
  <c r="AE117" i="68" s="1"/>
  <c r="AE116" i="68" a="1"/>
  <c r="AE116" i="68" s="1"/>
  <c r="AE115" i="68" a="1"/>
  <c r="AE115" i="68" s="1"/>
  <c r="AE114" i="68" a="1"/>
  <c r="AE114" i="68" s="1"/>
  <c r="AE111" i="68" a="1"/>
  <c r="AE111" i="68" s="1"/>
  <c r="AE110" i="68" a="1"/>
  <c r="AE110" i="68" s="1"/>
  <c r="AC115" i="68" a="1"/>
  <c r="AC115" i="68" s="1"/>
  <c r="AC116" i="68" a="1"/>
  <c r="AC116" i="68" s="1"/>
  <c r="AC113" i="68" a="1"/>
  <c r="AC113" i="68" s="1"/>
  <c r="AC117" i="68" a="1"/>
  <c r="AC117" i="68" s="1"/>
  <c r="AC111" i="68" a="1"/>
  <c r="AC111" i="68" s="1"/>
  <c r="AC114" i="68" a="1"/>
  <c r="AC114" i="68" s="1"/>
  <c r="AC110" i="68" a="1"/>
  <c r="AC110" i="68" s="1"/>
  <c r="AD115" i="68" a="1"/>
  <c r="AD115" i="68" s="1"/>
  <c r="AD110" i="68" a="1"/>
  <c r="AD110" i="68" s="1"/>
  <c r="AD113" i="68" a="1"/>
  <c r="AD113" i="68" s="1"/>
  <c r="AD116" i="68" a="1"/>
  <c r="AD116" i="68" s="1"/>
  <c r="AD117" i="68" a="1"/>
  <c r="AD117" i="68" s="1"/>
  <c r="AD114" i="68" a="1"/>
  <c r="AD114" i="68" s="1"/>
  <c r="AD111" i="68" a="1"/>
  <c r="AD111" i="68" s="1"/>
  <c r="I82" i="72"/>
  <c r="I107" i="72" s="1"/>
  <c r="Q82" i="72"/>
  <c r="Q107" i="72" s="1"/>
  <c r="R80" i="72"/>
  <c r="J80" i="72"/>
  <c r="N80" i="72"/>
  <c r="AE80" i="72"/>
  <c r="O80" i="72"/>
  <c r="L80" i="72"/>
  <c r="AG80" i="72"/>
  <c r="AA80" i="72"/>
  <c r="K80" i="72"/>
  <c r="P80" i="72"/>
  <c r="M80" i="72"/>
  <c r="AF80" i="72"/>
  <c r="AD80" i="72"/>
  <c r="V80" i="72"/>
  <c r="U80" i="72"/>
  <c r="AC80" i="72"/>
  <c r="Z80" i="72"/>
  <c r="T80" i="72"/>
  <c r="W80" i="72"/>
  <c r="AB80" i="72"/>
  <c r="Y80" i="72"/>
  <c r="X80" i="72"/>
  <c r="S80" i="72"/>
  <c r="X87" i="68"/>
  <c r="X106" i="68" s="1"/>
  <c r="X112" i="68" s="1" a="1"/>
  <c r="X112" i="68" s="1"/>
  <c r="M87" i="68"/>
  <c r="M106" i="68" s="1"/>
  <c r="M112" i="68" s="1" a="1"/>
  <c r="M112" i="68" s="1"/>
  <c r="K87" i="68"/>
  <c r="K106" i="68" s="1"/>
  <c r="K112" i="68" s="1" a="1"/>
  <c r="K112" i="68" s="1"/>
  <c r="U87" i="68"/>
  <c r="U106" i="68" s="1"/>
  <c r="U112" i="68" s="1" a="1"/>
  <c r="U112" i="68" s="1"/>
  <c r="Q87" i="68"/>
  <c r="Q106" i="68" s="1"/>
  <c r="Q112" i="68" s="1" a="1"/>
  <c r="Q112" i="68" s="1"/>
  <c r="Z87" i="68"/>
  <c r="Z106" i="68" s="1"/>
  <c r="Z112" i="68" s="1" a="1"/>
  <c r="Z112" i="68" s="1"/>
  <c r="Y87" i="68"/>
  <c r="Y106" i="68" s="1"/>
  <c r="Y112" i="68" s="1" a="1"/>
  <c r="Y112" i="68" s="1"/>
  <c r="N87" i="68"/>
  <c r="N106" i="68" s="1"/>
  <c r="N112" i="68" s="1" a="1"/>
  <c r="N112" i="68" s="1"/>
  <c r="AA87" i="68"/>
  <c r="AA106" i="68" s="1"/>
  <c r="AA112" i="68" s="1" a="1"/>
  <c r="AA112" i="68" s="1"/>
  <c r="V87" i="68"/>
  <c r="V106" i="68" s="1"/>
  <c r="V112" i="68" s="1" a="1"/>
  <c r="V112" i="68" s="1"/>
  <c r="P87" i="68"/>
  <c r="P106" i="68" s="1"/>
  <c r="P112" i="68" s="1" a="1"/>
  <c r="P112" i="68" s="1"/>
  <c r="L87" i="68"/>
  <c r="L106" i="68" s="1"/>
  <c r="L112" i="68" s="1" a="1"/>
  <c r="L112" i="68" s="1"/>
  <c r="O87" i="68"/>
  <c r="O106" i="68" s="1"/>
  <c r="O112" i="68" s="1" a="1"/>
  <c r="O112" i="68" s="1"/>
  <c r="R87" i="68"/>
  <c r="R106" i="68" s="1"/>
  <c r="R112" i="68" s="1" a="1"/>
  <c r="R112" i="68" s="1"/>
  <c r="S87" i="68"/>
  <c r="S106" i="68" s="1"/>
  <c r="S112" i="68" s="1" a="1"/>
  <c r="S112" i="68" s="1"/>
  <c r="T87" i="68"/>
  <c r="T106" i="68" s="1"/>
  <c r="T112" i="68" s="1" a="1"/>
  <c r="T112" i="68" s="1"/>
  <c r="W87" i="68"/>
  <c r="W106" i="68" s="1"/>
  <c r="W112" i="68" s="1" a="1"/>
  <c r="W112" i="68" s="1"/>
  <c r="AB87" i="68"/>
  <c r="AB106" i="68" s="1"/>
  <c r="AB112" i="68" s="1" a="1"/>
  <c r="AB112" i="68" s="1"/>
  <c r="C16" i="62"/>
  <c r="P117" i="68" l="1" a="1"/>
  <c r="P117" i="68" s="1"/>
  <c r="P111" i="68" a="1"/>
  <c r="P111" i="68" s="1"/>
  <c r="P114" i="68" a="1"/>
  <c r="P114" i="68" s="1"/>
  <c r="P116" i="68" a="1"/>
  <c r="P116" i="68" s="1"/>
  <c r="P110" i="68" a="1"/>
  <c r="P110" i="68" s="1"/>
  <c r="P113" i="68" a="1"/>
  <c r="P113" i="68" s="1"/>
  <c r="P115" i="68" a="1"/>
  <c r="P115" i="68" s="1"/>
  <c r="AA114" i="68" a="1"/>
  <c r="AA114" i="68" s="1"/>
  <c r="AA110" i="68" a="1"/>
  <c r="AA110" i="68" s="1"/>
  <c r="AA113" i="68" a="1"/>
  <c r="AA113" i="68" s="1"/>
  <c r="AA111" i="68" a="1"/>
  <c r="AA111" i="68" s="1"/>
  <c r="AA115" i="68" a="1"/>
  <c r="AA115" i="68" s="1"/>
  <c r="AA117" i="68" a="1"/>
  <c r="AA117" i="68" s="1"/>
  <c r="AA116" i="68" a="1"/>
  <c r="AA116" i="68" s="1"/>
  <c r="W116" i="68" a="1"/>
  <c r="W116" i="68" s="1"/>
  <c r="W113" i="68" a="1"/>
  <c r="W113" i="68" s="1"/>
  <c r="W110" i="68" a="1"/>
  <c r="W110" i="68" s="1"/>
  <c r="W117" i="68" a="1"/>
  <c r="W117" i="68" s="1"/>
  <c r="W111" i="68" a="1"/>
  <c r="W111" i="68" s="1"/>
  <c r="W115" i="68" a="1"/>
  <c r="W115" i="68" s="1"/>
  <c r="W114" i="68" a="1"/>
  <c r="W114" i="68" s="1"/>
  <c r="S117" i="68" a="1"/>
  <c r="S117" i="68" s="1"/>
  <c r="S111" i="68" a="1"/>
  <c r="S111" i="68" s="1"/>
  <c r="S114" i="68" a="1"/>
  <c r="S114" i="68" s="1"/>
  <c r="S115" i="68" a="1"/>
  <c r="S115" i="68" s="1"/>
  <c r="S116" i="68" a="1"/>
  <c r="S116" i="68" s="1"/>
  <c r="S113" i="68" a="1"/>
  <c r="S113" i="68" s="1"/>
  <c r="S110" i="68" a="1"/>
  <c r="S110" i="68" s="1"/>
  <c r="R117" i="68" a="1"/>
  <c r="R117" i="68" s="1"/>
  <c r="R111" i="68" a="1"/>
  <c r="R111" i="68" s="1"/>
  <c r="R114" i="68" a="1"/>
  <c r="R114" i="68" s="1"/>
  <c r="R115" i="68" a="1"/>
  <c r="R115" i="68" s="1"/>
  <c r="R116" i="68" a="1"/>
  <c r="R116" i="68" s="1"/>
  <c r="R110" i="68" a="1"/>
  <c r="R110" i="68" s="1"/>
  <c r="R113" i="68" a="1"/>
  <c r="R113" i="68" s="1"/>
  <c r="O117" i="68" a="1"/>
  <c r="O117" i="68" s="1"/>
  <c r="O111" i="68" a="1"/>
  <c r="O111" i="68" s="1"/>
  <c r="O115" i="68" a="1"/>
  <c r="O115" i="68" s="1"/>
  <c r="O113" i="68" a="1"/>
  <c r="O113" i="68" s="1"/>
  <c r="O114" i="68" a="1"/>
  <c r="O114" i="68" s="1"/>
  <c r="O116" i="68" a="1"/>
  <c r="O116" i="68" s="1"/>
  <c r="O110" i="68" a="1"/>
  <c r="O110" i="68" s="1"/>
  <c r="L115" i="68" a="1"/>
  <c r="L115" i="68" s="1"/>
  <c r="L116" i="68" a="1"/>
  <c r="L116" i="68" s="1"/>
  <c r="L113" i="68" a="1"/>
  <c r="L113" i="68" s="1"/>
  <c r="L111" i="68" a="1"/>
  <c r="L111" i="68" s="1"/>
  <c r="L117" i="68" a="1"/>
  <c r="L117" i="68" s="1"/>
  <c r="L114" i="68" a="1"/>
  <c r="L114" i="68" s="1"/>
  <c r="L110" i="68" a="1"/>
  <c r="L110" i="68" s="1"/>
  <c r="N115" i="68" a="1"/>
  <c r="N115" i="68" s="1"/>
  <c r="N117" i="68" a="1"/>
  <c r="N117" i="68" s="1"/>
  <c r="N111" i="68" a="1"/>
  <c r="N111" i="68" s="1"/>
  <c r="N110" i="68" a="1"/>
  <c r="N110" i="68" s="1"/>
  <c r="N116" i="68" a="1"/>
  <c r="N116" i="68" s="1"/>
  <c r="N114" i="68" a="1"/>
  <c r="N114" i="68" s="1"/>
  <c r="N113" i="68" a="1"/>
  <c r="N113" i="68" s="1"/>
  <c r="Y116" i="68" a="1"/>
  <c r="Y116" i="68" s="1"/>
  <c r="Y113" i="68" a="1"/>
  <c r="Y113" i="68" s="1"/>
  <c r="Y110" i="68" a="1"/>
  <c r="Y110" i="68" s="1"/>
  <c r="Y117" i="68" a="1"/>
  <c r="Y117" i="68" s="1"/>
  <c r="Y111" i="68" a="1"/>
  <c r="Y111" i="68" s="1"/>
  <c r="Y115" i="68" a="1"/>
  <c r="Y115" i="68" s="1"/>
  <c r="Y114" i="68" a="1"/>
  <c r="Y114" i="68" s="1"/>
  <c r="Q117" i="68" a="1"/>
  <c r="Q117" i="68" s="1"/>
  <c r="Q111" i="68" a="1"/>
  <c r="Q111" i="68" s="1"/>
  <c r="Q115" i="68" a="1"/>
  <c r="Q115" i="68" s="1"/>
  <c r="Q114" i="68" a="1"/>
  <c r="Q114" i="68" s="1"/>
  <c r="Q116" i="68" a="1"/>
  <c r="Q116" i="68" s="1"/>
  <c r="Q110" i="68" a="1"/>
  <c r="Q110" i="68" s="1"/>
  <c r="Q113" i="68" a="1"/>
  <c r="Q113" i="68" s="1"/>
  <c r="K115" i="68" a="1"/>
  <c r="K115" i="68" s="1"/>
  <c r="K116" i="68" a="1"/>
  <c r="K116" i="68" s="1"/>
  <c r="K110" i="68" a="1"/>
  <c r="K110" i="68" s="1"/>
  <c r="K113" i="68" a="1"/>
  <c r="K113" i="68" s="1"/>
  <c r="K111" i="68" a="1"/>
  <c r="K111" i="68" s="1"/>
  <c r="K117" i="68" a="1"/>
  <c r="K117" i="68" s="1"/>
  <c r="K114" i="68" a="1"/>
  <c r="K114" i="68" s="1"/>
  <c r="M115" i="68" a="1"/>
  <c r="M115" i="68" s="1"/>
  <c r="M116" i="68" a="1"/>
  <c r="M116" i="68" s="1"/>
  <c r="M113" i="68" a="1"/>
  <c r="M113" i="68" s="1"/>
  <c r="M111" i="68" a="1"/>
  <c r="M111" i="68" s="1"/>
  <c r="M117" i="68" a="1"/>
  <c r="M117" i="68" s="1"/>
  <c r="M114" i="68" a="1"/>
  <c r="M114" i="68" s="1"/>
  <c r="M110" i="68" a="1"/>
  <c r="M110" i="68" s="1"/>
  <c r="U113" i="68" a="1"/>
  <c r="U113" i="68" s="1"/>
  <c r="U110" i="68" a="1"/>
  <c r="U110" i="68" s="1"/>
  <c r="U115" i="68" a="1"/>
  <c r="U115" i="68" s="1"/>
  <c r="U111" i="68" a="1"/>
  <c r="U111" i="68" s="1"/>
  <c r="U116" i="68" a="1"/>
  <c r="U116" i="68" s="1"/>
  <c r="U117" i="68" a="1"/>
  <c r="U117" i="68" s="1"/>
  <c r="U114" i="68" a="1"/>
  <c r="U114" i="68" s="1"/>
  <c r="X116" i="68" a="1"/>
  <c r="X116" i="68" s="1"/>
  <c r="X113" i="68" a="1"/>
  <c r="X113" i="68" s="1"/>
  <c r="X110" i="68" a="1"/>
  <c r="X110" i="68" s="1"/>
  <c r="X114" i="68" a="1"/>
  <c r="X114" i="68" s="1"/>
  <c r="X111" i="68" a="1"/>
  <c r="X111" i="68" s="1"/>
  <c r="X115" i="68" a="1"/>
  <c r="X115" i="68" s="1"/>
  <c r="X117" i="68" a="1"/>
  <c r="X117" i="68" s="1"/>
  <c r="AB115" i="68" a="1"/>
  <c r="AB115" i="68" s="1"/>
  <c r="AB116" i="68" a="1"/>
  <c r="AB116" i="68" s="1"/>
  <c r="AB110" i="68" a="1"/>
  <c r="AB110" i="68" s="1"/>
  <c r="AB113" i="68" a="1"/>
  <c r="AB113" i="68" s="1"/>
  <c r="AB117" i="68" a="1"/>
  <c r="AB117" i="68" s="1"/>
  <c r="AB111" i="68" a="1"/>
  <c r="AB111" i="68" s="1"/>
  <c r="AB114" i="68" a="1"/>
  <c r="AB114" i="68" s="1"/>
  <c r="T114" i="68" a="1"/>
  <c r="T114" i="68" s="1"/>
  <c r="T117" i="68" a="1"/>
  <c r="T117" i="68" s="1"/>
  <c r="T115" i="68" a="1"/>
  <c r="T115" i="68" s="1"/>
  <c r="T113" i="68" a="1"/>
  <c r="T113" i="68" s="1"/>
  <c r="T116" i="68" a="1"/>
  <c r="T116" i="68" s="1"/>
  <c r="T110" i="68" a="1"/>
  <c r="T110" i="68" s="1"/>
  <c r="T111" i="68" a="1"/>
  <c r="T111" i="68" s="1"/>
  <c r="V116" i="68" a="1"/>
  <c r="V116" i="68" s="1"/>
  <c r="V113" i="68" a="1"/>
  <c r="V113" i="68" s="1"/>
  <c r="V110" i="68" a="1"/>
  <c r="V110" i="68" s="1"/>
  <c r="V115" i="68" a="1"/>
  <c r="V115" i="68" s="1"/>
  <c r="V114" i="68" a="1"/>
  <c r="V114" i="68" s="1"/>
  <c r="V111" i="68" a="1"/>
  <c r="V111" i="68" s="1"/>
  <c r="V117" i="68" a="1"/>
  <c r="V117" i="68" s="1"/>
  <c r="Z116" i="68" a="1"/>
  <c r="Z116" i="68" s="1"/>
  <c r="Z113" i="68" a="1"/>
  <c r="Z113" i="68" s="1"/>
  <c r="Z117" i="68" a="1"/>
  <c r="Z117" i="68" s="1"/>
  <c r="Z111" i="68" a="1"/>
  <c r="Z111" i="68" s="1"/>
  <c r="Z110" i="68" a="1"/>
  <c r="Z110" i="68" s="1"/>
  <c r="Z115" i="68" a="1"/>
  <c r="Z115" i="68" s="1"/>
  <c r="Z114" i="68" a="1"/>
  <c r="Z114" i="68" s="1"/>
  <c r="J82" i="72"/>
  <c r="J107" i="72" s="1"/>
  <c r="K82" i="72"/>
  <c r="K107" i="72" s="1"/>
  <c r="AB82" i="72"/>
  <c r="AB107" i="72" s="1"/>
  <c r="AD82" i="72"/>
  <c r="AD107" i="72" s="1"/>
  <c r="Z82" i="72"/>
  <c r="Z107" i="72" s="1"/>
  <c r="Y82" i="72"/>
  <c r="Y107" i="72" s="1"/>
  <c r="O82" i="72"/>
  <c r="O107" i="72" s="1"/>
  <c r="AF82" i="72"/>
  <c r="AF107" i="72" s="1"/>
  <c r="AE82" i="72"/>
  <c r="AE107" i="72" s="1"/>
  <c r="W82" i="72"/>
  <c r="W107" i="72" s="1"/>
  <c r="M82" i="72"/>
  <c r="M107" i="72" s="1"/>
  <c r="N82" i="72"/>
  <c r="N107" i="72" s="1"/>
  <c r="T82" i="72"/>
  <c r="T107" i="72" s="1"/>
  <c r="P82" i="72"/>
  <c r="P107" i="72" s="1"/>
  <c r="R82" i="72"/>
  <c r="R107" i="72" s="1"/>
  <c r="AC82" i="72"/>
  <c r="AC107" i="72" s="1"/>
  <c r="AA82" i="72"/>
  <c r="AA107" i="72" s="1"/>
  <c r="S82" i="72"/>
  <c r="S107" i="72" s="1"/>
  <c r="U82" i="72"/>
  <c r="U107" i="72" s="1"/>
  <c r="AG82" i="72"/>
  <c r="AG107" i="72" s="1"/>
  <c r="X82" i="72"/>
  <c r="X107" i="72" s="1"/>
  <c r="V82" i="72"/>
  <c r="V107" i="72" s="1"/>
  <c r="L82" i="72"/>
  <c r="L107" i="72" s="1"/>
  <c r="J87" i="68"/>
  <c r="J106" i="68" s="1"/>
  <c r="J112" i="68" s="1" a="1"/>
  <c r="J112" i="68" s="1"/>
  <c r="I87" i="68"/>
  <c r="I106" i="68" s="1"/>
  <c r="I112" i="68" s="1" a="1"/>
  <c r="I112" i="68" s="1"/>
  <c r="A1" i="43"/>
  <c r="A1" i="33"/>
  <c r="J115" i="68" l="1" a="1"/>
  <c r="J115" i="68" s="1"/>
  <c r="J113" i="68" a="1"/>
  <c r="J113" i="68" s="1"/>
  <c r="J116" i="68" a="1"/>
  <c r="J116" i="68" s="1"/>
  <c r="J110" i="68" a="1"/>
  <c r="J110" i="68" s="1"/>
  <c r="J111" i="68" a="1"/>
  <c r="J111" i="68" s="1"/>
  <c r="J117" i="68" a="1"/>
  <c r="J117" i="68" s="1"/>
  <c r="J114" i="68" a="1"/>
  <c r="J114" i="68" s="1"/>
  <c r="I115" i="68" a="1"/>
  <c r="I115" i="68" s="1"/>
  <c r="I114" i="68" a="1"/>
  <c r="I114" i="68" s="1"/>
  <c r="I116" i="68" a="1"/>
  <c r="I116" i="68" s="1"/>
  <c r="I110" i="68" a="1"/>
  <c r="I110" i="68" s="1"/>
  <c r="I117" i="68" a="1"/>
  <c r="I117" i="68" s="1"/>
  <c r="I111" i="68" a="1"/>
  <c r="I111" i="68" s="1"/>
  <c r="I113" i="68" a="1"/>
  <c r="I113" i="68" s="1"/>
  <c r="A2" i="47"/>
  <c r="A1" i="47"/>
  <c r="A2" i="62"/>
  <c r="A1" i="62"/>
  <c r="I6" i="62"/>
  <c r="I13" i="62" l="1"/>
  <c r="J6" i="62"/>
  <c r="J11" i="62" l="1"/>
  <c r="K6" i="62"/>
  <c r="J12" i="62" l="1"/>
  <c r="J13" i="62" s="1"/>
  <c r="I15" i="62"/>
  <c r="K11" i="62"/>
  <c r="K12" i="62" s="1"/>
  <c r="K13" i="62" s="1"/>
  <c r="L6" i="62"/>
  <c r="J15" i="62" l="1"/>
  <c r="L11" i="62"/>
  <c r="M6" i="62"/>
  <c r="L12" i="62" l="1"/>
  <c r="L13" i="62" s="1"/>
  <c r="K15" i="62"/>
  <c r="M11" i="62"/>
  <c r="M12" i="62" l="1"/>
  <c r="M13" i="62" s="1"/>
  <c r="L15" i="62"/>
  <c r="N11" i="62"/>
  <c r="N12" i="62" l="1"/>
  <c r="N13" i="62" s="1"/>
  <c r="M15" i="62"/>
  <c r="O11" i="62"/>
  <c r="D21" i="62" l="1"/>
  <c r="O12" i="62"/>
  <c r="O13" i="62" s="1"/>
  <c r="P11" i="62"/>
  <c r="P12" i="62" s="1"/>
  <c r="P13" i="62" s="1"/>
  <c r="N15" i="62"/>
  <c r="Q11" i="62" l="1"/>
  <c r="Q12" i="62" s="1"/>
  <c r="Q13" i="62" s="1"/>
  <c r="O15" i="62"/>
  <c r="P15" i="62" l="1"/>
  <c r="R11" i="62"/>
  <c r="Q15" i="62" l="1"/>
  <c r="R12" i="62"/>
  <c r="R13" i="62" s="1"/>
  <c r="D22" i="62" l="1"/>
  <c r="D23" i="62" s="1"/>
  <c r="G75" i="43"/>
  <c r="G74" i="43"/>
  <c r="D16" i="62"/>
  <c r="R15" i="62"/>
  <c r="D17" i="62" s="1"/>
  <c r="D19" i="62" l="1"/>
  <c r="W30" i="73" a="1"/>
  <c r="W30" i="73" s="1"/>
  <c r="Q30" i="82" a="1"/>
  <c r="Q30" i="82" s="1"/>
  <c r="AF30" i="82" a="1"/>
  <c r="AF30" i="82" s="1"/>
  <c r="AD30" i="73" a="1"/>
  <c r="AD30" i="73" s="1"/>
  <c r="W30" i="82" a="1"/>
  <c r="W30" i="82" s="1"/>
  <c r="Y30" i="82" a="1"/>
  <c r="Y30" i="82" s="1"/>
  <c r="AF30" i="73" a="1"/>
  <c r="AF30" i="73" s="1"/>
  <c r="AB30" i="73" a="1"/>
  <c r="AB30" i="73" s="1"/>
  <c r="S30" i="73" a="1"/>
  <c r="S30" i="73" s="1"/>
  <c r="AC30" i="73" a="1"/>
  <c r="AC30" i="73" s="1"/>
  <c r="L30" i="73" a="1"/>
  <c r="L30" i="73" s="1"/>
  <c r="AC30" i="82" a="1"/>
  <c r="AC30" i="82" s="1"/>
  <c r="X30" i="82" a="1"/>
  <c r="X30" i="82" s="1"/>
  <c r="T30" i="82" a="1"/>
  <c r="T30" i="82" s="1"/>
  <c r="X30" i="73" a="1"/>
  <c r="X30" i="73" s="1"/>
  <c r="AG30" i="82" a="1"/>
  <c r="AG30" i="82" s="1"/>
  <c r="P30" i="82" a="1"/>
  <c r="P30" i="82" s="1"/>
  <c r="I30" i="73" a="1"/>
  <c r="I30" i="73" s="1"/>
  <c r="O30" i="82" a="1"/>
  <c r="O30" i="82" s="1"/>
  <c r="L30" i="82" a="1"/>
  <c r="L30" i="82" s="1"/>
  <c r="R30" i="73" a="1"/>
  <c r="R30" i="73" s="1"/>
  <c r="I30" i="82" a="1"/>
  <c r="I30" i="82" s="1"/>
  <c r="AB30" i="82" a="1"/>
  <c r="AB30" i="82" s="1"/>
  <c r="AE30" i="73" a="1"/>
  <c r="AE30" i="73" s="1"/>
  <c r="Q30" i="73" a="1"/>
  <c r="Q30" i="73" s="1"/>
  <c r="O30" i="73" a="1"/>
  <c r="O30" i="73" s="1"/>
  <c r="J30" i="82" a="1"/>
  <c r="J30" i="82" s="1"/>
  <c r="AG30" i="73" a="1"/>
  <c r="AG30" i="73" s="1"/>
  <c r="Y30" i="73" a="1"/>
  <c r="Y30" i="73" s="1"/>
  <c r="Z30" i="73" a="1"/>
  <c r="Z30" i="73" s="1"/>
  <c r="M30" i="73" a="1"/>
  <c r="M30" i="73" s="1"/>
  <c r="U30" i="82" a="1"/>
  <c r="U30" i="82" s="1"/>
  <c r="AA30" i="73" a="1"/>
  <c r="AA30" i="73" s="1"/>
  <c r="N30" i="82" a="1"/>
  <c r="N30" i="82" s="1"/>
  <c r="AE30" i="82" a="1"/>
  <c r="AE30" i="82" s="1"/>
  <c r="V30" i="82" a="1"/>
  <c r="V30" i="82" s="1"/>
  <c r="AA30" i="82" a="1"/>
  <c r="AA30" i="82" s="1"/>
  <c r="M30" i="82" a="1"/>
  <c r="M30" i="82" s="1"/>
  <c r="P30" i="73" a="1"/>
  <c r="P30" i="73" s="1"/>
  <c r="AD30" i="82" a="1"/>
  <c r="AD30" i="82" s="1"/>
  <c r="K30" i="82" a="1"/>
  <c r="K30" i="82" s="1"/>
  <c r="U30" i="73" a="1"/>
  <c r="U30" i="73" s="1"/>
  <c r="Z30" i="82" a="1"/>
  <c r="Z30" i="82" s="1"/>
  <c r="T30" i="73" a="1"/>
  <c r="T30" i="73" s="1"/>
  <c r="S30" i="82" a="1"/>
  <c r="S30" i="82" s="1"/>
  <c r="J30" i="73" a="1"/>
  <c r="J30" i="73" s="1"/>
  <c r="R30" i="82" a="1"/>
  <c r="R30" i="82" s="1"/>
  <c r="N30" i="73" a="1"/>
  <c r="N30" i="73" s="1"/>
  <c r="V30" i="73" a="1"/>
  <c r="V30" i="73" s="1"/>
  <c r="K30" i="73" a="1"/>
  <c r="K30" i="73" s="1"/>
  <c r="E28" i="73"/>
  <c r="E28" i="81"/>
  <c r="E28" i="72"/>
  <c r="E28" i="68"/>
  <c r="E28" i="82"/>
  <c r="AG14" i="85"/>
  <c r="AE14" i="85"/>
  <c r="AD14" i="85"/>
  <c r="AF14" i="85"/>
  <c r="AB14" i="85"/>
  <c r="N14" i="85"/>
  <c r="T14" i="85"/>
  <c r="L14" i="85"/>
  <c r="V14" i="85"/>
  <c r="K14" i="85"/>
  <c r="M14" i="85"/>
  <c r="O14" i="85"/>
  <c r="H14" i="85"/>
  <c r="I14" i="85"/>
  <c r="S74" i="75"/>
  <c r="N43" i="75"/>
  <c r="N60" i="75"/>
  <c r="L75" i="75"/>
  <c r="K71" i="75"/>
  <c r="W47" i="75"/>
  <c r="P43" i="75"/>
  <c r="V61" i="75"/>
  <c r="O33" i="75"/>
  <c r="N75" i="75"/>
  <c r="N32" i="75"/>
  <c r="T71" i="75"/>
  <c r="S57" i="75"/>
  <c r="K57" i="75"/>
  <c r="T60" i="75"/>
  <c r="Q32" i="75"/>
  <c r="M60" i="75"/>
  <c r="U71" i="75"/>
  <c r="P75" i="75"/>
  <c r="T43" i="75"/>
  <c r="S33" i="75"/>
  <c r="V33" i="75"/>
  <c r="R74" i="75"/>
  <c r="J60" i="75"/>
  <c r="Q71" i="75"/>
  <c r="M74" i="75"/>
  <c r="W61" i="75"/>
  <c r="S32" i="75"/>
  <c r="O47" i="75"/>
  <c r="N57" i="75"/>
  <c r="V43" i="75"/>
  <c r="L60" i="75"/>
  <c r="T47" i="75"/>
  <c r="P71" i="75"/>
  <c r="W33" i="75"/>
  <c r="V57" i="75"/>
  <c r="O57" i="75"/>
  <c r="L32" i="75"/>
  <c r="T75" i="75"/>
  <c r="S61" i="75"/>
  <c r="K75" i="75"/>
  <c r="R57" i="75"/>
  <c r="R32" i="75"/>
  <c r="J74" i="75"/>
  <c r="Q47" i="75"/>
  <c r="M33" i="75"/>
  <c r="U57" i="75"/>
  <c r="V71" i="75"/>
  <c r="R61" i="75"/>
  <c r="J61" i="75"/>
  <c r="J75" i="75"/>
  <c r="M75" i="75"/>
  <c r="U43" i="75"/>
  <c r="O71" i="75"/>
  <c r="O74" i="75"/>
  <c r="N61" i="75"/>
  <c r="L61" i="75"/>
  <c r="T57" i="75"/>
  <c r="K61" i="75"/>
  <c r="R43" i="75"/>
  <c r="J47" i="75"/>
  <c r="S75" i="75"/>
  <c r="K60" i="75"/>
  <c r="V75" i="75"/>
  <c r="R33" i="75"/>
  <c r="J32" i="75"/>
  <c r="S60" i="75"/>
  <c r="Q74" i="75"/>
  <c r="P47" i="75"/>
  <c r="W75" i="75"/>
  <c r="W43" i="75"/>
  <c r="U74" i="75"/>
  <c r="X47" i="75"/>
  <c r="U32" i="75"/>
  <c r="X43" i="75"/>
  <c r="Y61" i="75"/>
  <c r="Y71" i="75"/>
  <c r="Y57" i="75"/>
  <c r="Y75" i="75"/>
  <c r="Y47" i="75"/>
  <c r="W74" i="75"/>
  <c r="Z71" i="75"/>
  <c r="Z57" i="75"/>
  <c r="W60" i="75"/>
  <c r="Z47" i="75"/>
  <c r="Z33" i="75"/>
  <c r="W32" i="75"/>
  <c r="Z43" i="75"/>
  <c r="X74" i="75"/>
  <c r="Y60" i="75"/>
  <c r="AB71" i="75"/>
  <c r="AB43" i="75"/>
  <c r="AB57" i="75"/>
  <c r="AB61" i="75"/>
  <c r="Y74" i="75"/>
  <c r="Y32" i="75"/>
  <c r="AB75" i="75"/>
  <c r="AB47" i="75"/>
  <c r="AB33" i="75"/>
  <c r="Z74" i="75"/>
  <c r="Z32" i="75"/>
  <c r="AA32" i="75"/>
  <c r="AA60" i="75"/>
  <c r="AC47" i="75"/>
  <c r="AB74" i="75"/>
  <c r="AD33" i="75"/>
  <c r="AF43" i="75"/>
  <c r="AE43" i="75"/>
  <c r="AB60" i="75"/>
  <c r="AD71" i="75"/>
  <c r="AF61" i="75"/>
  <c r="AE57" i="75"/>
  <c r="AE33" i="75"/>
  <c r="AF71" i="75"/>
  <c r="AB32" i="75"/>
  <c r="AF47" i="75"/>
  <c r="AD47" i="75"/>
  <c r="AD57" i="75"/>
  <c r="AD61" i="75"/>
  <c r="AD74" i="75"/>
  <c r="AG75" i="75"/>
  <c r="AC32" i="75"/>
  <c r="AG47" i="75"/>
  <c r="AG57" i="75"/>
  <c r="AG33" i="75"/>
  <c r="AE74" i="75"/>
  <c r="AG43" i="75"/>
  <c r="AG61" i="75"/>
  <c r="AE32" i="75"/>
  <c r="AF60" i="75"/>
  <c r="AF32" i="75"/>
  <c r="AF63" i="75"/>
  <c r="W49" i="75"/>
  <c r="AB49" i="75"/>
  <c r="U49" i="75"/>
  <c r="AG63" i="75"/>
  <c r="K49" i="75"/>
  <c r="AD63" i="75"/>
  <c r="Z49" i="75"/>
  <c r="AE63" i="75"/>
  <c r="Y49" i="75"/>
  <c r="AC49" i="75"/>
  <c r="AD49" i="75"/>
  <c r="AA49" i="75"/>
  <c r="N49" i="75"/>
  <c r="S49" i="75"/>
  <c r="AD35" i="75"/>
  <c r="AC35" i="75"/>
  <c r="AG49" i="75"/>
  <c r="AF49" i="75"/>
  <c r="AG35" i="75"/>
  <c r="AC77" i="75"/>
  <c r="AE77" i="75"/>
  <c r="AG77" i="75"/>
  <c r="AC63" i="75"/>
  <c r="S63" i="75"/>
  <c r="Q63" i="75"/>
  <c r="W35" i="75"/>
  <c r="K35" i="75"/>
  <c r="U63" i="75"/>
  <c r="Q35" i="75"/>
  <c r="U35" i="75"/>
  <c r="T63" i="75"/>
  <c r="W63" i="75"/>
  <c r="Q46" i="75"/>
  <c r="AB63" i="75"/>
  <c r="Z35" i="75"/>
  <c r="N77" i="75"/>
  <c r="L63" i="75"/>
  <c r="AB77" i="75"/>
  <c r="M35" i="75"/>
  <c r="Z63" i="75"/>
  <c r="Y63" i="75"/>
  <c r="W77" i="75"/>
  <c r="K63" i="75"/>
  <c r="M77" i="75"/>
  <c r="P77" i="75"/>
  <c r="AA77" i="75"/>
  <c r="U77" i="75"/>
  <c r="Y77" i="75"/>
  <c r="X77" i="75"/>
  <c r="R63" i="75"/>
  <c r="K77" i="75"/>
  <c r="V77" i="75"/>
  <c r="J63" i="75"/>
  <c r="R77" i="75"/>
  <c r="J77" i="75"/>
  <c r="Q77" i="75"/>
  <c r="S77" i="75"/>
  <c r="O35" i="75"/>
  <c r="Z46" i="75"/>
  <c r="AA46" i="75"/>
  <c r="K46" i="75"/>
  <c r="U46" i="75"/>
  <c r="AG46" i="75"/>
  <c r="O46" i="75"/>
  <c r="AC46" i="75"/>
  <c r="M46" i="75"/>
  <c r="L46" i="75"/>
  <c r="Y46" i="75"/>
  <c r="AF46" i="75"/>
  <c r="AE46" i="75"/>
  <c r="T46" i="75"/>
  <c r="S46" i="75"/>
  <c r="R46" i="75"/>
  <c r="Y29" i="75"/>
  <c r="I43" i="75"/>
  <c r="W29" i="75"/>
  <c r="L29" i="75"/>
  <c r="AE29" i="75"/>
  <c r="AG29" i="75"/>
  <c r="I60" i="75"/>
  <c r="Z29" i="75"/>
  <c r="I75" i="75"/>
  <c r="I74" i="75"/>
  <c r="I57" i="75"/>
  <c r="T29" i="75"/>
  <c r="S29" i="75"/>
  <c r="Q29" i="75"/>
  <c r="I71" i="75"/>
  <c r="AF29" i="75"/>
  <c r="M29" i="75"/>
  <c r="R29" i="75"/>
  <c r="AC29" i="75"/>
  <c r="V29" i="75"/>
  <c r="I61" i="75"/>
  <c r="I49" i="75"/>
  <c r="I21" i="75"/>
  <c r="I77" i="75"/>
  <c r="I35" i="75"/>
  <c r="AC20" i="75"/>
  <c r="AF19" i="75"/>
  <c r="AC19" i="75"/>
  <c r="AE19" i="75"/>
  <c r="AD20" i="75"/>
  <c r="AD18" i="75"/>
  <c r="AE18" i="75"/>
  <c r="AF18" i="75"/>
  <c r="AG21" i="75"/>
  <c r="AC21" i="75"/>
  <c r="AE21" i="75"/>
  <c r="AD21" i="75"/>
  <c r="L20" i="75"/>
  <c r="K20" i="75"/>
  <c r="AB20" i="75"/>
  <c r="N20" i="75"/>
  <c r="O20" i="75"/>
  <c r="X20" i="75"/>
  <c r="S20" i="75"/>
  <c r="V20" i="75"/>
  <c r="Z20" i="75"/>
  <c r="J20" i="75"/>
  <c r="K19" i="75"/>
  <c r="N19" i="75"/>
  <c r="M19" i="75"/>
  <c r="Z19" i="75"/>
  <c r="L19" i="75"/>
  <c r="W19" i="75"/>
  <c r="P19" i="75"/>
  <c r="V19" i="75"/>
  <c r="Q19" i="75"/>
  <c r="R19" i="75"/>
  <c r="AB19" i="75"/>
  <c r="Y19" i="75"/>
  <c r="J19" i="75"/>
  <c r="Q21" i="75"/>
  <c r="Y21" i="75"/>
  <c r="O21" i="75"/>
  <c r="N21" i="75"/>
  <c r="M21" i="75"/>
  <c r="P21" i="75"/>
  <c r="Z21" i="75"/>
  <c r="J21" i="75"/>
  <c r="V21" i="75"/>
  <c r="T21" i="75"/>
  <c r="W21" i="75"/>
  <c r="S21" i="75"/>
  <c r="U21" i="75"/>
  <c r="AB21" i="75"/>
  <c r="X18" i="75"/>
  <c r="Q18" i="75"/>
  <c r="W18" i="75"/>
  <c r="S18" i="75"/>
  <c r="AA18" i="75"/>
  <c r="V18" i="75"/>
  <c r="P18" i="75"/>
  <c r="M18" i="75"/>
  <c r="J18" i="75"/>
  <c r="K18" i="75"/>
  <c r="A2" i="33"/>
  <c r="AC14" i="85" l="1"/>
  <c r="AA75" i="75"/>
  <c r="L74" i="75"/>
  <c r="U61" i="75"/>
  <c r="K21" i="75"/>
  <c r="K22" i="75" s="1"/>
  <c r="AA20" i="75"/>
  <c r="AC18" i="75"/>
  <c r="AC22" i="75" s="1"/>
  <c r="X29" i="75"/>
  <c r="X46" i="75"/>
  <c r="O63" i="75"/>
  <c r="J49" i="75"/>
  <c r="T49" i="75"/>
  <c r="AF33" i="75"/>
  <c r="AC61" i="75"/>
  <c r="Y33" i="75"/>
  <c r="L71" i="75"/>
  <c r="L43" i="75"/>
  <c r="M71" i="75"/>
  <c r="M43" i="75"/>
  <c r="U14" i="85"/>
  <c r="T19" i="75"/>
  <c r="T20" i="75"/>
  <c r="AB29" i="75"/>
  <c r="I18" i="75"/>
  <c r="X63" i="75"/>
  <c r="L35" i="75"/>
  <c r="L49" i="75"/>
  <c r="AF57" i="75"/>
  <c r="AC33" i="75"/>
  <c r="V60" i="75"/>
  <c r="O75" i="75"/>
  <c r="R60" i="75"/>
  <c r="O61" i="75"/>
  <c r="Q14" i="85"/>
  <c r="AA19" i="75"/>
  <c r="U20" i="75"/>
  <c r="AA29" i="75"/>
  <c r="I15" i="75"/>
  <c r="F15" i="75" s="1"/>
  <c r="L77" i="75"/>
  <c r="T35" i="75"/>
  <c r="AG32" i="75"/>
  <c r="AC57" i="75"/>
  <c r="X33" i="75"/>
  <c r="R47" i="75"/>
  <c r="Q61" i="75"/>
  <c r="AA14" i="85"/>
  <c r="Z18" i="75"/>
  <c r="Z22" i="75" s="1"/>
  <c r="X19" i="75"/>
  <c r="Q20" i="75"/>
  <c r="Q22" i="75" s="1"/>
  <c r="AG19" i="75"/>
  <c r="AD29" i="75"/>
  <c r="I20" i="75"/>
  <c r="M63" i="75"/>
  <c r="S35" i="75"/>
  <c r="R35" i="75"/>
  <c r="AE35" i="75"/>
  <c r="AG74" i="75"/>
  <c r="AF75" i="75"/>
  <c r="AC75" i="75"/>
  <c r="X60" i="75"/>
  <c r="X61" i="75"/>
  <c r="Q33" i="75"/>
  <c r="Q57" i="75"/>
  <c r="K74" i="75"/>
  <c r="P61" i="75"/>
  <c r="J43" i="75"/>
  <c r="Y14" i="85"/>
  <c r="M49" i="75"/>
  <c r="AE61" i="75"/>
  <c r="AC60" i="75"/>
  <c r="V74" i="75"/>
  <c r="T33" i="75"/>
  <c r="M32" i="75"/>
  <c r="L47" i="75"/>
  <c r="S14" i="85"/>
  <c r="U18" i="75"/>
  <c r="O29" i="75"/>
  <c r="AA35" i="75"/>
  <c r="AA57" i="75"/>
  <c r="N47" i="75"/>
  <c r="R18" i="75"/>
  <c r="AD19" i="75"/>
  <c r="AB46" i="75"/>
  <c r="Q49" i="75"/>
  <c r="AA61" i="75"/>
  <c r="N71" i="75"/>
  <c r="Q60" i="75"/>
  <c r="L18" i="75"/>
  <c r="AE20" i="75"/>
  <c r="AE22" i="75" s="1"/>
  <c r="J46" i="75"/>
  <c r="AF77" i="75"/>
  <c r="AD60" i="75"/>
  <c r="AA43" i="75"/>
  <c r="U33" i="75"/>
  <c r="W71" i="75"/>
  <c r="I33" i="75"/>
  <c r="AB18" i="75"/>
  <c r="AB22" i="75" s="1"/>
  <c r="U19" i="75"/>
  <c r="M20" i="75"/>
  <c r="M22" i="75" s="1"/>
  <c r="AF20" i="75"/>
  <c r="K29" i="75"/>
  <c r="I19" i="75"/>
  <c r="X35" i="75"/>
  <c r="N35" i="75"/>
  <c r="P35" i="75"/>
  <c r="AE49" i="75"/>
  <c r="AG60" i="75"/>
  <c r="AD75" i="75"/>
  <c r="AA74" i="75"/>
  <c r="AA47" i="75"/>
  <c r="X71" i="75"/>
  <c r="J57" i="75"/>
  <c r="P33" i="75"/>
  <c r="S71" i="75"/>
  <c r="W57" i="75"/>
  <c r="R71" i="75"/>
  <c r="N28" i="82"/>
  <c r="AG28" i="82"/>
  <c r="M28" i="82"/>
  <c r="AF28" i="82"/>
  <c r="L28" i="82"/>
  <c r="AE28" i="82"/>
  <c r="K28" i="82"/>
  <c r="AD28" i="82"/>
  <c r="J28" i="82"/>
  <c r="AC28" i="82"/>
  <c r="I28" i="82"/>
  <c r="AB28" i="82"/>
  <c r="AA28" i="82"/>
  <c r="Z28" i="82"/>
  <c r="Y28" i="82"/>
  <c r="X28" i="82"/>
  <c r="W28" i="82"/>
  <c r="V28" i="82"/>
  <c r="U28" i="82"/>
  <c r="T28" i="82"/>
  <c r="S28" i="82"/>
  <c r="R28" i="82"/>
  <c r="Q28" i="82"/>
  <c r="P28" i="82"/>
  <c r="O28" i="82"/>
  <c r="AC28" i="68"/>
  <c r="AC99" i="75" s="1"/>
  <c r="J28" i="68"/>
  <c r="J99" i="75" s="1"/>
  <c r="AD28" i="68"/>
  <c r="AD99" i="75" s="1"/>
  <c r="K28" i="68"/>
  <c r="K99" i="75" s="1"/>
  <c r="AE28" i="68"/>
  <c r="AF28" i="68"/>
  <c r="L28" i="68"/>
  <c r="L99" i="75" s="1"/>
  <c r="I28" i="68"/>
  <c r="I99" i="75" s="1"/>
  <c r="N28" i="68"/>
  <c r="N99" i="75" s="1"/>
  <c r="M28" i="68"/>
  <c r="M99" i="75" s="1"/>
  <c r="AG28" i="68"/>
  <c r="P28" i="68"/>
  <c r="P99" i="75" s="1"/>
  <c r="Q28" i="68"/>
  <c r="Q99" i="75" s="1"/>
  <c r="R28" i="68"/>
  <c r="R99" i="75" s="1"/>
  <c r="V28" i="68"/>
  <c r="V99" i="75" s="1"/>
  <c r="S28" i="68"/>
  <c r="S99" i="75" s="1"/>
  <c r="X28" i="68"/>
  <c r="X99" i="75" s="1"/>
  <c r="AB28" i="68"/>
  <c r="AB99" i="75" s="1"/>
  <c r="Y28" i="68"/>
  <c r="Y99" i="75" s="1"/>
  <c r="T28" i="68"/>
  <c r="T99" i="75" s="1"/>
  <c r="U28" i="68"/>
  <c r="U99" i="75" s="1"/>
  <c r="Z28" i="68"/>
  <c r="Z99" i="75" s="1"/>
  <c r="AA28" i="68"/>
  <c r="AA99" i="75" s="1"/>
  <c r="O28" i="68"/>
  <c r="O99" i="75" s="1"/>
  <c r="W28" i="68"/>
  <c r="W99" i="75" s="1"/>
  <c r="X28" i="72"/>
  <c r="W28" i="72"/>
  <c r="U28" i="72"/>
  <c r="AD28" i="72"/>
  <c r="V28" i="72"/>
  <c r="O28" i="72"/>
  <c r="K28" i="72"/>
  <c r="T28" i="72"/>
  <c r="S28" i="72"/>
  <c r="Q28" i="72"/>
  <c r="P28" i="72"/>
  <c r="J28" i="72"/>
  <c r="N28" i="72"/>
  <c r="AG28" i="72"/>
  <c r="AF28" i="72"/>
  <c r="L28" i="72"/>
  <c r="AC28" i="72"/>
  <c r="I28" i="72"/>
  <c r="R28" i="72"/>
  <c r="AB28" i="72"/>
  <c r="AE28" i="72"/>
  <c r="AA28" i="72"/>
  <c r="Z28" i="72"/>
  <c r="Y28" i="72"/>
  <c r="M28" i="72"/>
  <c r="AC28" i="81"/>
  <c r="I28" i="81"/>
  <c r="AB28" i="81"/>
  <c r="Z28" i="81"/>
  <c r="T28" i="81"/>
  <c r="AA28" i="81"/>
  <c r="P28" i="81"/>
  <c r="Y28" i="81"/>
  <c r="X28" i="81"/>
  <c r="V28" i="81"/>
  <c r="U28" i="81"/>
  <c r="S28" i="81"/>
  <c r="Q28" i="81"/>
  <c r="N28" i="81"/>
  <c r="AG28" i="81"/>
  <c r="M28" i="81"/>
  <c r="O28" i="81"/>
  <c r="AF28" i="81"/>
  <c r="L28" i="81"/>
  <c r="AD28" i="81"/>
  <c r="AE28" i="81"/>
  <c r="K28" i="81"/>
  <c r="J28" i="81"/>
  <c r="W28" i="81"/>
  <c r="R28" i="81"/>
  <c r="S28" i="73"/>
  <c r="R28" i="73"/>
  <c r="AG28" i="73"/>
  <c r="Q28" i="73"/>
  <c r="P28" i="73"/>
  <c r="M28" i="73"/>
  <c r="O28" i="73"/>
  <c r="N28" i="73"/>
  <c r="AF28" i="73"/>
  <c r="L28" i="73"/>
  <c r="AE28" i="73"/>
  <c r="K28" i="73"/>
  <c r="AD28" i="73"/>
  <c r="J28" i="73"/>
  <c r="AC28" i="73"/>
  <c r="I28" i="73"/>
  <c r="AB28" i="73"/>
  <c r="AA28" i="73"/>
  <c r="Z28" i="73"/>
  <c r="Y28" i="73"/>
  <c r="X28" i="73"/>
  <c r="W28" i="73"/>
  <c r="V28" i="73"/>
  <c r="U28" i="73"/>
  <c r="T28" i="73"/>
  <c r="H79" i="85"/>
  <c r="H76" i="85"/>
  <c r="H56" i="85"/>
  <c r="H64" i="85"/>
  <c r="H58" i="85"/>
  <c r="H72" i="85"/>
  <c r="H42" i="85"/>
  <c r="H65" i="85"/>
  <c r="H63" i="85"/>
  <c r="H70" i="85"/>
  <c r="H77" i="85"/>
  <c r="H75" i="85"/>
  <c r="H62" i="85"/>
  <c r="H78" i="85"/>
  <c r="H60" i="85"/>
  <c r="H74" i="85"/>
  <c r="H61" i="85"/>
  <c r="H73" i="85"/>
  <c r="H59" i="85"/>
  <c r="I32" i="75"/>
  <c r="X32" i="75"/>
  <c r="W14" i="85"/>
  <c r="T61" i="75"/>
  <c r="R75" i="75"/>
  <c r="U75" i="75"/>
  <c r="N33" i="75"/>
  <c r="K33" i="75"/>
  <c r="O32" i="75"/>
  <c r="U60" i="75"/>
  <c r="Z75" i="75"/>
  <c r="Z60" i="75"/>
  <c r="AE75" i="75"/>
  <c r="AD32" i="75"/>
  <c r="R49" i="75"/>
  <c r="P49" i="75"/>
  <c r="P63" i="75"/>
  <c r="V35" i="75"/>
  <c r="Y35" i="75"/>
  <c r="N46" i="75"/>
  <c r="I29" i="75"/>
  <c r="I46" i="75"/>
  <c r="W20" i="75"/>
  <c r="W22" i="75" s="1"/>
  <c r="O19" i="75"/>
  <c r="X21" i="75"/>
  <c r="N18" i="75"/>
  <c r="N22" i="75" s="1"/>
  <c r="P14" i="85"/>
  <c r="S47" i="75"/>
  <c r="Q43" i="75"/>
  <c r="P74" i="75"/>
  <c r="L33" i="75"/>
  <c r="K43" i="75"/>
  <c r="N74" i="75"/>
  <c r="X75" i="75"/>
  <c r="Z61" i="75"/>
  <c r="Y18" i="75"/>
  <c r="AA21" i="75"/>
  <c r="Y20" i="75"/>
  <c r="AG18" i="75"/>
  <c r="J29" i="75"/>
  <c r="U29" i="75"/>
  <c r="W46" i="75"/>
  <c r="N63" i="75"/>
  <c r="V63" i="75"/>
  <c r="J35" i="75"/>
  <c r="X49" i="75"/>
  <c r="AF74" i="75"/>
  <c r="AD43" i="75"/>
  <c r="AC71" i="75"/>
  <c r="AA71" i="75"/>
  <c r="X57" i="75"/>
  <c r="M57" i="75"/>
  <c r="O60" i="75"/>
  <c r="J71" i="75"/>
  <c r="V47" i="75"/>
  <c r="P57" i="75"/>
  <c r="Z14" i="85"/>
  <c r="R14" i="85"/>
  <c r="T74" i="75"/>
  <c r="J33" i="75"/>
  <c r="M47" i="75"/>
  <c r="P60" i="75"/>
  <c r="T32" i="75"/>
  <c r="K47" i="75"/>
  <c r="U47" i="75"/>
  <c r="V32" i="75"/>
  <c r="AC43" i="75"/>
  <c r="AE71" i="75"/>
  <c r="AE60" i="75"/>
  <c r="O49" i="75"/>
  <c r="AF35" i="75"/>
  <c r="O77" i="75"/>
  <c r="Z77" i="75"/>
  <c r="AB35" i="75"/>
  <c r="AD46" i="75"/>
  <c r="I47" i="75"/>
  <c r="N29" i="75"/>
  <c r="AG20" i="75"/>
  <c r="R20" i="75"/>
  <c r="S19" i="75"/>
  <c r="S22" i="75" s="1"/>
  <c r="R21" i="75"/>
  <c r="O18" i="75"/>
  <c r="X14" i="85"/>
  <c r="T18" i="75"/>
  <c r="L21" i="75"/>
  <c r="P20" i="75"/>
  <c r="P22" i="75" s="1"/>
  <c r="AF21" i="75"/>
  <c r="I63" i="75"/>
  <c r="P29" i="75"/>
  <c r="P46" i="75"/>
  <c r="V46" i="75"/>
  <c r="AA63" i="75"/>
  <c r="T77" i="75"/>
  <c r="V49" i="75"/>
  <c r="AD77" i="75"/>
  <c r="AG71" i="75"/>
  <c r="AE47" i="75"/>
  <c r="AC74" i="75"/>
  <c r="AA33" i="75"/>
  <c r="Y43" i="75"/>
  <c r="M61" i="75"/>
  <c r="S43" i="75"/>
  <c r="P32" i="75"/>
  <c r="Q75" i="75"/>
  <c r="K32" i="75"/>
  <c r="L57" i="75"/>
  <c r="O43" i="75"/>
  <c r="J14" i="85"/>
  <c r="F28" i="82"/>
  <c r="F28" i="68"/>
  <c r="F28" i="72"/>
  <c r="F28" i="81"/>
  <c r="F28" i="73"/>
  <c r="I22" i="75"/>
  <c r="AD22" i="75"/>
  <c r="V22" i="75"/>
  <c r="J22" i="75"/>
  <c r="AA22" i="75" l="1"/>
  <c r="U22" i="75"/>
  <c r="L22" i="75"/>
  <c r="X22" i="75"/>
  <c r="T22" i="75"/>
  <c r="AF22" i="75"/>
  <c r="F19" i="75"/>
  <c r="AE99" i="75"/>
  <c r="AF99" i="75"/>
  <c r="AG99" i="75"/>
  <c r="F29" i="75" a="1"/>
  <c r="F29" i="75" s="1"/>
  <c r="AG22" i="75"/>
  <c r="F74" i="75" a="1"/>
  <c r="F74" i="75" s="1"/>
  <c r="F63" i="75"/>
  <c r="F77" i="75"/>
  <c r="Y22" i="75"/>
  <c r="F46" i="75"/>
  <c r="F57" i="75"/>
  <c r="F35" i="75" a="1"/>
  <c r="F35" i="75" s="1"/>
  <c r="F75" i="75" a="1"/>
  <c r="F75" i="75" s="1"/>
  <c r="F71" i="75"/>
  <c r="F43" i="75"/>
  <c r="F61" i="75"/>
  <c r="F20" i="75"/>
  <c r="O22" i="75"/>
  <c r="F14" i="85"/>
  <c r="F60" i="75"/>
  <c r="F49" i="75"/>
  <c r="F32" i="75" a="1"/>
  <c r="F32" i="75" s="1"/>
  <c r="F33" i="75" a="1"/>
  <c r="F33" i="75" s="1"/>
  <c r="F47" i="75"/>
  <c r="F18" i="75"/>
  <c r="F21" i="75"/>
  <c r="R22" i="75"/>
  <c r="L36" i="72"/>
  <c r="L44" i="75" s="1"/>
  <c r="L42" i="75"/>
  <c r="T36" i="81"/>
  <c r="T30" i="75" s="1"/>
  <c r="T28" i="75"/>
  <c r="AG36" i="81"/>
  <c r="AG30" i="75" s="1"/>
  <c r="AG28" i="75"/>
  <c r="N36" i="72"/>
  <c r="N44" i="75" s="1"/>
  <c r="N42" i="75"/>
  <c r="I36" i="68"/>
  <c r="I14" i="75"/>
  <c r="R36" i="82"/>
  <c r="R72" i="75" s="1"/>
  <c r="R70" i="75"/>
  <c r="L36" i="68"/>
  <c r="L14" i="75"/>
  <c r="AF36" i="73"/>
  <c r="AF58" i="75" s="1"/>
  <c r="AF56" i="75"/>
  <c r="AF36" i="81"/>
  <c r="AF30" i="75" s="1"/>
  <c r="AF28" i="75"/>
  <c r="Z36" i="81"/>
  <c r="Z30" i="75" s="1"/>
  <c r="Z28" i="75"/>
  <c r="Q36" i="72"/>
  <c r="Q44" i="75" s="1"/>
  <c r="Q42" i="75"/>
  <c r="Z36" i="68"/>
  <c r="Z14" i="75"/>
  <c r="I36" i="82"/>
  <c r="I72" i="75" s="1"/>
  <c r="I70" i="75"/>
  <c r="X36" i="73"/>
  <c r="X58" i="75" s="1"/>
  <c r="X56" i="75"/>
  <c r="K36" i="81"/>
  <c r="K30" i="75" s="1"/>
  <c r="K28" i="75"/>
  <c r="AE36" i="72"/>
  <c r="AE44" i="75" s="1"/>
  <c r="AE42" i="75"/>
  <c r="K36" i="72"/>
  <c r="K44" i="75" s="1"/>
  <c r="K42" i="75"/>
  <c r="N36" i="68"/>
  <c r="N14" i="75"/>
  <c r="AA36" i="82"/>
  <c r="AA72" i="75" s="1"/>
  <c r="AA70" i="75"/>
  <c r="O36" i="73"/>
  <c r="O58" i="75" s="1"/>
  <c r="O56" i="75"/>
  <c r="Q36" i="81"/>
  <c r="Q30" i="75" s="1"/>
  <c r="Q28" i="75"/>
  <c r="J36" i="72"/>
  <c r="J44" i="75" s="1"/>
  <c r="J42" i="75"/>
  <c r="R36" i="72"/>
  <c r="R44" i="75" s="1"/>
  <c r="R42" i="75"/>
  <c r="AG36" i="68"/>
  <c r="AG14" i="75"/>
  <c r="J36" i="82"/>
  <c r="J70" i="75"/>
  <c r="AD36" i="68"/>
  <c r="AD14" i="75"/>
  <c r="AB36" i="82"/>
  <c r="AB72" i="75" s="1"/>
  <c r="AB70" i="75"/>
  <c r="AE36" i="73"/>
  <c r="AE58" i="75" s="1"/>
  <c r="AE56" i="75"/>
  <c r="U36" i="81"/>
  <c r="U30" i="75" s="1"/>
  <c r="U28" i="75"/>
  <c r="V36" i="72"/>
  <c r="V44" i="75" s="1"/>
  <c r="V42" i="75"/>
  <c r="AD36" i="72"/>
  <c r="AD44" i="75" s="1"/>
  <c r="AD42" i="75"/>
  <c r="V36" i="73"/>
  <c r="V58" i="75" s="1"/>
  <c r="V56" i="75"/>
  <c r="R36" i="81"/>
  <c r="R30" i="75" s="1"/>
  <c r="R28" i="75"/>
  <c r="M36" i="72"/>
  <c r="M44" i="75" s="1"/>
  <c r="M42" i="75"/>
  <c r="T36" i="72"/>
  <c r="T44" i="75" s="1"/>
  <c r="T42" i="75"/>
  <c r="Y36" i="68"/>
  <c r="Y14" i="75"/>
  <c r="U36" i="82"/>
  <c r="U72" i="75" s="1"/>
  <c r="U70" i="75"/>
  <c r="AB36" i="73"/>
  <c r="AB58" i="75" s="1"/>
  <c r="AB56" i="75"/>
  <c r="N36" i="81"/>
  <c r="N30" i="75" s="1"/>
  <c r="N28" i="75"/>
  <c r="AC36" i="72"/>
  <c r="AC44" i="75" s="1"/>
  <c r="AC42" i="75"/>
  <c r="Y36" i="72"/>
  <c r="Y44" i="75" s="1"/>
  <c r="Y42" i="75"/>
  <c r="O36" i="68"/>
  <c r="O14" i="75"/>
  <c r="P36" i="82"/>
  <c r="P72" i="75" s="1"/>
  <c r="P70" i="75"/>
  <c r="S36" i="73"/>
  <c r="S58" i="75" s="1"/>
  <c r="S56" i="75"/>
  <c r="X36" i="81"/>
  <c r="X30" i="75" s="1"/>
  <c r="X28" i="75"/>
  <c r="AG36" i="72"/>
  <c r="AG44" i="75" s="1"/>
  <c r="AG42" i="75"/>
  <c r="AA36" i="68"/>
  <c r="AA14" i="75"/>
  <c r="AE36" i="82"/>
  <c r="AE72" i="75" s="1"/>
  <c r="AE70" i="75"/>
  <c r="T36" i="73"/>
  <c r="T58" i="75" s="1"/>
  <c r="T56" i="75"/>
  <c r="J36" i="81"/>
  <c r="J30" i="75" s="1"/>
  <c r="J28" i="75"/>
  <c r="AB36" i="72"/>
  <c r="AB44" i="75" s="1"/>
  <c r="AB42" i="75"/>
  <c r="M36" i="68"/>
  <c r="M14" i="75"/>
  <c r="X36" i="68"/>
  <c r="X14" i="75"/>
  <c r="T36" i="82"/>
  <c r="T72" i="75" s="1"/>
  <c r="T70" i="75"/>
  <c r="AF36" i="82"/>
  <c r="AF72" i="75" s="1"/>
  <c r="AF70" i="75"/>
  <c r="AB36" i="81"/>
  <c r="AB30" i="75" s="1"/>
  <c r="AB28" i="75"/>
  <c r="AF36" i="68"/>
  <c r="AF14" i="75"/>
  <c r="Y36" i="73"/>
  <c r="Y58" i="75" s="1"/>
  <c r="Y56" i="75"/>
  <c r="Q36" i="73"/>
  <c r="Q58" i="75" s="1"/>
  <c r="Q56" i="75"/>
  <c r="P36" i="81"/>
  <c r="P30" i="75" s="1"/>
  <c r="P28" i="75"/>
  <c r="O36" i="72"/>
  <c r="O44" i="75" s="1"/>
  <c r="O42" i="75"/>
  <c r="W36" i="68"/>
  <c r="W14" i="75"/>
  <c r="T36" i="68"/>
  <c r="T14" i="75"/>
  <c r="M36" i="82"/>
  <c r="M72" i="75" s="1"/>
  <c r="M70" i="75"/>
  <c r="K36" i="73"/>
  <c r="K58" i="75" s="1"/>
  <c r="K56" i="75"/>
  <c r="R36" i="73"/>
  <c r="R58" i="75" s="1"/>
  <c r="R56" i="75"/>
  <c r="M36" i="81"/>
  <c r="M30" i="75" s="1"/>
  <c r="M28" i="75"/>
  <c r="P36" i="72"/>
  <c r="P44" i="75" s="1"/>
  <c r="P42" i="75"/>
  <c r="V36" i="68"/>
  <c r="V14" i="75"/>
  <c r="Q36" i="68"/>
  <c r="Q14" i="75"/>
  <c r="L36" i="82"/>
  <c r="L72" i="75" s="1"/>
  <c r="L70" i="75"/>
  <c r="U36" i="73"/>
  <c r="U58" i="75" s="1"/>
  <c r="U56" i="75"/>
  <c r="I36" i="81"/>
  <c r="I30" i="75" s="1"/>
  <c r="I28" i="75"/>
  <c r="AA36" i="72"/>
  <c r="AA44" i="75" s="1"/>
  <c r="AA42" i="75"/>
  <c r="U36" i="68"/>
  <c r="U14" i="75"/>
  <c r="K36" i="68"/>
  <c r="K14" i="75"/>
  <c r="O36" i="82"/>
  <c r="O72" i="75" s="1"/>
  <c r="O70" i="75"/>
  <c r="I36" i="73"/>
  <c r="I58" i="75" s="1"/>
  <c r="I56" i="75"/>
  <c r="J36" i="73"/>
  <c r="J58" i="75" s="1"/>
  <c r="J56" i="75"/>
  <c r="O36" i="81"/>
  <c r="O30" i="75" s="1"/>
  <c r="O28" i="75"/>
  <c r="X36" i="72"/>
  <c r="X44" i="75" s="1"/>
  <c r="X42" i="75"/>
  <c r="P36" i="68"/>
  <c r="P14" i="75"/>
  <c r="AG36" i="82"/>
  <c r="AG72" i="75" s="1"/>
  <c r="AG70" i="75"/>
  <c r="P36" i="73"/>
  <c r="P58" i="75" s="1"/>
  <c r="P56" i="75"/>
  <c r="AD36" i="73"/>
  <c r="AD58" i="75" s="1"/>
  <c r="AD56" i="75"/>
  <c r="Y36" i="81"/>
  <c r="Y30" i="75" s="1"/>
  <c r="Y28" i="75"/>
  <c r="U36" i="72"/>
  <c r="U44" i="75" s="1"/>
  <c r="U42" i="75"/>
  <c r="R36" i="68"/>
  <c r="R14" i="75"/>
  <c r="N36" i="82"/>
  <c r="N72" i="75" s="1"/>
  <c r="N70" i="75"/>
  <c r="K36" i="82"/>
  <c r="K72" i="75" s="1"/>
  <c r="K70" i="75"/>
  <c r="AC36" i="68"/>
  <c r="AC14" i="75"/>
  <c r="AC36" i="82"/>
  <c r="AC72" i="75" s="1"/>
  <c r="AC70" i="75"/>
  <c r="N36" i="73"/>
  <c r="N58" i="75" s="1"/>
  <c r="N56" i="75"/>
  <c r="W36" i="81"/>
  <c r="W30" i="75" s="1"/>
  <c r="W28" i="75"/>
  <c r="S36" i="81"/>
  <c r="S30" i="75" s="1"/>
  <c r="S28" i="75"/>
  <c r="W36" i="72"/>
  <c r="W44" i="75" s="1"/>
  <c r="W42" i="75"/>
  <c r="J36" i="68"/>
  <c r="J14" i="75"/>
  <c r="X36" i="82"/>
  <c r="X72" i="75" s="1"/>
  <c r="X70" i="75"/>
  <c r="Y36" i="82"/>
  <c r="Y72" i="75" s="1"/>
  <c r="Y70" i="75"/>
  <c r="L36" i="73"/>
  <c r="L58" i="75" s="1"/>
  <c r="L56" i="75"/>
  <c r="AC36" i="73"/>
  <c r="AC58" i="75" s="1"/>
  <c r="AC56" i="75"/>
  <c r="AG36" i="73"/>
  <c r="AG58" i="75" s="1"/>
  <c r="AG56" i="75"/>
  <c r="Z36" i="73"/>
  <c r="Z58" i="75" s="1"/>
  <c r="Z56" i="75"/>
  <c r="AA36" i="81"/>
  <c r="AA30" i="75" s="1"/>
  <c r="AA28" i="75"/>
  <c r="Z36" i="72"/>
  <c r="Z44" i="75" s="1"/>
  <c r="Z42" i="75"/>
  <c r="S36" i="68"/>
  <c r="S14" i="75"/>
  <c r="Z36" i="82"/>
  <c r="Z72" i="75" s="1"/>
  <c r="Z70" i="75"/>
  <c r="V36" i="82"/>
  <c r="V72" i="75" s="1"/>
  <c r="V70" i="75"/>
  <c r="AA36" i="73"/>
  <c r="AA58" i="75" s="1"/>
  <c r="AA56" i="75"/>
  <c r="AE36" i="81"/>
  <c r="AE30" i="75" s="1"/>
  <c r="AE28" i="75"/>
  <c r="AD36" i="81"/>
  <c r="AD30" i="75" s="1"/>
  <c r="AD28" i="75"/>
  <c r="AF36" i="72"/>
  <c r="AF44" i="75" s="1"/>
  <c r="AF42" i="75"/>
  <c r="AB36" i="68"/>
  <c r="AB14" i="75"/>
  <c r="Q36" i="82"/>
  <c r="Q72" i="75" s="1"/>
  <c r="Q70" i="75"/>
  <c r="AD36" i="82"/>
  <c r="AD72" i="75" s="1"/>
  <c r="AD70" i="75"/>
  <c r="I36" i="72"/>
  <c r="I44" i="75" s="1"/>
  <c r="I42" i="75"/>
  <c r="W36" i="73"/>
  <c r="W58" i="75" s="1"/>
  <c r="W56" i="75"/>
  <c r="L36" i="81"/>
  <c r="L30" i="75" s="1"/>
  <c r="L28" i="75"/>
  <c r="M36" i="73"/>
  <c r="M58" i="75" s="1"/>
  <c r="M56" i="75"/>
  <c r="AC36" i="81"/>
  <c r="AC30" i="75" s="1"/>
  <c r="AC28" i="75"/>
  <c r="V36" i="81"/>
  <c r="V30" i="75" s="1"/>
  <c r="V28" i="75"/>
  <c r="S36" i="72"/>
  <c r="S44" i="75" s="1"/>
  <c r="S42" i="75"/>
  <c r="AE36" i="68"/>
  <c r="AE14" i="75"/>
  <c r="S36" i="82"/>
  <c r="S72" i="75" s="1"/>
  <c r="S70" i="75"/>
  <c r="W36" i="82"/>
  <c r="W72" i="75" s="1"/>
  <c r="W70" i="75"/>
  <c r="D99" i="75" l="1"/>
  <c r="C90" i="85"/>
  <c r="F67" i="33" s="1"/>
  <c r="F30" i="75" a="1"/>
  <c r="F30" i="75" s="1"/>
  <c r="AC64" i="82"/>
  <c r="AC84" i="82" s="1"/>
  <c r="AC108" i="82" s="1"/>
  <c r="AC64" i="81"/>
  <c r="AC84" i="81" s="1"/>
  <c r="AC108" i="81" s="1"/>
  <c r="AC64" i="72"/>
  <c r="AC84" i="72" s="1"/>
  <c r="AC108" i="72" s="1"/>
  <c r="AC64" i="73"/>
  <c r="AC84" i="73" s="1"/>
  <c r="AC108" i="73" s="1"/>
  <c r="AC16" i="75"/>
  <c r="P64" i="81"/>
  <c r="P64" i="72"/>
  <c r="P64" i="73"/>
  <c r="P64" i="82"/>
  <c r="P16" i="75"/>
  <c r="U64" i="73"/>
  <c r="U84" i="73" s="1"/>
  <c r="U108" i="73" s="1"/>
  <c r="U64" i="72"/>
  <c r="U84" i="72" s="1"/>
  <c r="U108" i="72" s="1"/>
  <c r="U64" i="82"/>
  <c r="U84" i="82" s="1"/>
  <c r="U108" i="82" s="1"/>
  <c r="U64" i="81"/>
  <c r="U84" i="81" s="1"/>
  <c r="U108" i="81" s="1"/>
  <c r="U16" i="75"/>
  <c r="F42" i="75"/>
  <c r="J64" i="82"/>
  <c r="J72" i="75"/>
  <c r="F72" i="75" s="1"/>
  <c r="AE64" i="73"/>
  <c r="AE84" i="73" s="1"/>
  <c r="AE108" i="73" s="1"/>
  <c r="AE64" i="81"/>
  <c r="AE84" i="81" s="1"/>
  <c r="AE108" i="81" s="1"/>
  <c r="AE64" i="82"/>
  <c r="AE84" i="82" s="1"/>
  <c r="AE108" i="82" s="1"/>
  <c r="AE64" i="72"/>
  <c r="AE84" i="72" s="1"/>
  <c r="AE108" i="72" s="1"/>
  <c r="AE16" i="75"/>
  <c r="F44" i="75"/>
  <c r="F28" i="75"/>
  <c r="O64" i="81"/>
  <c r="O84" i="81" s="1"/>
  <c r="O108" i="81" s="1"/>
  <c r="O64" i="82"/>
  <c r="O64" i="72"/>
  <c r="O64" i="73"/>
  <c r="O16" i="75"/>
  <c r="J64" i="81"/>
  <c r="J84" i="81" s="1"/>
  <c r="J108" i="81" s="1"/>
  <c r="J64" i="73"/>
  <c r="J64" i="72"/>
  <c r="J16" i="75"/>
  <c r="S64" i="82"/>
  <c r="S84" i="82" s="1"/>
  <c r="S108" i="82" s="1"/>
  <c r="S64" i="72"/>
  <c r="S84" i="72" s="1"/>
  <c r="S108" i="72" s="1"/>
  <c r="S64" i="81"/>
  <c r="S84" i="81" s="1"/>
  <c r="S108" i="81" s="1"/>
  <c r="S64" i="73"/>
  <c r="S84" i="73" s="1"/>
  <c r="S108" i="73" s="1"/>
  <c r="S16" i="75"/>
  <c r="AG64" i="81"/>
  <c r="AG84" i="81" s="1"/>
  <c r="AG108" i="81" s="1"/>
  <c r="AG64" i="73"/>
  <c r="AG84" i="73" s="1"/>
  <c r="AG108" i="73" s="1"/>
  <c r="AG64" i="82"/>
  <c r="AG84" i="82" s="1"/>
  <c r="AG108" i="82" s="1"/>
  <c r="AG64" i="72"/>
  <c r="AG84" i="72" s="1"/>
  <c r="AG108" i="72" s="1"/>
  <c r="AG16" i="75"/>
  <c r="L64" i="81"/>
  <c r="L84" i="81" s="1"/>
  <c r="L108" i="81" s="1"/>
  <c r="L64" i="82"/>
  <c r="L64" i="72"/>
  <c r="L64" i="73"/>
  <c r="L16" i="75"/>
  <c r="AF64" i="81"/>
  <c r="AF84" i="81" s="1"/>
  <c r="AF108" i="81" s="1"/>
  <c r="AF64" i="73"/>
  <c r="AF84" i="73" s="1"/>
  <c r="AF108" i="73" s="1"/>
  <c r="AF64" i="82"/>
  <c r="AF84" i="82" s="1"/>
  <c r="AF108" i="82" s="1"/>
  <c r="AF64" i="72"/>
  <c r="AF84" i="72" s="1"/>
  <c r="AF108" i="72" s="1"/>
  <c r="AF16" i="75"/>
  <c r="R64" i="82"/>
  <c r="R84" i="82" s="1"/>
  <c r="R108" i="82" s="1"/>
  <c r="R64" i="73"/>
  <c r="R84" i="73" s="1"/>
  <c r="R108" i="73" s="1"/>
  <c r="R64" i="72"/>
  <c r="R84" i="72" s="1"/>
  <c r="R108" i="72" s="1"/>
  <c r="R64" i="81"/>
  <c r="R84" i="81" s="1"/>
  <c r="R108" i="81" s="1"/>
  <c r="R16" i="75"/>
  <c r="F56" i="75"/>
  <c r="F70" i="75"/>
  <c r="F14" i="75"/>
  <c r="AA64" i="82"/>
  <c r="AA84" i="82" s="1"/>
  <c r="AA108" i="82" s="1"/>
  <c r="AA64" i="72"/>
  <c r="AA84" i="72" s="1"/>
  <c r="AA108" i="72" s="1"/>
  <c r="AA64" i="73"/>
  <c r="AA84" i="73" s="1"/>
  <c r="AA108" i="73" s="1"/>
  <c r="AA64" i="81"/>
  <c r="AA84" i="81" s="1"/>
  <c r="AA108" i="81" s="1"/>
  <c r="AA16" i="75"/>
  <c r="I64" i="72"/>
  <c r="I64" i="82"/>
  <c r="I64" i="73"/>
  <c r="I64" i="81"/>
  <c r="I84" i="81" s="1"/>
  <c r="I108" i="81" s="1"/>
  <c r="I16" i="75"/>
  <c r="K64" i="73"/>
  <c r="K64" i="72"/>
  <c r="K64" i="81"/>
  <c r="K84" i="81" s="1"/>
  <c r="K108" i="81" s="1"/>
  <c r="K64" i="82"/>
  <c r="K16" i="75"/>
  <c r="V64" i="81"/>
  <c r="V84" i="81" s="1"/>
  <c r="V108" i="81" s="1"/>
  <c r="V64" i="82"/>
  <c r="V84" i="82" s="1"/>
  <c r="V108" i="82" s="1"/>
  <c r="V64" i="73"/>
  <c r="V84" i="73" s="1"/>
  <c r="V108" i="73" s="1"/>
  <c r="V64" i="72"/>
  <c r="V84" i="72" s="1"/>
  <c r="V108" i="72" s="1"/>
  <c r="V16" i="75"/>
  <c r="W64" i="81"/>
  <c r="W84" i="81" s="1"/>
  <c r="W108" i="81" s="1"/>
  <c r="W64" i="82"/>
  <c r="W84" i="82" s="1"/>
  <c r="W108" i="82" s="1"/>
  <c r="W64" i="72"/>
  <c r="W84" i="72" s="1"/>
  <c r="W108" i="72" s="1"/>
  <c r="W64" i="73"/>
  <c r="W84" i="73" s="1"/>
  <c r="W108" i="73" s="1"/>
  <c r="W16" i="75"/>
  <c r="Z64" i="72"/>
  <c r="Z84" i="72" s="1"/>
  <c r="Z108" i="72" s="1"/>
  <c r="Z64" i="81"/>
  <c r="Z84" i="81" s="1"/>
  <c r="Z108" i="81" s="1"/>
  <c r="Z64" i="73"/>
  <c r="Z84" i="73" s="1"/>
  <c r="Z108" i="73" s="1"/>
  <c r="Z64" i="82"/>
  <c r="Z84" i="82" s="1"/>
  <c r="Z108" i="82" s="1"/>
  <c r="Z16" i="75"/>
  <c r="AB64" i="72"/>
  <c r="AB84" i="72" s="1"/>
  <c r="AB108" i="72" s="1"/>
  <c r="AB64" i="81"/>
  <c r="AB84" i="81" s="1"/>
  <c r="AB108" i="81" s="1"/>
  <c r="AB64" i="73"/>
  <c r="AB84" i="73" s="1"/>
  <c r="AB108" i="73" s="1"/>
  <c r="AB64" i="82"/>
  <c r="AB84" i="82" s="1"/>
  <c r="AB108" i="82" s="1"/>
  <c r="AB16" i="75"/>
  <c r="X64" i="72"/>
  <c r="X84" i="72" s="1"/>
  <c r="X108" i="72" s="1"/>
  <c r="X64" i="82"/>
  <c r="X84" i="82" s="1"/>
  <c r="X108" i="82" s="1"/>
  <c r="X64" i="81"/>
  <c r="X84" i="81" s="1"/>
  <c r="X108" i="81" s="1"/>
  <c r="X64" i="73"/>
  <c r="X84" i="73" s="1"/>
  <c r="X108" i="73" s="1"/>
  <c r="X16" i="75"/>
  <c r="Y64" i="73"/>
  <c r="Y84" i="73" s="1"/>
  <c r="Y108" i="73" s="1"/>
  <c r="Y64" i="82"/>
  <c r="Y84" i="82" s="1"/>
  <c r="Y108" i="82" s="1"/>
  <c r="Y64" i="81"/>
  <c r="Y84" i="81" s="1"/>
  <c r="Y108" i="81" s="1"/>
  <c r="Y64" i="72"/>
  <c r="Y84" i="72" s="1"/>
  <c r="Y108" i="72" s="1"/>
  <c r="Y16" i="75"/>
  <c r="N64" i="82"/>
  <c r="N64" i="73"/>
  <c r="N64" i="72"/>
  <c r="N64" i="81"/>
  <c r="N84" i="81" s="1"/>
  <c r="N108" i="81" s="1"/>
  <c r="N16" i="75"/>
  <c r="Q64" i="82"/>
  <c r="Q64" i="73"/>
  <c r="Q64" i="72"/>
  <c r="Q64" i="81"/>
  <c r="Q16" i="75"/>
  <c r="F58" i="75"/>
  <c r="T64" i="72"/>
  <c r="T84" i="72" s="1"/>
  <c r="T108" i="72" s="1"/>
  <c r="T64" i="73"/>
  <c r="T84" i="73" s="1"/>
  <c r="T108" i="73" s="1"/>
  <c r="T64" i="82"/>
  <c r="T84" i="82" s="1"/>
  <c r="T108" i="82" s="1"/>
  <c r="T64" i="81"/>
  <c r="T84" i="81" s="1"/>
  <c r="T108" i="81" s="1"/>
  <c r="T16" i="75"/>
  <c r="M64" i="82"/>
  <c r="M64" i="73"/>
  <c r="M64" i="72"/>
  <c r="M64" i="81"/>
  <c r="M84" i="81" s="1"/>
  <c r="M108" i="81" s="1"/>
  <c r="M16" i="75"/>
  <c r="AD64" i="81"/>
  <c r="AD84" i="81" s="1"/>
  <c r="AD108" i="81" s="1"/>
  <c r="AD64" i="73"/>
  <c r="AD84" i="73" s="1"/>
  <c r="AD108" i="73" s="1"/>
  <c r="AD64" i="72"/>
  <c r="AD84" i="72" s="1"/>
  <c r="AD108" i="72" s="1"/>
  <c r="AD64" i="82"/>
  <c r="AD84" i="82" s="1"/>
  <c r="AD108" i="82" s="1"/>
  <c r="AD16" i="75"/>
  <c r="C64" i="81"/>
  <c r="C64" i="73"/>
  <c r="C15" i="75"/>
  <c r="D15" i="75" s="1"/>
  <c r="D57" i="75"/>
  <c r="D60" i="75"/>
  <c r="C18" i="75"/>
  <c r="D18" i="75" s="1"/>
  <c r="D74" i="75"/>
  <c r="D63" i="75"/>
  <c r="D61" i="75"/>
  <c r="D64" i="75"/>
  <c r="D36" i="75"/>
  <c r="D78" i="75"/>
  <c r="D22" i="75"/>
  <c r="D71" i="75"/>
  <c r="C29" i="75"/>
  <c r="D29" i="75" s="1"/>
  <c r="C35" i="75"/>
  <c r="D35" i="75" s="1"/>
  <c r="D77" i="75"/>
  <c r="C21" i="75"/>
  <c r="D21" i="75" s="1"/>
  <c r="C33" i="75"/>
  <c r="D33" i="75" s="1"/>
  <c r="C19" i="75"/>
  <c r="D19" i="75" s="1"/>
  <c r="D75" i="75"/>
  <c r="C32" i="75"/>
  <c r="D32" i="75" s="1"/>
  <c r="Q92" i="75" l="1"/>
  <c r="AB92" i="75"/>
  <c r="K92" i="75"/>
  <c r="R92" i="75"/>
  <c r="S92" i="75"/>
  <c r="Q84" i="73"/>
  <c r="Q108" i="73" s="1"/>
  <c r="K84" i="72"/>
  <c r="K108" i="72" s="1"/>
  <c r="I84" i="73"/>
  <c r="I108" i="73" s="1"/>
  <c r="P84" i="82"/>
  <c r="P108" i="82" s="1"/>
  <c r="L84" i="73"/>
  <c r="L108" i="73" s="1"/>
  <c r="M84" i="73"/>
  <c r="M108" i="73" s="1"/>
  <c r="P84" i="72"/>
  <c r="P108" i="72" s="1"/>
  <c r="Q84" i="72"/>
  <c r="Q108" i="72" s="1"/>
  <c r="J84" i="82"/>
  <c r="J108" i="82" s="1"/>
  <c r="Q84" i="82"/>
  <c r="Q108" i="82" s="1"/>
  <c r="J84" i="73"/>
  <c r="J108" i="73" s="1"/>
  <c r="I84" i="82"/>
  <c r="I108" i="82" s="1"/>
  <c r="M84" i="72"/>
  <c r="M108" i="72" s="1"/>
  <c r="O84" i="72"/>
  <c r="O108" i="72" s="1"/>
  <c r="L84" i="72"/>
  <c r="L108" i="72" s="1"/>
  <c r="O84" i="82"/>
  <c r="O108" i="82" s="1"/>
  <c r="M84" i="82"/>
  <c r="M108" i="82" s="1"/>
  <c r="P84" i="81"/>
  <c r="P108" i="81" s="1"/>
  <c r="K84" i="73"/>
  <c r="K108" i="73" s="1"/>
  <c r="J84" i="72"/>
  <c r="J108" i="72" s="1"/>
  <c r="N84" i="72"/>
  <c r="N108" i="72" s="1"/>
  <c r="N84" i="73"/>
  <c r="N108" i="73" s="1"/>
  <c r="N84" i="82"/>
  <c r="N108" i="82" s="1"/>
  <c r="I84" i="72"/>
  <c r="I108" i="72" s="1"/>
  <c r="O84" i="73"/>
  <c r="O108" i="73" s="1"/>
  <c r="P84" i="73"/>
  <c r="P108" i="73" s="1"/>
  <c r="L84" i="82"/>
  <c r="L108" i="82" s="1"/>
  <c r="Q84" i="81"/>
  <c r="Q108" i="81" s="1"/>
  <c r="K84" i="82"/>
  <c r="K108" i="82" s="1"/>
  <c r="AD92" i="75"/>
  <c r="U92" i="75"/>
  <c r="N92" i="75"/>
  <c r="Z92" i="75"/>
  <c r="I92" i="75"/>
  <c r="AF92" i="75"/>
  <c r="J92" i="75"/>
  <c r="M92" i="75"/>
  <c r="O92" i="75"/>
  <c r="P92" i="75"/>
  <c r="Y92" i="75"/>
  <c r="W92" i="75"/>
  <c r="L92" i="75"/>
  <c r="AA92" i="75"/>
  <c r="T92" i="75"/>
  <c r="AC92" i="75"/>
  <c r="X92" i="75"/>
  <c r="V92" i="75"/>
  <c r="AG92" i="75"/>
  <c r="AE92" i="75"/>
  <c r="AD87" i="72"/>
  <c r="AD106" i="72" s="1"/>
  <c r="AD112" i="72" s="1"/>
  <c r="AD48" i="75"/>
  <c r="AD50" i="75" s="1"/>
  <c r="AD40" i="85" s="1"/>
  <c r="Z87" i="72"/>
  <c r="Z106" i="72" s="1"/>
  <c r="Z112" i="72" s="1"/>
  <c r="Z48" i="75"/>
  <c r="Z50" i="75" s="1"/>
  <c r="Z40" i="85" s="1"/>
  <c r="AG87" i="81"/>
  <c r="AG106" i="81" s="1"/>
  <c r="AG112" i="81" s="1"/>
  <c r="AG34" i="75"/>
  <c r="AG36" i="75" s="1"/>
  <c r="AF12" i="85" s="1"/>
  <c r="AE87" i="81"/>
  <c r="AE106" i="81" s="1"/>
  <c r="AE112" i="81" s="1"/>
  <c r="AE34" i="75"/>
  <c r="AE36" i="75" s="1"/>
  <c r="AD12" i="85" s="1"/>
  <c r="AE87" i="73"/>
  <c r="AE106" i="73" s="1"/>
  <c r="AE112" i="73" s="1"/>
  <c r="AE62" i="75"/>
  <c r="AE64" i="75" s="1"/>
  <c r="S87" i="73"/>
  <c r="S106" i="73" s="1"/>
  <c r="S112" i="73" s="1"/>
  <c r="S62" i="75"/>
  <c r="S64" i="75" s="1"/>
  <c r="R87" i="81"/>
  <c r="R106" i="81" s="1"/>
  <c r="R112" i="81" s="1"/>
  <c r="R34" i="75"/>
  <c r="R36" i="75" s="1"/>
  <c r="AB87" i="81"/>
  <c r="AB106" i="81" s="1"/>
  <c r="AB112" i="81" s="1"/>
  <c r="AB34" i="75"/>
  <c r="AB36" i="75" s="1"/>
  <c r="AA12" i="85" s="1"/>
  <c r="R87" i="72"/>
  <c r="R106" i="72" s="1"/>
  <c r="R112" i="72" s="1"/>
  <c r="R48" i="75"/>
  <c r="R50" i="75" s="1"/>
  <c r="R40" i="85" s="1"/>
  <c r="S87" i="81"/>
  <c r="S106" i="81" s="1"/>
  <c r="S112" i="81" s="1"/>
  <c r="S34" i="75"/>
  <c r="S36" i="75" s="1"/>
  <c r="S87" i="72"/>
  <c r="S106" i="72" s="1"/>
  <c r="S112" i="72" s="1"/>
  <c r="S48" i="75"/>
  <c r="S50" i="75" s="1"/>
  <c r="S40" i="85" s="1"/>
  <c r="AB87" i="82"/>
  <c r="AB106" i="82" s="1"/>
  <c r="AB112" i="82" s="1"/>
  <c r="AB76" i="75"/>
  <c r="AB78" i="75" s="1"/>
  <c r="AB87" i="72"/>
  <c r="AB106" i="72" s="1"/>
  <c r="AB112" i="72" s="1"/>
  <c r="AB48" i="75"/>
  <c r="AB50" i="75" s="1"/>
  <c r="AB40" i="85" s="1"/>
  <c r="R87" i="73"/>
  <c r="R106" i="73" s="1"/>
  <c r="R112" i="73" s="1"/>
  <c r="R62" i="75"/>
  <c r="R64" i="75" s="1"/>
  <c r="AD87" i="82"/>
  <c r="AD106" i="82" s="1"/>
  <c r="AD112" i="82" s="1"/>
  <c r="AD76" i="75"/>
  <c r="AD78" i="75" s="1"/>
  <c r="R87" i="82"/>
  <c r="R106" i="82" s="1"/>
  <c r="R112" i="82" s="1"/>
  <c r="R76" i="75"/>
  <c r="R78" i="75" s="1"/>
  <c r="S87" i="82"/>
  <c r="S106" i="82" s="1"/>
  <c r="S112" i="82" s="1"/>
  <c r="S76" i="75"/>
  <c r="S78" i="75" s="1"/>
  <c r="U87" i="81"/>
  <c r="U106" i="81" s="1"/>
  <c r="U112" i="81" s="1"/>
  <c r="U34" i="75"/>
  <c r="U36" i="75" s="1"/>
  <c r="Z87" i="82"/>
  <c r="Z106" i="82" s="1"/>
  <c r="Z112" i="82" s="1"/>
  <c r="Z76" i="75"/>
  <c r="Z78" i="75" s="1"/>
  <c r="AD87" i="73"/>
  <c r="AD106" i="73" s="1"/>
  <c r="AD112" i="73" s="1"/>
  <c r="AD62" i="75"/>
  <c r="AD64" i="75" s="1"/>
  <c r="Z87" i="73"/>
  <c r="Z106" i="73" s="1"/>
  <c r="Z112" i="73" s="1"/>
  <c r="Z62" i="75"/>
  <c r="Z64" i="75" s="1"/>
  <c r="AF87" i="72"/>
  <c r="AF106" i="72" s="1"/>
  <c r="AF112" i="72" s="1"/>
  <c r="AF48" i="75"/>
  <c r="AF50" i="75" s="1"/>
  <c r="AF40" i="85" s="1"/>
  <c r="U87" i="82"/>
  <c r="U106" i="82" s="1"/>
  <c r="U112" i="82" s="1"/>
  <c r="U76" i="75"/>
  <c r="U78" i="75" s="1"/>
  <c r="Z87" i="81"/>
  <c r="Z106" i="81" s="1"/>
  <c r="Z112" i="81" s="1"/>
  <c r="Z34" i="75"/>
  <c r="Z36" i="75" s="1"/>
  <c r="AF87" i="82"/>
  <c r="AF106" i="82" s="1"/>
  <c r="AF112" i="82" s="1"/>
  <c r="AF76" i="75"/>
  <c r="AF78" i="75" s="1"/>
  <c r="U87" i="72"/>
  <c r="U106" i="72" s="1"/>
  <c r="U112" i="72" s="1"/>
  <c r="U48" i="75"/>
  <c r="U50" i="75" s="1"/>
  <c r="U40" i="85" s="1"/>
  <c r="AF87" i="73"/>
  <c r="AF106" i="73" s="1"/>
  <c r="AF112" i="73" s="1"/>
  <c r="AF62" i="75"/>
  <c r="AF64" i="75" s="1"/>
  <c r="J87" i="81"/>
  <c r="J106" i="81" s="1"/>
  <c r="J112" i="81" s="1"/>
  <c r="J34" i="75"/>
  <c r="J36" i="75" s="1"/>
  <c r="U87" i="73"/>
  <c r="U106" i="73" s="1"/>
  <c r="U112" i="73" s="1"/>
  <c r="U62" i="75"/>
  <c r="U64" i="75" s="1"/>
  <c r="AF87" i="81"/>
  <c r="AF106" i="81" s="1"/>
  <c r="AF112" i="81" s="1"/>
  <c r="AF34" i="75"/>
  <c r="AF36" i="75" s="1"/>
  <c r="AE12" i="85" s="1"/>
  <c r="W87" i="72"/>
  <c r="W106" i="72" s="1"/>
  <c r="W112" i="72" s="1"/>
  <c r="W48" i="75"/>
  <c r="W50" i="75" s="1"/>
  <c r="W40" i="85" s="1"/>
  <c r="Y87" i="73"/>
  <c r="Y106" i="73" s="1"/>
  <c r="Y112" i="73" s="1"/>
  <c r="Y62" i="75"/>
  <c r="Y64" i="75" s="1"/>
  <c r="W87" i="81"/>
  <c r="W106" i="81" s="1"/>
  <c r="W112" i="81" s="1"/>
  <c r="W34" i="75"/>
  <c r="W36" i="75" s="1"/>
  <c r="AA87" i="72"/>
  <c r="AA106" i="72" s="1"/>
  <c r="AA112" i="72" s="1"/>
  <c r="AA48" i="75"/>
  <c r="AA50" i="75" s="1"/>
  <c r="AA40" i="85" s="1"/>
  <c r="O87" i="81"/>
  <c r="O106" i="81" s="1"/>
  <c r="O112" i="81" s="1"/>
  <c r="O34" i="75"/>
  <c r="O36" i="75" s="1"/>
  <c r="Y87" i="81"/>
  <c r="Y106" i="81" s="1"/>
  <c r="Y112" i="81" s="1"/>
  <c r="Y34" i="75"/>
  <c r="Y36" i="75" s="1"/>
  <c r="AA87" i="82"/>
  <c r="AA106" i="82" s="1"/>
  <c r="AA112" i="82" s="1"/>
  <c r="AA76" i="75"/>
  <c r="AA78" i="75" s="1"/>
  <c r="L87" i="81"/>
  <c r="L106" i="81" s="1"/>
  <c r="L112" i="81" s="1"/>
  <c r="L34" i="75"/>
  <c r="L36" i="75" s="1"/>
  <c r="AB87" i="73"/>
  <c r="AB106" i="73" s="1"/>
  <c r="AB112" i="73" s="1"/>
  <c r="AB62" i="75"/>
  <c r="AB64" i="75" s="1"/>
  <c r="AD87" i="81"/>
  <c r="AD106" i="81" s="1"/>
  <c r="AD112" i="81" s="1"/>
  <c r="AD34" i="75"/>
  <c r="AD36" i="75" s="1"/>
  <c r="AC12" i="85" s="1"/>
  <c r="Y87" i="72"/>
  <c r="Y106" i="72" s="1"/>
  <c r="Y112" i="72" s="1"/>
  <c r="Y48" i="75"/>
  <c r="Y50" i="75" s="1"/>
  <c r="Y40" i="85" s="1"/>
  <c r="AC87" i="73"/>
  <c r="AC106" i="73" s="1"/>
  <c r="AC112" i="73" s="1"/>
  <c r="AC62" i="75"/>
  <c r="AC64" i="75" s="1"/>
  <c r="K87" i="81"/>
  <c r="K106" i="81" s="1"/>
  <c r="K112" i="81" s="1"/>
  <c r="K34" i="75"/>
  <c r="K36" i="75" s="1"/>
  <c r="N87" i="81"/>
  <c r="N106" i="81" s="1"/>
  <c r="N112" i="81" s="1"/>
  <c r="N34" i="75"/>
  <c r="N36" i="75" s="1"/>
  <c r="W87" i="73"/>
  <c r="W106" i="73" s="1"/>
  <c r="W112" i="73" s="1"/>
  <c r="W62" i="75"/>
  <c r="W64" i="75" s="1"/>
  <c r="AA87" i="81"/>
  <c r="AA106" i="81" s="1"/>
  <c r="AA112" i="81" s="1"/>
  <c r="AA34" i="75"/>
  <c r="AA36" i="75" s="1"/>
  <c r="Z12" i="85" s="1"/>
  <c r="T87" i="82"/>
  <c r="T106" i="82" s="1"/>
  <c r="T112" i="82" s="1"/>
  <c r="T76" i="75"/>
  <c r="T78" i="75" s="1"/>
  <c r="X87" i="81"/>
  <c r="X106" i="81" s="1"/>
  <c r="X112" i="81" s="1"/>
  <c r="X34" i="75"/>
  <c r="X36" i="75" s="1"/>
  <c r="V87" i="73"/>
  <c r="V106" i="73" s="1"/>
  <c r="V112" i="73" s="1"/>
  <c r="V62" i="75"/>
  <c r="V64" i="75" s="1"/>
  <c r="AG87" i="72"/>
  <c r="AG106" i="72" s="1"/>
  <c r="AG112" i="72" s="1"/>
  <c r="AG48" i="75"/>
  <c r="AG50" i="75" s="1"/>
  <c r="AG40" i="85" s="1"/>
  <c r="AC87" i="72"/>
  <c r="AC106" i="72" s="1"/>
  <c r="AC112" i="72" s="1"/>
  <c r="AC48" i="75"/>
  <c r="AC50" i="75" s="1"/>
  <c r="AC40" i="85" s="1"/>
  <c r="I87" i="81"/>
  <c r="I106" i="81" s="1"/>
  <c r="I112" i="81" s="1"/>
  <c r="I34" i="75"/>
  <c r="M87" i="81"/>
  <c r="M106" i="81" s="1"/>
  <c r="M112" i="81" s="1"/>
  <c r="M34" i="75"/>
  <c r="M36" i="75" s="1"/>
  <c r="Y87" i="82"/>
  <c r="Y106" i="82" s="1"/>
  <c r="Y112" i="82" s="1"/>
  <c r="Y76" i="75"/>
  <c r="Y78" i="75" s="1"/>
  <c r="X87" i="73"/>
  <c r="X106" i="73" s="1"/>
  <c r="X112" i="73" s="1"/>
  <c r="X62" i="75"/>
  <c r="X64" i="75" s="1"/>
  <c r="T87" i="72"/>
  <c r="T106" i="72" s="1"/>
  <c r="T112" i="72" s="1"/>
  <c r="T48" i="75"/>
  <c r="T50" i="75" s="1"/>
  <c r="T40" i="85" s="1"/>
  <c r="X87" i="82"/>
  <c r="X106" i="82" s="1"/>
  <c r="X112" i="82" s="1"/>
  <c r="X76" i="75"/>
  <c r="X78" i="75" s="1"/>
  <c r="V87" i="82"/>
  <c r="V106" i="82" s="1"/>
  <c r="V112" i="82" s="1"/>
  <c r="V76" i="75"/>
  <c r="V78" i="75" s="1"/>
  <c r="AG87" i="82"/>
  <c r="AG106" i="82" s="1"/>
  <c r="AG112" i="82" s="1"/>
  <c r="AG76" i="75"/>
  <c r="AG78" i="75" s="1"/>
  <c r="AE87" i="72"/>
  <c r="AE106" i="72" s="1"/>
  <c r="AE112" i="72" s="1"/>
  <c r="AE48" i="75"/>
  <c r="AE50" i="75" s="1"/>
  <c r="AE40" i="85" s="1"/>
  <c r="AC87" i="81"/>
  <c r="AC106" i="81" s="1"/>
  <c r="AC112" i="81" s="1"/>
  <c r="AC34" i="75"/>
  <c r="AC36" i="75" s="1"/>
  <c r="AB12" i="85" s="1"/>
  <c r="W87" i="82"/>
  <c r="W106" i="82" s="1"/>
  <c r="W112" i="82" s="1"/>
  <c r="W76" i="75"/>
  <c r="W78" i="75" s="1"/>
  <c r="AA87" i="73"/>
  <c r="AA106" i="73" s="1"/>
  <c r="AA112" i="73" s="1"/>
  <c r="AA62" i="75"/>
  <c r="AA64" i="75" s="1"/>
  <c r="T87" i="81"/>
  <c r="T106" i="81" s="1"/>
  <c r="T112" i="81" s="1"/>
  <c r="T34" i="75"/>
  <c r="T36" i="75" s="1"/>
  <c r="V87" i="72"/>
  <c r="V106" i="72" s="1"/>
  <c r="V112" i="72" s="1"/>
  <c r="V48" i="75"/>
  <c r="V50" i="75" s="1"/>
  <c r="V40" i="85" s="1"/>
  <c r="T87" i="73"/>
  <c r="T106" i="73" s="1"/>
  <c r="T112" i="73" s="1"/>
  <c r="T62" i="75"/>
  <c r="T64" i="75" s="1"/>
  <c r="X87" i="72"/>
  <c r="X106" i="72" s="1"/>
  <c r="X112" i="72" s="1"/>
  <c r="X48" i="75"/>
  <c r="X50" i="75" s="1"/>
  <c r="X40" i="85" s="1"/>
  <c r="V87" i="81"/>
  <c r="V106" i="81" s="1"/>
  <c r="V112" i="81" s="1"/>
  <c r="V34" i="75"/>
  <c r="V36" i="75" s="1"/>
  <c r="AG87" i="73"/>
  <c r="AG106" i="73" s="1"/>
  <c r="AG112" i="73" s="1"/>
  <c r="AG62" i="75"/>
  <c r="AG64" i="75" s="1"/>
  <c r="AE87" i="82"/>
  <c r="AE106" i="82" s="1"/>
  <c r="AE112" i="82" s="1"/>
  <c r="AE76" i="75"/>
  <c r="AE78" i="75" s="1"/>
  <c r="AC87" i="82"/>
  <c r="AC106" i="82" s="1"/>
  <c r="AC112" i="82" s="1"/>
  <c r="AC76" i="75"/>
  <c r="AC78" i="75" s="1"/>
  <c r="H13" i="33"/>
  <c r="H12" i="33"/>
  <c r="P87" i="72" l="1"/>
  <c r="P106" i="72" s="1"/>
  <c r="P112" i="72" s="1"/>
  <c r="P48" i="75"/>
  <c r="P50" i="75" s="1"/>
  <c r="P40" i="85" s="1"/>
  <c r="P34" i="75"/>
  <c r="P36" i="75" s="1"/>
  <c r="K48" i="75"/>
  <c r="K50" i="75" s="1"/>
  <c r="K40" i="85" s="1"/>
  <c r="P87" i="81"/>
  <c r="P106" i="81" s="1"/>
  <c r="P112" i="81" s="1"/>
  <c r="K87" i="72"/>
  <c r="K106" i="72" s="1"/>
  <c r="K112" i="72" s="1"/>
  <c r="J48" i="75"/>
  <c r="J50" i="75" s="1"/>
  <c r="J40" i="85" s="1"/>
  <c r="J87" i="72"/>
  <c r="J106" i="72" s="1"/>
  <c r="J112" i="72" s="1"/>
  <c r="AB111" i="82" a="1"/>
  <c r="AB111" i="82" s="1"/>
  <c r="AB73" i="85" s="1"/>
  <c r="AB117" i="82" a="1"/>
  <c r="AB117" i="82" s="1"/>
  <c r="AB114" i="82" a="1"/>
  <c r="AB114" i="82" s="1"/>
  <c r="AB76" i="85" s="1"/>
  <c r="AB110" i="82" a="1"/>
  <c r="AB110" i="82" s="1"/>
  <c r="AB72" i="85" s="1"/>
  <c r="AB74" i="85"/>
  <c r="AB115" i="82" a="1"/>
  <c r="AB115" i="82" s="1"/>
  <c r="AB113" i="82" a="1"/>
  <c r="AB113" i="82" s="1"/>
  <c r="AB75" i="85" s="1"/>
  <c r="AB116" i="82" a="1"/>
  <c r="AB116" i="82" s="1"/>
  <c r="AB70" i="85"/>
  <c r="L76" i="75"/>
  <c r="L78" i="75" s="1"/>
  <c r="X74" i="85"/>
  <c r="X115" i="82" a="1"/>
  <c r="X115" i="82" s="1"/>
  <c r="X111" i="82" a="1"/>
  <c r="X111" i="82" s="1"/>
  <c r="X73" i="85" s="1"/>
  <c r="X117" i="82" a="1"/>
  <c r="X117" i="82" s="1"/>
  <c r="X114" i="82" a="1"/>
  <c r="X114" i="82" s="1"/>
  <c r="X76" i="85" s="1"/>
  <c r="X116" i="82" a="1"/>
  <c r="X116" i="82" s="1"/>
  <c r="X113" i="82" a="1"/>
  <c r="X113" i="82" s="1"/>
  <c r="X75" i="85" s="1"/>
  <c r="X110" i="82" a="1"/>
  <c r="X110" i="82" s="1"/>
  <c r="X72" i="85" s="1"/>
  <c r="X70" i="85"/>
  <c r="AA115" i="82" a="1"/>
  <c r="AA115" i="82" s="1"/>
  <c r="AA111" i="82" a="1"/>
  <c r="AA111" i="82" s="1"/>
  <c r="AA73" i="85" s="1"/>
  <c r="AA117" i="82" a="1"/>
  <c r="AA117" i="82" s="1"/>
  <c r="AA114" i="82" a="1"/>
  <c r="AA114" i="82" s="1"/>
  <c r="AA76" i="85" s="1"/>
  <c r="AA74" i="85"/>
  <c r="AA116" i="82" a="1"/>
  <c r="AA116" i="82" s="1"/>
  <c r="AA110" i="82" a="1"/>
  <c r="AA110" i="82" s="1"/>
  <c r="AA72" i="85" s="1"/>
  <c r="AA113" i="82" a="1"/>
  <c r="AA113" i="82" s="1"/>
  <c r="AA75" i="85" s="1"/>
  <c r="AA70" i="85"/>
  <c r="V113" i="72" a="1"/>
  <c r="V113" i="72" s="1"/>
  <c r="V110" i="72" a="1"/>
  <c r="V110" i="72" s="1"/>
  <c r="V116" i="72" a="1"/>
  <c r="V116" i="72" s="1"/>
  <c r="V115" i="72" a="1"/>
  <c r="V115" i="72" s="1"/>
  <c r="V117" i="72" a="1"/>
  <c r="V117" i="72" s="1"/>
  <c r="V114" i="72" a="1"/>
  <c r="V114" i="72" s="1"/>
  <c r="V111" i="72" a="1"/>
  <c r="V111" i="72" s="1"/>
  <c r="V42" i="85"/>
  <c r="U113" i="72" a="1"/>
  <c r="U113" i="72" s="1"/>
  <c r="U110" i="72" a="1"/>
  <c r="U110" i="72" s="1"/>
  <c r="U116" i="72" a="1"/>
  <c r="U116" i="72" s="1"/>
  <c r="U117" i="72" a="1"/>
  <c r="U117" i="72" s="1"/>
  <c r="U114" i="72" a="1"/>
  <c r="U114" i="72" s="1"/>
  <c r="U111" i="72" a="1"/>
  <c r="U111" i="72" s="1"/>
  <c r="U115" i="72" a="1"/>
  <c r="U115" i="72" s="1"/>
  <c r="U42" i="85"/>
  <c r="S113" i="82" a="1"/>
  <c r="S113" i="82" s="1"/>
  <c r="S75" i="85" s="1"/>
  <c r="S116" i="82" a="1"/>
  <c r="S116" i="82" s="1"/>
  <c r="S74" i="85"/>
  <c r="S115" i="82" a="1"/>
  <c r="S115" i="82" s="1"/>
  <c r="S114" i="82" a="1"/>
  <c r="S114" i="82" s="1"/>
  <c r="S76" i="85" s="1"/>
  <c r="S111" i="82" a="1"/>
  <c r="S111" i="82" s="1"/>
  <c r="S73" i="85" s="1"/>
  <c r="S117" i="82" a="1"/>
  <c r="S117" i="82" s="1"/>
  <c r="S110" i="82" a="1"/>
  <c r="S110" i="82" s="1"/>
  <c r="S72" i="85" s="1"/>
  <c r="S70" i="85"/>
  <c r="AD115" i="72" a="1"/>
  <c r="AD115" i="72" s="1"/>
  <c r="AD111" i="72" a="1"/>
  <c r="AD111" i="72" s="1"/>
  <c r="AD114" i="72" a="1"/>
  <c r="AD114" i="72" s="1"/>
  <c r="AD116" i="72" a="1"/>
  <c r="AD116" i="72" s="1"/>
  <c r="AD113" i="72" a="1"/>
  <c r="AD113" i="72" s="1"/>
  <c r="AD117" i="72" a="1"/>
  <c r="AD117" i="72" s="1"/>
  <c r="AD110" i="72" a="1"/>
  <c r="AD110" i="72" s="1"/>
  <c r="AD42" i="85"/>
  <c r="T117" i="72" a="1"/>
  <c r="T117" i="72" s="1"/>
  <c r="T113" i="72" a="1"/>
  <c r="T113" i="72" s="1"/>
  <c r="T110" i="72" a="1"/>
  <c r="T110" i="72" s="1"/>
  <c r="T116" i="72" a="1"/>
  <c r="T116" i="72" s="1"/>
  <c r="T114" i="72" a="1"/>
  <c r="T114" i="72" s="1"/>
  <c r="T111" i="72" a="1"/>
  <c r="T111" i="72" s="1"/>
  <c r="T115" i="72" a="1"/>
  <c r="T115" i="72" s="1"/>
  <c r="T42" i="85"/>
  <c r="AD116" i="73" a="1"/>
  <c r="AD116" i="73" s="1"/>
  <c r="AD111" i="73" a="1"/>
  <c r="AD111" i="73" s="1"/>
  <c r="AD59" i="85" s="1"/>
  <c r="AD113" i="73" a="1"/>
  <c r="AD113" i="73" s="1"/>
  <c r="AD61" i="85" s="1"/>
  <c r="AD115" i="73" a="1"/>
  <c r="AD115" i="73" s="1"/>
  <c r="AD110" i="73" a="1"/>
  <c r="AD110" i="73" s="1"/>
  <c r="AD58" i="85" s="1"/>
  <c r="AD117" i="73" a="1"/>
  <c r="AD117" i="73" s="1"/>
  <c r="AD114" i="73" a="1"/>
  <c r="AD114" i="73" s="1"/>
  <c r="AD62" i="85" s="1"/>
  <c r="AD60" i="85"/>
  <c r="AD56" i="85"/>
  <c r="L87" i="72"/>
  <c r="L106" i="72" s="1"/>
  <c r="L112" i="72" s="1"/>
  <c r="AA113" i="73" a="1"/>
  <c r="AA113" i="73" s="1"/>
  <c r="AA61" i="85" s="1"/>
  <c r="AA60" i="85"/>
  <c r="AA116" i="73" a="1"/>
  <c r="AA116" i="73" s="1"/>
  <c r="AA114" i="73" a="1"/>
  <c r="AA114" i="73" s="1"/>
  <c r="AA62" i="85" s="1"/>
  <c r="AA117" i="73" a="1"/>
  <c r="AA117" i="73" s="1"/>
  <c r="AA110" i="73" a="1"/>
  <c r="AA110" i="73" s="1"/>
  <c r="AA58" i="85" s="1"/>
  <c r="AA115" i="73" a="1"/>
  <c r="AA115" i="73" s="1"/>
  <c r="AA111" i="73" a="1"/>
  <c r="AA111" i="73" s="1"/>
  <c r="AA59" i="85" s="1"/>
  <c r="AA56" i="85"/>
  <c r="Z115" i="72" a="1"/>
  <c r="Z115" i="72" s="1"/>
  <c r="Z111" i="72" a="1"/>
  <c r="Z111" i="72" s="1"/>
  <c r="Z117" i="72" a="1"/>
  <c r="Z117" i="72" s="1"/>
  <c r="Z114" i="72" a="1"/>
  <c r="Z114" i="72" s="1"/>
  <c r="Z110" i="72" a="1"/>
  <c r="Z110" i="72" s="1"/>
  <c r="Z116" i="72" a="1"/>
  <c r="Z116" i="72" s="1"/>
  <c r="Z113" i="72" a="1"/>
  <c r="Z113" i="72" s="1"/>
  <c r="Z42" i="85"/>
  <c r="L87" i="82"/>
  <c r="L106" i="82" s="1"/>
  <c r="L112" i="82" s="1"/>
  <c r="AC116" i="73" a="1"/>
  <c r="AC116" i="73" s="1"/>
  <c r="AC111" i="73" a="1"/>
  <c r="AC111" i="73" s="1"/>
  <c r="AC59" i="85" s="1"/>
  <c r="AC113" i="73" a="1"/>
  <c r="AC113" i="73" s="1"/>
  <c r="AC61" i="85" s="1"/>
  <c r="AC115" i="73" a="1"/>
  <c r="AC115" i="73" s="1"/>
  <c r="AC110" i="73" a="1"/>
  <c r="AC110" i="73" s="1"/>
  <c r="AC58" i="85" s="1"/>
  <c r="AC117" i="73" a="1"/>
  <c r="AC117" i="73" s="1"/>
  <c r="AC60" i="85"/>
  <c r="AC114" i="73" a="1"/>
  <c r="AC114" i="73" s="1"/>
  <c r="AC62" i="85" s="1"/>
  <c r="AC56" i="85"/>
  <c r="R110" i="82" a="1"/>
  <c r="R110" i="82" s="1"/>
  <c r="R72" i="85" s="1"/>
  <c r="R116" i="82" a="1"/>
  <c r="R116" i="82" s="1"/>
  <c r="R113" i="82" a="1"/>
  <c r="R113" i="82" s="1"/>
  <c r="R75" i="85" s="1"/>
  <c r="R74" i="85"/>
  <c r="R115" i="82" a="1"/>
  <c r="R115" i="82" s="1"/>
  <c r="R114" i="82" a="1"/>
  <c r="R114" i="82" s="1"/>
  <c r="R76" i="85" s="1"/>
  <c r="R111" i="82" a="1"/>
  <c r="R111" i="82" s="1"/>
  <c r="R73" i="85" s="1"/>
  <c r="R117" i="82" a="1"/>
  <c r="R117" i="82" s="1"/>
  <c r="R70" i="85"/>
  <c r="AE115" i="72" a="1"/>
  <c r="AE115" i="72" s="1"/>
  <c r="AE114" i="72" a="1"/>
  <c r="AE114" i="72" s="1"/>
  <c r="AE117" i="72" a="1"/>
  <c r="AE117" i="72" s="1"/>
  <c r="AE113" i="72" a="1"/>
  <c r="AE113" i="72" s="1"/>
  <c r="AE110" i="72" a="1"/>
  <c r="AE110" i="72" s="1"/>
  <c r="AE111" i="72" a="1"/>
  <c r="AE111" i="72" s="1"/>
  <c r="AE116" i="72" a="1"/>
  <c r="AE116" i="72" s="1"/>
  <c r="AE42" i="85"/>
  <c r="S115" i="73" a="1"/>
  <c r="S115" i="73" s="1"/>
  <c r="S110" i="73" a="1"/>
  <c r="S110" i="73" s="1"/>
  <c r="S58" i="85" s="1"/>
  <c r="S60" i="85"/>
  <c r="S117" i="73" a="1"/>
  <c r="S117" i="73" s="1"/>
  <c r="S114" i="73" a="1"/>
  <c r="S114" i="73" s="1"/>
  <c r="S62" i="85" s="1"/>
  <c r="S116" i="73" a="1"/>
  <c r="S116" i="73" s="1"/>
  <c r="S111" i="73" a="1"/>
  <c r="S111" i="73" s="1"/>
  <c r="S59" i="85" s="1"/>
  <c r="S113" i="73" a="1"/>
  <c r="S113" i="73" s="1"/>
  <c r="S61" i="85" s="1"/>
  <c r="S56" i="85"/>
  <c r="X116" i="72" a="1"/>
  <c r="X116" i="72" s="1"/>
  <c r="X115" i="72" a="1"/>
  <c r="X115" i="72" s="1"/>
  <c r="X117" i="72" a="1"/>
  <c r="X117" i="72" s="1"/>
  <c r="X113" i="72" a="1"/>
  <c r="X113" i="72" s="1"/>
  <c r="X114" i="72" a="1"/>
  <c r="X114" i="72" s="1"/>
  <c r="X110" i="72" a="1"/>
  <c r="X110" i="72" s="1"/>
  <c r="X111" i="72" a="1"/>
  <c r="X111" i="72" s="1"/>
  <c r="X42" i="85"/>
  <c r="X117" i="73" a="1"/>
  <c r="X117" i="73" s="1"/>
  <c r="X116" i="73" a="1"/>
  <c r="X116" i="73" s="1"/>
  <c r="X111" i="73" a="1"/>
  <c r="X111" i="73" s="1"/>
  <c r="X59" i="85" s="1"/>
  <c r="X60" i="85"/>
  <c r="X110" i="73" a="1"/>
  <c r="X110" i="73" s="1"/>
  <c r="X58" i="85" s="1"/>
  <c r="X114" i="73" a="1"/>
  <c r="X114" i="73" s="1"/>
  <c r="X62" i="85" s="1"/>
  <c r="X115" i="73" a="1"/>
  <c r="X115" i="73" s="1"/>
  <c r="X113" i="73" a="1"/>
  <c r="X113" i="73" s="1"/>
  <c r="X61" i="85" s="1"/>
  <c r="X56" i="85"/>
  <c r="Y74" i="85"/>
  <c r="Y115" i="82" a="1"/>
  <c r="Y115" i="82" s="1"/>
  <c r="Y111" i="82" a="1"/>
  <c r="Y111" i="82" s="1"/>
  <c r="Y73" i="85" s="1"/>
  <c r="Y117" i="82" a="1"/>
  <c r="Y117" i="82" s="1"/>
  <c r="Y114" i="82" a="1"/>
  <c r="Y114" i="82" s="1"/>
  <c r="Y76" i="85" s="1"/>
  <c r="Y116" i="82" a="1"/>
  <c r="Y116" i="82" s="1"/>
  <c r="Y110" i="82" a="1"/>
  <c r="Y110" i="82" s="1"/>
  <c r="Y72" i="85" s="1"/>
  <c r="Y113" i="82" a="1"/>
  <c r="Y113" i="82" s="1"/>
  <c r="Y75" i="85" s="1"/>
  <c r="Y70" i="85"/>
  <c r="AF113" i="73" a="1"/>
  <c r="AF113" i="73" s="1"/>
  <c r="AF61" i="85" s="1"/>
  <c r="AF115" i="73" a="1"/>
  <c r="AF115" i="73" s="1"/>
  <c r="AF110" i="73" a="1"/>
  <c r="AF110" i="73" s="1"/>
  <c r="AF58" i="85" s="1"/>
  <c r="AF60" i="85"/>
  <c r="AF111" i="73" a="1"/>
  <c r="AF111" i="73" s="1"/>
  <c r="AF59" i="85" s="1"/>
  <c r="AF117" i="73" a="1"/>
  <c r="AF117" i="73" s="1"/>
  <c r="AF114" i="73" a="1"/>
  <c r="AF114" i="73" s="1"/>
  <c r="AF62" i="85" s="1"/>
  <c r="AF116" i="73" a="1"/>
  <c r="AF116" i="73" s="1"/>
  <c r="AF56" i="85"/>
  <c r="W115" i="82" a="1"/>
  <c r="W115" i="82" s="1"/>
  <c r="W111" i="82" a="1"/>
  <c r="W111" i="82" s="1"/>
  <c r="W73" i="85" s="1"/>
  <c r="W117" i="82" a="1"/>
  <c r="W117" i="82" s="1"/>
  <c r="W114" i="82" a="1"/>
  <c r="W114" i="82" s="1"/>
  <c r="W76" i="85" s="1"/>
  <c r="W116" i="82" a="1"/>
  <c r="W116" i="82" s="1"/>
  <c r="W74" i="85"/>
  <c r="W110" i="82" a="1"/>
  <c r="W110" i="82" s="1"/>
  <c r="W72" i="85" s="1"/>
  <c r="W113" i="82" a="1"/>
  <c r="W113" i="82" s="1"/>
  <c r="W75" i="85" s="1"/>
  <c r="W70" i="85"/>
  <c r="AC111" i="82" a="1"/>
  <c r="AC111" i="82" s="1"/>
  <c r="AC73" i="85" s="1"/>
  <c r="AC117" i="82" a="1"/>
  <c r="AC117" i="82" s="1"/>
  <c r="AC114" i="82" a="1"/>
  <c r="AC114" i="82" s="1"/>
  <c r="AC76" i="85" s="1"/>
  <c r="AC110" i="82" a="1"/>
  <c r="AC110" i="82" s="1"/>
  <c r="AC72" i="85" s="1"/>
  <c r="AC113" i="82" a="1"/>
  <c r="AC113" i="82" s="1"/>
  <c r="AC75" i="85" s="1"/>
  <c r="AC74" i="85"/>
  <c r="AC115" i="82" a="1"/>
  <c r="AC115" i="82" s="1"/>
  <c r="AC116" i="82" a="1"/>
  <c r="AC116" i="82" s="1"/>
  <c r="AC70" i="85"/>
  <c r="AE111" i="82" a="1"/>
  <c r="AE111" i="82" s="1"/>
  <c r="AE73" i="85" s="1"/>
  <c r="AE117" i="82" a="1"/>
  <c r="AE117" i="82" s="1"/>
  <c r="AE114" i="82" a="1"/>
  <c r="AE114" i="82" s="1"/>
  <c r="AE76" i="85" s="1"/>
  <c r="AE110" i="82" a="1"/>
  <c r="AE110" i="82" s="1"/>
  <c r="AE72" i="85" s="1"/>
  <c r="AE113" i="82" a="1"/>
  <c r="AE113" i="82" s="1"/>
  <c r="AE75" i="85" s="1"/>
  <c r="AE116" i="82" a="1"/>
  <c r="AE116" i="82" s="1"/>
  <c r="AE115" i="82" a="1"/>
  <c r="AE115" i="82" s="1"/>
  <c r="AE74" i="85"/>
  <c r="AE70" i="85"/>
  <c r="Y116" i="72" a="1"/>
  <c r="Y116" i="72" s="1"/>
  <c r="Y115" i="72" a="1"/>
  <c r="Y115" i="72" s="1"/>
  <c r="Y114" i="72" a="1"/>
  <c r="Y114" i="72" s="1"/>
  <c r="Y110" i="72" a="1"/>
  <c r="Y110" i="72" s="1"/>
  <c r="Y111" i="72" a="1"/>
  <c r="Y111" i="72" s="1"/>
  <c r="Y117" i="72" a="1"/>
  <c r="Y117" i="72" s="1"/>
  <c r="Y113" i="72" a="1"/>
  <c r="Y113" i="72" s="1"/>
  <c r="Y42" i="85"/>
  <c r="L48" i="75"/>
  <c r="L50" i="75" s="1"/>
  <c r="L40" i="85" s="1"/>
  <c r="R117" i="72" a="1"/>
  <c r="R117" i="72" s="1"/>
  <c r="R113" i="72" a="1"/>
  <c r="R113" i="72" s="1"/>
  <c r="R110" i="72" a="1"/>
  <c r="R110" i="72" s="1"/>
  <c r="R116" i="72" a="1"/>
  <c r="R116" i="72" s="1"/>
  <c r="R111" i="72" a="1"/>
  <c r="R111" i="72" s="1"/>
  <c r="R114" i="72" a="1"/>
  <c r="R114" i="72" s="1"/>
  <c r="R115" i="72" a="1"/>
  <c r="R115" i="72" s="1"/>
  <c r="R42" i="85"/>
  <c r="AA115" i="72" a="1"/>
  <c r="AA115" i="72" s="1"/>
  <c r="AA111" i="72" a="1"/>
  <c r="AA111" i="72" s="1"/>
  <c r="AA114" i="72" a="1"/>
  <c r="AA114" i="72" s="1"/>
  <c r="AA110" i="72" a="1"/>
  <c r="AA110" i="72" s="1"/>
  <c r="AA116" i="72" a="1"/>
  <c r="AA116" i="72" s="1"/>
  <c r="AA117" i="72" a="1"/>
  <c r="AA117" i="72" s="1"/>
  <c r="AA113" i="72" a="1"/>
  <c r="AA113" i="72" s="1"/>
  <c r="AA42" i="85"/>
  <c r="AG113" i="73" a="1"/>
  <c r="AG113" i="73" s="1"/>
  <c r="AG61" i="85" s="1"/>
  <c r="AG110" i="73" a="1"/>
  <c r="AG110" i="73" s="1"/>
  <c r="AG58" i="85" s="1"/>
  <c r="AG60" i="85"/>
  <c r="AG114" i="73" a="1"/>
  <c r="AG114" i="73" s="1"/>
  <c r="AG62" i="85" s="1"/>
  <c r="AG111" i="73" a="1"/>
  <c r="AG111" i="73" s="1"/>
  <c r="AG59" i="85" s="1"/>
  <c r="AG117" i="73" a="1"/>
  <c r="AG117" i="73" s="1"/>
  <c r="AG116" i="73" a="1"/>
  <c r="AG116" i="73" s="1"/>
  <c r="AG115" i="73" a="1"/>
  <c r="AG115" i="73" s="1"/>
  <c r="AG56" i="85"/>
  <c r="AG117" i="82" a="1"/>
  <c r="AG117" i="82" s="1"/>
  <c r="AG114" i="82" a="1"/>
  <c r="AG114" i="82" s="1"/>
  <c r="AG76" i="85" s="1"/>
  <c r="AG110" i="82" a="1"/>
  <c r="AG110" i="82" s="1"/>
  <c r="AG72" i="85" s="1"/>
  <c r="AG113" i="82" a="1"/>
  <c r="AG113" i="82" s="1"/>
  <c r="AG75" i="85" s="1"/>
  <c r="AG116" i="82" a="1"/>
  <c r="AG116" i="82" s="1"/>
  <c r="AG111" i="82" a="1"/>
  <c r="AG111" i="82" s="1"/>
  <c r="AG73" i="85" s="1"/>
  <c r="AG74" i="85"/>
  <c r="AG115" i="82" a="1"/>
  <c r="AG115" i="82" s="1"/>
  <c r="AG70" i="85"/>
  <c r="AG111" i="72" a="1"/>
  <c r="AG111" i="72" s="1"/>
  <c r="AG117" i="72" a="1"/>
  <c r="AG117" i="72" s="1"/>
  <c r="AG110" i="72" a="1"/>
  <c r="AG110" i="72" s="1"/>
  <c r="AG113" i="72" a="1"/>
  <c r="AG113" i="72" s="1"/>
  <c r="AG114" i="72" a="1"/>
  <c r="AG114" i="72" s="1"/>
  <c r="AG115" i="72" a="1"/>
  <c r="AG115" i="72" s="1"/>
  <c r="AG116" i="72" a="1"/>
  <c r="AG116" i="72" s="1"/>
  <c r="AG42" i="85"/>
  <c r="Y114" i="73" a="1"/>
  <c r="Y114" i="73" s="1"/>
  <c r="Y62" i="85" s="1"/>
  <c r="Y116" i="73" a="1"/>
  <c r="Y116" i="73" s="1"/>
  <c r="Y111" i="73" a="1"/>
  <c r="Y111" i="73" s="1"/>
  <c r="Y59" i="85" s="1"/>
  <c r="Y113" i="73" a="1"/>
  <c r="Y113" i="73" s="1"/>
  <c r="Y61" i="85" s="1"/>
  <c r="Y115" i="73" a="1"/>
  <c r="Y115" i="73" s="1"/>
  <c r="Y60" i="85"/>
  <c r="Y117" i="73" a="1"/>
  <c r="Y117" i="73" s="1"/>
  <c r="Y110" i="73" a="1"/>
  <c r="Y110" i="73" s="1"/>
  <c r="Y58" i="85" s="1"/>
  <c r="Y56" i="85"/>
  <c r="U74" i="85"/>
  <c r="U115" i="82" a="1"/>
  <c r="U115" i="82" s="1"/>
  <c r="U110" i="82" a="1"/>
  <c r="U110" i="82" s="1"/>
  <c r="U72" i="85" s="1"/>
  <c r="U117" i="82" a="1"/>
  <c r="U117" i="82" s="1"/>
  <c r="U116" i="82" a="1"/>
  <c r="U116" i="82" s="1"/>
  <c r="U113" i="82" a="1"/>
  <c r="U113" i="82" s="1"/>
  <c r="U75" i="85" s="1"/>
  <c r="U111" i="82" a="1"/>
  <c r="U111" i="82" s="1"/>
  <c r="U73" i="85" s="1"/>
  <c r="U114" i="82" a="1"/>
  <c r="U114" i="82" s="1"/>
  <c r="U76" i="85" s="1"/>
  <c r="U70" i="85"/>
  <c r="R115" i="73" a="1"/>
  <c r="R115" i="73" s="1"/>
  <c r="R110" i="73" a="1"/>
  <c r="R110" i="73" s="1"/>
  <c r="R58" i="85" s="1"/>
  <c r="R60" i="85"/>
  <c r="R117" i="73" a="1"/>
  <c r="R117" i="73" s="1"/>
  <c r="R114" i="73" a="1"/>
  <c r="R114" i="73" s="1"/>
  <c r="R62" i="85" s="1"/>
  <c r="R111" i="73" a="1"/>
  <c r="R111" i="73" s="1"/>
  <c r="R59" i="85" s="1"/>
  <c r="R116" i="73" a="1"/>
  <c r="R116" i="73" s="1"/>
  <c r="R113" i="73" a="1"/>
  <c r="R113" i="73" s="1"/>
  <c r="R61" i="85" s="1"/>
  <c r="R56" i="85"/>
  <c r="AE113" i="73" a="1"/>
  <c r="AE113" i="73" s="1"/>
  <c r="AE61" i="85" s="1"/>
  <c r="AE115" i="73" a="1"/>
  <c r="AE115" i="73" s="1"/>
  <c r="AE110" i="73" a="1"/>
  <c r="AE110" i="73" s="1"/>
  <c r="AE58" i="85" s="1"/>
  <c r="AE117" i="73" a="1"/>
  <c r="AE117" i="73" s="1"/>
  <c r="AE111" i="73" a="1"/>
  <c r="AE111" i="73" s="1"/>
  <c r="AE59" i="85" s="1"/>
  <c r="AE114" i="73" a="1"/>
  <c r="AE114" i="73" s="1"/>
  <c r="AE62" i="85" s="1"/>
  <c r="AE60" i="85"/>
  <c r="AE116" i="73" a="1"/>
  <c r="AE116" i="73" s="1"/>
  <c r="AE56" i="85"/>
  <c r="P111" i="72" a="1"/>
  <c r="P111" i="72" s="1"/>
  <c r="P114" i="72" a="1"/>
  <c r="P114" i="72" s="1"/>
  <c r="P117" i="72" a="1"/>
  <c r="P117" i="72" s="1"/>
  <c r="P110" i="72" a="1"/>
  <c r="P110" i="72" s="1"/>
  <c r="P113" i="72" a="1"/>
  <c r="P113" i="72" s="1"/>
  <c r="P116" i="72" a="1"/>
  <c r="P116" i="72" s="1"/>
  <c r="AF111" i="72" a="1"/>
  <c r="AF111" i="72" s="1"/>
  <c r="AF114" i="72" a="1"/>
  <c r="AF114" i="72" s="1"/>
  <c r="AF117" i="72" a="1"/>
  <c r="AF117" i="72" s="1"/>
  <c r="AF110" i="72" a="1"/>
  <c r="AF110" i="72" s="1"/>
  <c r="AF113" i="72" a="1"/>
  <c r="AF113" i="72" s="1"/>
  <c r="AF115" i="72" a="1"/>
  <c r="AF115" i="72" s="1"/>
  <c r="AF116" i="72" a="1"/>
  <c r="AF116" i="72" s="1"/>
  <c r="AF42" i="85"/>
  <c r="T117" i="73" a="1"/>
  <c r="T117" i="73" s="1"/>
  <c r="T114" i="73" a="1"/>
  <c r="T114" i="73" s="1"/>
  <c r="T62" i="85" s="1"/>
  <c r="T116" i="73" a="1"/>
  <c r="T116" i="73" s="1"/>
  <c r="T115" i="73" a="1"/>
  <c r="T115" i="73" s="1"/>
  <c r="T60" i="85"/>
  <c r="T110" i="73" a="1"/>
  <c r="T110" i="73" s="1"/>
  <c r="T58" i="85" s="1"/>
  <c r="T111" i="73" a="1"/>
  <c r="T111" i="73" s="1"/>
  <c r="T59" i="85" s="1"/>
  <c r="T113" i="73" a="1"/>
  <c r="T113" i="73" s="1"/>
  <c r="T61" i="85" s="1"/>
  <c r="T56" i="85"/>
  <c r="T116" i="82" a="1"/>
  <c r="T116" i="82" s="1"/>
  <c r="T74" i="85"/>
  <c r="T115" i="82" a="1"/>
  <c r="T115" i="82" s="1"/>
  <c r="T113" i="82" a="1"/>
  <c r="T113" i="82" s="1"/>
  <c r="T75" i="85" s="1"/>
  <c r="T114" i="82" a="1"/>
  <c r="T114" i="82" s="1"/>
  <c r="T76" i="85" s="1"/>
  <c r="T117" i="82" a="1"/>
  <c r="T117" i="82" s="1"/>
  <c r="T110" i="82" a="1"/>
  <c r="T110" i="82" s="1"/>
  <c r="T72" i="85" s="1"/>
  <c r="T111" i="82" a="1"/>
  <c r="T111" i="82" s="1"/>
  <c r="T73" i="85" s="1"/>
  <c r="T70" i="85"/>
  <c r="U60" i="85"/>
  <c r="U114" i="73" a="1"/>
  <c r="U114" i="73" s="1"/>
  <c r="U62" i="85" s="1"/>
  <c r="U116" i="73" a="1"/>
  <c r="U116" i="73" s="1"/>
  <c r="U115" i="73" a="1"/>
  <c r="U115" i="73" s="1"/>
  <c r="U117" i="73" a="1"/>
  <c r="U117" i="73" s="1"/>
  <c r="U113" i="73" a="1"/>
  <c r="U113" i="73" s="1"/>
  <c r="U61" i="85" s="1"/>
  <c r="U110" i="73" a="1"/>
  <c r="U110" i="73" s="1"/>
  <c r="U58" i="85" s="1"/>
  <c r="U111" i="73" a="1"/>
  <c r="U111" i="73" s="1"/>
  <c r="U59" i="85" s="1"/>
  <c r="U56" i="85"/>
  <c r="Z115" i="82" a="1"/>
  <c r="Z115" i="82" s="1"/>
  <c r="Z111" i="82" a="1"/>
  <c r="Z111" i="82" s="1"/>
  <c r="Z73" i="85" s="1"/>
  <c r="Z117" i="82" a="1"/>
  <c r="Z117" i="82" s="1"/>
  <c r="Z114" i="82" a="1"/>
  <c r="Z114" i="82" s="1"/>
  <c r="Z76" i="85" s="1"/>
  <c r="Z74" i="85"/>
  <c r="Z110" i="82" a="1"/>
  <c r="Z110" i="82" s="1"/>
  <c r="Z72" i="85" s="1"/>
  <c r="Z113" i="82" a="1"/>
  <c r="Z113" i="82" s="1"/>
  <c r="Z75" i="85" s="1"/>
  <c r="Z116" i="82" a="1"/>
  <c r="Z116" i="82" s="1"/>
  <c r="Z70" i="85"/>
  <c r="AC115" i="72" a="1"/>
  <c r="AC115" i="72" s="1"/>
  <c r="AC111" i="72" a="1"/>
  <c r="AC111" i="72" s="1"/>
  <c r="AC114" i="72" a="1"/>
  <c r="AC114" i="72" s="1"/>
  <c r="AC113" i="72" a="1"/>
  <c r="AC113" i="72" s="1"/>
  <c r="AC110" i="72" a="1"/>
  <c r="AC110" i="72" s="1"/>
  <c r="AC116" i="72" a="1"/>
  <c r="AC116" i="72" s="1"/>
  <c r="AC117" i="72" a="1"/>
  <c r="AC117" i="72" s="1"/>
  <c r="AC42" i="85"/>
  <c r="Z114" i="73" a="1"/>
  <c r="Z114" i="73" s="1"/>
  <c r="Z62" i="85" s="1"/>
  <c r="Z116" i="73" a="1"/>
  <c r="Z116" i="73" s="1"/>
  <c r="Z111" i="73" a="1"/>
  <c r="Z111" i="73" s="1"/>
  <c r="Z59" i="85" s="1"/>
  <c r="Z113" i="73" a="1"/>
  <c r="Z113" i="73" s="1"/>
  <c r="Z61" i="85" s="1"/>
  <c r="Z60" i="85"/>
  <c r="Z117" i="73" a="1"/>
  <c r="Z117" i="73" s="1"/>
  <c r="Z115" i="73" a="1"/>
  <c r="Z115" i="73" s="1"/>
  <c r="Z110" i="73" a="1"/>
  <c r="Z110" i="73" s="1"/>
  <c r="Z58" i="85" s="1"/>
  <c r="Z56" i="85"/>
  <c r="S117" i="72" a="1"/>
  <c r="S117" i="72" s="1"/>
  <c r="S116" i="72" a="1"/>
  <c r="S116" i="72" s="1"/>
  <c r="S113" i="72" a="1"/>
  <c r="S113" i="72" s="1"/>
  <c r="S115" i="72" a="1"/>
  <c r="S115" i="72" s="1"/>
  <c r="S110" i="72" a="1"/>
  <c r="S110" i="72" s="1"/>
  <c r="S114" i="72" a="1"/>
  <c r="S114" i="72" s="1"/>
  <c r="S111" i="72" a="1"/>
  <c r="S111" i="72" s="1"/>
  <c r="S42" i="85"/>
  <c r="W60" i="85"/>
  <c r="W117" i="73" a="1"/>
  <c r="W117" i="73" s="1"/>
  <c r="W114" i="73" a="1"/>
  <c r="W114" i="73" s="1"/>
  <c r="W62" i="85" s="1"/>
  <c r="W116" i="73" a="1"/>
  <c r="W116" i="73" s="1"/>
  <c r="W111" i="73" a="1"/>
  <c r="W111" i="73" s="1"/>
  <c r="W59" i="85" s="1"/>
  <c r="W115" i="73" a="1"/>
  <c r="W115" i="73" s="1"/>
  <c r="W110" i="73" a="1"/>
  <c r="W110" i="73" s="1"/>
  <c r="W58" i="85" s="1"/>
  <c r="W113" i="73" a="1"/>
  <c r="W113" i="73" s="1"/>
  <c r="W61" i="85" s="1"/>
  <c r="W56" i="85"/>
  <c r="AF117" i="82" a="1"/>
  <c r="AF117" i="82" s="1"/>
  <c r="AF114" i="82" a="1"/>
  <c r="AF114" i="82" s="1"/>
  <c r="AF76" i="85" s="1"/>
  <c r="AF110" i="82" a="1"/>
  <c r="AF110" i="82" s="1"/>
  <c r="AF72" i="85" s="1"/>
  <c r="AF113" i="82" a="1"/>
  <c r="AF113" i="82" s="1"/>
  <c r="AF75" i="85" s="1"/>
  <c r="AF116" i="82" a="1"/>
  <c r="AF116" i="82" s="1"/>
  <c r="AF115" i="82" a="1"/>
  <c r="AF115" i="82" s="1"/>
  <c r="AF111" i="82" a="1"/>
  <c r="AF111" i="82" s="1"/>
  <c r="AF73" i="85" s="1"/>
  <c r="AF74" i="85"/>
  <c r="AF70" i="85"/>
  <c r="AD111" i="82" a="1"/>
  <c r="AD111" i="82" s="1"/>
  <c r="AD73" i="85" s="1"/>
  <c r="AD117" i="82" a="1"/>
  <c r="AD117" i="82" s="1"/>
  <c r="AD114" i="82" a="1"/>
  <c r="AD114" i="82" s="1"/>
  <c r="AD76" i="85" s="1"/>
  <c r="AD110" i="82" a="1"/>
  <c r="AD110" i="82" s="1"/>
  <c r="AD72" i="85" s="1"/>
  <c r="AD113" i="82" a="1"/>
  <c r="AD113" i="82" s="1"/>
  <c r="AD75" i="85" s="1"/>
  <c r="AD116" i="82" a="1"/>
  <c r="AD116" i="82" s="1"/>
  <c r="AD74" i="85"/>
  <c r="AD115" i="82" a="1"/>
  <c r="AD115" i="82" s="1"/>
  <c r="AD70" i="85"/>
  <c r="V74" i="85"/>
  <c r="V115" i="82" a="1"/>
  <c r="V115" i="82" s="1"/>
  <c r="V111" i="82" a="1"/>
  <c r="V111" i="82" s="1"/>
  <c r="V73" i="85" s="1"/>
  <c r="V117" i="82" a="1"/>
  <c r="V117" i="82" s="1"/>
  <c r="V116" i="82" a="1"/>
  <c r="V116" i="82" s="1"/>
  <c r="V113" i="82" a="1"/>
  <c r="V113" i="82" s="1"/>
  <c r="V75" i="85" s="1"/>
  <c r="V114" i="82" a="1"/>
  <c r="V114" i="82" s="1"/>
  <c r="V76" i="85" s="1"/>
  <c r="V110" i="82" a="1"/>
  <c r="V110" i="82" s="1"/>
  <c r="V72" i="85" s="1"/>
  <c r="V70" i="85"/>
  <c r="V60" i="85"/>
  <c r="V117" i="73" a="1"/>
  <c r="V117" i="73" s="1"/>
  <c r="V114" i="73" a="1"/>
  <c r="V114" i="73" s="1"/>
  <c r="V62" i="85" s="1"/>
  <c r="V116" i="73" a="1"/>
  <c r="V116" i="73" s="1"/>
  <c r="V111" i="73" a="1"/>
  <c r="V111" i="73" s="1"/>
  <c r="V59" i="85" s="1"/>
  <c r="V115" i="73" a="1"/>
  <c r="V115" i="73" s="1"/>
  <c r="V113" i="73" a="1"/>
  <c r="V113" i="73" s="1"/>
  <c r="V61" i="85" s="1"/>
  <c r="V110" i="73" a="1"/>
  <c r="V110" i="73" s="1"/>
  <c r="V58" i="85" s="1"/>
  <c r="V56" i="85"/>
  <c r="AB116" i="73" a="1"/>
  <c r="AB116" i="73" s="1"/>
  <c r="AB111" i="73" a="1"/>
  <c r="AB111" i="73" s="1"/>
  <c r="AB59" i="85" s="1"/>
  <c r="AB113" i="73" a="1"/>
  <c r="AB113" i="73" s="1"/>
  <c r="AB61" i="85" s="1"/>
  <c r="AB117" i="73" a="1"/>
  <c r="AB117" i="73" s="1"/>
  <c r="AB115" i="73" a="1"/>
  <c r="AB115" i="73" s="1"/>
  <c r="AB60" i="85"/>
  <c r="AB110" i="73" a="1"/>
  <c r="AB110" i="73" s="1"/>
  <c r="AB58" i="85" s="1"/>
  <c r="AB114" i="73" a="1"/>
  <c r="AB114" i="73" s="1"/>
  <c r="AB62" i="85" s="1"/>
  <c r="AB56" i="85"/>
  <c r="W115" i="72" a="1"/>
  <c r="W115" i="72" s="1"/>
  <c r="W113" i="72" a="1"/>
  <c r="W113" i="72" s="1"/>
  <c r="W114" i="72" a="1"/>
  <c r="W114" i="72" s="1"/>
  <c r="W110" i="72" a="1"/>
  <c r="W110" i="72" s="1"/>
  <c r="W117" i="72" a="1"/>
  <c r="W117" i="72" s="1"/>
  <c r="W116" i="72" a="1"/>
  <c r="W116" i="72" s="1"/>
  <c r="W111" i="72" a="1"/>
  <c r="W111" i="72" s="1"/>
  <c r="W42" i="85"/>
  <c r="AB111" i="72" a="1"/>
  <c r="AB111" i="72" s="1"/>
  <c r="AB114" i="72" a="1"/>
  <c r="AB114" i="72" s="1"/>
  <c r="AB113" i="72" a="1"/>
  <c r="AB113" i="72" s="1"/>
  <c r="AB116" i="72" a="1"/>
  <c r="AB116" i="72" s="1"/>
  <c r="AB110" i="72" a="1"/>
  <c r="AB110" i="72" s="1"/>
  <c r="AB117" i="72" a="1"/>
  <c r="AB117" i="72" s="1"/>
  <c r="AB115" i="72" a="1"/>
  <c r="AB115" i="72" s="1"/>
  <c r="AB42" i="85"/>
  <c r="J114" i="81" a="1"/>
  <c r="J114" i="81" s="1"/>
  <c r="J117" i="81" a="1"/>
  <c r="J117" i="81" s="1"/>
  <c r="J111" i="81" a="1"/>
  <c r="J111" i="81" s="1"/>
  <c r="J115" i="81" a="1"/>
  <c r="J115" i="81" s="1"/>
  <c r="J113" i="81" a="1"/>
  <c r="J113" i="81" s="1"/>
  <c r="J110" i="81" a="1"/>
  <c r="J110" i="81" s="1"/>
  <c r="J116" i="81" a="1"/>
  <c r="J116" i="81" s="1"/>
  <c r="M113" i="81" a="1"/>
  <c r="M113" i="81" s="1"/>
  <c r="M110" i="81" a="1"/>
  <c r="M110" i="81" s="1"/>
  <c r="M111" i="81" a="1"/>
  <c r="M111" i="81" s="1"/>
  <c r="M116" i="81" a="1"/>
  <c r="M116" i="81" s="1"/>
  <c r="M115" i="81" a="1"/>
  <c r="M115" i="81" s="1"/>
  <c r="M114" i="81" a="1"/>
  <c r="M114" i="81" s="1"/>
  <c r="M117" i="81" a="1"/>
  <c r="M117" i="81" s="1"/>
  <c r="K111" i="81" a="1"/>
  <c r="K111" i="81" s="1"/>
  <c r="K116" i="81" a="1"/>
  <c r="K116" i="81" s="1"/>
  <c r="K114" i="81" a="1"/>
  <c r="K114" i="81" s="1"/>
  <c r="K117" i="81" a="1"/>
  <c r="K117" i="81" s="1"/>
  <c r="K115" i="81" a="1"/>
  <c r="K115" i="81" s="1"/>
  <c r="K113" i="81" a="1"/>
  <c r="K113" i="81" s="1"/>
  <c r="K110" i="81" a="1"/>
  <c r="K110" i="81" s="1"/>
  <c r="L111" i="81" a="1"/>
  <c r="L111" i="81" s="1"/>
  <c r="L116" i="81" a="1"/>
  <c r="L116" i="81" s="1"/>
  <c r="L114" i="81" a="1"/>
  <c r="L114" i="81" s="1"/>
  <c r="L113" i="81" a="1"/>
  <c r="L113" i="81" s="1"/>
  <c r="L110" i="81" a="1"/>
  <c r="L110" i="81" s="1"/>
  <c r="L117" i="81" a="1"/>
  <c r="L117" i="81" s="1"/>
  <c r="L115" i="81" a="1"/>
  <c r="L115" i="81" s="1"/>
  <c r="I116" i="81" a="1"/>
  <c r="I116" i="81" s="1"/>
  <c r="I114" i="81" a="1"/>
  <c r="I114" i="81" s="1"/>
  <c r="I110" i="81" a="1"/>
  <c r="I110" i="81" s="1"/>
  <c r="I115" i="81" a="1"/>
  <c r="I115" i="81" s="1"/>
  <c r="I111" i="81" a="1"/>
  <c r="I111" i="81" s="1"/>
  <c r="I113" i="81" a="1"/>
  <c r="I113" i="81" s="1"/>
  <c r="I117" i="81" a="1"/>
  <c r="I117" i="81" s="1"/>
  <c r="X114" i="81" a="1"/>
  <c r="X114" i="81" s="1"/>
  <c r="X111" i="81" a="1"/>
  <c r="X111" i="81" s="1"/>
  <c r="X110" i="81" a="1"/>
  <c r="X110" i="81" s="1"/>
  <c r="X116" i="81" a="1"/>
  <c r="X116" i="81" s="1"/>
  <c r="X113" i="81" a="1"/>
  <c r="X113" i="81" s="1"/>
  <c r="X115" i="81" a="1"/>
  <c r="X115" i="81" s="1"/>
  <c r="X117" i="81" a="1"/>
  <c r="X117" i="81" s="1"/>
  <c r="AF115" i="81" a="1"/>
  <c r="AF115" i="81" s="1"/>
  <c r="AF116" i="81" a="1"/>
  <c r="AF116" i="81" s="1"/>
  <c r="AF113" i="81" a="1"/>
  <c r="AF113" i="81" s="1"/>
  <c r="AF110" i="81" a="1"/>
  <c r="AF110" i="81" s="1"/>
  <c r="AF114" i="81" a="1"/>
  <c r="AF114" i="81" s="1"/>
  <c r="AF111" i="81" a="1"/>
  <c r="AF111" i="81" s="1"/>
  <c r="AF117" i="81" a="1"/>
  <c r="AF117" i="81" s="1"/>
  <c r="W111" i="81" a="1"/>
  <c r="W111" i="81" s="1"/>
  <c r="W110" i="81" a="1"/>
  <c r="W110" i="81" s="1"/>
  <c r="W115" i="81" a="1"/>
  <c r="W115" i="81" s="1"/>
  <c r="W116" i="81" a="1"/>
  <c r="W116" i="81" s="1"/>
  <c r="W113" i="81" a="1"/>
  <c r="W113" i="81" s="1"/>
  <c r="W117" i="81" a="1"/>
  <c r="W117" i="81" s="1"/>
  <c r="W114" i="81" a="1"/>
  <c r="W114" i="81" s="1"/>
  <c r="AG110" i="81" a="1"/>
  <c r="AG110" i="81" s="1"/>
  <c r="AG115" i="81" a="1"/>
  <c r="AG115" i="81" s="1"/>
  <c r="AG116" i="81" a="1"/>
  <c r="AG116" i="81" s="1"/>
  <c r="AG113" i="81" a="1"/>
  <c r="AG113" i="81" s="1"/>
  <c r="AG111" i="81" a="1"/>
  <c r="AG111" i="81" s="1"/>
  <c r="AG114" i="81" a="1"/>
  <c r="AG114" i="81" s="1"/>
  <c r="AG117" i="81" a="1"/>
  <c r="AG117" i="81" s="1"/>
  <c r="Y117" i="81" a="1"/>
  <c r="Y117" i="81" s="1"/>
  <c r="Y114" i="81" a="1"/>
  <c r="Y114" i="81" s="1"/>
  <c r="Y111" i="81" a="1"/>
  <c r="Y111" i="81" s="1"/>
  <c r="Y115" i="81" a="1"/>
  <c r="Y115" i="81" s="1"/>
  <c r="Y116" i="81" a="1"/>
  <c r="Y116" i="81" s="1"/>
  <c r="Y113" i="81" a="1"/>
  <c r="Y113" i="81" s="1"/>
  <c r="Y110" i="81" a="1"/>
  <c r="Y110" i="81" s="1"/>
  <c r="T116" i="81" a="1"/>
  <c r="T116" i="81" s="1"/>
  <c r="T117" i="81" a="1"/>
  <c r="T117" i="81" s="1"/>
  <c r="T113" i="81" a="1"/>
  <c r="T113" i="81" s="1"/>
  <c r="T114" i="81" a="1"/>
  <c r="T114" i="81" s="1"/>
  <c r="T111" i="81" a="1"/>
  <c r="T111" i="81" s="1"/>
  <c r="T115" i="81" a="1"/>
  <c r="T115" i="81" s="1"/>
  <c r="T110" i="81" a="1"/>
  <c r="T110" i="81" s="1"/>
  <c r="O117" i="81" a="1"/>
  <c r="O117" i="81" s="1"/>
  <c r="O114" i="81" a="1"/>
  <c r="O114" i="81" s="1"/>
  <c r="O111" i="81" a="1"/>
  <c r="O111" i="81" s="1"/>
  <c r="O110" i="81" a="1"/>
  <c r="O110" i="81" s="1"/>
  <c r="O115" i="81" a="1"/>
  <c r="O115" i="81" s="1"/>
  <c r="O116" i="81" a="1"/>
  <c r="O116" i="81" s="1"/>
  <c r="O113" i="81" a="1"/>
  <c r="O113" i="81" s="1"/>
  <c r="U115" i="81" a="1"/>
  <c r="U115" i="81" s="1"/>
  <c r="U113" i="81" a="1"/>
  <c r="U113" i="81" s="1"/>
  <c r="U117" i="81" a="1"/>
  <c r="U117" i="81" s="1"/>
  <c r="U116" i="81" a="1"/>
  <c r="U116" i="81" s="1"/>
  <c r="U114" i="81" a="1"/>
  <c r="U114" i="81" s="1"/>
  <c r="U111" i="81" a="1"/>
  <c r="U111" i="81" s="1"/>
  <c r="U110" i="81" a="1"/>
  <c r="U110" i="81" s="1"/>
  <c r="AC116" i="81" a="1"/>
  <c r="AC116" i="81" s="1"/>
  <c r="AC113" i="81" a="1"/>
  <c r="AC113" i="81" s="1"/>
  <c r="AC117" i="81" a="1"/>
  <c r="AC117" i="81" s="1"/>
  <c r="AC114" i="81" a="1"/>
  <c r="AC114" i="81" s="1"/>
  <c r="AC111" i="81" a="1"/>
  <c r="AC111" i="81" s="1"/>
  <c r="AC115" i="81" a="1"/>
  <c r="AC115" i="81" s="1"/>
  <c r="AC110" i="81" a="1"/>
  <c r="AC110" i="81" s="1"/>
  <c r="Z117" i="81" a="1"/>
  <c r="Z117" i="81" s="1"/>
  <c r="Z114" i="81" a="1"/>
  <c r="Z114" i="81" s="1"/>
  <c r="Z115" i="81" a="1"/>
  <c r="Z115" i="81" s="1"/>
  <c r="Z116" i="81" a="1"/>
  <c r="Z116" i="81" s="1"/>
  <c r="Z110" i="81" a="1"/>
  <c r="Z110" i="81" s="1"/>
  <c r="Z113" i="81" a="1"/>
  <c r="Z113" i="81" s="1"/>
  <c r="Z111" i="81" a="1"/>
  <c r="Z111" i="81" s="1"/>
  <c r="AA113" i="81" a="1"/>
  <c r="AA113" i="81" s="1"/>
  <c r="AA117" i="81" a="1"/>
  <c r="AA117" i="81" s="1"/>
  <c r="AA111" i="81" a="1"/>
  <c r="AA111" i="81" s="1"/>
  <c r="AA110" i="81" a="1"/>
  <c r="AA110" i="81" s="1"/>
  <c r="AA115" i="81" a="1"/>
  <c r="AA115" i="81" s="1"/>
  <c r="AA116" i="81" a="1"/>
  <c r="AA116" i="81" s="1"/>
  <c r="AA114" i="81" a="1"/>
  <c r="AA114" i="81" s="1"/>
  <c r="S116" i="81" a="1"/>
  <c r="S116" i="81" s="1"/>
  <c r="S113" i="81" a="1"/>
  <c r="S113" i="81" s="1"/>
  <c r="S117" i="81" a="1"/>
  <c r="S117" i="81" s="1"/>
  <c r="S114" i="81" a="1"/>
  <c r="S114" i="81" s="1"/>
  <c r="S111" i="81" a="1"/>
  <c r="S111" i="81" s="1"/>
  <c r="S110" i="81" a="1"/>
  <c r="S110" i="81" s="1"/>
  <c r="S115" i="81" a="1"/>
  <c r="S115" i="81" s="1"/>
  <c r="AB116" i="81" a="1"/>
  <c r="AB116" i="81" s="1"/>
  <c r="AB113" i="81" a="1"/>
  <c r="AB113" i="81" s="1"/>
  <c r="AB114" i="81" a="1"/>
  <c r="AB114" i="81" s="1"/>
  <c r="AB111" i="81" a="1"/>
  <c r="AB111" i="81" s="1"/>
  <c r="AB110" i="81" a="1"/>
  <c r="AB110" i="81" s="1"/>
  <c r="AB115" i="81" a="1"/>
  <c r="AB115" i="81" s="1"/>
  <c r="AB117" i="81" a="1"/>
  <c r="AB117" i="81" s="1"/>
  <c r="R116" i="81" a="1"/>
  <c r="R116" i="81" s="1"/>
  <c r="R113" i="81" a="1"/>
  <c r="R113" i="81" s="1"/>
  <c r="R114" i="81" a="1"/>
  <c r="R114" i="81" s="1"/>
  <c r="R111" i="81" a="1"/>
  <c r="R111" i="81" s="1"/>
  <c r="R110" i="81" a="1"/>
  <c r="R110" i="81" s="1"/>
  <c r="R117" i="81" a="1"/>
  <c r="R117" i="81" s="1"/>
  <c r="R115" i="81" a="1"/>
  <c r="R115" i="81" s="1"/>
  <c r="AD116" i="81" a="1"/>
  <c r="AD116" i="81" s="1"/>
  <c r="AD113" i="81" a="1"/>
  <c r="AD113" i="81" s="1"/>
  <c r="AD117" i="81" a="1"/>
  <c r="AD117" i="81" s="1"/>
  <c r="AD114" i="81" a="1"/>
  <c r="AD114" i="81" s="1"/>
  <c r="AD115" i="81" a="1"/>
  <c r="AD115" i="81" s="1"/>
  <c r="AD111" i="81" a="1"/>
  <c r="AD111" i="81" s="1"/>
  <c r="AD110" i="81" a="1"/>
  <c r="AD110" i="81" s="1"/>
  <c r="V115" i="81" a="1"/>
  <c r="V115" i="81" s="1"/>
  <c r="V116" i="81" a="1"/>
  <c r="V116" i="81" s="1"/>
  <c r="V113" i="81" a="1"/>
  <c r="V113" i="81" s="1"/>
  <c r="V117" i="81" a="1"/>
  <c r="V117" i="81" s="1"/>
  <c r="V114" i="81" a="1"/>
  <c r="V114" i="81" s="1"/>
  <c r="V111" i="81" a="1"/>
  <c r="V111" i="81" s="1"/>
  <c r="V110" i="81" a="1"/>
  <c r="V110" i="81" s="1"/>
  <c r="AE117" i="81" a="1"/>
  <c r="AE117" i="81" s="1"/>
  <c r="AE110" i="81" a="1"/>
  <c r="AE110" i="81" s="1"/>
  <c r="AE115" i="81" a="1"/>
  <c r="AE115" i="81" s="1"/>
  <c r="AE114" i="81" a="1"/>
  <c r="AE114" i="81" s="1"/>
  <c r="AE111" i="81" a="1"/>
  <c r="AE111" i="81" s="1"/>
  <c r="AE116" i="81" a="1"/>
  <c r="AE116" i="81" s="1"/>
  <c r="AE113" i="81" a="1"/>
  <c r="AE113" i="81" s="1"/>
  <c r="N113" i="81" a="1"/>
  <c r="N113" i="81" s="1"/>
  <c r="N116" i="81" a="1"/>
  <c r="N116" i="81" s="1"/>
  <c r="N111" i="81" a="1"/>
  <c r="N111" i="81" s="1"/>
  <c r="N114" i="81" a="1"/>
  <c r="N114" i="81" s="1"/>
  <c r="N117" i="81" a="1"/>
  <c r="N117" i="81" s="1"/>
  <c r="N115" i="81" a="1"/>
  <c r="N115" i="81" s="1"/>
  <c r="N110" i="81" a="1"/>
  <c r="N110" i="81" s="1"/>
  <c r="P87" i="73"/>
  <c r="P106" i="73" s="1"/>
  <c r="P112" i="73" s="1"/>
  <c r="N48" i="75"/>
  <c r="N50" i="75" s="1"/>
  <c r="N40" i="85" s="1"/>
  <c r="O62" i="75"/>
  <c r="O64" i="75" s="1"/>
  <c r="N87" i="72"/>
  <c r="N106" i="72" s="1"/>
  <c r="N112" i="72" s="1"/>
  <c r="M62" i="75"/>
  <c r="M64" i="75" s="1"/>
  <c r="O87" i="73"/>
  <c r="O106" i="73" s="1"/>
  <c r="O112" i="73" s="1"/>
  <c r="J76" i="75"/>
  <c r="J78" i="75" s="1"/>
  <c r="M87" i="73"/>
  <c r="M106" i="73" s="1"/>
  <c r="M112" i="73" s="1"/>
  <c r="J62" i="75"/>
  <c r="J64" i="75" s="1"/>
  <c r="J87" i="73"/>
  <c r="J106" i="73" s="1"/>
  <c r="J112" i="73" s="1"/>
  <c r="N62" i="75"/>
  <c r="N64" i="75" s="1"/>
  <c r="K62" i="75"/>
  <c r="K64" i="75" s="1"/>
  <c r="N87" i="73"/>
  <c r="N106" i="73" s="1"/>
  <c r="N112" i="73" s="1"/>
  <c r="Q62" i="75"/>
  <c r="Q64" i="75" s="1"/>
  <c r="I62" i="75"/>
  <c r="I64" i="75" s="1"/>
  <c r="Q76" i="75"/>
  <c r="Q78" i="75" s="1"/>
  <c r="M87" i="82"/>
  <c r="M106" i="82" s="1"/>
  <c r="M112" i="82" s="1"/>
  <c r="Q87" i="73"/>
  <c r="Q106" i="73" s="1"/>
  <c r="Q112" i="73" s="1"/>
  <c r="K87" i="73"/>
  <c r="K106" i="73" s="1"/>
  <c r="K112" i="73" s="1"/>
  <c r="Q87" i="82"/>
  <c r="Q106" i="82" s="1"/>
  <c r="Q112" i="82" s="1"/>
  <c r="M76" i="75"/>
  <c r="M78" i="75" s="1"/>
  <c r="P62" i="75"/>
  <c r="P64" i="75" s="1"/>
  <c r="M48" i="75"/>
  <c r="M50" i="75" s="1"/>
  <c r="M40" i="85" s="1"/>
  <c r="M87" i="72"/>
  <c r="M106" i="72" s="1"/>
  <c r="M112" i="72" s="1"/>
  <c r="I87" i="73"/>
  <c r="P76" i="75"/>
  <c r="P78" i="75" s="1"/>
  <c r="I76" i="75"/>
  <c r="I78" i="75" s="1"/>
  <c r="Q34" i="75"/>
  <c r="Q36" i="75" s="1"/>
  <c r="O87" i="82"/>
  <c r="O106" i="82" s="1"/>
  <c r="O112" i="82" s="1"/>
  <c r="Q48" i="75"/>
  <c r="Q50" i="75" s="1"/>
  <c r="Q40" i="85" s="1"/>
  <c r="Q87" i="72"/>
  <c r="Q106" i="72" s="1"/>
  <c r="Q112" i="72" s="1"/>
  <c r="L87" i="73"/>
  <c r="L106" i="73" s="1"/>
  <c r="L112" i="73" s="1"/>
  <c r="N87" i="82"/>
  <c r="N106" i="82" s="1"/>
  <c r="N112" i="82" s="1"/>
  <c r="O87" i="72"/>
  <c r="O106" i="72" s="1"/>
  <c r="O112" i="72" s="1"/>
  <c r="K76" i="75"/>
  <c r="K78" i="75" s="1"/>
  <c r="O76" i="75"/>
  <c r="O78" i="75" s="1"/>
  <c r="I48" i="75"/>
  <c r="I87" i="72"/>
  <c r="I106" i="72" s="1"/>
  <c r="I112" i="72" s="1"/>
  <c r="O48" i="75"/>
  <c r="O50" i="75" s="1"/>
  <c r="O40" i="85" s="1"/>
  <c r="L62" i="75"/>
  <c r="L64" i="75" s="1"/>
  <c r="P87" i="82"/>
  <c r="P106" i="82" s="1"/>
  <c r="P112" i="82" s="1"/>
  <c r="I87" i="82"/>
  <c r="I106" i="82" s="1"/>
  <c r="I112" i="82" s="1"/>
  <c r="Q87" i="81"/>
  <c r="N76" i="75"/>
  <c r="N78" i="75" s="1"/>
  <c r="K87" i="82"/>
  <c r="K106" i="82" s="1"/>
  <c r="K112" i="82" s="1"/>
  <c r="J87" i="82"/>
  <c r="J106" i="82" s="1"/>
  <c r="J112" i="82" s="1"/>
  <c r="I36" i="75"/>
  <c r="F52" i="75"/>
  <c r="G11" i="33" s="1"/>
  <c r="J115" i="72" l="1" a="1"/>
  <c r="J115" i="72" s="1"/>
  <c r="K114" i="72" a="1"/>
  <c r="K114" i="72" s="1"/>
  <c r="P111" i="81" a="1"/>
  <c r="P111" i="81" s="1"/>
  <c r="P115" i="72" a="1"/>
  <c r="P115" i="72" s="1"/>
  <c r="P42" i="85"/>
  <c r="P115" i="81" a="1"/>
  <c r="P115" i="81" s="1"/>
  <c r="P110" i="81" a="1"/>
  <c r="P110" i="81" s="1"/>
  <c r="K42" i="85"/>
  <c r="P113" i="81" a="1"/>
  <c r="P113" i="81" s="1"/>
  <c r="P114" i="81" a="1"/>
  <c r="P114" i="81" s="1"/>
  <c r="P117" i="81" a="1"/>
  <c r="P117" i="81" s="1"/>
  <c r="K111" i="72" a="1"/>
  <c r="K111" i="72" s="1"/>
  <c r="P116" i="81" a="1"/>
  <c r="P116" i="81" s="1"/>
  <c r="K115" i="72" a="1"/>
  <c r="K115" i="72" s="1"/>
  <c r="J42" i="85"/>
  <c r="J110" i="72" a="1"/>
  <c r="J110" i="72" s="1"/>
  <c r="J113" i="72" a="1"/>
  <c r="J113" i="72" s="1"/>
  <c r="K110" i="72" a="1"/>
  <c r="K110" i="72" s="1"/>
  <c r="J116" i="72" a="1"/>
  <c r="J116" i="72" s="1"/>
  <c r="K116" i="72" a="1"/>
  <c r="K116" i="72" s="1"/>
  <c r="K113" i="72" a="1"/>
  <c r="K113" i="72" s="1"/>
  <c r="J117" i="72" a="1"/>
  <c r="J117" i="72" s="1"/>
  <c r="J114" i="72" a="1"/>
  <c r="J114" i="72" s="1"/>
  <c r="J111" i="72" a="1"/>
  <c r="J111" i="72" s="1"/>
  <c r="K117" i="72" a="1"/>
  <c r="K117" i="72" s="1"/>
  <c r="I111" i="82" a="1"/>
  <c r="I111" i="82" s="1"/>
  <c r="I73" i="85" s="1"/>
  <c r="I114" i="82" a="1"/>
  <c r="I114" i="82" s="1"/>
  <c r="I76" i="85" s="1"/>
  <c r="I117" i="82" a="1"/>
  <c r="I117" i="82" s="1"/>
  <c r="I110" i="82" a="1"/>
  <c r="I110" i="82" s="1"/>
  <c r="I72" i="85" s="1"/>
  <c r="I116" i="82" a="1"/>
  <c r="I116" i="82" s="1"/>
  <c r="I74" i="85"/>
  <c r="I115" i="82" a="1"/>
  <c r="I115" i="82" s="1"/>
  <c r="I113" i="82" a="1"/>
  <c r="I113" i="82" s="1"/>
  <c r="I75" i="85" s="1"/>
  <c r="I70" i="85"/>
  <c r="AC65" i="85"/>
  <c r="AC64" i="85"/>
  <c r="AC63" i="85"/>
  <c r="K116" i="73" a="1"/>
  <c r="K116" i="73" s="1"/>
  <c r="K111" i="73" a="1"/>
  <c r="K111" i="73" s="1"/>
  <c r="K59" i="85" s="1"/>
  <c r="K113" i="73" a="1"/>
  <c r="K113" i="73" s="1"/>
  <c r="K61" i="85" s="1"/>
  <c r="K115" i="73" a="1"/>
  <c r="K115" i="73" s="1"/>
  <c r="K110" i="73" a="1"/>
  <c r="K110" i="73" s="1"/>
  <c r="K58" i="85" s="1"/>
  <c r="K114" i="73" a="1"/>
  <c r="K114" i="73" s="1"/>
  <c r="K62" i="85" s="1"/>
  <c r="K117" i="73" a="1"/>
  <c r="K117" i="73" s="1"/>
  <c r="K60" i="85"/>
  <c r="K56" i="85"/>
  <c r="AE65" i="85"/>
  <c r="AE63" i="85"/>
  <c r="AE64" i="85"/>
  <c r="I106" i="73"/>
  <c r="I112" i="73" s="1"/>
  <c r="AC79" i="85"/>
  <c r="AC77" i="85"/>
  <c r="AC78" i="85"/>
  <c r="AF64" i="85"/>
  <c r="AF65" i="85"/>
  <c r="AF63" i="85"/>
  <c r="Y64" i="85"/>
  <c r="Y65" i="85"/>
  <c r="Y63" i="85"/>
  <c r="AA64" i="85"/>
  <c r="AA63" i="85"/>
  <c r="AA65" i="85"/>
  <c r="S77" i="85"/>
  <c r="S78" i="85"/>
  <c r="S79" i="85"/>
  <c r="AG79" i="85"/>
  <c r="AG78" i="85"/>
  <c r="AG77" i="85"/>
  <c r="I115" i="72" a="1"/>
  <c r="I115" i="72" s="1"/>
  <c r="I111" i="72" a="1"/>
  <c r="I111" i="72" s="1"/>
  <c r="I114" i="72" a="1"/>
  <c r="I114" i="72" s="1"/>
  <c r="I116" i="72" a="1"/>
  <c r="I116" i="72" s="1"/>
  <c r="I113" i="72" a="1"/>
  <c r="I113" i="72" s="1"/>
  <c r="I117" i="72" a="1"/>
  <c r="I117" i="72" s="1"/>
  <c r="I110" i="72" a="1"/>
  <c r="I110" i="72" s="1"/>
  <c r="I42" i="85"/>
  <c r="V77" i="85"/>
  <c r="V79" i="85"/>
  <c r="V78" i="85"/>
  <c r="O111" i="72" a="1"/>
  <c r="O111" i="72" s="1"/>
  <c r="O114" i="72" a="1"/>
  <c r="O114" i="72" s="1"/>
  <c r="O117" i="72" a="1"/>
  <c r="O117" i="72" s="1"/>
  <c r="O110" i="72" a="1"/>
  <c r="O110" i="72" s="1"/>
  <c r="O113" i="72" a="1"/>
  <c r="O113" i="72" s="1"/>
  <c r="O115" i="72" a="1"/>
  <c r="O115" i="72" s="1"/>
  <c r="O116" i="72" a="1"/>
  <c r="O116" i="72" s="1"/>
  <c r="O42" i="85"/>
  <c r="AA77" i="85"/>
  <c r="AA79" i="85"/>
  <c r="AA78" i="85"/>
  <c r="S63" i="85"/>
  <c r="S65" i="85"/>
  <c r="S64" i="85"/>
  <c r="Q113" i="82" a="1"/>
  <c r="Q113" i="82" s="1"/>
  <c r="Q75" i="85" s="1"/>
  <c r="Q110" i="82" a="1"/>
  <c r="Q110" i="82" s="1"/>
  <c r="Q72" i="85" s="1"/>
  <c r="Q116" i="82" a="1"/>
  <c r="Q116" i="82" s="1"/>
  <c r="Q74" i="85"/>
  <c r="Q115" i="82" a="1"/>
  <c r="Q115" i="82" s="1"/>
  <c r="Q114" i="82" a="1"/>
  <c r="Q114" i="82" s="1"/>
  <c r="Q76" i="85" s="1"/>
  <c r="Q111" i="82" a="1"/>
  <c r="Q111" i="82" s="1"/>
  <c r="Q73" i="85" s="1"/>
  <c r="Q117" i="82" a="1"/>
  <c r="Q117" i="82" s="1"/>
  <c r="Q70" i="85"/>
  <c r="L111" i="82" a="1"/>
  <c r="L111" i="82" s="1"/>
  <c r="L73" i="85" s="1"/>
  <c r="L117" i="82" a="1"/>
  <c r="L117" i="82" s="1"/>
  <c r="L114" i="82" a="1"/>
  <c r="L114" i="82" s="1"/>
  <c r="L76" i="85" s="1"/>
  <c r="L110" i="82" a="1"/>
  <c r="L110" i="82" s="1"/>
  <c r="L72" i="85" s="1"/>
  <c r="L113" i="82" a="1"/>
  <c r="L113" i="82" s="1"/>
  <c r="L75" i="85" s="1"/>
  <c r="L116" i="82" a="1"/>
  <c r="L116" i="82" s="1"/>
  <c r="L74" i="85"/>
  <c r="L115" i="82" a="1"/>
  <c r="L115" i="82" s="1"/>
  <c r="L70" i="85"/>
  <c r="N117" i="82" a="1"/>
  <c r="N117" i="82" s="1"/>
  <c r="N110" i="82" a="1"/>
  <c r="N110" i="82" s="1"/>
  <c r="N72" i="85" s="1"/>
  <c r="N113" i="82" a="1"/>
  <c r="N113" i="82" s="1"/>
  <c r="N75" i="85" s="1"/>
  <c r="N116" i="82" a="1"/>
  <c r="N116" i="82" s="1"/>
  <c r="N114" i="82" a="1"/>
  <c r="N114" i="82" s="1"/>
  <c r="N76" i="85" s="1"/>
  <c r="N111" i="82" a="1"/>
  <c r="N111" i="82" s="1"/>
  <c r="N73" i="85" s="1"/>
  <c r="N74" i="85"/>
  <c r="N115" i="82" a="1"/>
  <c r="N115" i="82" s="1"/>
  <c r="N70" i="85"/>
  <c r="N113" i="73" a="1"/>
  <c r="N113" i="73" s="1"/>
  <c r="N61" i="85" s="1"/>
  <c r="N110" i="73" a="1"/>
  <c r="N110" i="73" s="1"/>
  <c r="N58" i="85" s="1"/>
  <c r="N115" i="73" a="1"/>
  <c r="N115" i="73" s="1"/>
  <c r="N60" i="85"/>
  <c r="N114" i="73" a="1"/>
  <c r="N114" i="73" s="1"/>
  <c r="N62" i="85" s="1"/>
  <c r="N111" i="73" a="1"/>
  <c r="N111" i="73" s="1"/>
  <c r="N59" i="85" s="1"/>
  <c r="N116" i="73" a="1"/>
  <c r="N116" i="73" s="1"/>
  <c r="N117" i="73" a="1"/>
  <c r="N117" i="73" s="1"/>
  <c r="N56" i="85"/>
  <c r="AD77" i="85"/>
  <c r="AD79" i="85"/>
  <c r="AD78" i="85"/>
  <c r="W63" i="85"/>
  <c r="W64" i="85"/>
  <c r="W65" i="85"/>
  <c r="AE77" i="85"/>
  <c r="AE79" i="85"/>
  <c r="AE78" i="85"/>
  <c r="N111" i="72" a="1"/>
  <c r="N111" i="72" s="1"/>
  <c r="N117" i="72" a="1"/>
  <c r="N117" i="72" s="1"/>
  <c r="N110" i="72" a="1"/>
  <c r="N110" i="72" s="1"/>
  <c r="N113" i="72" a="1"/>
  <c r="N113" i="72" s="1"/>
  <c r="N116" i="72" a="1"/>
  <c r="N116" i="72" s="1"/>
  <c r="N115" i="72" a="1"/>
  <c r="N115" i="72" s="1"/>
  <c r="N114" i="72" a="1"/>
  <c r="N114" i="72" s="1"/>
  <c r="N42" i="85"/>
  <c r="Z65" i="85"/>
  <c r="Z64" i="85"/>
  <c r="Z63" i="85"/>
  <c r="Y78" i="85"/>
  <c r="Y79" i="85"/>
  <c r="Y77" i="85"/>
  <c r="AB78" i="85"/>
  <c r="AB79" i="85"/>
  <c r="AB77" i="85"/>
  <c r="K114" i="82" a="1"/>
  <c r="K114" i="82" s="1"/>
  <c r="K76" i="85" s="1"/>
  <c r="K111" i="82" a="1"/>
  <c r="K111" i="82" s="1"/>
  <c r="K73" i="85" s="1"/>
  <c r="K117" i="82" a="1"/>
  <c r="K117" i="82" s="1"/>
  <c r="K110" i="82" a="1"/>
  <c r="K110" i="82" s="1"/>
  <c r="K72" i="85" s="1"/>
  <c r="K113" i="82" a="1"/>
  <c r="K113" i="82" s="1"/>
  <c r="K75" i="85" s="1"/>
  <c r="K115" i="82" a="1"/>
  <c r="K115" i="82" s="1"/>
  <c r="K116" i="82" a="1"/>
  <c r="K116" i="82" s="1"/>
  <c r="K74" i="85"/>
  <c r="K70" i="85"/>
  <c r="M114" i="72" a="1"/>
  <c r="M114" i="72" s="1"/>
  <c r="M117" i="72" a="1"/>
  <c r="M117" i="72" s="1"/>
  <c r="M110" i="72" a="1"/>
  <c r="M110" i="72" s="1"/>
  <c r="M113" i="72" a="1"/>
  <c r="M113" i="72" s="1"/>
  <c r="M116" i="72" a="1"/>
  <c r="M116" i="72" s="1"/>
  <c r="M111" i="72" a="1"/>
  <c r="M111" i="72" s="1"/>
  <c r="M115" i="72" a="1"/>
  <c r="M115" i="72" s="1"/>
  <c r="M42" i="85"/>
  <c r="U79" i="85"/>
  <c r="U78" i="85"/>
  <c r="U77" i="85"/>
  <c r="X79" i="85"/>
  <c r="X77" i="85"/>
  <c r="X78" i="85"/>
  <c r="R78" i="85"/>
  <c r="R79" i="85"/>
  <c r="R77" i="85"/>
  <c r="AF78" i="85"/>
  <c r="AF77" i="85"/>
  <c r="AF79" i="85"/>
  <c r="P113" i="73" a="1"/>
  <c r="P113" i="73" s="1"/>
  <c r="P61" i="85" s="1"/>
  <c r="P115" i="73" a="1"/>
  <c r="P115" i="73" s="1"/>
  <c r="P60" i="85"/>
  <c r="P117" i="73" a="1"/>
  <c r="P117" i="73" s="1"/>
  <c r="P110" i="73" a="1"/>
  <c r="P110" i="73" s="1"/>
  <c r="P58" i="85" s="1"/>
  <c r="P116" i="73" a="1"/>
  <c r="P116" i="73" s="1"/>
  <c r="P111" i="73" a="1"/>
  <c r="P111" i="73" s="1"/>
  <c r="P59" i="85" s="1"/>
  <c r="P114" i="73" a="1"/>
  <c r="P114" i="73" s="1"/>
  <c r="P62" i="85" s="1"/>
  <c r="P56" i="85"/>
  <c r="Q110" i="73" a="1"/>
  <c r="Q110" i="73" s="1"/>
  <c r="Q58" i="85" s="1"/>
  <c r="Q60" i="85"/>
  <c r="Q117" i="73" a="1"/>
  <c r="Q117" i="73" s="1"/>
  <c r="Q111" i="73" a="1"/>
  <c r="Q111" i="73" s="1"/>
  <c r="Q59" i="85" s="1"/>
  <c r="Q115" i="73" a="1"/>
  <c r="Q115" i="73" s="1"/>
  <c r="Q116" i="73" a="1"/>
  <c r="Q116" i="73" s="1"/>
  <c r="Q114" i="73" a="1"/>
  <c r="Q114" i="73" s="1"/>
  <c r="Q62" i="85" s="1"/>
  <c r="Q113" i="73" a="1"/>
  <c r="Q113" i="73" s="1"/>
  <c r="Q61" i="85" s="1"/>
  <c r="Q56" i="85"/>
  <c r="M114" i="82" a="1"/>
  <c r="M114" i="82" s="1"/>
  <c r="M76" i="85" s="1"/>
  <c r="M117" i="82" a="1"/>
  <c r="M117" i="82" s="1"/>
  <c r="M110" i="82" a="1"/>
  <c r="M110" i="82" s="1"/>
  <c r="M72" i="85" s="1"/>
  <c r="M113" i="82" a="1"/>
  <c r="M113" i="82" s="1"/>
  <c r="M75" i="85" s="1"/>
  <c r="M116" i="82" a="1"/>
  <c r="M116" i="82" s="1"/>
  <c r="M111" i="82" a="1"/>
  <c r="M111" i="82" s="1"/>
  <c r="M73" i="85" s="1"/>
  <c r="M74" i="85"/>
  <c r="M115" i="82" a="1"/>
  <c r="M115" i="82" s="1"/>
  <c r="M70" i="85"/>
  <c r="J111" i="73" a="1"/>
  <c r="J111" i="73" s="1"/>
  <c r="J59" i="85" s="1"/>
  <c r="J116" i="73" a="1"/>
  <c r="J116" i="73" s="1"/>
  <c r="J113" i="73" a="1"/>
  <c r="J113" i="73" s="1"/>
  <c r="J61" i="85" s="1"/>
  <c r="J115" i="73" a="1"/>
  <c r="J115" i="73" s="1"/>
  <c r="J114" i="73" a="1"/>
  <c r="J114" i="73" s="1"/>
  <c r="J62" i="85" s="1"/>
  <c r="J117" i="73" a="1"/>
  <c r="J117" i="73" s="1"/>
  <c r="J110" i="73" a="1"/>
  <c r="J110" i="73" s="1"/>
  <c r="J58" i="85" s="1"/>
  <c r="J60" i="85"/>
  <c r="J56" i="85"/>
  <c r="O113" i="82" a="1"/>
  <c r="O113" i="82" s="1"/>
  <c r="O75" i="85" s="1"/>
  <c r="O116" i="82" a="1"/>
  <c r="O116" i="82" s="1"/>
  <c r="O114" i="82" a="1"/>
  <c r="O114" i="82" s="1"/>
  <c r="O76" i="85" s="1"/>
  <c r="O110" i="82" a="1"/>
  <c r="O110" i="82" s="1"/>
  <c r="O72" i="85" s="1"/>
  <c r="O111" i="82" a="1"/>
  <c r="O111" i="82" s="1"/>
  <c r="O73" i="85" s="1"/>
  <c r="O117" i="82" a="1"/>
  <c r="O117" i="82" s="1"/>
  <c r="O115" i="82" a="1"/>
  <c r="O115" i="82" s="1"/>
  <c r="O74" i="85"/>
  <c r="O70" i="85"/>
  <c r="V65" i="85"/>
  <c r="V63" i="85"/>
  <c r="V64" i="85"/>
  <c r="R64" i="85"/>
  <c r="R65" i="85"/>
  <c r="R63" i="85"/>
  <c r="W77" i="85"/>
  <c r="W78" i="85"/>
  <c r="W79" i="85"/>
  <c r="AB63" i="85"/>
  <c r="AB64" i="85"/>
  <c r="AB65" i="85"/>
  <c r="T79" i="85"/>
  <c r="T77" i="85"/>
  <c r="T78" i="85"/>
  <c r="L111" i="73" a="1"/>
  <c r="L111" i="73" s="1"/>
  <c r="L59" i="85" s="1"/>
  <c r="L113" i="73" a="1"/>
  <c r="L113" i="73" s="1"/>
  <c r="L61" i="85" s="1"/>
  <c r="L115" i="73" a="1"/>
  <c r="L115" i="73" s="1"/>
  <c r="L110" i="73" a="1"/>
  <c r="L110" i="73" s="1"/>
  <c r="L58" i="85" s="1"/>
  <c r="L114" i="73" a="1"/>
  <c r="L114" i="73" s="1"/>
  <c r="L62" i="85" s="1"/>
  <c r="L117" i="73" a="1"/>
  <c r="L117" i="73" s="1"/>
  <c r="L60" i="85"/>
  <c r="L116" i="73" a="1"/>
  <c r="L116" i="73" s="1"/>
  <c r="L56" i="85"/>
  <c r="Q114" i="72" a="1"/>
  <c r="Q114" i="72" s="1"/>
  <c r="Q113" i="72" a="1"/>
  <c r="Q113" i="72" s="1"/>
  <c r="Q110" i="72" a="1"/>
  <c r="Q110" i="72" s="1"/>
  <c r="Q116" i="72" a="1"/>
  <c r="Q116" i="72" s="1"/>
  <c r="Q115" i="72" a="1"/>
  <c r="Q115" i="72" s="1"/>
  <c r="Q111" i="72" a="1"/>
  <c r="Q111" i="72" s="1"/>
  <c r="Q117" i="72" a="1"/>
  <c r="Q117" i="72" s="1"/>
  <c r="Q42" i="85"/>
  <c r="AG65" i="85"/>
  <c r="AG63" i="85"/>
  <c r="AG64" i="85"/>
  <c r="T65" i="85"/>
  <c r="T63" i="85"/>
  <c r="T64" i="85"/>
  <c r="X65" i="85"/>
  <c r="X63" i="85"/>
  <c r="X64" i="85"/>
  <c r="L111" i="72" a="1"/>
  <c r="L111" i="72" s="1"/>
  <c r="L114" i="72" a="1"/>
  <c r="L114" i="72" s="1"/>
  <c r="L117" i="72" a="1"/>
  <c r="L117" i="72" s="1"/>
  <c r="L116" i="72" a="1"/>
  <c r="L116" i="72" s="1"/>
  <c r="L113" i="72" a="1"/>
  <c r="L113" i="72" s="1"/>
  <c r="L110" i="72" a="1"/>
  <c r="L110" i="72" s="1"/>
  <c r="L115" i="72" a="1"/>
  <c r="L115" i="72" s="1"/>
  <c r="L42" i="85"/>
  <c r="AD64" i="85"/>
  <c r="AD63" i="85"/>
  <c r="AD65" i="85"/>
  <c r="Z79" i="85"/>
  <c r="Z77" i="85"/>
  <c r="Z78" i="85"/>
  <c r="M110" i="73" a="1"/>
  <c r="M110" i="73" s="1"/>
  <c r="M58" i="85" s="1"/>
  <c r="M115" i="73" a="1"/>
  <c r="M115" i="73" s="1"/>
  <c r="M113" i="73" a="1"/>
  <c r="M113" i="73" s="1"/>
  <c r="M61" i="85" s="1"/>
  <c r="M60" i="85"/>
  <c r="M111" i="73" a="1"/>
  <c r="M111" i="73" s="1"/>
  <c r="M59" i="85" s="1"/>
  <c r="M116" i="73" a="1"/>
  <c r="M116" i="73" s="1"/>
  <c r="M117" i="73" a="1"/>
  <c r="M117" i="73" s="1"/>
  <c r="M114" i="73" a="1"/>
  <c r="M114" i="73" s="1"/>
  <c r="M62" i="85" s="1"/>
  <c r="M56" i="85"/>
  <c r="P110" i="82" a="1"/>
  <c r="P110" i="82" s="1"/>
  <c r="P72" i="85" s="1"/>
  <c r="P113" i="82" a="1"/>
  <c r="P113" i="82" s="1"/>
  <c r="P75" i="85" s="1"/>
  <c r="P116" i="82" a="1"/>
  <c r="P116" i="82" s="1"/>
  <c r="P114" i="82" a="1"/>
  <c r="P114" i="82" s="1"/>
  <c r="P76" i="85" s="1"/>
  <c r="P111" i="82" a="1"/>
  <c r="P111" i="82" s="1"/>
  <c r="P73" i="85" s="1"/>
  <c r="P117" i="82" a="1"/>
  <c r="P117" i="82" s="1"/>
  <c r="P115" i="82" a="1"/>
  <c r="P115" i="82" s="1"/>
  <c r="P74" i="85"/>
  <c r="P70" i="85"/>
  <c r="J111" i="82" a="1"/>
  <c r="J111" i="82" s="1"/>
  <c r="J73" i="85" s="1"/>
  <c r="J114" i="82" a="1"/>
  <c r="J114" i="82" s="1"/>
  <c r="J76" i="85" s="1"/>
  <c r="J117" i="82" a="1"/>
  <c r="J117" i="82" s="1"/>
  <c r="J110" i="82" a="1"/>
  <c r="J110" i="82" s="1"/>
  <c r="J72" i="85" s="1"/>
  <c r="J113" i="82" a="1"/>
  <c r="J113" i="82" s="1"/>
  <c r="J75" i="85" s="1"/>
  <c r="J74" i="85"/>
  <c r="J115" i="82" a="1"/>
  <c r="J115" i="82" s="1"/>
  <c r="J116" i="82" a="1"/>
  <c r="J116" i="82" s="1"/>
  <c r="J70" i="85"/>
  <c r="O113" i="73" a="1"/>
  <c r="O113" i="73" s="1"/>
  <c r="O61" i="85" s="1"/>
  <c r="O110" i="73" a="1"/>
  <c r="O110" i="73" s="1"/>
  <c r="O58" i="85" s="1"/>
  <c r="O115" i="73" a="1"/>
  <c r="O115" i="73" s="1"/>
  <c r="O60" i="85"/>
  <c r="O117" i="73" a="1"/>
  <c r="O117" i="73" s="1"/>
  <c r="O114" i="73" a="1"/>
  <c r="O114" i="73" s="1"/>
  <c r="O62" i="85" s="1"/>
  <c r="O111" i="73" a="1"/>
  <c r="O111" i="73" s="1"/>
  <c r="O59" i="85" s="1"/>
  <c r="O116" i="73" a="1"/>
  <c r="O116" i="73" s="1"/>
  <c r="O56" i="85"/>
  <c r="U65" i="85"/>
  <c r="U63" i="85"/>
  <c r="U64" i="85"/>
  <c r="I50" i="75"/>
  <c r="I40" i="85" s="1"/>
  <c r="F34" i="75" a="1"/>
  <c r="F34" i="75" s="1"/>
  <c r="F39" i="75" s="1"/>
  <c r="H10" i="33" s="1"/>
  <c r="F48" i="75"/>
  <c r="F53" i="75" s="1"/>
  <c r="H11" i="33" s="1"/>
  <c r="F65" i="75" a="1"/>
  <c r="F65" i="75" s="1"/>
  <c r="F79" i="75" a="1"/>
  <c r="F79" i="75" s="1"/>
  <c r="F62" i="75"/>
  <c r="F67" i="75" s="1"/>
  <c r="F76" i="75"/>
  <c r="F81" i="75" s="1"/>
  <c r="Q106" i="81"/>
  <c r="Q112" i="81" s="1"/>
  <c r="F66" i="75"/>
  <c r="G12" i="33" s="1"/>
  <c r="F38" i="75"/>
  <c r="G10" i="33" s="1"/>
  <c r="F51" i="75" l="1" a="1"/>
  <c r="F51" i="75" s="1"/>
  <c r="I11" i="33" s="1"/>
  <c r="F70" i="85"/>
  <c r="F76" i="85"/>
  <c r="J72" i="33" s="1"/>
  <c r="F42" i="85"/>
  <c r="N65" i="85"/>
  <c r="N63" i="85"/>
  <c r="N64" i="85"/>
  <c r="L63" i="85"/>
  <c r="L64" i="85"/>
  <c r="L65" i="85"/>
  <c r="O79" i="85"/>
  <c r="O77" i="85"/>
  <c r="O78" i="85"/>
  <c r="I116" i="73" a="1"/>
  <c r="I116" i="73" s="1"/>
  <c r="I113" i="73" a="1"/>
  <c r="I113" i="73" s="1"/>
  <c r="I61" i="85" s="1"/>
  <c r="F61" i="85" s="1"/>
  <c r="I110" i="73" a="1"/>
  <c r="I110" i="73" s="1"/>
  <c r="I58" i="85" s="1"/>
  <c r="F58" i="85" s="1"/>
  <c r="I60" i="85"/>
  <c r="F60" i="85" s="1"/>
  <c r="I114" i="73" a="1"/>
  <c r="I114" i="73" s="1"/>
  <c r="I62" i="85" s="1"/>
  <c r="F62" i="85" s="1"/>
  <c r="I72" i="33" s="1"/>
  <c r="I117" i="73" a="1"/>
  <c r="I117" i="73" s="1"/>
  <c r="I115" i="73" a="1"/>
  <c r="I115" i="73" s="1"/>
  <c r="I111" i="73" a="1"/>
  <c r="I111" i="73" s="1"/>
  <c r="I59" i="85" s="1"/>
  <c r="F59" i="85" s="1"/>
  <c r="I56" i="85"/>
  <c r="F56" i="85" s="1"/>
  <c r="J64" i="85"/>
  <c r="J63" i="85"/>
  <c r="J65" i="85"/>
  <c r="I78" i="85"/>
  <c r="I79" i="85"/>
  <c r="I77" i="85"/>
  <c r="M63" i="85"/>
  <c r="M65" i="85"/>
  <c r="M64" i="85"/>
  <c r="Q78" i="85"/>
  <c r="Q79" i="85"/>
  <c r="Q77" i="85"/>
  <c r="K64" i="85"/>
  <c r="K65" i="85"/>
  <c r="K63" i="85"/>
  <c r="N79" i="85"/>
  <c r="N78" i="85"/>
  <c r="N77" i="85"/>
  <c r="J78" i="85"/>
  <c r="J79" i="85"/>
  <c r="J77" i="85"/>
  <c r="Q65" i="85"/>
  <c r="Q64" i="85"/>
  <c r="Q63" i="85"/>
  <c r="O64" i="85"/>
  <c r="O63" i="85"/>
  <c r="O65" i="85"/>
  <c r="M77" i="85"/>
  <c r="M79" i="85"/>
  <c r="M78" i="85"/>
  <c r="L78" i="85"/>
  <c r="L77" i="85"/>
  <c r="L79" i="85"/>
  <c r="P64" i="85"/>
  <c r="P63" i="85"/>
  <c r="P65" i="85"/>
  <c r="P79" i="85"/>
  <c r="P77" i="85"/>
  <c r="P78" i="85"/>
  <c r="K77" i="85"/>
  <c r="K79" i="85"/>
  <c r="K78" i="85"/>
  <c r="Q113" i="81" a="1"/>
  <c r="Q113" i="81" s="1"/>
  <c r="Q117" i="81" a="1"/>
  <c r="Q117" i="81" s="1"/>
  <c r="Q111" i="81" a="1"/>
  <c r="Q111" i="81" s="1"/>
  <c r="Q110" i="81" a="1"/>
  <c r="Q110" i="81" s="1"/>
  <c r="Q116" i="81" a="1"/>
  <c r="Q116" i="81" s="1"/>
  <c r="Q114" i="81" a="1"/>
  <c r="Q114" i="81" s="1"/>
  <c r="Q115" i="81" a="1"/>
  <c r="Q115" i="81" s="1"/>
  <c r="F25" i="75"/>
  <c r="H9" i="33" s="1"/>
  <c r="F24" i="75"/>
  <c r="G9" i="33" s="1"/>
  <c r="F37" i="75" a="1"/>
  <c r="F37" i="75" s="1"/>
  <c r="I10" i="33" s="1"/>
  <c r="I12" i="33"/>
  <c r="F16" i="75" a="1"/>
  <c r="F16" i="75" s="1"/>
  <c r="I13" i="33"/>
  <c r="F23" i="75" a="1"/>
  <c r="F23" i="75" s="1"/>
  <c r="I9" i="33" s="1"/>
  <c r="F77" i="85" l="1"/>
  <c r="J73" i="33" s="1"/>
  <c r="I63" i="85"/>
  <c r="F63" i="85" s="1"/>
  <c r="I73" i="33" s="1"/>
  <c r="I64" i="85"/>
  <c r="F64" i="85" s="1"/>
  <c r="I65" i="85"/>
  <c r="F65" i="85" s="1"/>
  <c r="F79" i="85"/>
  <c r="F78" i="85"/>
  <c r="F73" i="85"/>
  <c r="F72" i="85"/>
  <c r="F75" i="85"/>
  <c r="F74" i="85"/>
  <c r="G18" i="33"/>
  <c r="C18" i="33" s="1"/>
  <c r="F80" i="75"/>
  <c r="G13" i="33" s="1"/>
  <c r="D18" i="33" l="1"/>
  <c r="C26" i="33" l="1"/>
  <c r="I31" i="33" l="1"/>
  <c r="J31" i="33"/>
  <c r="F30" i="33"/>
  <c r="H30" i="33"/>
  <c r="G31" i="33"/>
  <c r="H31" i="33"/>
  <c r="A91" i="75"/>
  <c r="J30" i="33"/>
  <c r="G30" i="33"/>
  <c r="F31" i="33"/>
  <c r="I30" i="33"/>
  <c r="N91" i="75" l="1" a="1"/>
  <c r="N91" i="75" s="1"/>
  <c r="Y91" i="75" a="1"/>
  <c r="Y91" i="75" s="1"/>
  <c r="O91" i="75" a="1"/>
  <c r="O91" i="75" s="1"/>
  <c r="Z91" i="75" a="1"/>
  <c r="Z91" i="75" s="1"/>
  <c r="P91" i="75" a="1"/>
  <c r="P91" i="75" s="1"/>
  <c r="AA91" i="75" a="1"/>
  <c r="AA91" i="75" s="1"/>
  <c r="Q91" i="75" a="1"/>
  <c r="Q91" i="75" s="1"/>
  <c r="AB91" i="75" a="1"/>
  <c r="AB91" i="75" s="1"/>
  <c r="R91" i="75" a="1"/>
  <c r="R91" i="75" s="1"/>
  <c r="AC91" i="75" a="1"/>
  <c r="AC91" i="75" s="1"/>
  <c r="T91" i="75" a="1"/>
  <c r="T91" i="75" s="1"/>
  <c r="AE91" i="75" a="1"/>
  <c r="AE91" i="75" s="1"/>
  <c r="U91" i="75" a="1"/>
  <c r="U91" i="75" s="1"/>
  <c r="J91" i="75" a="1"/>
  <c r="J91" i="75" s="1"/>
  <c r="V91" i="75" a="1"/>
  <c r="V91" i="75" s="1"/>
  <c r="W91" i="75" a="1"/>
  <c r="W91" i="75" s="1"/>
  <c r="I91" i="75" a="1"/>
  <c r="I91" i="75" s="1"/>
  <c r="M91" i="75" a="1"/>
  <c r="M91" i="75" s="1"/>
  <c r="X91" i="75" a="1"/>
  <c r="X91" i="75" s="1"/>
  <c r="S91" i="75" a="1"/>
  <c r="S91" i="75" s="1"/>
  <c r="AD91" i="75" a="1"/>
  <c r="AD91" i="75" s="1"/>
  <c r="AF91" i="75" a="1"/>
  <c r="AF91" i="75" s="1"/>
  <c r="K91" i="75" a="1"/>
  <c r="K91" i="75" s="1"/>
  <c r="AG91" i="75" a="1"/>
  <c r="AG91" i="75" s="1"/>
  <c r="L91" i="75" a="1"/>
  <c r="L91" i="75" s="1"/>
  <c r="H91" i="75"/>
  <c r="L30" i="33"/>
  <c r="L31" i="33"/>
  <c r="D28" i="85" l="1"/>
  <c r="J67" i="33" l="1"/>
  <c r="I67" i="33"/>
  <c r="J71" i="33"/>
  <c r="J69" i="33"/>
  <c r="J70" i="33"/>
  <c r="I69" i="33"/>
  <c r="I70" i="33"/>
  <c r="J68" i="33"/>
  <c r="I71" i="33"/>
  <c r="I68" i="33"/>
  <c r="B22" i="85" l="1"/>
  <c r="D22" i="85" s="1"/>
  <c r="B21" i="85"/>
  <c r="D21" i="85" s="1"/>
  <c r="G115" i="81"/>
  <c r="B46" i="85"/>
  <c r="D46" i="85" s="1"/>
  <c r="G116" i="81"/>
  <c r="B17" i="85"/>
  <c r="D17" i="85" s="1"/>
  <c r="B36" i="85"/>
  <c r="B19" i="85"/>
  <c r="D19" i="85" s="1"/>
  <c r="B20" i="85"/>
  <c r="D20" i="85" s="1"/>
  <c r="G113" i="81"/>
  <c r="B23" i="85"/>
  <c r="D23" i="85" s="1"/>
  <c r="B18" i="85"/>
  <c r="D18" i="85" s="1"/>
  <c r="B33" i="85"/>
  <c r="B49" i="85"/>
  <c r="D49" i="85" s="1"/>
  <c r="G114" i="81"/>
  <c r="B34" i="85"/>
  <c r="B35" i="85"/>
  <c r="D35" i="85" s="1"/>
  <c r="B51" i="85"/>
  <c r="D51" i="85" s="1"/>
  <c r="G112" i="81"/>
  <c r="G117" i="81"/>
  <c r="B47" i="85"/>
  <c r="D47" i="85" s="1"/>
  <c r="B37" i="85"/>
  <c r="D37" i="85" s="1"/>
  <c r="G111" i="81"/>
  <c r="B31" i="85"/>
  <c r="B32" i="85"/>
  <c r="B16" i="85"/>
  <c r="D16" i="85" s="1"/>
  <c r="H23" i="85" l="1"/>
  <c r="AE23" i="85"/>
  <c r="AF23" i="85"/>
  <c r="AG23" i="85"/>
  <c r="AD23" i="85"/>
  <c r="AC23" i="85"/>
  <c r="S23" i="85"/>
  <c r="M23" i="85"/>
  <c r="AB23" i="85"/>
  <c r="Y23" i="85"/>
  <c r="Z23" i="85"/>
  <c r="N23" i="85"/>
  <c r="O23" i="85"/>
  <c r="Q23" i="85"/>
  <c r="X23" i="85"/>
  <c r="T23" i="85"/>
  <c r="L23" i="85"/>
  <c r="V23" i="85"/>
  <c r="U23" i="85"/>
  <c r="P23" i="85"/>
  <c r="W23" i="85"/>
  <c r="R23" i="85"/>
  <c r="K23" i="85"/>
  <c r="AA23" i="85"/>
  <c r="J23" i="85"/>
  <c r="H47" i="85"/>
  <c r="AF47" i="85"/>
  <c r="X47" i="85"/>
  <c r="V47" i="85"/>
  <c r="S47" i="85"/>
  <c r="Y47" i="85"/>
  <c r="R47" i="85"/>
  <c r="AA47" i="85"/>
  <c r="T47" i="85"/>
  <c r="AE47" i="85"/>
  <c r="U47" i="85"/>
  <c r="Z47" i="85"/>
  <c r="J47" i="85"/>
  <c r="P47" i="85"/>
  <c r="AG47" i="85"/>
  <c r="K47" i="85"/>
  <c r="W47" i="85"/>
  <c r="AC47" i="85"/>
  <c r="AB47" i="85"/>
  <c r="AD47" i="85"/>
  <c r="L47" i="85"/>
  <c r="M47" i="85"/>
  <c r="I47" i="85"/>
  <c r="N47" i="85"/>
  <c r="Q47" i="85"/>
  <c r="O47" i="85"/>
  <c r="H46" i="85"/>
  <c r="W46" i="85"/>
  <c r="AG46" i="85"/>
  <c r="T46" i="85"/>
  <c r="R46" i="85"/>
  <c r="AE46" i="85"/>
  <c r="Z46" i="85"/>
  <c r="V46" i="85"/>
  <c r="AB46" i="85"/>
  <c r="AA46" i="85"/>
  <c r="AD46" i="85"/>
  <c r="P46" i="85"/>
  <c r="Y46" i="85"/>
  <c r="S46" i="85"/>
  <c r="X46" i="85"/>
  <c r="U46" i="85"/>
  <c r="J46" i="85"/>
  <c r="AC46" i="85"/>
  <c r="K46" i="85"/>
  <c r="AF46" i="85"/>
  <c r="I46" i="85"/>
  <c r="N46" i="85"/>
  <c r="O46" i="85"/>
  <c r="L46" i="85"/>
  <c r="Q46" i="85"/>
  <c r="M46" i="85"/>
  <c r="H20" i="85"/>
  <c r="AF20" i="85"/>
  <c r="AE20" i="85"/>
  <c r="AG20" i="85"/>
  <c r="AD20" i="85"/>
  <c r="AC20" i="85"/>
  <c r="V20" i="85"/>
  <c r="Y20" i="85"/>
  <c r="R20" i="85"/>
  <c r="U20" i="85"/>
  <c r="AA20" i="85"/>
  <c r="M20" i="85"/>
  <c r="X20" i="85"/>
  <c r="L20" i="85"/>
  <c r="T20" i="85"/>
  <c r="O20" i="85"/>
  <c r="S20" i="85"/>
  <c r="Q20" i="85"/>
  <c r="K20" i="85"/>
  <c r="Z20" i="85"/>
  <c r="AB20" i="85"/>
  <c r="N20" i="85"/>
  <c r="W20" i="85"/>
  <c r="P20" i="85"/>
  <c r="I20" i="85"/>
  <c r="J20" i="85"/>
  <c r="H21" i="85"/>
  <c r="AF21" i="85"/>
  <c r="AE21" i="85"/>
  <c r="AG21" i="85"/>
  <c r="AD21" i="85"/>
  <c r="AC21" i="85"/>
  <c r="S21" i="85"/>
  <c r="M21" i="85"/>
  <c r="AB21" i="85"/>
  <c r="Z21" i="85"/>
  <c r="Y21" i="85"/>
  <c r="X21" i="85"/>
  <c r="AA21" i="85"/>
  <c r="T21" i="85"/>
  <c r="Q21" i="85"/>
  <c r="N21" i="85"/>
  <c r="O21" i="85"/>
  <c r="R21" i="85"/>
  <c r="K21" i="85"/>
  <c r="V21" i="85"/>
  <c r="W21" i="85"/>
  <c r="P21" i="85"/>
  <c r="L21" i="85"/>
  <c r="U21" i="85"/>
  <c r="I21" i="85"/>
  <c r="J21" i="85"/>
  <c r="H49" i="85"/>
  <c r="Z49" i="85"/>
  <c r="P49" i="85"/>
  <c r="J49" i="85"/>
  <c r="AD49" i="85"/>
  <c r="T49" i="85"/>
  <c r="AA49" i="85"/>
  <c r="AF49" i="85"/>
  <c r="AE49" i="85"/>
  <c r="AC49" i="85"/>
  <c r="K49" i="85"/>
  <c r="W49" i="85"/>
  <c r="AG49" i="85"/>
  <c r="U49" i="85"/>
  <c r="S49" i="85"/>
  <c r="R49" i="85"/>
  <c r="Y49" i="85"/>
  <c r="V49" i="85"/>
  <c r="AB49" i="85"/>
  <c r="X49" i="85"/>
  <c r="M49" i="85"/>
  <c r="N49" i="85"/>
  <c r="I49" i="85"/>
  <c r="O49" i="85"/>
  <c r="Q49" i="85"/>
  <c r="L49" i="85"/>
  <c r="H16" i="85"/>
  <c r="AE16" i="85"/>
  <c r="AF16" i="85"/>
  <c r="AG16" i="85"/>
  <c r="AD16" i="85"/>
  <c r="AC16" i="85"/>
  <c r="X16" i="85"/>
  <c r="R16" i="85"/>
  <c r="L16" i="85"/>
  <c r="Q16" i="85"/>
  <c r="S16" i="85"/>
  <c r="W16" i="85"/>
  <c r="M16" i="85"/>
  <c r="V16" i="85"/>
  <c r="K16" i="85"/>
  <c r="Z16" i="85"/>
  <c r="Y16" i="85"/>
  <c r="AB16" i="85"/>
  <c r="P16" i="85"/>
  <c r="AA16" i="85"/>
  <c r="O16" i="85"/>
  <c r="T16" i="85"/>
  <c r="U16" i="85"/>
  <c r="N16" i="85"/>
  <c r="I16" i="85"/>
  <c r="J16" i="85"/>
  <c r="H19" i="85"/>
  <c r="AF19" i="85"/>
  <c r="AE19" i="85"/>
  <c r="AG19" i="85"/>
  <c r="AD19" i="85"/>
  <c r="AC19" i="85"/>
  <c r="Q19" i="85"/>
  <c r="W19" i="85"/>
  <c r="U19" i="85"/>
  <c r="L19" i="85"/>
  <c r="AA19" i="85"/>
  <c r="T19" i="85"/>
  <c r="X19" i="85"/>
  <c r="Y19" i="85"/>
  <c r="V19" i="85"/>
  <c r="K19" i="85"/>
  <c r="M19" i="85"/>
  <c r="R19" i="85"/>
  <c r="P19" i="85"/>
  <c r="O19" i="85"/>
  <c r="S19" i="85"/>
  <c r="Z19" i="85"/>
  <c r="N19" i="85"/>
  <c r="AB19" i="85"/>
  <c r="I19" i="85"/>
  <c r="J19" i="85"/>
  <c r="H51" i="85"/>
  <c r="AF51" i="85"/>
  <c r="AB51" i="85"/>
  <c r="J51" i="85"/>
  <c r="Z51" i="85"/>
  <c r="X51" i="85"/>
  <c r="AA51" i="85"/>
  <c r="R51" i="85"/>
  <c r="T51" i="85"/>
  <c r="AD51" i="85"/>
  <c r="Y51" i="85"/>
  <c r="V51" i="85"/>
  <c r="AE51" i="85"/>
  <c r="P51" i="85"/>
  <c r="U51" i="85"/>
  <c r="AG51" i="85"/>
  <c r="AC51" i="85"/>
  <c r="K51" i="85"/>
  <c r="W51" i="85"/>
  <c r="S51" i="85"/>
  <c r="N51" i="85"/>
  <c r="L51" i="85"/>
  <c r="I51" i="85"/>
  <c r="O51" i="85"/>
  <c r="Q51" i="85"/>
  <c r="M51" i="85"/>
  <c r="H17" i="85"/>
  <c r="AF17" i="85"/>
  <c r="AE17" i="85"/>
  <c r="AG17" i="85"/>
  <c r="AD17" i="85"/>
  <c r="AC17" i="85"/>
  <c r="V17" i="85"/>
  <c r="O17" i="85"/>
  <c r="X17" i="85"/>
  <c r="W17" i="85"/>
  <c r="N17" i="85"/>
  <c r="Z17" i="85"/>
  <c r="S17" i="85"/>
  <c r="AB17" i="85"/>
  <c r="Y17" i="85"/>
  <c r="K17" i="85"/>
  <c r="L17" i="85"/>
  <c r="M17" i="85"/>
  <c r="T17" i="85"/>
  <c r="U17" i="85"/>
  <c r="Q17" i="85"/>
  <c r="R17" i="85"/>
  <c r="P17" i="85"/>
  <c r="AA17" i="85"/>
  <c r="J17" i="85"/>
  <c r="I17" i="85"/>
  <c r="H22" i="85"/>
  <c r="AF22" i="85"/>
  <c r="AE22" i="85"/>
  <c r="AG22" i="85"/>
  <c r="AD22" i="85"/>
  <c r="AC22" i="85"/>
  <c r="Z22" i="85"/>
  <c r="Y22" i="85"/>
  <c r="AB22" i="85"/>
  <c r="N22" i="85"/>
  <c r="O22" i="85"/>
  <c r="X22" i="85"/>
  <c r="AA22" i="85"/>
  <c r="Q22" i="85"/>
  <c r="R22" i="85"/>
  <c r="W22" i="85"/>
  <c r="V22" i="85"/>
  <c r="T22" i="85"/>
  <c r="M22" i="85"/>
  <c r="P22" i="85"/>
  <c r="K22" i="85"/>
  <c r="L22" i="85"/>
  <c r="S22" i="85"/>
  <c r="U22" i="85"/>
  <c r="I22" i="85"/>
  <c r="J22" i="85"/>
  <c r="B45" i="85"/>
  <c r="D45" i="85" s="1"/>
  <c r="B50" i="85"/>
  <c r="D50" i="85" s="1"/>
  <c r="D33" i="85"/>
  <c r="G110" i="81"/>
  <c r="N37" i="85" s="1"/>
  <c r="B30" i="85"/>
  <c r="AE37" i="85"/>
  <c r="AA35" i="85"/>
  <c r="V35" i="85"/>
  <c r="B48" i="85"/>
  <c r="D48" i="85" s="1"/>
  <c r="B44" i="85"/>
  <c r="D44" i="85" s="1"/>
  <c r="D31" i="85"/>
  <c r="D32" i="85"/>
  <c r="D34" i="85"/>
  <c r="D36" i="85"/>
  <c r="AA36" i="85" l="1"/>
  <c r="L37" i="85"/>
  <c r="T37" i="85"/>
  <c r="AF35" i="85"/>
  <c r="W32" i="85"/>
  <c r="O33" i="85"/>
  <c r="AG37" i="85"/>
  <c r="Q35" i="85"/>
  <c r="O35" i="85"/>
  <c r="H35" i="85"/>
  <c r="R37" i="85"/>
  <c r="AB35" i="85"/>
  <c r="V37" i="85"/>
  <c r="K35" i="85"/>
  <c r="H37" i="85"/>
  <c r="S35" i="85"/>
  <c r="T35" i="85"/>
  <c r="AC35" i="85"/>
  <c r="Q37" i="85"/>
  <c r="P35" i="85"/>
  <c r="K34" i="85"/>
  <c r="K37" i="85"/>
  <c r="U35" i="85"/>
  <c r="AE35" i="85"/>
  <c r="N31" i="85"/>
  <c r="Z36" i="85"/>
  <c r="AB36" i="85"/>
  <c r="X35" i="85"/>
  <c r="Y35" i="85"/>
  <c r="J35" i="85"/>
  <c r="F20" i="85"/>
  <c r="C95" i="85" s="1"/>
  <c r="F72" i="33" s="1"/>
  <c r="U36" i="85"/>
  <c r="F22" i="85"/>
  <c r="J31" i="85"/>
  <c r="Q36" i="85"/>
  <c r="F51" i="85"/>
  <c r="F47" i="85"/>
  <c r="U32" i="85"/>
  <c r="F16" i="85"/>
  <c r="C91" i="85" s="1"/>
  <c r="F68" i="33" s="1"/>
  <c r="F49" i="85"/>
  <c r="J32" i="85"/>
  <c r="F46" i="85"/>
  <c r="F17" i="85"/>
  <c r="C92" i="85" s="1"/>
  <c r="F69" i="33" s="1"/>
  <c r="R34" i="85"/>
  <c r="P34" i="85"/>
  <c r="H50" i="85"/>
  <c r="X50" i="85"/>
  <c r="K50" i="85"/>
  <c r="AC50" i="85"/>
  <c r="AD50" i="85"/>
  <c r="V50" i="85"/>
  <c r="AG50" i="85"/>
  <c r="Z50" i="85"/>
  <c r="AE50" i="85"/>
  <c r="AF50" i="85"/>
  <c r="P50" i="85"/>
  <c r="U50" i="85"/>
  <c r="J50" i="85"/>
  <c r="AA50" i="85"/>
  <c r="R50" i="85"/>
  <c r="W50" i="85"/>
  <c r="S50" i="85"/>
  <c r="T50" i="85"/>
  <c r="Y50" i="85"/>
  <c r="AB50" i="85"/>
  <c r="Q50" i="85"/>
  <c r="I50" i="85"/>
  <c r="N50" i="85"/>
  <c r="L50" i="85"/>
  <c r="O50" i="85"/>
  <c r="M50" i="85"/>
  <c r="H48" i="85"/>
  <c r="W48" i="85"/>
  <c r="AF48" i="85"/>
  <c r="J48" i="85"/>
  <c r="AA48" i="85"/>
  <c r="AC48" i="85"/>
  <c r="U48" i="85"/>
  <c r="R48" i="85"/>
  <c r="AE48" i="85"/>
  <c r="S48" i="85"/>
  <c r="Z48" i="85"/>
  <c r="AB48" i="85"/>
  <c r="P48" i="85"/>
  <c r="AD48" i="85"/>
  <c r="AG48" i="85"/>
  <c r="K48" i="85"/>
  <c r="X48" i="85"/>
  <c r="V48" i="85"/>
  <c r="T48" i="85"/>
  <c r="Y48" i="85"/>
  <c r="N48" i="85"/>
  <c r="M48" i="85"/>
  <c r="Q48" i="85"/>
  <c r="O48" i="85"/>
  <c r="I48" i="85"/>
  <c r="L48" i="85"/>
  <c r="N34" i="85"/>
  <c r="H44" i="85"/>
  <c r="J44" i="85"/>
  <c r="U44" i="85"/>
  <c r="AD44" i="85"/>
  <c r="R44" i="85"/>
  <c r="AA44" i="85"/>
  <c r="AE44" i="85"/>
  <c r="Z44" i="85"/>
  <c r="S44" i="85"/>
  <c r="T44" i="85"/>
  <c r="AB44" i="85"/>
  <c r="AF44" i="85"/>
  <c r="AC44" i="85"/>
  <c r="K44" i="85"/>
  <c r="AG44" i="85"/>
  <c r="P44" i="85"/>
  <c r="X44" i="85"/>
  <c r="W44" i="85"/>
  <c r="V44" i="85"/>
  <c r="Y44" i="85"/>
  <c r="I44" i="85"/>
  <c r="N44" i="85"/>
  <c r="O44" i="85"/>
  <c r="L44" i="85"/>
  <c r="Q44" i="85"/>
  <c r="M44" i="85"/>
  <c r="AE34" i="85"/>
  <c r="W34" i="85"/>
  <c r="H45" i="85"/>
  <c r="W45" i="85"/>
  <c r="P45" i="85"/>
  <c r="AC45" i="85"/>
  <c r="R45" i="85"/>
  <c r="AE45" i="85"/>
  <c r="T45" i="85"/>
  <c r="U45" i="85"/>
  <c r="AG45" i="85"/>
  <c r="Y45" i="85"/>
  <c r="AB45" i="85"/>
  <c r="K45" i="85"/>
  <c r="Z45" i="85"/>
  <c r="AA45" i="85"/>
  <c r="V45" i="85"/>
  <c r="X45" i="85"/>
  <c r="AD45" i="85"/>
  <c r="AF45" i="85"/>
  <c r="S45" i="85"/>
  <c r="Q45" i="85"/>
  <c r="J45" i="85"/>
  <c r="O45" i="85"/>
  <c r="M45" i="85"/>
  <c r="L45" i="85"/>
  <c r="I45" i="85"/>
  <c r="N45" i="85"/>
  <c r="Q34" i="85"/>
  <c r="X36" i="85"/>
  <c r="O32" i="85"/>
  <c r="M32" i="85"/>
  <c r="AB32" i="85"/>
  <c r="AF36" i="85"/>
  <c r="AC34" i="85"/>
  <c r="AF34" i="85"/>
  <c r="H32" i="85"/>
  <c r="H74" i="33"/>
  <c r="H73" i="33"/>
  <c r="H75" i="33"/>
  <c r="T34" i="85"/>
  <c r="N33" i="85"/>
  <c r="I34" i="85"/>
  <c r="V32" i="85"/>
  <c r="AF32" i="85"/>
  <c r="S31" i="85"/>
  <c r="Y34" i="85"/>
  <c r="X32" i="85"/>
  <c r="L34" i="85"/>
  <c r="U34" i="85"/>
  <c r="AD34" i="85"/>
  <c r="I32" i="85"/>
  <c r="R32" i="85"/>
  <c r="U31" i="85"/>
  <c r="L35" i="85"/>
  <c r="AG35" i="85"/>
  <c r="I35" i="85"/>
  <c r="H31" i="85"/>
  <c r="T31" i="85"/>
  <c r="Y33" i="85"/>
  <c r="X31" i="85"/>
  <c r="K31" i="85"/>
  <c r="M35" i="85"/>
  <c r="AB33" i="85"/>
  <c r="AA33" i="85"/>
  <c r="AE31" i="85"/>
  <c r="Z33" i="85"/>
  <c r="U33" i="85"/>
  <c r="AG33" i="85"/>
  <c r="M31" i="85"/>
  <c r="F23" i="85"/>
  <c r="Q33" i="85"/>
  <c r="V33" i="85"/>
  <c r="W31" i="85"/>
  <c r="I31" i="85"/>
  <c r="AD31" i="85"/>
  <c r="V31" i="85"/>
  <c r="Z31" i="85"/>
  <c r="R31" i="85"/>
  <c r="Q31" i="85"/>
  <c r="L31" i="85"/>
  <c r="P31" i="85"/>
  <c r="Y31" i="85"/>
  <c r="P33" i="85"/>
  <c r="H34" i="85"/>
  <c r="AC31" i="85"/>
  <c r="Q32" i="85"/>
  <c r="L32" i="85"/>
  <c r="AE32" i="85"/>
  <c r="Z32" i="85"/>
  <c r="K32" i="85"/>
  <c r="AD32" i="85"/>
  <c r="T32" i="85"/>
  <c r="AA32" i="85"/>
  <c r="Y32" i="85"/>
  <c r="P32" i="85"/>
  <c r="S32" i="85"/>
  <c r="X33" i="85"/>
  <c r="O36" i="85"/>
  <c r="AC36" i="85"/>
  <c r="S36" i="85"/>
  <c r="AG36" i="85"/>
  <c r="H36" i="85"/>
  <c r="AD36" i="85"/>
  <c r="L36" i="85"/>
  <c r="R36" i="85"/>
  <c r="M36" i="85"/>
  <c r="Y36" i="85"/>
  <c r="I36" i="85"/>
  <c r="F19" i="85"/>
  <c r="P37" i="85"/>
  <c r="AA31" i="85"/>
  <c r="AA37" i="85"/>
  <c r="O34" i="85"/>
  <c r="N32" i="85"/>
  <c r="J36" i="85"/>
  <c r="AF37" i="85"/>
  <c r="R33" i="85"/>
  <c r="AE33" i="85"/>
  <c r="T33" i="85"/>
  <c r="F18" i="85"/>
  <c r="AD33" i="85"/>
  <c r="L33" i="85"/>
  <c r="AC33" i="85"/>
  <c r="X34" i="85"/>
  <c r="AC32" i="85"/>
  <c r="AA34" i="85"/>
  <c r="P36" i="85"/>
  <c r="M37" i="85"/>
  <c r="W37" i="85"/>
  <c r="AF33" i="85"/>
  <c r="I33" i="85"/>
  <c r="W33" i="85"/>
  <c r="S34" i="85"/>
  <c r="J34" i="85"/>
  <c r="V34" i="85"/>
  <c r="Z34" i="85"/>
  <c r="N36" i="85"/>
  <c r="AG34" i="85"/>
  <c r="D30" i="85"/>
  <c r="W30" i="85" s="1"/>
  <c r="AG31" i="85"/>
  <c r="K36" i="85"/>
  <c r="R35" i="85"/>
  <c r="V36" i="85"/>
  <c r="AE36" i="85"/>
  <c r="O31" i="85"/>
  <c r="H33" i="85"/>
  <c r="S33" i="85"/>
  <c r="J33" i="85"/>
  <c r="K33" i="85"/>
  <c r="M33" i="85"/>
  <c r="M34" i="85"/>
  <c r="U28" i="85"/>
  <c r="Z37" i="85"/>
  <c r="AF28" i="85"/>
  <c r="Z28" i="85"/>
  <c r="J28" i="85"/>
  <c r="Q28" i="85"/>
  <c r="S28" i="85"/>
  <c r="I28" i="85"/>
  <c r="AC37" i="85"/>
  <c r="W28" i="85"/>
  <c r="AD28" i="85"/>
  <c r="O28" i="85"/>
  <c r="H28" i="85"/>
  <c r="AC28" i="85"/>
  <c r="AB28" i="85"/>
  <c r="AA28" i="85"/>
  <c r="K28" i="85"/>
  <c r="N28" i="85"/>
  <c r="Y37" i="85"/>
  <c r="R28" i="85"/>
  <c r="P28" i="85"/>
  <c r="AG28" i="85"/>
  <c r="J37" i="85"/>
  <c r="V28" i="85"/>
  <c r="O37" i="85"/>
  <c r="U37" i="85"/>
  <c r="M28" i="85"/>
  <c r="AE28" i="85"/>
  <c r="I37" i="85"/>
  <c r="AD37" i="85"/>
  <c r="AD35" i="85"/>
  <c r="N35" i="85"/>
  <c r="L28" i="85"/>
  <c r="X37" i="85"/>
  <c r="T28" i="85"/>
  <c r="AB37" i="85"/>
  <c r="S37" i="85"/>
  <c r="Y28" i="85"/>
  <c r="X28" i="85"/>
  <c r="AB31" i="85"/>
  <c r="AB34" i="85"/>
  <c r="W35" i="85"/>
  <c r="T36" i="85"/>
  <c r="W36" i="85"/>
  <c r="AF31" i="85"/>
  <c r="AG32" i="85"/>
  <c r="F21" i="85"/>
  <c r="Z35" i="85"/>
  <c r="F44" i="85" l="1"/>
  <c r="E91" i="85" s="1"/>
  <c r="H68" i="33" s="1"/>
  <c r="F45" i="85"/>
  <c r="F50" i="85"/>
  <c r="F48" i="85"/>
  <c r="E95" i="85" s="1"/>
  <c r="H72" i="33" s="1"/>
  <c r="E90" i="85"/>
  <c r="H67" i="33" s="1"/>
  <c r="E92" i="85"/>
  <c r="H69" i="33" s="1"/>
  <c r="E94" i="85"/>
  <c r="H71" i="33" s="1"/>
  <c r="E93" i="85"/>
  <c r="H70" i="33" s="1"/>
  <c r="C94" i="85"/>
  <c r="F71" i="33" s="1"/>
  <c r="C93" i="85"/>
  <c r="F70" i="33" s="1"/>
  <c r="F28" i="85"/>
  <c r="F32" i="85"/>
  <c r="D93" i="85" s="1"/>
  <c r="G70" i="33" s="1"/>
  <c r="F37" i="85"/>
  <c r="F35" i="85"/>
  <c r="AD30" i="85"/>
  <c r="V30" i="85"/>
  <c r="Q30" i="85"/>
  <c r="AF30" i="85"/>
  <c r="O30" i="85"/>
  <c r="F36" i="85"/>
  <c r="J30" i="85"/>
  <c r="K30" i="85"/>
  <c r="S30" i="85"/>
  <c r="AA30" i="85"/>
  <c r="P30" i="85"/>
  <c r="R30" i="85"/>
  <c r="AC30" i="85"/>
  <c r="F33" i="85"/>
  <c r="D94" i="85" s="1"/>
  <c r="G71" i="33" s="1"/>
  <c r="X30" i="85"/>
  <c r="AG30" i="85"/>
  <c r="I30" i="85"/>
  <c r="Z30" i="85"/>
  <c r="T30" i="85"/>
  <c r="U30" i="85"/>
  <c r="H30" i="85"/>
  <c r="M30" i="85"/>
  <c r="F34" i="85"/>
  <c r="D95" i="85" s="1"/>
  <c r="G72" i="33" s="1"/>
  <c r="Y30" i="85"/>
  <c r="L30" i="85"/>
  <c r="AB30" i="85"/>
  <c r="AE30" i="85"/>
  <c r="N30" i="85"/>
  <c r="F31" i="85"/>
  <c r="D92" i="85" s="1"/>
  <c r="G69" i="33" s="1"/>
  <c r="D90" i="85" l="1"/>
  <c r="G67" i="33" s="1"/>
  <c r="I95" i="85"/>
  <c r="K95" i="85" s="1"/>
  <c r="L72" i="33" s="1"/>
  <c r="I92" i="85"/>
  <c r="K92" i="85" s="1"/>
  <c r="L69" i="33" s="1"/>
  <c r="I94" i="85"/>
  <c r="K94" i="85" s="1"/>
  <c r="L71" i="33" s="1"/>
  <c r="I93" i="85"/>
  <c r="K93" i="85" s="1"/>
  <c r="L70" i="33" s="1"/>
  <c r="F30" i="85"/>
  <c r="D91" i="85" s="1"/>
  <c r="G68" i="33" s="1"/>
  <c r="I90" i="85" l="1"/>
  <c r="K90" i="85" s="1"/>
  <c r="L67" i="33" s="1"/>
  <c r="I91" i="85"/>
  <c r="K91" i="85" s="1"/>
  <c r="L68" i="33" s="1"/>
  <c r="I98" i="85"/>
  <c r="K98" i="85" s="1"/>
  <c r="L75" i="33" s="1"/>
  <c r="I96" i="85"/>
  <c r="K96" i="85" s="1"/>
  <c r="L73" i="33" s="1"/>
  <c r="I97" i="8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<sst xmlns="http://schemas.openxmlformats.org/spreadsheetml/2006/main" count="940" uniqueCount="434">
  <si>
    <t>Description</t>
  </si>
  <si>
    <t>Option</t>
  </si>
  <si>
    <t>Opex</t>
  </si>
  <si>
    <t>Powercor</t>
  </si>
  <si>
    <t>Network resilience</t>
  </si>
  <si>
    <t>Enabling solar exports</t>
  </si>
  <si>
    <t>Communication</t>
  </si>
  <si>
    <t>Information accessibility</t>
  </si>
  <si>
    <t>VCR</t>
  </si>
  <si>
    <t>Customer value of time - residential</t>
  </si>
  <si>
    <t>Customer value of time - business</t>
  </si>
  <si>
    <t>Business:</t>
  </si>
  <si>
    <t xml:space="preserve">Descripton: </t>
  </si>
  <si>
    <t xml:space="preserve">Date of cost inputs: </t>
  </si>
  <si>
    <t>Reliability in worst-served areas</t>
  </si>
  <si>
    <t>Aesthetics</t>
  </si>
  <si>
    <t>SUMMARY</t>
  </si>
  <si>
    <t>Capex</t>
  </si>
  <si>
    <t>Other</t>
  </si>
  <si>
    <t>2026-27</t>
  </si>
  <si>
    <t>2028-29</t>
  </si>
  <si>
    <t>2027-28</t>
  </si>
  <si>
    <t>2029-30</t>
  </si>
  <si>
    <t>Energy</t>
  </si>
  <si>
    <t>Preferred option:</t>
  </si>
  <si>
    <t>Units</t>
  </si>
  <si>
    <t>Dollar inputs - month</t>
  </si>
  <si>
    <t>Dollar inputs - year</t>
  </si>
  <si>
    <t>Preferred Option</t>
  </si>
  <si>
    <t>Expenditure forecast</t>
  </si>
  <si>
    <t>Capital expenditure</t>
  </si>
  <si>
    <t>Operating expenditure</t>
  </si>
  <si>
    <t>Output dollars</t>
  </si>
  <si>
    <t>per minute customer time</t>
  </si>
  <si>
    <t>per customer impacted</t>
  </si>
  <si>
    <t>Actual/forecast CPI (June to June)</t>
  </si>
  <si>
    <t>December</t>
  </si>
  <si>
    <t>CY</t>
  </si>
  <si>
    <t>FY</t>
  </si>
  <si>
    <t>COSTS</t>
  </si>
  <si>
    <t>MWh</t>
  </si>
  <si>
    <t>Business</t>
  </si>
  <si>
    <t>CitiPower</t>
  </si>
  <si>
    <t>United Energy</t>
  </si>
  <si>
    <t>Project</t>
  </si>
  <si>
    <t>June</t>
  </si>
  <si>
    <t>Input dollars</t>
  </si>
  <si>
    <t>2025-26</t>
  </si>
  <si>
    <t>Customers impacted</t>
  </si>
  <si>
    <t>Type</t>
  </si>
  <si>
    <t>- Select -</t>
  </si>
  <si>
    <t>DATA</t>
  </si>
  <si>
    <t>Include</t>
  </si>
  <si>
    <t>per MWh</t>
  </si>
  <si>
    <t>Benefits</t>
  </si>
  <si>
    <t>Other benefits</t>
  </si>
  <si>
    <t>OTHER BENEFITS</t>
  </si>
  <si>
    <t>&lt; Enter description &gt;</t>
  </si>
  <si>
    <t>No change to existing practices</t>
  </si>
  <si>
    <r>
      <t>Reduction in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emissions</t>
    </r>
  </si>
  <si>
    <t>Carbon</t>
  </si>
  <si>
    <t>VCR date</t>
  </si>
  <si>
    <t>$/kWh</t>
  </si>
  <si>
    <t>$/MWh</t>
  </si>
  <si>
    <t>[output_dollars]</t>
  </si>
  <si>
    <t>[start]</t>
  </si>
  <si>
    <t>[real_disc]</t>
  </si>
  <si>
    <t>[vcr_date]</t>
  </si>
  <si>
    <t>Value</t>
  </si>
  <si>
    <t>Asset life (yrs)</t>
  </si>
  <si>
    <t>[input_dollars]</t>
  </si>
  <si>
    <t>Other benefits date</t>
  </si>
  <si>
    <t>[custval_date]</t>
  </si>
  <si>
    <r>
      <t>Value of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reductions</t>
    </r>
  </si>
  <si>
    <t>HY ending</t>
  </si>
  <si>
    <t>FY ending</t>
  </si>
  <si>
    <t>Actual cumulative HY escalation</t>
  </si>
  <si>
    <t>Conversion from input dollars to output dollars</t>
  </si>
  <si>
    <t>per customer</t>
  </si>
  <si>
    <t>per customer minute</t>
  </si>
  <si>
    <t>Options</t>
  </si>
  <si>
    <t>Flag to include</t>
  </si>
  <si>
    <t>Customer minutes</t>
  </si>
  <si>
    <t>Not used</t>
  </si>
  <si>
    <t>Value of benefits</t>
  </si>
  <si>
    <t>Categories</t>
  </si>
  <si>
    <t>DROPDOWN LISTS</t>
  </si>
  <si>
    <t>Short categ</t>
  </si>
  <si>
    <t>PREFERRED OPTION</t>
  </si>
  <si>
    <t>Not used options</t>
  </si>
  <si>
    <t>CONSOLIDATED</t>
  </si>
  <si>
    <t>Annualised capex</t>
  </si>
  <si>
    <t>Count</t>
  </si>
  <si>
    <t>2030-31</t>
  </si>
  <si>
    <t>2031-32</t>
  </si>
  <si>
    <t>Not applicable (compliance)</t>
  </si>
  <si>
    <t xml:space="preserve"> </t>
  </si>
  <si>
    <t>Safety</t>
  </si>
  <si>
    <t>Disproportionate factors applied to various bushfire and other risk valuations</t>
  </si>
  <si>
    <t>Harm to property from network</t>
  </si>
  <si>
    <t>Harm to property from bushfire</t>
  </si>
  <si>
    <t>Harm to environment</t>
  </si>
  <si>
    <t>Safety - Public trespass</t>
  </si>
  <si>
    <r>
      <t xml:space="preserve">Safety from bushfire in </t>
    </r>
    <r>
      <rPr>
        <sz val="8"/>
        <color theme="1"/>
        <rFont val="Calibri"/>
        <family val="2"/>
      </rPr>
      <t>HBRA</t>
    </r>
  </si>
  <si>
    <t>$</t>
  </si>
  <si>
    <t>Bushfire</t>
  </si>
  <si>
    <t>Unserved energy</t>
  </si>
  <si>
    <t>UnRepl</t>
  </si>
  <si>
    <t>Unplanned replacement</t>
  </si>
  <si>
    <t>Fire</t>
  </si>
  <si>
    <t>Defined value</t>
  </si>
  <si>
    <t>Safety - Single fatality or serious injury ^</t>
  </si>
  <si>
    <t>Safety - Multiple fatality or serious injury ^</t>
  </si>
  <si>
    <t>^ Public or employee</t>
  </si>
  <si>
    <t>Safety consequence</t>
  </si>
  <si>
    <t>Environmental consequence</t>
  </si>
  <si>
    <t>Unplanned replacements</t>
  </si>
  <si>
    <t>Other benefits 1</t>
  </si>
  <si>
    <t>Other benefits 2</t>
  </si>
  <si>
    <t>NPV</t>
  </si>
  <si>
    <t>INVESTMENT &amp; OPERATING COST</t>
  </si>
  <si>
    <t>Risks mitigated vs base case</t>
  </si>
  <si>
    <t>Other benefits value</t>
  </si>
  <si>
    <t>Energy at risk (weighted)</t>
  </si>
  <si>
    <t>Energy at risk value</t>
  </si>
  <si>
    <t>Total other benefits</t>
  </si>
  <si>
    <t>$/customer</t>
  </si>
  <si>
    <r>
      <t>Value of CO</t>
    </r>
    <r>
      <rPr>
        <i/>
        <vertAlign val="subscript"/>
        <sz val="7.65"/>
        <color theme="1" tint="0.499984740745262"/>
        <rFont val="Calibri"/>
        <family val="2"/>
      </rPr>
      <t>2</t>
    </r>
    <r>
      <rPr>
        <i/>
        <sz val="9"/>
        <color theme="1" tint="0.499984740745262"/>
        <rFont val="Calibri"/>
        <family val="2"/>
        <scheme val="minor"/>
      </rPr>
      <t xml:space="preserve"> reductions</t>
    </r>
  </si>
  <si>
    <t>Year end</t>
  </si>
  <si>
    <r>
      <t>Value of reduction in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emissions</t>
    </r>
  </si>
  <si>
    <t>OPTION 2</t>
  </si>
  <si>
    <t>Option 2</t>
  </si>
  <si>
    <t>Option 3</t>
  </si>
  <si>
    <t>Option 4</t>
  </si>
  <si>
    <t>OPTION 4</t>
  </si>
  <si>
    <t>OPTION 3</t>
  </si>
  <si>
    <t>CP</t>
  </si>
  <si>
    <t>PA</t>
  </si>
  <si>
    <t>Commercial</t>
  </si>
  <si>
    <t>UE</t>
  </si>
  <si>
    <t>Industrial</t>
  </si>
  <si>
    <t>Agricultural</t>
  </si>
  <si>
    <t>Risk mitigated</t>
  </si>
  <si>
    <t>Domestic</t>
  </si>
  <si>
    <t>Others</t>
  </si>
  <si>
    <t>Total</t>
  </si>
  <si>
    <t>OPTION 1 (base case)</t>
  </si>
  <si>
    <t>Option 1 (base case)</t>
  </si>
  <si>
    <t>Option1</t>
  </si>
  <si>
    <t>Option2</t>
  </si>
  <si>
    <t>Option3</t>
  </si>
  <si>
    <t>Option4</t>
  </si>
  <si>
    <t>Value of statistical life</t>
  </si>
  <si>
    <t>Risks</t>
  </si>
  <si>
    <t>RISK ASSUMPTIONS</t>
  </si>
  <si>
    <t>PoF (major)</t>
  </si>
  <si>
    <t>PoF (reparable)</t>
  </si>
  <si>
    <t>PV</t>
  </si>
  <si>
    <t>Option 5</t>
  </si>
  <si>
    <t>Option5</t>
  </si>
  <si>
    <t>Cumulative capex</t>
  </si>
  <si>
    <t>Total annualised capex</t>
  </si>
  <si>
    <t>CHART</t>
  </si>
  <si>
    <t>RESULTS</t>
  </si>
  <si>
    <t>Conversions</t>
  </si>
  <si>
    <t>thous_conv</t>
  </si>
  <si>
    <t>mill_conv</t>
  </si>
  <si>
    <t>Enter asset life</t>
  </si>
  <si>
    <t>Message</t>
  </si>
  <si>
    <t>Value of injury</t>
  </si>
  <si>
    <t>Probability</t>
  </si>
  <si>
    <t>Safety (fatality)</t>
  </si>
  <si>
    <t>Safety (injury)</t>
  </si>
  <si>
    <t>Major failure (replace)</t>
  </si>
  <si>
    <t>Minor failure (repair)</t>
  </si>
  <si>
    <t>Premium for failure</t>
  </si>
  <si>
    <t>Total risk cost</t>
  </si>
  <si>
    <t>&lt; Other risk - enter description &gt;</t>
  </si>
  <si>
    <t>SAFETY</t>
  </si>
  <si>
    <t>UNPLANNED REPLACEMENT/REPAIR</t>
  </si>
  <si>
    <t>ENVIRONMENTAL</t>
  </si>
  <si>
    <t>CUSTOMER VALUE</t>
  </si>
  <si>
    <t>Safety from bushfire (REFCL declared areas)</t>
  </si>
  <si>
    <t>Safety from bushfire (electric line construction areas)</t>
  </si>
  <si>
    <t>DF selected</t>
  </si>
  <si>
    <t>Incident type</t>
  </si>
  <si>
    <t>Timing &amp; WACC</t>
  </si>
  <si>
    <t>Pre-tax real WACC</t>
  </si>
  <si>
    <t>Description/comment</t>
  </si>
  <si>
    <t>OPTION 5</t>
  </si>
  <si>
    <t>Convert from input dollars</t>
  </si>
  <si>
    <t>To output dollars</t>
  </si>
  <si>
    <t>Net benefits</t>
  </si>
  <si>
    <t>PV of costs</t>
  </si>
  <si>
    <t>PV of benefits</t>
  </si>
  <si>
    <t>Error message</t>
  </si>
  <si>
    <t>Remove inputs prior to start year</t>
  </si>
  <si>
    <t>First year</t>
  </si>
  <si>
    <t>Discount factor</t>
  </si>
  <si>
    <t>Analysis period</t>
  </si>
  <si>
    <t>Analysis period (years)</t>
  </si>
  <si>
    <t>[years]\</t>
  </si>
  <si>
    <t>First capex year</t>
  </si>
  <si>
    <t>Text</t>
  </si>
  <si>
    <t>Option included</t>
  </si>
  <si>
    <t>ESCALATION &amp; OTHER</t>
  </si>
  <si>
    <t>CHART DATA</t>
  </si>
  <si>
    <t>customers</t>
  </si>
  <si>
    <t>$/customer min</t>
  </si>
  <si>
    <t>mins</t>
  </si>
  <si>
    <t>(after DF)</t>
  </si>
  <si>
    <t>!</t>
  </si>
  <si>
    <t>FIRST YEAR</t>
  </si>
  <si>
    <r>
      <t>!!</t>
    </r>
    <r>
      <rPr>
        <b/>
        <sz val="8"/>
        <color theme="1"/>
        <rFont val="Verdana"/>
        <family val="2"/>
      </rPr>
      <t xml:space="preserve">  </t>
    </r>
    <r>
      <rPr>
        <sz val="10"/>
        <color theme="1"/>
        <rFont val="Verdana"/>
        <family val="2"/>
      </rPr>
      <t>Capex asset life required !!</t>
    </r>
  </si>
  <si>
    <t>Convert from VCR date</t>
  </si>
  <si>
    <t>To input dollars</t>
  </si>
  <si>
    <t>VCR escalation</t>
  </si>
  <si>
    <t>2023 VCR ($/MWh)</t>
  </si>
  <si>
    <t>SENSITIVITIES</t>
  </si>
  <si>
    <t>Sensitivities</t>
  </si>
  <si>
    <t>Preferred option</t>
  </si>
  <si>
    <t>None</t>
  </si>
  <si>
    <t>Sensitivity</t>
  </si>
  <si>
    <t>For conditional formatting of preferred option on Summary :</t>
  </si>
  <si>
    <t>SENSITIVITY CALCULATIONS</t>
  </si>
  <si>
    <t>Compliance project</t>
  </si>
  <si>
    <t>Compliance</t>
  </si>
  <si>
    <t>Yes</t>
  </si>
  <si>
    <t>No</t>
  </si>
  <si>
    <t>Flags for compliance project</t>
  </si>
  <si>
    <t>Max</t>
  </si>
  <si>
    <t>Preferred</t>
  </si>
  <si>
    <t>CP:</t>
  </si>
  <si>
    <t>PAL:</t>
  </si>
  <si>
    <t>UE:</t>
  </si>
  <si>
    <t>Capex and risk ($M, 2026)</t>
  </si>
  <si>
    <t>Energy at risk</t>
  </si>
  <si>
    <t>Capex first year</t>
  </si>
  <si>
    <t>2024-25</t>
  </si>
  <si>
    <t>Expenditure starts</t>
  </si>
  <si>
    <t>Start_year</t>
  </si>
  <si>
    <t>Value of expected unserved energy ($M, 2026)</t>
  </si>
  <si>
    <r>
      <t>Value of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reductions input date</t>
    </r>
  </si>
  <si>
    <t>Total benefits</t>
  </si>
  <si>
    <t>Regulatory proposal 2026-31</t>
  </si>
  <si>
    <t>Model number:</t>
  </si>
  <si>
    <t>FLAGS</t>
  </si>
  <si>
    <t>Cust Int Start Time</t>
  </si>
  <si>
    <t>Cust Int End Time</t>
  </si>
  <si>
    <t>Cause</t>
  </si>
  <si>
    <t>SubCause</t>
  </si>
  <si>
    <t>Average reliability (used for energy at risk)</t>
  </si>
  <si>
    <t>Weather</t>
  </si>
  <si>
    <t>Storm activity</t>
  </si>
  <si>
    <t>Annual outage mintues</t>
  </si>
  <si>
    <t>Vegetation</t>
  </si>
  <si>
    <t>Wind</t>
  </si>
  <si>
    <t>Equip Fail</t>
  </si>
  <si>
    <t>Worst served</t>
  </si>
  <si>
    <t>Unknown</t>
  </si>
  <si>
    <t>No Cause Found</t>
  </si>
  <si>
    <t>Annual outage minutes for outages &lt;12h</t>
  </si>
  <si>
    <t>Annual outage minutes for outages &lt;12h exceeding 500 mins</t>
  </si>
  <si>
    <t>04/07/2019  15:17</t>
  </si>
  <si>
    <t>04/07/2019  15:51</t>
  </si>
  <si>
    <t>Third Party</t>
  </si>
  <si>
    <t>Tree clearing</t>
  </si>
  <si>
    <t>Annual outage hours for outages &lt;12h exceeding 500 mins</t>
  </si>
  <si>
    <t>14/07/2019  08:12</t>
  </si>
  <si>
    <t>14/07/2019  09:35</t>
  </si>
  <si>
    <t>Bark/Branch</t>
  </si>
  <si>
    <t>13/08/2019  05:50</t>
  </si>
  <si>
    <t>13/08/2019  06:51</t>
  </si>
  <si>
    <t>Tree Distributor Resp- code compliant</t>
  </si>
  <si>
    <t>12/09/2019  11:29</t>
  </si>
  <si>
    <t>12/09/2019  12:26</t>
  </si>
  <si>
    <t>Isolation for Repair</t>
  </si>
  <si>
    <t>Resilience</t>
  </si>
  <si>
    <t>17/09/2019  08:35</t>
  </si>
  <si>
    <t>17/09/2019  09:13</t>
  </si>
  <si>
    <t>Transformer failure</t>
  </si>
  <si>
    <t>Annual outage minutes for outages &gt;=12h</t>
  </si>
  <si>
    <t>20/12/2019  15:32</t>
  </si>
  <si>
    <t>20/12/2019  18:08</t>
  </si>
  <si>
    <t>Annual outage minutes 12&gt;t&gt;24 hours</t>
  </si>
  <si>
    <t>07/01/2020  07:05</t>
  </si>
  <si>
    <t>07/01/2020  07:46</t>
  </si>
  <si>
    <t>Annual outage minutes &gt;24 hours</t>
  </si>
  <si>
    <t>10/01/2020  13:30</t>
  </si>
  <si>
    <t>10/01/2020  14:18</t>
  </si>
  <si>
    <t>Annual outage minutes &gt;72 hours</t>
  </si>
  <si>
    <t>12/01/2020  17:05</t>
  </si>
  <si>
    <t>12/01/2020  17:29</t>
  </si>
  <si>
    <t>Insulation Failure</t>
  </si>
  <si>
    <t>12/01/2020  17:30</t>
  </si>
  <si>
    <t>12/01/2020  17:39</t>
  </si>
  <si>
    <t>Residential resilience hours at 2x VCR (12-24h)</t>
  </si>
  <si>
    <t>12/01/2020  19:10</t>
  </si>
  <si>
    <t>12/01/2020  19:11</t>
  </si>
  <si>
    <t>Residential resilience hours at 1.5x VCR (&gt;24h)</t>
  </si>
  <si>
    <t>12/01/2020  20:16</t>
  </si>
  <si>
    <t>12/01/2020  20:17</t>
  </si>
  <si>
    <t>15/01/2020  09:13</t>
  </si>
  <si>
    <t>15/01/2020  10:41</t>
  </si>
  <si>
    <t>Business resilience hours at 1.5x VCR (12-24h)</t>
  </si>
  <si>
    <t>22/01/2020  11:34</t>
  </si>
  <si>
    <t>22/01/2020  13:30</t>
  </si>
  <si>
    <t>Business resilience hours at 0.5x VCR (&gt;72 hours)</t>
  </si>
  <si>
    <t>18/02/2020  08:09</t>
  </si>
  <si>
    <t>18/02/2020  08:49</t>
  </si>
  <si>
    <t>Lightning</t>
  </si>
  <si>
    <t>23/04/2020  22:59</t>
  </si>
  <si>
    <t>23/04/2020  23:35</t>
  </si>
  <si>
    <t>23/04/2020  23:43</t>
  </si>
  <si>
    <t>23/04/2020  23:45</t>
  </si>
  <si>
    <t>07/05/2020  02:46</t>
  </si>
  <si>
    <t>07/05/2020  03:05</t>
  </si>
  <si>
    <t>30/05/2020  17:06</t>
  </si>
  <si>
    <t>30/05/2020  17:12</t>
  </si>
  <si>
    <t>08/08/2020  04:43</t>
  </si>
  <si>
    <t>08/08/2020  08:08</t>
  </si>
  <si>
    <t>08/08/2020  09:40</t>
  </si>
  <si>
    <t>08/08/2020  09:43</t>
  </si>
  <si>
    <t>16/10/2020  08:47</t>
  </si>
  <si>
    <t>16/10/2020  09:06</t>
  </si>
  <si>
    <t>29/11/2020  07:06</t>
  </si>
  <si>
    <t>29/11/2020  07:32</t>
  </si>
  <si>
    <t>01/01/2021  19:37</t>
  </si>
  <si>
    <t>01/01/2021  19:40</t>
  </si>
  <si>
    <t>03/01/2021  20:42</t>
  </si>
  <si>
    <t>03/01/2021  21:13</t>
  </si>
  <si>
    <t>11/01/2021  13:09</t>
  </si>
  <si>
    <t>11/01/2021  13:55</t>
  </si>
  <si>
    <t>14/04/2021  03:19</t>
  </si>
  <si>
    <t>14/04/2021  14:23</t>
  </si>
  <si>
    <t>Fire damage</t>
  </si>
  <si>
    <t>21/05/2021  15:02</t>
  </si>
  <si>
    <t>21/05/2021  15:06</t>
  </si>
  <si>
    <t>Vehicle impact</t>
  </si>
  <si>
    <t>14/10/2021  06:15</t>
  </si>
  <si>
    <t>14/10/2021  06:19</t>
  </si>
  <si>
    <t>29/10/2021  05:37</t>
  </si>
  <si>
    <t>29/10/2021  18:38</t>
  </si>
  <si>
    <t>Tree Council Resp- code compliant</t>
  </si>
  <si>
    <t>03/11/2021  16:26</t>
  </si>
  <si>
    <t>03/11/2021  16:35</t>
  </si>
  <si>
    <t>05/01/2022  00:03</t>
  </si>
  <si>
    <t>05/01/2022  00:09</t>
  </si>
  <si>
    <t>26/01/2022  19:33</t>
  </si>
  <si>
    <t>26/01/2022  23:21</t>
  </si>
  <si>
    <t>27/01/2022  19:21</t>
  </si>
  <si>
    <t>27/01/2022  20:47</t>
  </si>
  <si>
    <t>28/01/2022  10:37</t>
  </si>
  <si>
    <t>28/01/2022  11:35</t>
  </si>
  <si>
    <t>28/01/2022  14:46</t>
  </si>
  <si>
    <t>28/01/2022  15:16</t>
  </si>
  <si>
    <t>28/01/2022  15:40</t>
  </si>
  <si>
    <t>28/01/2022  16:38</t>
  </si>
  <si>
    <t>Pole Fire</t>
  </si>
  <si>
    <t>Salt/dust pollution</t>
  </si>
  <si>
    <t>14/03/2022  01:41</t>
  </si>
  <si>
    <t>14/03/2022  01:54</t>
  </si>
  <si>
    <t>01/06/2022  06:49</t>
  </si>
  <si>
    <t>01/06/2022  07:05</t>
  </si>
  <si>
    <t>13/10/2022  16:10</t>
  </si>
  <si>
    <t>13/10/2022  16:14</t>
  </si>
  <si>
    <t>23/10/2022  22:38</t>
  </si>
  <si>
    <t>23/10/2022  23:16</t>
  </si>
  <si>
    <t>28/10/2022  18:32</t>
  </si>
  <si>
    <t>28/10/2022  23:57</t>
  </si>
  <si>
    <t>Conductor Failure</t>
  </si>
  <si>
    <t>29/01/2023  09:00</t>
  </si>
  <si>
    <t>29/01/2023  11:37</t>
  </si>
  <si>
    <t>02/02/2023  15:10</t>
  </si>
  <si>
    <t>02/02/2023  15:42</t>
  </si>
  <si>
    <t>25/06/2023  11:17</t>
  </si>
  <si>
    <t>25/06/2023  11:58</t>
  </si>
  <si>
    <t>08/09/2023  17:06</t>
  </si>
  <si>
    <t>08/09/2023  17:10</t>
  </si>
  <si>
    <t>22/10/2023  15:53</t>
  </si>
  <si>
    <t>22/10/2023  16:05</t>
  </si>
  <si>
    <t>AMI Auto Restore</t>
  </si>
  <si>
    <t>28/10/2023  22:39</t>
  </si>
  <si>
    <t>28/10/2023  23:05</t>
  </si>
  <si>
    <t>26/12/2023  04:23</t>
  </si>
  <si>
    <t>26/12/2023  06:59</t>
  </si>
  <si>
    <t>26/12/2023  09:20</t>
  </si>
  <si>
    <t>26/12/2023  09:24</t>
  </si>
  <si>
    <t>18/01/2024  23:10</t>
  </si>
  <si>
    <t>18/01/2024  23:32</t>
  </si>
  <si>
    <t>09/04/2024  07:40</t>
  </si>
  <si>
    <t>09/04/2024  08:00</t>
  </si>
  <si>
    <t>10/04/2024  05:44</t>
  </si>
  <si>
    <t>10/04/2024  05:51</t>
  </si>
  <si>
    <t>16/04/2024  10:52</t>
  </si>
  <si>
    <t>16/04/2024  11:23</t>
  </si>
  <si>
    <t>12/06/2024  03:22</t>
  </si>
  <si>
    <t>12/06/2024  03:44</t>
  </si>
  <si>
    <t>WORKINGS - RISKS</t>
  </si>
  <si>
    <t>Wind escalated worst served outage minutes</t>
  </si>
  <si>
    <t>Hypothetical wind escalation worst served outage minutes</t>
  </si>
  <si>
    <t>Solar generation demand modifier</t>
  </si>
  <si>
    <t>General outage escalation (% 2046 vs 2026)</t>
  </si>
  <si>
    <t>Average outage duration due to bushfire</t>
  </si>
  <si>
    <t>5 year average historical outages (hours/annum, total)</t>
  </si>
  <si>
    <t>General outage escalator</t>
  </si>
  <si>
    <t>fire risk</t>
  </si>
  <si>
    <t>wind escalation</t>
  </si>
  <si>
    <t>Feeder escalation</t>
  </si>
  <si>
    <t>Ratio to 2022</t>
  </si>
  <si>
    <t>Microgrid average daily demand (MW)</t>
  </si>
  <si>
    <t>BESS size (MWh)</t>
  </si>
  <si>
    <t>Assume 1 charge cycle per day, full charge during solar peak to enable equivalent amount of solar</t>
  </si>
  <si>
    <t>Apollo Bay microgrid</t>
  </si>
  <si>
    <t>Install generator + BESS microgrid</t>
  </si>
  <si>
    <t>Install generator only microgrid</t>
  </si>
  <si>
    <t>Microgrid (exc BESS)</t>
  </si>
  <si>
    <t>BESS</t>
  </si>
  <si>
    <t>Incremental reliability in worst-served areas &gt; 500 mins</t>
  </si>
  <si>
    <t>Incremental network resilience (domestic)</t>
  </si>
  <si>
    <t>Incremental network resilience (commercial)</t>
  </si>
  <si>
    <t>Incremental network resilience (industrial)</t>
  </si>
  <si>
    <t>Incremental network resilience (agricultural)</t>
  </si>
  <si>
    <t>Incremental network resilience (others)</t>
  </si>
  <si>
    <t>Bess lease</t>
  </si>
  <si>
    <t>$/pa</t>
  </si>
  <si>
    <t>Increasing wind escalation</t>
  </si>
  <si>
    <t>Unplanned Cust Int Dur</t>
  </si>
  <si>
    <t>Cust Int Duration</t>
  </si>
  <si>
    <t>No. customers in microgrid</t>
  </si>
  <si>
    <t>Solar corrected microgrid average daily demand (MW)</t>
  </si>
  <si>
    <t>Change for sensitivity</t>
  </si>
  <si>
    <t>Weighted average VCR</t>
  </si>
  <si>
    <t>CLC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</si>
</sst>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_);_(* \(#,##0\);_(* &quot;-&quot;??_);_(@_)"/>
    <numFmt numFmtId="165" formatCode="_-* #,##0_-;* \(#,##0\)_-;_-* &quot;-&quot;??_-;_-@_-"/>
    <numFmt numFmtId="166" formatCode="#,##0_);\(#,##0\);\-\-_)"/>
    <numFmt numFmtId="167" formatCode="#,##0;[Red]\ \-#,##0;\ &quot;-&quot;"/>
    <numFmt numFmtId="168" formatCode="&quot;$&quot;\ mmm\ yyyy"/>
    <numFmt numFmtId="169" formatCode="&quot;$&quot;#,##0.00"/>
    <numFmt numFmtId="170" formatCode="&quot;$&quot;#,##0"/>
    <numFmt numFmtId="171" formatCode="0.000"/>
    <numFmt numFmtId="172" formatCode="mmmm"/>
    <numFmt numFmtId="173" formatCode="#,##0;[Red]\ \(#,##0\);\ &quot;-&quot;"/>
    <numFmt numFmtId="174" formatCode="0.0000"/>
    <numFmt numFmtId="175" formatCode="#,##0.000;[Red]\ \-#,##0.000;\ &quot;-&quot;"/>
    <numFmt numFmtId="176" formatCode="#,##0;[Red]\ \ \-\ #,##0;\ &quot;-&quot;"/>
    <numFmt numFmtId="177" formatCode="#,##0.00;[Red]\ \-#,##0.00;\ &quot;-&quot;"/>
    <numFmt numFmtId="178" formatCode="#,##0.0;[Red]\ \(#,##0.0\);\ &quot;-&quot;"/>
    <numFmt numFmtId="179" formatCode="#,##0.0;[Red]\ \-#,##0.0;\ &quot;-&quot;"/>
    <numFmt numFmtId="180" formatCode="&quot;$&quot;#,##0;\ \-&quot;$&quot;#,##0;\ &quot;-&quot;"/>
    <numFmt numFmtId="181" formatCode="0;\ \-0;\ &quot;&quot;"/>
    <numFmt numFmtId="182" formatCode="#,##0.00000;[Red]\ \-#,##0.00000;\ &quot;-&quot;"/>
    <numFmt numFmtId="183" formatCode="0;\ \-0;\ &quot;-&quot;"/>
    <numFmt numFmtId="184" formatCode="#,##0.000000;\ \-#,##0.000000;\ &quot;-&quot;"/>
    <numFmt numFmtId="185" formatCode="#,##0;\ \-#,##0;\ &quot;-&quot;"/>
    <numFmt numFmtId="186" formatCode="&quot;year &quot;#"/>
    <numFmt numFmtId="187" formatCode="#,##0.0000000;[Red]\ \-#,##0.0000000;\ &quot;-&quot;"/>
    <numFmt numFmtId="188" formatCode="&quot;$&quot;&quot;m&quot;\ mmm\ yyyy"/>
    <numFmt numFmtId="189" formatCode="\+0%;[Red]\ \ \-0%;\ &quot;-&quot;"/>
    <numFmt numFmtId="190" formatCode="#,##0.00_ ;[Red]\-#,##0.00\ "/>
    <numFmt numFmtId="191" formatCode="#,##0.0;[Red]\ \-#,##0.0;\ &quot;&quot;"/>
    <numFmt numFmtId="192" formatCode="0.000000000000000"/>
    <numFmt numFmtId="193" formatCode="0%;[Red]\ \ \-0%;\ &quot;-&quot;"/>
    <numFmt numFmtId="194" formatCode="dd\ mmmm\ yyyy"/>
    <numFmt numFmtId="195" formatCode="mmm\ yyyy"/>
    <numFmt numFmtId="196" formatCode="0.0"/>
  </numFmts>
  <fonts count="96" x14ac:knownFonts="1">
    <font>
      <sz val="10"/>
      <color theme="1"/>
      <name val="Verdana"/>
      <family val="2"/>
    </font>
    <font>
      <sz val="10"/>
      <color theme="3"/>
      <name val="Arial"/>
      <family val="2"/>
    </font>
    <font>
      <sz val="11"/>
      <color theme="1"/>
      <name val="Arial"/>
      <family val="2"/>
    </font>
    <font>
      <sz val="10"/>
      <color theme="0" tint="-0.3499862666707357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9" tint="-0.499984740745262"/>
      <name val="Arial"/>
      <family val="2"/>
    </font>
    <font>
      <sz val="10"/>
      <color theme="0"/>
      <name val="Arial"/>
      <family val="2"/>
    </font>
    <font>
      <sz val="10"/>
      <color theme="0" tint="-0.499984740745262"/>
      <name val="Arial"/>
      <family val="2"/>
    </font>
    <font>
      <i/>
      <sz val="10"/>
      <color theme="0" tint="-0.34998626667073579"/>
      <name val="Arial"/>
      <family val="2"/>
    </font>
    <font>
      <b/>
      <sz val="14"/>
      <color indexed="9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"/>
      <name val="Arial"/>
      <family val="2"/>
    </font>
    <font>
      <b/>
      <sz val="12"/>
      <color indexed="9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4"/>
      <color indexed="9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3333FF"/>
      <name val="Calibri"/>
      <family val="2"/>
      <scheme val="minor"/>
    </font>
    <font>
      <sz val="8"/>
      <color rgb="FF767676"/>
      <name val="Arial"/>
      <family val="2"/>
    </font>
    <font>
      <vertAlign val="subscript"/>
      <sz val="8.5"/>
      <color theme="1"/>
      <name val="Calibri"/>
      <family val="2"/>
    </font>
    <font>
      <b/>
      <sz val="10"/>
      <color rgb="FF000000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indexed="9"/>
      <name val="Calibri"/>
      <family val="2"/>
    </font>
    <font>
      <sz val="10"/>
      <color rgb="FF0000CC"/>
      <name val="Calibri"/>
      <family val="2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3333FF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i/>
      <sz val="9"/>
      <color theme="1" tint="0.499984740745262"/>
      <name val="Calibri"/>
      <family val="2"/>
      <scheme val="minor"/>
    </font>
    <font>
      <b/>
      <i/>
      <sz val="9"/>
      <color theme="1" tint="0.499984740745262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indexed="9"/>
      <name val="Calibri"/>
      <family val="2"/>
      <scheme val="minor"/>
    </font>
    <font>
      <i/>
      <sz val="10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i/>
      <sz val="8"/>
      <color theme="1" tint="0.499984740745262"/>
      <name val="Calibri"/>
      <family val="2"/>
      <scheme val="minor"/>
    </font>
    <font>
      <sz val="10"/>
      <color theme="1" tint="0.14999847407452621"/>
      <name val="Calibri"/>
      <family val="2"/>
      <scheme val="minor"/>
    </font>
    <font>
      <i/>
      <sz val="9"/>
      <name val="Calibri"/>
      <family val="2"/>
      <scheme val="minor"/>
    </font>
    <font>
      <b/>
      <sz val="10"/>
      <color theme="1"/>
      <name val="Verdana"/>
      <family val="2"/>
    </font>
    <font>
      <b/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8"/>
      <color theme="1"/>
      <name val="Calibri"/>
      <family val="2"/>
    </font>
    <font>
      <i/>
      <vertAlign val="subscript"/>
      <sz val="7.65"/>
      <color theme="1" tint="0.499984740745262"/>
      <name val="Calibri"/>
      <family val="2"/>
    </font>
    <font>
      <sz val="10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8"/>
      <color theme="1"/>
      <name val="Verdana"/>
      <family val="2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theme="1"/>
      <name val="Verdana"/>
      <family val="2"/>
    </font>
    <font>
      <b/>
      <sz val="10"/>
      <color theme="5"/>
      <name val="Calibri"/>
      <family val="2"/>
      <scheme val="minor"/>
    </font>
    <font>
      <sz val="8"/>
      <name val="Calibri"/>
      <family val="2"/>
      <scheme val="minor"/>
    </font>
    <font>
      <b/>
      <sz val="8"/>
      <color indexed="9"/>
      <name val="Calibri"/>
      <family val="2"/>
    </font>
    <font>
      <i/>
      <sz val="10"/>
      <color rgb="FF000000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name val="Verdana"/>
      <family val="2"/>
    </font>
    <font>
      <sz val="10"/>
      <color theme="1"/>
      <name val="Verdana"/>
      <family val="2"/>
    </font>
    <font>
      <i/>
      <sz val="9"/>
      <color theme="1"/>
      <name val="Calibri"/>
      <family val="2"/>
      <scheme val="minor"/>
    </font>
    <font>
      <i/>
      <sz val="9"/>
      <color theme="1" tint="0.34998626667073579"/>
      <name val="Calibri"/>
      <family val="2"/>
      <scheme val="minor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  <font>
      <sz val="10"/>
      <color indexed="9"/>
      <name val="Calibri"/>
      <family val="2"/>
    </font>
    <font>
      <sz val="8"/>
      <name val="Arial"/>
      <family val="2"/>
    </font>
    <font>
      <b/>
      <sz val="14"/>
      <color theme="1"/>
      <name val="Calibri"/>
      <family val="2"/>
    </font>
    <font>
      <b/>
      <sz val="10"/>
      <name val="Calibri"/>
      <family val="2"/>
    </font>
    <font>
      <sz val="8"/>
      <color rgb="FFFFFFFF"/>
      <name val="Calibri"/>
      <family val="2"/>
      <scheme val="minor"/>
    </font>
    <font>
      <i/>
      <sz val="10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lightUp">
        <fgColor theme="0" tint="-0.34998626667073579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3366"/>
        <bgColor indexed="64"/>
      </patternFill>
    </fill>
    <fill>
      <patternFill patternType="solid">
        <fgColor rgb="FF0054A8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215B"/>
        <bgColor indexed="64"/>
      </patternFill>
    </fill>
    <fill>
      <patternFill patternType="solid">
        <fgColor indexed="49"/>
      </patternFill>
    </fill>
    <fill>
      <patternFill patternType="solid">
        <fgColor rgb="FFCC3300"/>
        <bgColor indexed="64"/>
      </patternFill>
    </fill>
  </fills>
  <borders count="20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ck">
        <color theme="0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4">
    <xf numFmtId="0" fontId="0" fillId="0" borderId="0"/>
    <xf numFmtId="0" fontId="5" fillId="0" borderId="0"/>
    <xf numFmtId="0" fontId="1" fillId="2" borderId="1" applyNumberFormat="0" applyAlignment="0">
      <alignment horizontal="right"/>
      <protection locked="0"/>
    </xf>
    <xf numFmtId="164" fontId="2" fillId="0" borderId="0" applyFont="0" applyFill="0" applyBorder="0" applyAlignment="0" applyProtection="0"/>
    <xf numFmtId="165" fontId="3" fillId="3" borderId="2" applyAlignment="0"/>
    <xf numFmtId="0" fontId="13" fillId="0" borderId="0" applyNumberFormat="0"/>
    <xf numFmtId="0" fontId="4" fillId="0" borderId="3" applyNumberFormat="0" applyAlignment="0"/>
    <xf numFmtId="0" fontId="2" fillId="0" borderId="4" applyNumberFormat="0" applyFont="0" applyFill="0" applyAlignment="0"/>
    <xf numFmtId="0" fontId="4" fillId="0" borderId="0"/>
    <xf numFmtId="0" fontId="5" fillId="1" borderId="0"/>
    <xf numFmtId="0" fontId="6" fillId="4" borderId="5" applyNumberFormat="0" applyAlignment="0"/>
    <xf numFmtId="0" fontId="7" fillId="5" borderId="3" applyNumberFormat="0">
      <alignment horizontal="centerContinuous" vertical="center" wrapText="1"/>
    </xf>
    <xf numFmtId="0" fontId="8" fillId="4" borderId="6" applyNumberFormat="0" applyAlignment="0"/>
    <xf numFmtId="0" fontId="9" fillId="0" borderId="0" applyNumberFormat="0"/>
    <xf numFmtId="0" fontId="11" fillId="7" borderId="0"/>
    <xf numFmtId="0" fontId="12" fillId="0" borderId="0"/>
    <xf numFmtId="166" fontId="10" fillId="6" borderId="0"/>
    <xf numFmtId="166" fontId="14" fillId="6" borderId="0"/>
    <xf numFmtId="0" fontId="15" fillId="0" borderId="0"/>
    <xf numFmtId="9" fontId="18" fillId="0" borderId="0" applyFont="0" applyFill="0" applyBorder="0" applyAlignment="0" applyProtection="0"/>
    <xf numFmtId="0" fontId="18" fillId="0" borderId="0"/>
    <xf numFmtId="0" fontId="28" fillId="9" borderId="0" applyNumberFormat="0">
      <alignment horizontal="center"/>
    </xf>
    <xf numFmtId="170" fontId="21" fillId="0" borderId="8" applyNumberFormat="0" applyProtection="0">
      <alignment horizontal="right"/>
    </xf>
    <xf numFmtId="10" fontId="27" fillId="2" borderId="0" applyNumberFormat="0" applyAlignment="0" applyProtection="0"/>
    <xf numFmtId="10" fontId="47" fillId="12" borderId="0" applyNumberFormat="0" applyBorder="0" applyAlignment="0" applyProtection="0"/>
    <xf numFmtId="0" fontId="4" fillId="0" borderId="0"/>
    <xf numFmtId="0" fontId="77" fillId="0" borderId="0"/>
    <xf numFmtId="9" fontId="77" fillId="0" borderId="0" applyFont="0" applyFill="0" applyBorder="0" applyAlignment="0" applyProtection="0"/>
    <xf numFmtId="0" fontId="18" fillId="0" borderId="0"/>
    <xf numFmtId="44" fontId="77" fillId="0" borderId="0" applyFont="0" applyFill="0" applyBorder="0" applyAlignment="0" applyProtection="0"/>
    <xf numFmtId="43" fontId="77" fillId="0" borderId="0" applyFont="0" applyFill="0" applyBorder="0" applyAlignment="0" applyProtection="0"/>
    <xf numFmtId="4" fontId="91" fillId="17" borderId="16" applyNumberFormat="0" applyProtection="0">
      <alignment horizontal="left" vertical="center" indent="1"/>
    </xf>
    <xf numFmtId="4" fontId="91" fillId="17" borderId="16" applyNumberFormat="0" applyProtection="0">
      <alignment horizontal="left" vertical="center" indent="1"/>
    </xf>
    <xf numFmtId="4" fontId="91" fillId="0" borderId="16" applyNumberFormat="0" applyProtection="0">
      <alignment horizontal="right" vertical="center"/>
    </xf>
  </cellStyleXfs>
  <cellXfs count="377">
    <xf numFmtId="0" fontId="0" fillId="0" borderId="0" xfId="0"/>
    <xf numFmtId="0" fontId="15" fillId="0" borderId="0" xfId="18"/>
    <xf numFmtId="0" fontId="15" fillId="0" borderId="0" xfId="18" applyAlignment="1">
      <alignment horizontal="right"/>
    </xf>
    <xf numFmtId="0" fontId="17" fillId="0" borderId="0" xfId="18" applyFont="1"/>
    <xf numFmtId="0" fontId="16" fillId="0" borderId="0" xfId="18" applyFont="1" applyAlignment="1">
      <alignment vertical="center"/>
    </xf>
    <xf numFmtId="0" fontId="20" fillId="0" borderId="0" xfId="18" applyFont="1"/>
    <xf numFmtId="0" fontId="15" fillId="0" borderId="0" xfId="18" applyFont="1"/>
    <xf numFmtId="0" fontId="15" fillId="0" borderId="0" xfId="18" applyFont="1" applyAlignment="1">
      <alignment horizontal="right"/>
    </xf>
    <xf numFmtId="0" fontId="15" fillId="0" borderId="0" xfId="0" applyFont="1"/>
    <xf numFmtId="0" fontId="22" fillId="0" borderId="0" xfId="8" applyFont="1" applyFill="1" applyBorder="1"/>
    <xf numFmtId="0" fontId="23" fillId="0" borderId="0" xfId="0" applyFont="1"/>
    <xf numFmtId="166" fontId="25" fillId="8" borderId="0" xfId="16" applyFont="1" applyFill="1"/>
    <xf numFmtId="0" fontId="15" fillId="0" borderId="0" xfId="18" applyAlignment="1">
      <alignment horizontal="left"/>
    </xf>
    <xf numFmtId="0" fontId="27" fillId="2" borderId="0" xfId="0" applyFont="1" applyFill="1"/>
    <xf numFmtId="0" fontId="17" fillId="0" borderId="0" xfId="0" applyFont="1"/>
    <xf numFmtId="166" fontId="25" fillId="10" borderId="0" xfId="16" applyFont="1" applyFill="1"/>
    <xf numFmtId="0" fontId="19" fillId="11" borderId="0" xfId="18" applyFont="1" applyFill="1" applyAlignment="1">
      <alignment vertical="center"/>
    </xf>
    <xf numFmtId="0" fontId="19" fillId="11" borderId="0" xfId="18" applyFont="1" applyFill="1" applyAlignment="1">
      <alignment horizontal="right" vertical="center"/>
    </xf>
    <xf numFmtId="0" fontId="24" fillId="11" borderId="0" xfId="18" applyFont="1" applyFill="1" applyAlignment="1">
      <alignment vertical="center"/>
    </xf>
    <xf numFmtId="166" fontId="31" fillId="10" borderId="0" xfId="16" applyFont="1" applyFill="1"/>
    <xf numFmtId="166" fontId="32" fillId="10" borderId="0" xfId="16" applyFont="1" applyFill="1" applyAlignment="1">
      <alignment horizontal="right"/>
    </xf>
    <xf numFmtId="0" fontId="15" fillId="0" borderId="0" xfId="0" applyFont="1" applyAlignment="1">
      <alignment horizontal="left"/>
    </xf>
    <xf numFmtId="0" fontId="21" fillId="0" borderId="0" xfId="18" applyFont="1"/>
    <xf numFmtId="0" fontId="15" fillId="2" borderId="0" xfId="0" applyFont="1" applyFill="1"/>
    <xf numFmtId="172" fontId="15" fillId="0" borderId="0" xfId="0" applyNumberFormat="1" applyFont="1"/>
    <xf numFmtId="172" fontId="15" fillId="2" borderId="0" xfId="0" applyNumberFormat="1" applyFont="1" applyFill="1" applyAlignment="1">
      <alignment horizontal="left"/>
    </xf>
    <xf numFmtId="0" fontId="17" fillId="0" borderId="0" xfId="18" applyFont="1" applyAlignment="1">
      <alignment horizontal="left"/>
    </xf>
    <xf numFmtId="0" fontId="15" fillId="2" borderId="0" xfId="0" quotePrefix="1" applyFont="1" applyFill="1"/>
    <xf numFmtId="0" fontId="15" fillId="0" borderId="0" xfId="18" applyFont="1" applyAlignment="1">
      <alignment horizontal="left"/>
    </xf>
    <xf numFmtId="0" fontId="17" fillId="0" borderId="7" xfId="18" applyFont="1" applyBorder="1" applyAlignment="1">
      <alignment horizontal="left"/>
    </xf>
    <xf numFmtId="0" fontId="17" fillId="0" borderId="7" xfId="18" applyFont="1" applyBorder="1"/>
    <xf numFmtId="167" fontId="16" fillId="0" borderId="0" xfId="18" applyNumberFormat="1" applyFont="1" applyFill="1" applyBorder="1" applyAlignment="1">
      <alignment horizontal="right" vertical="center"/>
    </xf>
    <xf numFmtId="167" fontId="27" fillId="2" borderId="8" xfId="18" applyNumberFormat="1" applyFont="1" applyFill="1" applyBorder="1" applyAlignment="1">
      <alignment horizontal="right" vertical="center"/>
    </xf>
    <xf numFmtId="0" fontId="34" fillId="0" borderId="0" xfId="8" applyFont="1" applyFill="1"/>
    <xf numFmtId="0" fontId="35" fillId="0" borderId="0" xfId="18" applyFont="1"/>
    <xf numFmtId="0" fontId="34" fillId="0" borderId="0" xfId="8" applyFont="1" applyFill="1" applyBorder="1"/>
    <xf numFmtId="0" fontId="15" fillId="13" borderId="4" xfId="18" applyFont="1" applyFill="1" applyBorder="1" applyAlignment="1">
      <alignment horizontal="left"/>
    </xf>
    <xf numFmtId="1" fontId="27" fillId="2" borderId="0" xfId="18" quotePrefix="1" applyNumberFormat="1" applyFont="1" applyFill="1" applyAlignment="1">
      <alignment horizontal="center"/>
    </xf>
    <xf numFmtId="166" fontId="38" fillId="0" borderId="0" xfId="18" applyNumberFormat="1" applyFont="1" applyAlignment="1">
      <alignment horizontal="left"/>
    </xf>
    <xf numFmtId="0" fontId="17" fillId="0" borderId="0" xfId="18" applyFont="1" applyBorder="1"/>
    <xf numFmtId="10" fontId="27" fillId="2" borderId="0" xfId="23" applyNumberFormat="1"/>
    <xf numFmtId="0" fontId="21" fillId="0" borderId="0" xfId="18" applyFont="1" applyBorder="1"/>
    <xf numFmtId="171" fontId="33" fillId="2" borderId="0" xfId="18" applyNumberFormat="1" applyFont="1" applyFill="1" applyBorder="1" applyAlignment="1">
      <alignment horizontal="right"/>
    </xf>
    <xf numFmtId="14" fontId="15" fillId="0" borderId="0" xfId="0" applyNumberFormat="1" applyFont="1"/>
    <xf numFmtId="1" fontId="15" fillId="2" borderId="0" xfId="0" applyNumberFormat="1" applyFont="1" applyFill="1" applyAlignment="1">
      <alignment horizontal="left"/>
    </xf>
    <xf numFmtId="14" fontId="17" fillId="0" borderId="7" xfId="18" applyNumberFormat="1" applyFont="1" applyBorder="1"/>
    <xf numFmtId="0" fontId="40" fillId="0" borderId="7" xfId="18" quotePrefix="1" applyFont="1" applyBorder="1" applyAlignment="1">
      <alignment horizontal="left"/>
    </xf>
    <xf numFmtId="14" fontId="37" fillId="2" borderId="7" xfId="23" applyNumberFormat="1" applyFont="1" applyBorder="1"/>
    <xf numFmtId="166" fontId="25" fillId="10" borderId="0" xfId="16" applyFont="1" applyFill="1" applyAlignment="1">
      <alignment horizontal="left"/>
    </xf>
    <xf numFmtId="0" fontId="0" fillId="0" borderId="0" xfId="0" applyAlignment="1">
      <alignment horizontal="left"/>
    </xf>
    <xf numFmtId="168" fontId="30" fillId="0" borderId="7" xfId="18" applyNumberFormat="1" applyFont="1" applyBorder="1" applyAlignment="1">
      <alignment horizontal="left" vertical="center"/>
    </xf>
    <xf numFmtId="0" fontId="21" fillId="0" borderId="0" xfId="18" applyFont="1" applyAlignment="1">
      <alignment horizontal="left"/>
    </xf>
    <xf numFmtId="167" fontId="30" fillId="0" borderId="4" xfId="18" applyNumberFormat="1" applyFont="1" applyFill="1" applyBorder="1" applyAlignment="1">
      <alignment horizontal="right" vertical="center"/>
    </xf>
    <xf numFmtId="0" fontId="17" fillId="0" borderId="7" xfId="0" applyFont="1" applyBorder="1"/>
    <xf numFmtId="168" fontId="41" fillId="10" borderId="0" xfId="18" applyNumberFormat="1" applyFont="1" applyFill="1" applyAlignment="1">
      <alignment horizontal="center" vertical="center"/>
    </xf>
    <xf numFmtId="0" fontId="17" fillId="0" borderId="7" xfId="0" applyFont="1" applyBorder="1" applyAlignment="1">
      <alignment horizontal="right"/>
    </xf>
    <xf numFmtId="166" fontId="42" fillId="10" borderId="0" xfId="16" applyFont="1" applyFill="1"/>
    <xf numFmtId="0" fontId="27" fillId="2" borderId="0" xfId="18" applyFont="1" applyFill="1" applyAlignment="1">
      <alignment horizontal="left"/>
    </xf>
    <xf numFmtId="167" fontId="16" fillId="0" borderId="0" xfId="18" applyNumberFormat="1" applyFont="1" applyFill="1" applyBorder="1" applyAlignment="1">
      <alignment horizontal="left" vertical="center"/>
    </xf>
    <xf numFmtId="0" fontId="15" fillId="0" borderId="7" xfId="0" applyFont="1" applyBorder="1"/>
    <xf numFmtId="172" fontId="27" fillId="2" borderId="9" xfId="18" quotePrefix="1" applyNumberFormat="1" applyFont="1" applyFill="1" applyBorder="1" applyAlignment="1">
      <alignment horizontal="left"/>
    </xf>
    <xf numFmtId="0" fontId="16" fillId="0" borderId="0" xfId="18" applyFont="1" applyAlignment="1">
      <alignment horizontal="left" vertical="top"/>
    </xf>
    <xf numFmtId="168" fontId="15" fillId="0" borderId="0" xfId="18" applyNumberFormat="1" applyFill="1" applyAlignment="1">
      <alignment horizontal="left"/>
    </xf>
    <xf numFmtId="172" fontId="15" fillId="2" borderId="0" xfId="0" quotePrefix="1" applyNumberFormat="1" applyFont="1" applyFill="1" applyAlignment="1">
      <alignment horizontal="left"/>
    </xf>
    <xf numFmtId="0" fontId="15" fillId="0" borderId="0" xfId="18" applyBorder="1"/>
    <xf numFmtId="0" fontId="45" fillId="0" borderId="0" xfId="0" applyFont="1" applyAlignment="1">
      <alignment horizontal="right"/>
    </xf>
    <xf numFmtId="0" fontId="43" fillId="0" borderId="0" xfId="0" applyFont="1" applyAlignment="1">
      <alignment horizontal="left" indent="1"/>
    </xf>
    <xf numFmtId="168" fontId="21" fillId="0" borderId="8" xfId="22" applyNumberFormat="1" applyAlignment="1">
      <alignment horizontal="right"/>
    </xf>
    <xf numFmtId="0" fontId="46" fillId="0" borderId="0" xfId="18" quotePrefix="1" applyFont="1" applyAlignment="1">
      <alignment horizontal="left"/>
    </xf>
    <xf numFmtId="168" fontId="44" fillId="0" borderId="0" xfId="23" applyNumberFormat="1" applyFont="1" applyFill="1" applyAlignment="1">
      <alignment horizontal="right"/>
    </xf>
    <xf numFmtId="0" fontId="17" fillId="0" borderId="7" xfId="18" applyFont="1" applyBorder="1" applyAlignment="1">
      <alignment horizontal="right"/>
    </xf>
    <xf numFmtId="0" fontId="44" fillId="0" borderId="0" xfId="18" applyFont="1" applyAlignment="1">
      <alignment horizontal="left" indent="1"/>
    </xf>
    <xf numFmtId="0" fontId="15" fillId="0" borderId="0" xfId="18" applyAlignment="1">
      <alignment horizontal="left" vertical="top" wrapText="1"/>
    </xf>
    <xf numFmtId="0" fontId="17" fillId="0" borderId="7" xfId="18" applyFont="1" applyBorder="1" applyAlignment="1">
      <alignment horizontal="left" vertical="top"/>
    </xf>
    <xf numFmtId="0" fontId="15" fillId="0" borderId="7" xfId="18" applyBorder="1" applyAlignment="1">
      <alignment horizontal="left" vertical="top"/>
    </xf>
    <xf numFmtId="0" fontId="17" fillId="0" borderId="0" xfId="0" applyFont="1" applyFill="1" applyBorder="1" applyAlignment="1"/>
    <xf numFmtId="14" fontId="15" fillId="0" borderId="0" xfId="18" applyNumberFormat="1" applyFont="1" applyBorder="1"/>
    <xf numFmtId="14" fontId="15" fillId="0" borderId="7" xfId="18" applyNumberFormat="1" applyFont="1" applyBorder="1"/>
    <xf numFmtId="14" fontId="27" fillId="2" borderId="0" xfId="18" applyNumberFormat="1" applyFont="1" applyFill="1" applyBorder="1"/>
    <xf numFmtId="10" fontId="34" fillId="0" borderId="0" xfId="23" applyNumberFormat="1" applyFont="1" applyFill="1"/>
    <xf numFmtId="0" fontId="21" fillId="0" borderId="0" xfId="18" applyFont="1" applyFill="1"/>
    <xf numFmtId="0" fontId="21" fillId="0" borderId="0" xfId="18" applyFont="1" applyFill="1" applyBorder="1"/>
    <xf numFmtId="0" fontId="26" fillId="0" borderId="0" xfId="0" applyFont="1"/>
    <xf numFmtId="166" fontId="31" fillId="10" borderId="0" xfId="16" applyFont="1" applyFill="1" applyAlignment="1">
      <alignment horizontal="center"/>
    </xf>
    <xf numFmtId="0" fontId="23" fillId="0" borderId="0" xfId="0" applyFont="1" applyAlignment="1">
      <alignment horizontal="center"/>
    </xf>
    <xf numFmtId="176" fontId="16" fillId="0" borderId="0" xfId="18" applyNumberFormat="1" applyFont="1" applyFill="1" applyBorder="1" applyAlignment="1">
      <alignment horizontal="right" vertical="center"/>
    </xf>
    <xf numFmtId="49" fontId="15" fillId="2" borderId="0" xfId="0" applyNumberFormat="1" applyFont="1" applyFill="1" applyAlignment="1">
      <alignment horizontal="left"/>
    </xf>
    <xf numFmtId="0" fontId="15" fillId="0" borderId="0" xfId="0" applyNumberFormat="1" applyFont="1" applyFill="1" applyAlignment="1">
      <alignment horizontal="left"/>
    </xf>
    <xf numFmtId="0" fontId="50" fillId="0" borderId="7" xfId="18" applyFont="1" applyBorder="1"/>
    <xf numFmtId="0" fontId="51" fillId="0" borderId="7" xfId="18" applyFont="1" applyFill="1" applyBorder="1" applyAlignment="1">
      <alignment vertical="center"/>
    </xf>
    <xf numFmtId="0" fontId="36" fillId="0" borderId="7" xfId="18" applyFont="1" applyFill="1" applyBorder="1" applyAlignment="1">
      <alignment vertical="center"/>
    </xf>
    <xf numFmtId="0" fontId="15" fillId="0" borderId="0" xfId="18" applyFont="1" applyFill="1" applyAlignment="1">
      <alignment horizontal="left" vertical="top" wrapText="1"/>
    </xf>
    <xf numFmtId="173" fontId="15" fillId="0" borderId="0" xfId="18" applyNumberFormat="1" applyFont="1" applyAlignment="1"/>
    <xf numFmtId="0" fontId="21" fillId="13" borderId="8" xfId="22" applyNumberFormat="1" applyFill="1" applyAlignment="1">
      <alignment horizontal="left"/>
    </xf>
    <xf numFmtId="0" fontId="52" fillId="0" borderId="0" xfId="18" applyFont="1"/>
    <xf numFmtId="167" fontId="34" fillId="2" borderId="0" xfId="18" applyNumberFormat="1" applyFont="1" applyFill="1" applyBorder="1" applyAlignment="1">
      <alignment horizontal="right" vertical="center"/>
    </xf>
    <xf numFmtId="177" fontId="34" fillId="2" borderId="0" xfId="18" applyNumberFormat="1" applyFont="1" applyFill="1" applyBorder="1" applyAlignment="1">
      <alignment horizontal="right" vertical="center"/>
    </xf>
    <xf numFmtId="173" fontId="16" fillId="0" borderId="0" xfId="18" applyNumberFormat="1" applyFont="1" applyFill="1" applyBorder="1" applyAlignment="1">
      <alignment horizontal="right" vertical="center"/>
    </xf>
    <xf numFmtId="0" fontId="39" fillId="0" borderId="0" xfId="8" applyFont="1" applyFill="1" applyBorder="1"/>
    <xf numFmtId="175" fontId="45" fillId="0" borderId="0" xfId="18" applyNumberFormat="1" applyFont="1" applyFill="1" applyBorder="1" applyAlignment="1">
      <alignment horizontal="right" vertical="center"/>
    </xf>
    <xf numFmtId="0" fontId="39" fillId="0" borderId="0" xfId="8" applyFont="1" applyFill="1" applyBorder="1" applyAlignment="1">
      <alignment horizontal="center"/>
    </xf>
    <xf numFmtId="0" fontId="45" fillId="0" borderId="0" xfId="18" applyFont="1" applyAlignment="1">
      <alignment horizontal="right"/>
    </xf>
    <xf numFmtId="49" fontId="15" fillId="0" borderId="0" xfId="0" applyNumberFormat="1" applyFont="1"/>
    <xf numFmtId="178" fontId="15" fillId="0" borderId="0" xfId="18" applyNumberFormat="1" applyFont="1" applyFill="1" applyAlignment="1">
      <alignment vertical="top" wrapText="1"/>
    </xf>
    <xf numFmtId="178" fontId="16" fillId="13" borderId="0" xfId="18" applyNumberFormat="1" applyFont="1" applyFill="1" applyBorder="1" applyAlignment="1">
      <alignment horizontal="right" vertical="center"/>
    </xf>
    <xf numFmtId="179" fontId="16" fillId="0" borderId="0" xfId="18" applyNumberFormat="1" applyFont="1" applyFill="1" applyBorder="1" applyAlignment="1">
      <alignment horizontal="right" vertical="center"/>
    </xf>
    <xf numFmtId="176" fontId="30" fillId="0" borderId="0" xfId="18" applyNumberFormat="1" applyFont="1" applyFill="1" applyBorder="1" applyAlignment="1">
      <alignment horizontal="right" vertical="center"/>
    </xf>
    <xf numFmtId="0" fontId="49" fillId="0" borderId="0" xfId="0" applyFont="1"/>
    <xf numFmtId="167" fontId="30" fillId="0" borderId="0" xfId="18" applyNumberFormat="1" applyFont="1" applyFill="1" applyBorder="1" applyAlignment="1">
      <alignment horizontal="right" vertical="center"/>
    </xf>
    <xf numFmtId="166" fontId="38" fillId="0" borderId="4" xfId="18" applyNumberFormat="1" applyFont="1" applyBorder="1" applyAlignment="1">
      <alignment horizontal="left"/>
    </xf>
    <xf numFmtId="0" fontId="15" fillId="0" borderId="4" xfId="18" applyBorder="1"/>
    <xf numFmtId="0" fontId="51" fillId="0" borderId="0" xfId="18" applyFont="1" applyFill="1" applyBorder="1" applyAlignment="1">
      <alignment vertical="center"/>
    </xf>
    <xf numFmtId="169" fontId="21" fillId="0" borderId="8" xfId="22" applyNumberFormat="1" applyAlignment="1">
      <alignment horizontal="right"/>
    </xf>
    <xf numFmtId="170" fontId="21" fillId="0" borderId="8" xfId="22" applyNumberFormat="1" applyAlignment="1">
      <alignment horizontal="right"/>
    </xf>
    <xf numFmtId="0" fontId="34" fillId="0" borderId="0" xfId="8" applyFont="1"/>
    <xf numFmtId="0" fontId="48" fillId="0" borderId="0" xfId="8" applyFont="1"/>
    <xf numFmtId="0" fontId="39" fillId="0" borderId="0" xfId="8" applyFont="1"/>
    <xf numFmtId="175" fontId="45" fillId="0" borderId="0" xfId="18" applyNumberFormat="1" applyFont="1" applyAlignment="1">
      <alignment horizontal="right" vertical="center"/>
    </xf>
    <xf numFmtId="0" fontId="22" fillId="0" borderId="0" xfId="8" applyFont="1"/>
    <xf numFmtId="167" fontId="16" fillId="0" borderId="0" xfId="18" applyNumberFormat="1" applyFont="1" applyAlignment="1">
      <alignment horizontal="right" vertical="center"/>
    </xf>
    <xf numFmtId="0" fontId="51" fillId="0" borderId="7" xfId="18" applyFont="1" applyBorder="1" applyAlignment="1">
      <alignment vertical="center"/>
    </xf>
    <xf numFmtId="0" fontId="36" fillId="0" borderId="7" xfId="18" applyFont="1" applyBorder="1" applyAlignment="1">
      <alignment vertical="center"/>
    </xf>
    <xf numFmtId="0" fontId="36" fillId="0" borderId="7" xfId="18" applyFont="1" applyBorder="1" applyAlignment="1">
      <alignment horizontal="right" vertical="center"/>
    </xf>
    <xf numFmtId="167" fontId="16" fillId="0" borderId="0" xfId="18" applyNumberFormat="1" applyFont="1" applyAlignment="1">
      <alignment horizontal="left" vertical="center"/>
    </xf>
    <xf numFmtId="0" fontId="22" fillId="0" borderId="0" xfId="8" applyFont="1" applyAlignment="1">
      <alignment horizontal="left"/>
    </xf>
    <xf numFmtId="0" fontId="17" fillId="0" borderId="4" xfId="0" applyFont="1" applyFill="1" applyBorder="1" applyAlignment="1">
      <alignment horizontal="left"/>
    </xf>
    <xf numFmtId="0" fontId="55" fillId="0" borderId="0" xfId="18" applyFont="1"/>
    <xf numFmtId="0" fontId="15" fillId="0" borderId="0" xfId="20" applyFont="1"/>
    <xf numFmtId="0" fontId="15" fillId="0" borderId="0" xfId="20" applyFont="1" applyAlignment="1">
      <alignment horizontal="center"/>
    </xf>
    <xf numFmtId="0" fontId="45" fillId="0" borderId="0" xfId="20" applyFont="1" applyAlignment="1">
      <alignment horizontal="right"/>
    </xf>
    <xf numFmtId="0" fontId="18" fillId="0" borderId="0" xfId="20"/>
    <xf numFmtId="0" fontId="15" fillId="2" borderId="0" xfId="20" applyFont="1" applyFill="1"/>
    <xf numFmtId="180" fontId="21" fillId="0" borderId="8" xfId="22" applyNumberFormat="1">
      <alignment horizontal="right"/>
    </xf>
    <xf numFmtId="167" fontId="15" fillId="0" borderId="0" xfId="18" applyNumberFormat="1" applyFont="1" applyFill="1" applyBorder="1" applyAlignment="1">
      <alignment horizontal="right" vertical="center"/>
    </xf>
    <xf numFmtId="167" fontId="15" fillId="14" borderId="0" xfId="18" applyNumberFormat="1" applyFont="1" applyFill="1" applyBorder="1" applyAlignment="1">
      <alignment horizontal="right" vertical="center"/>
    </xf>
    <xf numFmtId="0" fontId="56" fillId="0" borderId="0" xfId="18" applyFont="1" applyAlignment="1">
      <alignment horizontal="left" indent="1"/>
    </xf>
    <xf numFmtId="49" fontId="15" fillId="0" borderId="0" xfId="18" applyNumberFormat="1"/>
    <xf numFmtId="182" fontId="27" fillId="2" borderId="8" xfId="18" applyNumberFormat="1" applyFont="1" applyFill="1" applyBorder="1" applyAlignment="1">
      <alignment horizontal="right" vertical="center"/>
    </xf>
    <xf numFmtId="176" fontId="15" fillId="0" borderId="0" xfId="18" applyNumberFormat="1"/>
    <xf numFmtId="166" fontId="38" fillId="0" borderId="0" xfId="18" applyNumberFormat="1" applyFont="1" applyBorder="1" applyAlignment="1">
      <alignment horizontal="left"/>
    </xf>
    <xf numFmtId="2" fontId="15" fillId="0" borderId="0" xfId="18" applyNumberFormat="1"/>
    <xf numFmtId="178" fontId="30" fillId="0" borderId="0" xfId="18" applyNumberFormat="1" applyFont="1" applyFill="1" applyBorder="1" applyAlignment="1">
      <alignment horizontal="right" vertical="center"/>
    </xf>
    <xf numFmtId="178" fontId="57" fillId="0" borderId="0" xfId="18" applyNumberFormat="1" applyFont="1" applyFill="1" applyBorder="1" applyAlignment="1">
      <alignment horizontal="right" vertical="center"/>
    </xf>
    <xf numFmtId="0" fontId="24" fillId="11" borderId="0" xfId="18" applyFont="1" applyFill="1" applyAlignment="1">
      <alignment horizontal="right" vertical="center"/>
    </xf>
    <xf numFmtId="167" fontId="16" fillId="0" borderId="4" xfId="18" applyNumberFormat="1" applyFont="1" applyFill="1" applyBorder="1" applyAlignment="1">
      <alignment horizontal="right" vertical="center"/>
    </xf>
    <xf numFmtId="0" fontId="15" fillId="0" borderId="4" xfId="0" applyFont="1" applyFill="1" applyBorder="1" applyAlignment="1">
      <alignment horizontal="left"/>
    </xf>
    <xf numFmtId="0" fontId="15" fillId="2" borderId="0" xfId="18" applyFill="1"/>
    <xf numFmtId="14" fontId="58" fillId="0" borderId="0" xfId="0" applyNumberFormat="1" applyFont="1"/>
    <xf numFmtId="0" fontId="57" fillId="0" borderId="0" xfId="18" applyFont="1" applyAlignment="1">
      <alignment vertical="center"/>
    </xf>
    <xf numFmtId="167" fontId="27" fillId="2" borderId="0" xfId="18" applyNumberFormat="1" applyFont="1" applyFill="1" applyAlignment="1">
      <alignment horizontal="right" vertical="center"/>
    </xf>
    <xf numFmtId="167" fontId="0" fillId="0" borderId="0" xfId="0" applyNumberFormat="1"/>
    <xf numFmtId="167" fontId="23" fillId="0" borderId="0" xfId="0" applyNumberFormat="1" applyFont="1"/>
    <xf numFmtId="0" fontId="45" fillId="2" borderId="0" xfId="18" applyFont="1" applyFill="1" applyAlignment="1">
      <alignment horizontal="right"/>
    </xf>
    <xf numFmtId="0" fontId="17" fillId="0" borderId="0" xfId="18" applyFont="1" applyBorder="1" applyAlignment="1">
      <alignment horizontal="center"/>
    </xf>
    <xf numFmtId="167" fontId="34" fillId="2" borderId="0" xfId="18" applyNumberFormat="1" applyFont="1" applyFill="1" applyBorder="1" applyAlignment="1">
      <alignment horizontal="left" vertical="center"/>
    </xf>
    <xf numFmtId="170" fontId="27" fillId="2" borderId="0" xfId="23" applyNumberFormat="1" applyAlignment="1">
      <alignment horizontal="right"/>
    </xf>
    <xf numFmtId="183" fontId="47" fillId="2" borderId="0" xfId="24" applyNumberFormat="1" applyFill="1" applyAlignment="1">
      <alignment horizontal="right"/>
    </xf>
    <xf numFmtId="0" fontId="17" fillId="0" borderId="7" xfId="0" applyFont="1" applyBorder="1" applyAlignment="1">
      <alignment horizontal="left"/>
    </xf>
    <xf numFmtId="0" fontId="17" fillId="0" borderId="7" xfId="0" applyFont="1" applyBorder="1" applyAlignment="1">
      <alignment horizontal="center"/>
    </xf>
    <xf numFmtId="170" fontId="21" fillId="0" borderId="8" xfId="22" applyNumberFormat="1">
      <alignment horizontal="right"/>
    </xf>
    <xf numFmtId="9" fontId="27" fillId="2" borderId="0" xfId="23" applyNumberFormat="1" applyAlignment="1">
      <alignment horizontal="right"/>
    </xf>
    <xf numFmtId="175" fontId="45" fillId="0" borderId="0" xfId="18" applyNumberFormat="1" applyFont="1" applyFill="1" applyBorder="1" applyAlignment="1">
      <alignment horizontal="left" vertical="center"/>
    </xf>
    <xf numFmtId="0" fontId="17" fillId="0" borderId="0" xfId="0" applyFont="1" applyBorder="1" applyAlignment="1">
      <alignment horizontal="center"/>
    </xf>
    <xf numFmtId="184" fontId="27" fillId="2" borderId="8" xfId="23" applyNumberFormat="1" applyBorder="1" applyAlignment="1">
      <alignment horizontal="right"/>
    </xf>
    <xf numFmtId="184" fontId="27" fillId="2" borderId="10" xfId="23" applyNumberFormat="1" applyBorder="1" applyAlignment="1">
      <alignment horizontal="right"/>
    </xf>
    <xf numFmtId="170" fontId="27" fillId="2" borderId="0" xfId="23" applyNumberFormat="1" applyBorder="1" applyAlignment="1">
      <alignment horizontal="right"/>
    </xf>
    <xf numFmtId="185" fontId="27" fillId="2" borderId="10" xfId="23" applyNumberFormat="1" applyBorder="1" applyAlignment="1">
      <alignment horizontal="center"/>
    </xf>
    <xf numFmtId="169" fontId="15" fillId="0" borderId="0" xfId="0" applyNumberFormat="1" applyFont="1"/>
    <xf numFmtId="0" fontId="34" fillId="0" borderId="0" xfId="18" applyFont="1"/>
    <xf numFmtId="179" fontId="27" fillId="2" borderId="8" xfId="18" applyNumberFormat="1" applyFont="1" applyFill="1" applyBorder="1" applyAlignment="1">
      <alignment horizontal="right" vertical="center"/>
    </xf>
    <xf numFmtId="187" fontId="27" fillId="2" borderId="8" xfId="18" applyNumberFormat="1" applyFont="1" applyFill="1" applyBorder="1" applyAlignment="1">
      <alignment horizontal="right" vertical="center"/>
    </xf>
    <xf numFmtId="179" fontId="30" fillId="0" borderId="0" xfId="18" applyNumberFormat="1" applyFont="1" applyFill="1" applyBorder="1" applyAlignment="1">
      <alignment horizontal="right" vertical="center"/>
    </xf>
    <xf numFmtId="0" fontId="15" fillId="0" borderId="7" xfId="18" applyBorder="1"/>
    <xf numFmtId="0" fontId="16" fillId="0" borderId="11" xfId="18" applyFont="1" applyBorder="1" applyAlignment="1">
      <alignment vertical="center"/>
    </xf>
    <xf numFmtId="0" fontId="15" fillId="0" borderId="11" xfId="18" applyBorder="1"/>
    <xf numFmtId="173" fontId="16" fillId="0" borderId="11" xfId="18" applyNumberFormat="1" applyFont="1" applyFill="1" applyBorder="1" applyAlignment="1">
      <alignment horizontal="right" vertical="center"/>
    </xf>
    <xf numFmtId="167" fontId="16" fillId="0" borderId="11" xfId="18" applyNumberFormat="1" applyFont="1" applyFill="1" applyBorder="1" applyAlignment="1">
      <alignment horizontal="right" vertical="center"/>
    </xf>
    <xf numFmtId="167" fontId="16" fillId="0" borderId="11" xfId="18" applyNumberFormat="1" applyFont="1" applyBorder="1" applyAlignment="1">
      <alignment horizontal="right" vertical="center"/>
    </xf>
    <xf numFmtId="0" fontId="55" fillId="0" borderId="11" xfId="0" applyFont="1" applyFill="1" applyBorder="1" applyAlignment="1"/>
    <xf numFmtId="166" fontId="38" fillId="0" borderId="11" xfId="18" applyNumberFormat="1" applyFont="1" applyBorder="1" applyAlignment="1">
      <alignment horizontal="left"/>
    </xf>
    <xf numFmtId="167" fontId="30" fillId="0" borderId="11" xfId="18" applyNumberFormat="1" applyFont="1" applyFill="1" applyBorder="1" applyAlignment="1">
      <alignment horizontal="right" vertical="center"/>
    </xf>
    <xf numFmtId="0" fontId="15" fillId="0" borderId="11" xfId="0" applyFont="1" applyFill="1" applyBorder="1" applyAlignment="1"/>
    <xf numFmtId="0" fontId="24" fillId="15" borderId="0" xfId="18" applyFont="1" applyFill="1" applyAlignment="1">
      <alignment vertical="center"/>
    </xf>
    <xf numFmtId="0" fontId="24" fillId="15" borderId="0" xfId="18" applyFont="1" applyFill="1" applyAlignment="1">
      <alignment horizontal="right" vertical="center"/>
    </xf>
    <xf numFmtId="0" fontId="19" fillId="15" borderId="0" xfId="18" applyFont="1" applyFill="1" applyAlignment="1">
      <alignment horizontal="right" vertical="center"/>
    </xf>
    <xf numFmtId="188" fontId="15" fillId="0" borderId="7" xfId="18" applyNumberFormat="1" applyFill="1" applyBorder="1" applyAlignment="1">
      <alignment horizontal="center"/>
    </xf>
    <xf numFmtId="188" fontId="15" fillId="0" borderId="7" xfId="18" applyNumberFormat="1" applyFill="1" applyBorder="1" applyAlignment="1">
      <alignment horizontal="left"/>
    </xf>
    <xf numFmtId="179" fontId="15" fillId="0" borderId="0" xfId="0" applyNumberFormat="1" applyFont="1"/>
    <xf numFmtId="186" fontId="15" fillId="0" borderId="0" xfId="18" applyNumberFormat="1" applyAlignment="1">
      <alignment horizontal="left"/>
    </xf>
    <xf numFmtId="171" fontId="39" fillId="0" borderId="0" xfId="8" applyNumberFormat="1" applyFont="1"/>
    <xf numFmtId="1" fontId="39" fillId="0" borderId="0" xfId="8" applyNumberFormat="1" applyFont="1"/>
    <xf numFmtId="167" fontId="22" fillId="0" borderId="0" xfId="8" applyNumberFormat="1" applyFont="1"/>
    <xf numFmtId="167" fontId="22" fillId="0" borderId="0" xfId="8" applyNumberFormat="1" applyFont="1" applyAlignment="1">
      <alignment horizontal="right"/>
    </xf>
    <xf numFmtId="0" fontId="22" fillId="0" borderId="7" xfId="8" applyFont="1" applyBorder="1" applyAlignment="1">
      <alignment horizontal="left"/>
    </xf>
    <xf numFmtId="0" fontId="23" fillId="0" borderId="7" xfId="0" applyFont="1" applyBorder="1" applyAlignment="1">
      <alignment horizontal="center"/>
    </xf>
    <xf numFmtId="0" fontId="23" fillId="0" borderId="7" xfId="0" applyFont="1" applyBorder="1"/>
    <xf numFmtId="0" fontId="59" fillId="0" borderId="12" xfId="0" applyFont="1" applyBorder="1"/>
    <xf numFmtId="0" fontId="22" fillId="2" borderId="0" xfId="8" applyFont="1" applyFill="1" applyAlignment="1">
      <alignment horizontal="left"/>
    </xf>
    <xf numFmtId="2" fontId="15" fillId="2" borderId="0" xfId="18" applyNumberFormat="1" applyFill="1"/>
    <xf numFmtId="2" fontId="21" fillId="0" borderId="8" xfId="22" applyNumberFormat="1" applyAlignment="1">
      <alignment horizontal="left"/>
    </xf>
    <xf numFmtId="168" fontId="60" fillId="10" borderId="0" xfId="18" applyNumberFormat="1" applyFont="1" applyFill="1" applyAlignment="1">
      <alignment horizontal="center" vertical="center"/>
    </xf>
    <xf numFmtId="0" fontId="20" fillId="0" borderId="0" xfId="18" applyFont="1" applyAlignment="1">
      <alignment horizontal="left" indent="1"/>
    </xf>
    <xf numFmtId="0" fontId="15" fillId="0" borderId="0" xfId="18" applyFont="1" applyAlignment="1"/>
    <xf numFmtId="168" fontId="60" fillId="10" borderId="0" xfId="18" applyNumberFormat="1" applyFont="1" applyFill="1" applyAlignment="1">
      <alignment horizontal="left" vertical="center"/>
    </xf>
    <xf numFmtId="0" fontId="61" fillId="0" borderId="0" xfId="18" applyFont="1"/>
    <xf numFmtId="0" fontId="62" fillId="0" borderId="7" xfId="18" applyFont="1" applyFill="1" applyBorder="1" applyAlignment="1">
      <alignment vertical="center"/>
    </xf>
    <xf numFmtId="0" fontId="63" fillId="0" borderId="0" xfId="18" applyFont="1"/>
    <xf numFmtId="0" fontId="58" fillId="0" borderId="0" xfId="0" applyFont="1"/>
    <xf numFmtId="168" fontId="63" fillId="0" borderId="0" xfId="18" applyNumberFormat="1" applyFont="1" applyFill="1" applyAlignment="1">
      <alignment horizontal="left"/>
    </xf>
    <xf numFmtId="0" fontId="62" fillId="0" borderId="0" xfId="18" applyFont="1" applyFill="1" applyBorder="1" applyAlignment="1">
      <alignment vertical="center"/>
    </xf>
    <xf numFmtId="168" fontId="64" fillId="0" borderId="0" xfId="18" applyNumberFormat="1" applyFont="1" applyFill="1" applyAlignment="1">
      <alignment horizontal="left"/>
    </xf>
    <xf numFmtId="168" fontId="65" fillId="0" borderId="0" xfId="18" applyNumberFormat="1" applyFont="1" applyAlignment="1">
      <alignment horizontal="left" vertical="center"/>
    </xf>
    <xf numFmtId="0" fontId="62" fillId="0" borderId="0" xfId="18" applyFont="1" applyFill="1" applyBorder="1" applyAlignment="1">
      <alignment horizontal="left" vertical="center"/>
    </xf>
    <xf numFmtId="0" fontId="63" fillId="0" borderId="0" xfId="18" applyFont="1" applyAlignment="1">
      <alignment horizontal="left"/>
    </xf>
    <xf numFmtId="0" fontId="66" fillId="0" borderId="0" xfId="18" applyFont="1" applyAlignment="1">
      <alignment horizontal="left" vertical="center"/>
    </xf>
    <xf numFmtId="0" fontId="65" fillId="0" borderId="0" xfId="18" applyFont="1" applyAlignment="1">
      <alignment horizontal="left" vertical="center"/>
    </xf>
    <xf numFmtId="168" fontId="65" fillId="0" borderId="11" xfId="18" applyNumberFormat="1" applyFont="1" applyBorder="1" applyAlignment="1">
      <alignment horizontal="left" vertical="center"/>
    </xf>
    <xf numFmtId="168" fontId="67" fillId="0" borderId="0" xfId="18" applyNumberFormat="1" applyFont="1" applyAlignment="1">
      <alignment horizontal="left" vertical="center"/>
    </xf>
    <xf numFmtId="168" fontId="65" fillId="0" borderId="0" xfId="18" applyNumberFormat="1" applyFont="1" applyBorder="1" applyAlignment="1">
      <alignment horizontal="left" vertical="center"/>
    </xf>
    <xf numFmtId="0" fontId="68" fillId="0" borderId="0" xfId="0" applyFont="1"/>
    <xf numFmtId="0" fontId="46" fillId="0" borderId="0" xfId="18" applyFont="1"/>
    <xf numFmtId="0" fontId="69" fillId="11" borderId="0" xfId="18" applyFont="1" applyFill="1" applyAlignment="1">
      <alignment horizontal="right" vertical="center"/>
    </xf>
    <xf numFmtId="167" fontId="65" fillId="0" borderId="0" xfId="18" applyNumberFormat="1" applyFont="1" applyAlignment="1">
      <alignment horizontal="right" vertical="center"/>
    </xf>
    <xf numFmtId="0" fontId="62" fillId="0" borderId="7" xfId="18" applyFont="1" applyBorder="1" applyAlignment="1">
      <alignment horizontal="right" vertical="center"/>
    </xf>
    <xf numFmtId="166" fontId="71" fillId="10" borderId="0" xfId="16" applyFont="1" applyFill="1" applyAlignment="1">
      <alignment horizontal="right"/>
    </xf>
    <xf numFmtId="0" fontId="70" fillId="0" borderId="0" xfId="8" applyFont="1" applyAlignment="1">
      <alignment horizontal="right"/>
    </xf>
    <xf numFmtId="168" fontId="65" fillId="0" borderId="0" xfId="18" applyNumberFormat="1" applyFont="1" applyAlignment="1">
      <alignment horizontal="right" vertical="center"/>
    </xf>
    <xf numFmtId="168" fontId="67" fillId="0" borderId="0" xfId="18" applyNumberFormat="1" applyFont="1" applyAlignment="1">
      <alignment horizontal="right" vertical="center"/>
    </xf>
    <xf numFmtId="168" fontId="65" fillId="0" borderId="4" xfId="18" applyNumberFormat="1" applyFont="1" applyBorder="1" applyAlignment="1">
      <alignment horizontal="right" vertical="center"/>
    </xf>
    <xf numFmtId="0" fontId="63" fillId="0" borderId="0" xfId="18" applyFont="1" applyAlignment="1">
      <alignment horizontal="right"/>
    </xf>
    <xf numFmtId="0" fontId="63" fillId="0" borderId="0" xfId="0" applyFont="1" applyAlignment="1">
      <alignment horizontal="right"/>
    </xf>
    <xf numFmtId="0" fontId="72" fillId="0" borderId="0" xfId="18" applyFont="1" applyAlignment="1">
      <alignment vertical="center"/>
    </xf>
    <xf numFmtId="0" fontId="26" fillId="0" borderId="0" xfId="18" applyFont="1"/>
    <xf numFmtId="178" fontId="72" fillId="0" borderId="0" xfId="18" applyNumberFormat="1" applyFont="1" applyFill="1" applyBorder="1" applyAlignment="1">
      <alignment horizontal="right" vertical="center"/>
    </xf>
    <xf numFmtId="167" fontId="48" fillId="0" borderId="0" xfId="8" applyNumberFormat="1" applyFont="1"/>
    <xf numFmtId="166" fontId="73" fillId="0" borderId="0" xfId="18" applyNumberFormat="1" applyFont="1" applyAlignment="1">
      <alignment horizontal="left"/>
    </xf>
    <xf numFmtId="0" fontId="74" fillId="0" borderId="11" xfId="0" applyFont="1" applyFill="1" applyBorder="1" applyAlignment="1"/>
    <xf numFmtId="166" fontId="73" fillId="0" borderId="11" xfId="18" applyNumberFormat="1" applyFont="1" applyBorder="1" applyAlignment="1">
      <alignment horizontal="left"/>
    </xf>
    <xf numFmtId="0" fontId="26" fillId="0" borderId="11" xfId="18" applyFont="1" applyBorder="1" applyAlignment="1">
      <alignment horizontal="right"/>
    </xf>
    <xf numFmtId="0" fontId="75" fillId="0" borderId="0" xfId="18" applyFont="1"/>
    <xf numFmtId="0" fontId="0" fillId="2" borderId="0" xfId="0" applyFill="1"/>
    <xf numFmtId="0" fontId="45" fillId="0" borderId="0" xfId="20" applyFont="1" applyAlignment="1">
      <alignment horizontal="center"/>
    </xf>
    <xf numFmtId="173" fontId="15" fillId="0" borderId="0" xfId="18" applyNumberFormat="1" applyFont="1" applyBorder="1" applyAlignment="1"/>
    <xf numFmtId="174" fontId="15" fillId="0" borderId="0" xfId="18" applyNumberFormat="1"/>
    <xf numFmtId="189" fontId="15" fillId="0" borderId="0" xfId="18" applyNumberFormat="1"/>
    <xf numFmtId="190" fontId="15" fillId="0" borderId="0" xfId="0" applyNumberFormat="1" applyFont="1"/>
    <xf numFmtId="0" fontId="36" fillId="0" borderId="0" xfId="18" applyFont="1" applyBorder="1" applyAlignment="1">
      <alignment vertical="center"/>
    </xf>
    <xf numFmtId="0" fontId="36" fillId="0" borderId="0" xfId="18" applyFont="1" applyBorder="1" applyAlignment="1">
      <alignment horizontal="right" vertical="center"/>
    </xf>
    <xf numFmtId="0" fontId="15" fillId="0" borderId="0" xfId="18" applyFont="1" applyFill="1" applyBorder="1" applyAlignment="1">
      <alignment horizontal="left" vertical="top" wrapText="1"/>
    </xf>
    <xf numFmtId="167" fontId="15" fillId="0" borderId="0" xfId="18" applyNumberFormat="1"/>
    <xf numFmtId="0" fontId="77" fillId="0" borderId="0" xfId="0" applyFont="1"/>
    <xf numFmtId="172" fontId="15" fillId="0" borderId="0" xfId="0" applyNumberFormat="1" applyFont="1" applyFill="1" applyAlignment="1">
      <alignment horizontal="left"/>
    </xf>
    <xf numFmtId="0" fontId="0" fillId="0" borderId="0" xfId="0" applyFill="1"/>
    <xf numFmtId="9" fontId="15" fillId="0" borderId="0" xfId="18" applyNumberFormat="1"/>
    <xf numFmtId="0" fontId="34" fillId="0" borderId="0" xfId="18" applyFont="1" applyBorder="1" applyAlignment="1">
      <alignment vertical="center"/>
    </xf>
    <xf numFmtId="189" fontId="15" fillId="0" borderId="0" xfId="18" applyNumberFormat="1" applyFont="1"/>
    <xf numFmtId="171" fontId="39" fillId="0" borderId="0" xfId="8" applyNumberFormat="1" applyFont="1" applyAlignment="1">
      <alignment horizontal="right"/>
    </xf>
    <xf numFmtId="0" fontId="15" fillId="0" borderId="0" xfId="0" applyFont="1" applyFill="1"/>
    <xf numFmtId="0" fontId="17" fillId="0" borderId="7" xfId="0" applyFont="1" applyFill="1" applyBorder="1"/>
    <xf numFmtId="0" fontId="17" fillId="0" borderId="7" xfId="0" applyFont="1" applyFill="1" applyBorder="1" applyAlignment="1">
      <alignment horizontal="right"/>
    </xf>
    <xf numFmtId="0" fontId="17" fillId="0" borderId="0" xfId="0" applyFont="1" applyFill="1"/>
    <xf numFmtId="0" fontId="78" fillId="0" borderId="0" xfId="0" applyFont="1"/>
    <xf numFmtId="185" fontId="15" fillId="0" borderId="0" xfId="0" applyNumberFormat="1" applyFont="1" applyAlignment="1">
      <alignment horizontal="left"/>
    </xf>
    <xf numFmtId="0" fontId="17" fillId="0" borderId="0" xfId="0" applyFont="1" applyFill="1" applyBorder="1" applyAlignment="1">
      <alignment horizontal="right"/>
    </xf>
    <xf numFmtId="0" fontId="15" fillId="0" borderId="0" xfId="0" applyFont="1" applyBorder="1"/>
    <xf numFmtId="181" fontId="15" fillId="0" borderId="0" xfId="0" applyNumberFormat="1" applyFont="1" applyFill="1" applyAlignment="1">
      <alignment horizontal="left"/>
    </xf>
    <xf numFmtId="181" fontId="15" fillId="0" borderId="14" xfId="0" applyNumberFormat="1" applyFont="1" applyFill="1" applyBorder="1" applyAlignment="1">
      <alignment horizontal="left"/>
    </xf>
    <xf numFmtId="191" fontId="15" fillId="0" borderId="0" xfId="0" applyNumberFormat="1" applyFont="1" applyFill="1" applyAlignment="1">
      <alignment horizontal="center"/>
    </xf>
    <xf numFmtId="0" fontId="79" fillId="0" borderId="0" xfId="0" applyFont="1"/>
    <xf numFmtId="167" fontId="16" fillId="0" borderId="0" xfId="18" applyNumberFormat="1" applyFont="1" applyFill="1" applyAlignment="1">
      <alignment horizontal="left" vertical="center"/>
    </xf>
    <xf numFmtId="166" fontId="38" fillId="0" borderId="0" xfId="18" applyNumberFormat="1" applyFont="1" applyFill="1" applyAlignment="1">
      <alignment horizontal="left"/>
    </xf>
    <xf numFmtId="0" fontId="15" fillId="0" borderId="0" xfId="18" applyFill="1" applyAlignment="1">
      <alignment horizontal="right"/>
    </xf>
    <xf numFmtId="168" fontId="65" fillId="0" borderId="0" xfId="18" applyNumberFormat="1" applyFont="1" applyFill="1" applyAlignment="1">
      <alignment horizontal="right" vertical="center"/>
    </xf>
    <xf numFmtId="167" fontId="16" fillId="0" borderId="0" xfId="18" applyNumberFormat="1" applyFont="1" applyFill="1" applyAlignment="1">
      <alignment horizontal="right" vertical="center"/>
    </xf>
    <xf numFmtId="191" fontId="16" fillId="0" borderId="11" xfId="18" applyNumberFormat="1" applyFont="1" applyBorder="1" applyAlignment="1">
      <alignment horizontal="right" vertical="center"/>
    </xf>
    <xf numFmtId="191" fontId="16" fillId="0" borderId="0" xfId="18" applyNumberFormat="1" applyFont="1" applyBorder="1" applyAlignment="1">
      <alignment horizontal="right" vertical="center"/>
    </xf>
    <xf numFmtId="0" fontId="15" fillId="0" borderId="0" xfId="0" applyFont="1" applyAlignment="1">
      <alignment horizontal="center"/>
    </xf>
    <xf numFmtId="0" fontId="77" fillId="0" borderId="0" xfId="0" applyFont="1" applyAlignment="1">
      <alignment horizontal="center"/>
    </xf>
    <xf numFmtId="0" fontId="15" fillId="0" borderId="7" xfId="0" applyFont="1" applyBorder="1" applyAlignment="1">
      <alignment horizontal="center"/>
    </xf>
    <xf numFmtId="179" fontId="16" fillId="0" borderId="11" xfId="18" applyNumberFormat="1" applyFont="1" applyBorder="1" applyAlignment="1">
      <alignment horizontal="right" vertical="center"/>
    </xf>
    <xf numFmtId="179" fontId="16" fillId="0" borderId="0" xfId="18" applyNumberFormat="1" applyFont="1" applyBorder="1" applyAlignment="1">
      <alignment horizontal="right" vertical="center"/>
    </xf>
    <xf numFmtId="179" fontId="15" fillId="0" borderId="0" xfId="0" applyNumberFormat="1" applyFont="1" applyFill="1" applyBorder="1"/>
    <xf numFmtId="181" fontId="80" fillId="0" borderId="0" xfId="0" applyNumberFormat="1" applyFont="1" applyFill="1" applyAlignment="1">
      <alignment horizontal="center"/>
    </xf>
    <xf numFmtId="179" fontId="23" fillId="0" borderId="0" xfId="0" applyNumberFormat="1" applyFont="1"/>
    <xf numFmtId="0" fontId="15" fillId="0" borderId="7" xfId="0" applyFont="1" applyBorder="1" applyAlignment="1"/>
    <xf numFmtId="0" fontId="27" fillId="2" borderId="0" xfId="18" applyFont="1" applyFill="1"/>
    <xf numFmtId="181" fontId="17" fillId="0" borderId="14" xfId="0" applyNumberFormat="1" applyFont="1" applyFill="1" applyBorder="1" applyAlignment="1">
      <alignment horizontal="left"/>
    </xf>
    <xf numFmtId="191" fontId="30" fillId="0" borderId="11" xfId="18" applyNumberFormat="1" applyFont="1" applyBorder="1" applyAlignment="1">
      <alignment horizontal="right" vertical="center"/>
    </xf>
    <xf numFmtId="0" fontId="17" fillId="0" borderId="7" xfId="0" applyFont="1" applyFill="1" applyBorder="1" applyAlignment="1">
      <alignment horizontal="center"/>
    </xf>
    <xf numFmtId="191" fontId="81" fillId="0" borderId="14" xfId="0" applyNumberFormat="1" applyFont="1" applyFill="1" applyBorder="1" applyAlignment="1">
      <alignment horizontal="center"/>
    </xf>
    <xf numFmtId="188" fontId="23" fillId="0" borderId="7" xfId="18" applyNumberFormat="1" applyFont="1" applyFill="1" applyBorder="1" applyAlignment="1">
      <alignment horizontal="left"/>
    </xf>
    <xf numFmtId="0" fontId="30" fillId="0" borderId="0" xfId="18" applyFont="1" applyAlignment="1">
      <alignment horizontal="left" vertical="top"/>
    </xf>
    <xf numFmtId="0" fontId="37" fillId="2" borderId="0" xfId="0" applyFont="1" applyFill="1"/>
    <xf numFmtId="192" fontId="0" fillId="0" borderId="0" xfId="0" applyNumberFormat="1"/>
    <xf numFmtId="167" fontId="15" fillId="0" borderId="0" xfId="18" applyNumberFormat="1" applyAlignment="1">
      <alignment horizontal="right"/>
    </xf>
    <xf numFmtId="168" fontId="23" fillId="0" borderId="0" xfId="0" applyNumberFormat="1" applyFont="1"/>
    <xf numFmtId="0" fontId="23" fillId="0" borderId="0" xfId="0" applyFont="1" applyAlignment="1">
      <alignment wrapText="1"/>
    </xf>
    <xf numFmtId="168" fontId="27" fillId="2" borderId="0" xfId="24" applyNumberFormat="1" applyFont="1" applyFill="1" applyAlignment="1">
      <alignment horizontal="left" vertical="center"/>
    </xf>
    <xf numFmtId="179" fontId="16" fillId="0" borderId="0" xfId="18" applyNumberFormat="1" applyFont="1" applyAlignment="1">
      <alignment horizontal="right" vertical="center"/>
    </xf>
    <xf numFmtId="0" fontId="15" fillId="0" borderId="7" xfId="18" applyFont="1" applyBorder="1"/>
    <xf numFmtId="0" fontId="78" fillId="0" borderId="7" xfId="18" applyFont="1" applyBorder="1"/>
    <xf numFmtId="183" fontId="15" fillId="0" borderId="0" xfId="18" applyNumberFormat="1" applyAlignment="1">
      <alignment horizontal="left"/>
    </xf>
    <xf numFmtId="193" fontId="15" fillId="0" borderId="0" xfId="18" applyNumberFormat="1"/>
    <xf numFmtId="10" fontId="27" fillId="2" borderId="0" xfId="24" quotePrefix="1" applyNumberFormat="1" applyFont="1" applyFill="1"/>
    <xf numFmtId="168" fontId="27" fillId="2" borderId="0" xfId="24" applyNumberFormat="1" applyFont="1" applyFill="1" applyAlignment="1">
      <alignment horizontal="right"/>
    </xf>
    <xf numFmtId="0" fontId="27" fillId="2" borderId="0" xfId="24" applyNumberFormat="1" applyFont="1" applyFill="1"/>
    <xf numFmtId="168" fontId="27" fillId="2" borderId="0" xfId="24" applyNumberFormat="1" applyFont="1" applyFill="1" applyAlignment="1">
      <alignment horizontal="right" vertical="center"/>
    </xf>
    <xf numFmtId="170" fontId="27" fillId="2" borderId="0" xfId="24" applyNumberFormat="1" applyFont="1" applyFill="1" applyBorder="1" applyAlignment="1">
      <alignment horizontal="right"/>
    </xf>
    <xf numFmtId="169" fontId="27" fillId="2" borderId="0" xfId="24" applyNumberFormat="1" applyFont="1" applyFill="1" applyBorder="1" applyAlignment="1">
      <alignment horizontal="right"/>
    </xf>
    <xf numFmtId="189" fontId="27" fillId="2" borderId="0" xfId="23" applyNumberFormat="1" applyAlignment="1">
      <alignment horizontal="right"/>
    </xf>
    <xf numFmtId="189" fontId="37" fillId="2" borderId="0" xfId="23" applyNumberFormat="1" applyFont="1" applyAlignment="1">
      <alignment horizontal="right"/>
    </xf>
    <xf numFmtId="0" fontId="18" fillId="16" borderId="0" xfId="20" applyFill="1"/>
    <xf numFmtId="0" fontId="82" fillId="0" borderId="0" xfId="20" applyFont="1"/>
    <xf numFmtId="0" fontId="83" fillId="0" borderId="0" xfId="20" applyFont="1"/>
    <xf numFmtId="0" fontId="84" fillId="0" borderId="0" xfId="20" applyFont="1"/>
    <xf numFmtId="0" fontId="85" fillId="0" borderId="0" xfId="20" applyFont="1"/>
    <xf numFmtId="0" fontId="86" fillId="0" borderId="0" xfId="20" applyFont="1"/>
    <xf numFmtId="0" fontId="87" fillId="0" borderId="0" xfId="20" applyFont="1"/>
    <xf numFmtId="194" fontId="88" fillId="0" borderId="0" xfId="20" applyNumberFormat="1" applyFont="1" applyAlignment="1">
      <alignment horizontal="left"/>
    </xf>
    <xf numFmtId="0" fontId="89" fillId="0" borderId="0" xfId="20" applyFont="1"/>
    <xf numFmtId="195" fontId="90" fillId="10" borderId="0" xfId="16" applyNumberFormat="1" applyFont="1" applyFill="1" applyAlignment="1">
      <alignment horizontal="right"/>
    </xf>
    <xf numFmtId="168" fontId="27" fillId="2" borderId="0" xfId="23" applyNumberFormat="1" applyAlignment="1">
      <alignment horizontal="right"/>
    </xf>
    <xf numFmtId="0" fontId="15" fillId="0" borderId="0" xfId="0" applyFont="1" applyAlignment="1">
      <alignment horizontal="left" indent="2"/>
    </xf>
    <xf numFmtId="0" fontId="92" fillId="0" borderId="0" xfId="18" applyFont="1"/>
    <xf numFmtId="0" fontId="24" fillId="18" borderId="0" xfId="18" applyFont="1" applyFill="1" applyAlignment="1">
      <alignment vertical="center"/>
    </xf>
    <xf numFmtId="0" fontId="51" fillId="0" borderId="0" xfId="18" applyFont="1" applyAlignment="1">
      <alignment vertical="center"/>
    </xf>
    <xf numFmtId="0" fontId="34" fillId="0" borderId="0" xfId="18" applyFont="1" applyAlignment="1">
      <alignment vertical="center"/>
    </xf>
    <xf numFmtId="0" fontId="62" fillId="0" borderId="0" xfId="18" applyFont="1" applyAlignment="1">
      <alignment vertical="center"/>
    </xf>
    <xf numFmtId="177" fontId="27" fillId="2" borderId="8" xfId="18" applyNumberFormat="1" applyFont="1" applyFill="1" applyBorder="1" applyAlignment="1">
      <alignment horizontal="right" vertical="center"/>
    </xf>
    <xf numFmtId="168" fontId="15" fillId="0" borderId="0" xfId="18" applyNumberFormat="1" applyAlignment="1">
      <alignment horizontal="left"/>
    </xf>
    <xf numFmtId="9" fontId="27" fillId="2" borderId="0" xfId="23" applyNumberFormat="1"/>
    <xf numFmtId="168" fontId="44" fillId="0" borderId="0" xfId="23" applyNumberFormat="1" applyFont="1" applyFill="1" applyBorder="1" applyAlignment="1">
      <alignment horizontal="left"/>
    </xf>
    <xf numFmtId="0" fontId="17" fillId="0" borderId="0" xfId="20" applyFont="1" applyBorder="1" applyAlignment="1">
      <alignment horizontal="left"/>
    </xf>
    <xf numFmtId="185" fontId="93" fillId="0" borderId="0" xfId="22" applyNumberFormat="1" applyFont="1" applyBorder="1" applyAlignment="1">
      <alignment horizontal="center"/>
    </xf>
    <xf numFmtId="180" fontId="93" fillId="0" borderId="0" xfId="22" applyNumberFormat="1" applyFont="1" applyBorder="1">
      <alignment horizontal="right"/>
    </xf>
    <xf numFmtId="167" fontId="16" fillId="4" borderId="0" xfId="18" applyNumberFormat="1" applyFont="1" applyFill="1" applyBorder="1" applyAlignment="1">
      <alignment horizontal="right" vertical="center"/>
    </xf>
    <xf numFmtId="0" fontId="15" fillId="0" borderId="3" xfId="0" applyFont="1" applyFill="1" applyBorder="1"/>
    <xf numFmtId="0" fontId="17" fillId="0" borderId="3" xfId="0" applyFont="1" applyFill="1" applyBorder="1"/>
    <xf numFmtId="0" fontId="15" fillId="0" borderId="17" xfId="0" applyFont="1" applyFill="1" applyBorder="1"/>
    <xf numFmtId="0" fontId="34" fillId="0" borderId="0" xfId="32" quotePrefix="1" applyNumberFormat="1" applyFont="1" applyFill="1" applyBorder="1">
      <alignment horizontal="left" vertical="center" indent="1"/>
    </xf>
    <xf numFmtId="3" fontId="34" fillId="0" borderId="0" xfId="33" applyNumberFormat="1" applyFont="1" applyFill="1" applyBorder="1">
      <alignment horizontal="right" vertical="center"/>
    </xf>
    <xf numFmtId="0" fontId="36" fillId="0" borderId="7" xfId="31" quotePrefix="1" applyNumberFormat="1" applyFont="1" applyFill="1" applyBorder="1" applyAlignment="1">
      <alignment horizontal="left" vertical="center" indent="1"/>
    </xf>
    <xf numFmtId="0" fontId="36" fillId="0" borderId="7" xfId="32" quotePrefix="1" applyNumberFormat="1" applyFont="1" applyFill="1" applyBorder="1" applyAlignment="1">
      <alignment horizontal="left" vertical="center" indent="1"/>
    </xf>
    <xf numFmtId="0" fontId="36" fillId="0" borderId="0" xfId="18" applyFont="1" applyAlignment="1">
      <alignment vertical="center"/>
    </xf>
    <xf numFmtId="9" fontId="36" fillId="0" borderId="0" xfId="18" applyNumberFormat="1" applyFont="1" applyAlignment="1">
      <alignment vertical="center"/>
    </xf>
    <xf numFmtId="0" fontId="27" fillId="2" borderId="0" xfId="23" applyNumberFormat="1"/>
    <xf numFmtId="0" fontId="15" fillId="0" borderId="0" xfId="0" applyFont="1" applyAlignment="1">
      <alignment horizontal="left" indent="1"/>
    </xf>
    <xf numFmtId="0" fontId="21" fillId="0" borderId="8" xfId="22" applyNumberFormat="1" applyProtection="1">
      <alignment horizontal="right"/>
      <protection locked="0"/>
    </xf>
    <xf numFmtId="0" fontId="27" fillId="2" borderId="0" xfId="23" applyNumberFormat="1" applyAlignment="1" applyProtection="1">
      <protection locked="0"/>
    </xf>
    <xf numFmtId="0" fontId="27" fillId="2" borderId="0" xfId="23" applyNumberFormat="1" applyAlignment="1">
      <alignment vertical="center"/>
    </xf>
    <xf numFmtId="2" fontId="21" fillId="0" borderId="8" xfId="22" applyNumberFormat="1">
      <alignment horizontal="right"/>
    </xf>
    <xf numFmtId="0" fontId="15" fillId="0" borderId="0" xfId="18" applyFont="1" applyBorder="1"/>
    <xf numFmtId="0" fontId="34" fillId="0" borderId="0" xfId="18" applyFont="1" applyBorder="1" applyAlignment="1">
      <alignment horizontal="right" vertical="center"/>
    </xf>
    <xf numFmtId="0" fontId="34" fillId="0" borderId="0" xfId="18" applyFont="1" applyFill="1" applyBorder="1" applyAlignment="1">
      <alignment vertical="center"/>
    </xf>
    <xf numFmtId="10" fontId="27" fillId="2" borderId="0" xfId="23" applyNumberFormat="1" applyAlignment="1">
      <alignment vertical="center"/>
    </xf>
    <xf numFmtId="174" fontId="27" fillId="2" borderId="0" xfId="23" applyNumberFormat="1" applyAlignment="1">
      <alignment vertical="center"/>
    </xf>
    <xf numFmtId="167" fontId="21" fillId="0" borderId="8" xfId="22" applyNumberFormat="1">
      <alignment horizontal="right"/>
    </xf>
    <xf numFmtId="0" fontId="15" fillId="0" borderId="18" xfId="0" applyFont="1" applyFill="1" applyBorder="1"/>
    <xf numFmtId="196" fontId="15" fillId="0" borderId="17" xfId="0" applyNumberFormat="1" applyFont="1" applyFill="1" applyBorder="1"/>
    <xf numFmtId="0" fontId="15" fillId="0" borderId="19" xfId="0" applyFont="1" applyFill="1" applyBorder="1"/>
    <xf numFmtId="196" fontId="15" fillId="0" borderId="19" xfId="0" applyNumberFormat="1" applyFont="1" applyFill="1" applyBorder="1"/>
    <xf numFmtId="195" fontId="94" fillId="15" borderId="0" xfId="18" applyNumberFormat="1" applyFont="1" applyFill="1" applyAlignment="1">
      <alignment horizontal="right" vertical="center"/>
    </xf>
    <xf numFmtId="0" fontId="27" fillId="2" borderId="0" xfId="18" applyFont="1" applyFill="1" applyAlignment="1">
      <alignment horizontal="left" vertical="top"/>
    </xf>
    <xf numFmtId="175" fontId="95" fillId="0" borderId="0" xfId="18" applyNumberFormat="1" applyFont="1" applyAlignment="1">
      <alignment horizontal="left" vertical="center"/>
    </xf>
    <xf numFmtId="175" fontId="95" fillId="0" borderId="0" xfId="18" applyNumberFormat="1" applyFont="1" applyAlignment="1">
      <alignment horizontal="right" vertical="center"/>
    </xf>
    <xf numFmtId="0" fontId="86" fillId="0" borderId="0" xfId="20" applyNumberFormat="1" applyFont="1" applyAlignment="1">
      <alignment horizontal="left"/>
    </xf>
    <xf numFmtId="0" fontId="15" fillId="13" borderId="4" xfId="18" applyFont="1" applyFill="1" applyBorder="1" applyAlignment="1">
      <alignment horizontal="left" vertical="top"/>
    </xf>
    <xf numFmtId="0" fontId="15" fillId="0" borderId="4" xfId="18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5" fillId="0" borderId="0" xfId="18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185" fontId="27" fillId="2" borderId="13" xfId="23" applyNumberFormat="1" applyFill="1" applyBorder="1" applyAlignment="1">
      <alignment horizontal="left"/>
    </xf>
    <xf numFmtId="185" fontId="27" fillId="2" borderId="14" xfId="23" applyNumberFormat="1" applyFill="1" applyBorder="1" applyAlignment="1">
      <alignment horizontal="left"/>
    </xf>
    <xf numFmtId="185" fontId="27" fillId="2" borderId="15" xfId="23" applyNumberFormat="1" applyFill="1" applyBorder="1" applyAlignment="1">
      <alignment horizontal="left"/>
    </xf>
    <xf numFmtId="0" fontId="37" fillId="2" borderId="0" xfId="0" applyFont="1" applyFill="1" applyAlignment="1">
      <alignment horizontal="left"/>
    </xf>
    <xf numFmtId="0" fontId="27" fillId="2" borderId="0" xfId="24" applyNumberFormat="1" applyFont="1" applyFill="1" applyBorder="1" applyAlignment="1">
      <alignment horizontal="left" vertical="top"/>
    </xf>
    <xf numFmtId="0" fontId="27" fillId="2" borderId="0" xfId="18" applyFont="1" applyFill="1" applyAlignment="1">
      <alignment horizontal="left" vertical="top"/>
    </xf>
  </cellXfs>
  <cellStyles count="34">
    <cellStyle name="Assumption" xfId="23" xr:uid="{E21B85CB-AE39-493C-90CF-A6033D394DF7}"/>
    <cellStyle name="Base_Input" xfId="12" xr:uid="{00000000-0005-0000-0000-000000000000}"/>
    <cellStyle name="Comma [0] 2" xfId="3" xr:uid="{00000000-0005-0000-0000-000002000000}"/>
    <cellStyle name="Comma 2" xfId="30" xr:uid="{50BDA386-AB13-404C-8C84-0EDF43721243}"/>
    <cellStyle name="Currency 2 2" xfId="29" xr:uid="{F29057D5-5718-441F-8CAD-00B1D320E1EF}"/>
    <cellStyle name="Empty_Cell" xfId="9" xr:uid="{00000000-0005-0000-0000-000004000000}"/>
    <cellStyle name="Explanatory Text" xfId="1" builtinId="53" customBuiltin="1"/>
    <cellStyle name="Fixed_input" xfId="24" xr:uid="{0B0B930C-107A-4F05-8A3E-C5F6EECE17A8}"/>
    <cellStyle name="Flag" xfId="4" xr:uid="{00000000-0005-0000-0000-000006000000}"/>
    <cellStyle name="Header1" xfId="16" xr:uid="{00000000-0005-0000-0000-000007000000}"/>
    <cellStyle name="Header1A" xfId="17" xr:uid="{00000000-0005-0000-0000-000008000000}"/>
    <cellStyle name="Header2" xfId="14" xr:uid="{00000000-0005-0000-0000-000009000000}"/>
    <cellStyle name="Header3" xfId="5" xr:uid="{00000000-0005-0000-0000-00000A000000}"/>
    <cellStyle name="Header4" xfId="15" xr:uid="{00000000-0005-0000-0000-00000B000000}"/>
    <cellStyle name="Insheet" xfId="6" xr:uid="{00000000-0005-0000-0000-00000D000000}"/>
    <cellStyle name="Line_SubTotal" xfId="7" xr:uid="{00000000-0005-0000-0000-00000E000000}"/>
    <cellStyle name="Normal" xfId="0" builtinId="0" customBuiltin="1"/>
    <cellStyle name="Normal 10" xfId="8" xr:uid="{00000000-0005-0000-0000-000011000000}"/>
    <cellStyle name="Normal 2" xfId="18" xr:uid="{59EBAEB1-13C8-4373-8DB4-B4C525DCEC98}"/>
    <cellStyle name="Normal 2 2" xfId="25" xr:uid="{D49C4081-9D03-4C8F-8778-34555D4B3E0F}"/>
    <cellStyle name="Normal 3" xfId="20" xr:uid="{9D4C47DD-E890-4097-9475-8567B8B53D92}"/>
    <cellStyle name="Normal 3 2" xfId="26" xr:uid="{50613177-AD5A-4CE0-A391-A4160267F944}"/>
    <cellStyle name="Normal 8" xfId="28" xr:uid="{A72DEBFF-D704-40A2-B10B-0D568324BDB3}"/>
    <cellStyle name="Offsheet" xfId="10" xr:uid="{00000000-0005-0000-0000-000012000000}"/>
    <cellStyle name="Percent 2" xfId="19" xr:uid="{39961233-90E2-46DE-A48A-52E8009F685E}"/>
    <cellStyle name="Percent 2 2" xfId="27" xr:uid="{E4F6E093-BFA5-41AA-B689-F440D86C5D1D}"/>
    <cellStyle name="Result" xfId="22" xr:uid="{6557DBFB-C674-4413-A044-F9C12EE60C25}"/>
    <cellStyle name="SAPBEXchaText" xfId="31" xr:uid="{0E4F5EA6-BF5A-4726-9442-1D1515967D2C}"/>
    <cellStyle name="SAPBEXstdData" xfId="33" xr:uid="{7156A851-9F09-4928-B15F-7F17704A7CC6}"/>
    <cellStyle name="SAPBEXstdItem" xfId="32" xr:uid="{8455FEEE-1A7C-4D32-AFFB-F3460713D3C3}"/>
    <cellStyle name="Table_Heading" xfId="11" xr:uid="{00000000-0005-0000-0000-000013000000}"/>
    <cellStyle name="Unit" xfId="13" xr:uid="{00000000-0005-0000-0000-000014000000}"/>
    <cellStyle name="Units" xfId="21" xr:uid="{1AB48B31-3307-411F-96E5-E0E849D0DDE8}"/>
    <cellStyle name="User_Input_Actual" xfId="2" xr:uid="{00000000-0005-0000-0000-000015000000}"/>
  </cellStyles>
  <dxfs count="22"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</dxf>
    <dxf>
      <font>
        <color theme="1" tint="0.499984740745262"/>
      </font>
    </dxf>
    <dxf>
      <font>
        <color theme="0"/>
      </font>
    </dxf>
    <dxf>
      <fill>
        <patternFill>
          <bgColor rgb="FFCCFFFF"/>
        </patternFill>
      </fill>
    </dxf>
    <dxf>
      <font>
        <b val="0"/>
        <i val="0"/>
        <color theme="1" tint="0.34998626667073579"/>
      </font>
    </dxf>
    <dxf>
      <font>
        <color theme="0" tint="-0.24994659260841701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Medium9"/>
  <colors>
    <mruColors>
      <color rgb="FF66FFFF"/>
      <color rgb="FF00215B"/>
      <color rgb="FF3333FF"/>
      <color rgb="FFFFFFCC"/>
      <color rgb="FFF2F2F2"/>
      <color rgb="FFFABFA8"/>
      <color rgb="FF882B3C"/>
      <color rgb="FFEE2A24"/>
      <color rgb="FFCC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2419270833333327E-2"/>
          <c:y val="9.2846486361162939E-2"/>
          <c:w val="0.89336527777777774"/>
          <c:h val="0.71628514056224879"/>
        </c:manualLayout>
      </c:layout>
      <c:lineChart>
        <c:grouping val="standard"/>
        <c:varyColors val="0"/>
        <c:ser>
          <c:idx val="0"/>
          <c:order val="0"/>
          <c:tx>
            <c:strRef>
              <c:f>Consol!$H$91</c:f>
              <c:strCache>
                <c:ptCount val="1"/>
                <c:pt idx="0">
                  <c:v>Option 2 annualised capex</c:v>
                </c:pt>
              </c:strCache>
            </c:strRef>
          </c:tx>
          <c:spPr>
            <a:ln w="28575" cap="rnd">
              <a:solidFill>
                <a:srgbClr val="EE2A24"/>
              </a:solidFill>
              <a:round/>
            </a:ln>
            <a:effectLst/>
          </c:spPr>
          <c:marker>
            <c:symbol val="none"/>
          </c:marker>
          <c:cat>
            <c:strRef>
              <c:f>Consol!$I$88:$W$88</c:f>
              <c:strCache>
                <c:ptCount val="15"/>
                <c:pt idx="0">
                  <c:v>FY27</c:v>
                </c:pt>
                <c:pt idx="1">
                  <c:v>FY28</c:v>
                </c:pt>
                <c:pt idx="2">
                  <c:v>FY29</c:v>
                </c:pt>
                <c:pt idx="3">
                  <c:v>FY30</c:v>
                </c:pt>
                <c:pt idx="4">
                  <c:v>FY31</c:v>
                </c:pt>
                <c:pt idx="5">
                  <c:v>FY32</c:v>
                </c:pt>
                <c:pt idx="6">
                  <c:v>FY33</c:v>
                </c:pt>
                <c:pt idx="7">
                  <c:v>FY34</c:v>
                </c:pt>
                <c:pt idx="8">
                  <c:v>FY35</c:v>
                </c:pt>
                <c:pt idx="9">
                  <c:v>FY36</c:v>
                </c:pt>
                <c:pt idx="10">
                  <c:v>FY37</c:v>
                </c:pt>
                <c:pt idx="11">
                  <c:v>FY38</c:v>
                </c:pt>
                <c:pt idx="12">
                  <c:v>FY39</c:v>
                </c:pt>
                <c:pt idx="13">
                  <c:v>FY40</c:v>
                </c:pt>
                <c:pt idx="14">
                  <c:v>FY41</c:v>
                </c:pt>
              </c:strCache>
            </c:strRef>
          </c:cat>
          <c:val>
            <c:numRef>
              <c:f>Consol!$I$91:$R$91</c:f>
              <c:numCache>
                <c:formatCode>#,##0.0;[Red]\ \-#,##0.0;\ "-"</c:formatCode>
                <c:ptCount val="10"/>
                <c:pt idx="0">
                  <c:v>0.2187805062087928</c:v>
                </c:pt>
                <c:pt idx="1">
                  <c:v>0.2187805062087928</c:v>
                </c:pt>
                <c:pt idx="2">
                  <c:v>0.2187805062087928</c:v>
                </c:pt>
                <c:pt idx="3">
                  <c:v>0.2187805062087928</c:v>
                </c:pt>
                <c:pt idx="4">
                  <c:v>0.2187805062087928</c:v>
                </c:pt>
                <c:pt idx="5">
                  <c:v>0.2187805062087928</c:v>
                </c:pt>
                <c:pt idx="6">
                  <c:v>0.2187805062087928</c:v>
                </c:pt>
                <c:pt idx="7">
                  <c:v>0.2187805062087928</c:v>
                </c:pt>
                <c:pt idx="8">
                  <c:v>0.2187805062087928</c:v>
                </c:pt>
                <c:pt idx="9">
                  <c:v>0.2187805062087928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80-440B-9C44-4F49152E2503}"/>
            </c:ext>
          </c:extLst>
        </c:ser>
        <c:ser>
          <c:idx val="1"/>
          <c:order val="1"/>
          <c:tx>
            <c:strRef>
              <c:f>Consol!$H$92</c:f>
              <c:strCache>
                <c:ptCount val="1"/>
                <c:pt idx="0">
                  <c:v>Option 1 (base case) risk cost</c:v>
                </c:pt>
              </c:strCache>
            </c:strRef>
          </c:tx>
          <c:spPr>
            <a:ln w="28575" cap="rnd">
              <a:solidFill>
                <a:srgbClr val="FABFA8"/>
              </a:solidFill>
              <a:round/>
            </a:ln>
            <a:effectLst/>
          </c:spPr>
          <c:marker>
            <c:symbol val="none"/>
          </c:marker>
          <c:cat>
            <c:strRef>
              <c:f>Consol!$I$88:$W$88</c:f>
              <c:strCache>
                <c:ptCount val="15"/>
                <c:pt idx="0">
                  <c:v>FY27</c:v>
                </c:pt>
                <c:pt idx="1">
                  <c:v>FY28</c:v>
                </c:pt>
                <c:pt idx="2">
                  <c:v>FY29</c:v>
                </c:pt>
                <c:pt idx="3">
                  <c:v>FY30</c:v>
                </c:pt>
                <c:pt idx="4">
                  <c:v>FY31</c:v>
                </c:pt>
                <c:pt idx="5">
                  <c:v>FY32</c:v>
                </c:pt>
                <c:pt idx="6">
                  <c:v>FY33</c:v>
                </c:pt>
                <c:pt idx="7">
                  <c:v>FY34</c:v>
                </c:pt>
                <c:pt idx="8">
                  <c:v>FY35</c:v>
                </c:pt>
                <c:pt idx="9">
                  <c:v>FY36</c:v>
                </c:pt>
                <c:pt idx="10">
                  <c:v>FY37</c:v>
                </c:pt>
                <c:pt idx="11">
                  <c:v>FY38</c:v>
                </c:pt>
                <c:pt idx="12">
                  <c:v>FY39</c:v>
                </c:pt>
                <c:pt idx="13">
                  <c:v>FY40</c:v>
                </c:pt>
                <c:pt idx="14">
                  <c:v>FY41</c:v>
                </c:pt>
              </c:strCache>
            </c:strRef>
          </c:cat>
          <c:val>
            <c:numRef>
              <c:f>Consol!$I$92:$R$92</c:f>
              <c:numCache>
                <c:formatCode>#,##0.0;[Red]\ \-#,##0.0;\ "-"</c:formatCode>
                <c:ptCount val="10"/>
                <c:pt idx="0">
                  <c:v>0.33158249328232403</c:v>
                </c:pt>
                <c:pt idx="1">
                  <c:v>0.3326893093870622</c:v>
                </c:pt>
                <c:pt idx="2">
                  <c:v>0.3363643595762707</c:v>
                </c:pt>
                <c:pt idx="3">
                  <c:v>0.33949152292516543</c:v>
                </c:pt>
                <c:pt idx="4">
                  <c:v>0.33933963239656895</c:v>
                </c:pt>
                <c:pt idx="5">
                  <c:v>0.34376293019021648</c:v>
                </c:pt>
                <c:pt idx="6">
                  <c:v>0.35162327026360457</c:v>
                </c:pt>
                <c:pt idx="7">
                  <c:v>0.36022146936478816</c:v>
                </c:pt>
                <c:pt idx="8">
                  <c:v>0.36556195073436976</c:v>
                </c:pt>
                <c:pt idx="9">
                  <c:v>0.36726742315368716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B80-440B-9C44-4F49152E25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8026431"/>
        <c:axId val="1578022271"/>
      </c:lineChart>
      <c:catAx>
        <c:axId val="157802643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" lastClr="FFFFFF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578022271"/>
        <c:crosses val="autoZero"/>
        <c:auto val="1"/>
        <c:lblAlgn val="ctr"/>
        <c:lblOffset val="100"/>
        <c:noMultiLvlLbl val="0"/>
      </c:catAx>
      <c:valAx>
        <c:axId val="15780222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ysClr val="window" lastClr="FFFFFF"/>
              </a:solidFill>
              <a:round/>
            </a:ln>
            <a:effectLst/>
          </c:spPr>
        </c:majorGridlines>
        <c:numFmt formatCode="#,##0.0;[Red]\ \-#,##0.0;\ &quot;-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578026431"/>
        <c:crosses val="autoZero"/>
        <c:crossBetween val="between"/>
        <c:majorUnit val="0.1"/>
      </c:valAx>
      <c:spPr>
        <a:solidFill>
          <a:srgbClr val="F2F2F2"/>
        </a:solidFill>
      </c:spPr>
    </c:plotArea>
    <c:legend>
      <c:legendPos val="b"/>
      <c:layout>
        <c:manualLayout>
          <c:xMode val="edge"/>
          <c:yMode val="edge"/>
          <c:x val="0.11724253472222222"/>
          <c:y val="0.895394146278088"/>
          <c:w val="0.7429276041666667"/>
          <c:h val="8.31411888515463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7023437500000003E-2"/>
          <c:y val="8.5556894243641227E-2"/>
          <c:w val="0.91537569444444444"/>
          <c:h val="0.794595381526104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Consol!$H$99</c:f>
              <c:strCache>
                <c:ptCount val="1"/>
                <c:pt idx="0">
                  <c:v>Option 1 (base case) risk cost</c:v>
                </c:pt>
              </c:strCache>
            </c:strRef>
          </c:tx>
          <c:spPr>
            <a:solidFill>
              <a:srgbClr val="EE2A24"/>
            </a:solidFill>
            <a:ln>
              <a:solidFill>
                <a:srgbClr val="F2F2F2"/>
              </a:solidFill>
            </a:ln>
            <a:effectLst/>
          </c:spPr>
          <c:invertIfNegative val="0"/>
          <c:cat>
            <c:strRef>
              <c:f>Consol!$I$97:$R$97</c:f>
              <c:strCache>
                <c:ptCount val="10"/>
                <c:pt idx="0">
                  <c:v>FY27</c:v>
                </c:pt>
                <c:pt idx="1">
                  <c:v>FY28</c:v>
                </c:pt>
                <c:pt idx="2">
                  <c:v>FY29</c:v>
                </c:pt>
                <c:pt idx="3">
                  <c:v>FY30</c:v>
                </c:pt>
                <c:pt idx="4">
                  <c:v>FY31</c:v>
                </c:pt>
                <c:pt idx="5">
                  <c:v>FY32</c:v>
                </c:pt>
                <c:pt idx="6">
                  <c:v>FY33</c:v>
                </c:pt>
                <c:pt idx="7">
                  <c:v>FY34</c:v>
                </c:pt>
                <c:pt idx="8">
                  <c:v>FY35</c:v>
                </c:pt>
                <c:pt idx="9">
                  <c:v>FY36</c:v>
                </c:pt>
              </c:strCache>
            </c:strRef>
          </c:cat>
          <c:val>
            <c:numRef>
              <c:f>Consol!$I$99:$R$99</c:f>
              <c:numCache>
                <c:formatCode>#,##0;[Red]\ \-#,##0;\ "-"</c:formatCode>
                <c:ptCount val="10"/>
                <c:pt idx="0">
                  <c:v>0.29794116757498212</c:v>
                </c:pt>
                <c:pt idx="1">
                  <c:v>0.29893568956940986</c:v>
                </c:pt>
                <c:pt idx="2">
                  <c:v>0.30223788062729889</c:v>
                </c:pt>
                <c:pt idx="3">
                  <c:v>0.30504777173507241</c:v>
                </c:pt>
                <c:pt idx="4">
                  <c:v>0.30491129154582713</c:v>
                </c:pt>
                <c:pt idx="5">
                  <c:v>0.30888581533966653</c:v>
                </c:pt>
                <c:pt idx="6">
                  <c:v>0.31594866982217884</c:v>
                </c:pt>
                <c:pt idx="7">
                  <c:v>0.32367452245658679</c:v>
                </c:pt>
                <c:pt idx="8">
                  <c:v>0.32847317524104125</c:v>
                </c:pt>
                <c:pt idx="9">
                  <c:v>0.33000561574731885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25-495D-AA2E-7DB041CBA6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578026431"/>
        <c:axId val="1578022271"/>
      </c:barChart>
      <c:catAx>
        <c:axId val="157802643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" lastClr="FFFFFF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7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578022271"/>
        <c:crosses val="autoZero"/>
        <c:auto val="1"/>
        <c:lblAlgn val="ctr"/>
        <c:lblOffset val="100"/>
        <c:noMultiLvlLbl val="0"/>
      </c:catAx>
      <c:valAx>
        <c:axId val="1578022271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/>
              </a:solidFill>
              <a:round/>
            </a:ln>
            <a:effectLst/>
          </c:spPr>
        </c:majorGridlines>
        <c:numFmt formatCode="#,##0.0;[Red]\ \-#,##0.0;\ &quot;-&quot;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578026431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rgbClr val="F2F2F2"/>
    </a:solidFill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1</xdr:row>
      <xdr:rowOff>19050</xdr:rowOff>
    </xdr:from>
    <xdr:to>
      <xdr:col>10</xdr:col>
      <xdr:colOff>247650</xdr:colOff>
      <xdr:row>5</xdr:row>
      <xdr:rowOff>19050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7B0DFB7-A4DA-8835-9143-74793CE3E4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209550"/>
          <a:ext cx="8763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114609</xdr:colOff>
      <xdr:row>38</xdr:row>
      <xdr:rowOff>110318</xdr:rowOff>
    </xdr:from>
    <xdr:to>
      <xdr:col>5</xdr:col>
      <xdr:colOff>125991</xdr:colOff>
      <xdr:row>57</xdr:row>
      <xdr:rowOff>117553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7F4FA90B-26EA-4B2F-BB30-10702267B2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349248</xdr:colOff>
      <xdr:row>38</xdr:row>
      <xdr:rowOff>133849</xdr:rowOff>
    </xdr:from>
    <xdr:to>
      <xdr:col>11</xdr:col>
      <xdr:colOff>1089013</xdr:colOff>
      <xdr:row>57</xdr:row>
      <xdr:rowOff>141084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4BF500AE-B449-4C5D-99EE-7C7D4B42E7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729751</xdr:colOff>
          <xdr:row>8</xdr:row>
          <xdr:rowOff>118773</xdr:rowOff>
        </xdr:from>
        <xdr:to>
          <xdr:col>13</xdr:col>
          <xdr:colOff>61447</xdr:colOff>
          <xdr:row>10</xdr:row>
          <xdr:rowOff>131089</xdr:rowOff>
        </xdr:to>
        <xdr:pic>
          <xdr:nvPicPr>
            <xdr:cNvPr id="3" name="Picture 2">
              <a:extLst>
                <a:ext uri="{FF2B5EF4-FFF2-40B4-BE49-F238E27FC236}">
                  <a16:creationId xmlns:a16="http://schemas.microsoft.com/office/drawing/2014/main" id="{E82B1651-56B8-002E-EA93-9D5D6C5D8096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31:$AD$32" spid="_x0000_s25250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5799168" y="1536940"/>
              <a:ext cx="3596779" cy="329816"/>
            </a:xfrm>
            <a:prstGeom prst="rect">
              <a:avLst/>
            </a:prstGeom>
            <a:solidFill>
              <a:schemeClr val="bg1"/>
            </a:solidFill>
            <a:effectLst/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433916</xdr:colOff>
          <xdr:row>0</xdr:row>
          <xdr:rowOff>232834</xdr:rowOff>
        </xdr:from>
        <xdr:to>
          <xdr:col>18</xdr:col>
          <xdr:colOff>535516</xdr:colOff>
          <xdr:row>6</xdr:row>
          <xdr:rowOff>83609</xdr:rowOff>
        </xdr:to>
        <xdr:pic>
          <xdr:nvPicPr>
            <xdr:cNvPr id="4" name="Picture 3">
              <a:extLst>
                <a:ext uri="{FF2B5EF4-FFF2-40B4-BE49-F238E27FC236}">
                  <a16:creationId xmlns:a16="http://schemas.microsoft.com/office/drawing/2014/main" id="{8F508DEC-47D7-CD31-F6EB-2DEF0BD75E9C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14:$AA$19" spid="_x0000_s25251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11641666" y="232834"/>
              <a:ext cx="1477433" cy="9620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PC-Citipower">
    <a:dk1>
      <a:sysClr val="windowText" lastClr="000000"/>
    </a:dk1>
    <a:lt1>
      <a:sysClr val="window" lastClr="FFFFFF"/>
    </a:lt1>
    <a:dk2>
      <a:srgbClr val="000000"/>
    </a:dk2>
    <a:lt2>
      <a:srgbClr val="FFFFFF"/>
    </a:lt2>
    <a:accent1>
      <a:srgbClr val="1079BF"/>
    </a:accent1>
    <a:accent2>
      <a:srgbClr val="ACD0E8"/>
    </a:accent2>
    <a:accent3>
      <a:srgbClr val="DCDCDC"/>
    </a:accent3>
    <a:accent4>
      <a:srgbClr val="101F5B"/>
    </a:accent4>
    <a:accent5>
      <a:srgbClr val="1F3B8A"/>
    </a:accent5>
    <a:accent6>
      <a:srgbClr val="4C62A1"/>
    </a:accent6>
    <a:hlink>
      <a:srgbClr val="000000"/>
    </a:hlink>
    <a:folHlink>
      <a:srgbClr val="000000"/>
    </a:folHlink>
  </a:clrScheme>
  <a:fontScheme name="Arial">
    <a:majorFont>
      <a:latin typeface="Arial" panose="020B0604020202020204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ajorFont>
    <a:minorFont>
      <a:latin typeface="Arial" panose="020B0604020202020204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PC-Citipower">
    <a:dk1>
      <a:sysClr val="windowText" lastClr="000000"/>
    </a:dk1>
    <a:lt1>
      <a:sysClr val="window" lastClr="FFFFFF"/>
    </a:lt1>
    <a:dk2>
      <a:srgbClr val="000000"/>
    </a:dk2>
    <a:lt2>
      <a:srgbClr val="FFFFFF"/>
    </a:lt2>
    <a:accent1>
      <a:srgbClr val="1079BF"/>
    </a:accent1>
    <a:accent2>
      <a:srgbClr val="ACD0E8"/>
    </a:accent2>
    <a:accent3>
      <a:srgbClr val="DCDCDC"/>
    </a:accent3>
    <a:accent4>
      <a:srgbClr val="101F5B"/>
    </a:accent4>
    <a:accent5>
      <a:srgbClr val="1F3B8A"/>
    </a:accent5>
    <a:accent6>
      <a:srgbClr val="4C62A1"/>
    </a:accent6>
    <a:hlink>
      <a:srgbClr val="000000"/>
    </a:hlink>
    <a:folHlink>
      <a:srgbClr val="000000"/>
    </a:folHlink>
  </a:clrScheme>
  <a:fontScheme name="Arial">
    <a:majorFont>
      <a:latin typeface="Arial" panose="020B0604020202020204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ajorFont>
    <a:minorFont>
      <a:latin typeface="Arial" panose="020B0604020202020204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93A8B-21F5-49D4-989F-F3848DBC1145}">
  <sheetPr codeName="Sheet11">
    <tabColor theme="2" tint="-0.749992370372631"/>
  </sheetPr>
  <dimension ref="A1:S41"/>
  <sheetViews>
    <sheetView showGridLines="0" tabSelected="1" zoomScaleNormal="100" workbookViewId="0">
      <selection activeCell="A33" sqref="A33"/>
    </sheetView>
  </sheetViews>
  <sheetFormatPr defaultColWidth="0" defaultRowHeight="15" customHeight="1" zeroHeight="1" x14ac:dyDescent="0.25"/>
  <cols>
    <col min="1" max="1" width="8" style="130" customWidth="1"/>
    <col min="2" max="2" width="1.875" style="130" customWidth="1"/>
    <col min="3" max="3" width="14" style="130" customWidth="1"/>
    <col min="4" max="4" width="8" style="130" customWidth="1"/>
    <col min="5" max="5" width="9.375" style="130" customWidth="1"/>
    <col min="6" max="11" width="8" style="130" customWidth="1"/>
    <col min="12" max="19" width="8" style="130" hidden="1" customWidth="1"/>
    <col min="20" max="16384" width="0" style="130" hidden="1"/>
  </cols>
  <sheetData>
    <row r="1" spans="1:19" x14ac:dyDescent="0.25">
      <c r="A1" s="311"/>
    </row>
    <row r="2" spans="1:19" ht="23.25" x14ac:dyDescent="0.35">
      <c r="A2" s="311"/>
      <c r="C2" s="312" t="s">
        <v>3</v>
      </c>
      <c r="D2" s="313"/>
      <c r="E2" s="313"/>
    </row>
    <row r="3" spans="1:19" ht="15.75" x14ac:dyDescent="0.25">
      <c r="A3" s="311"/>
      <c r="C3" s="314" t="s">
        <v>244</v>
      </c>
      <c r="D3" s="313"/>
      <c r="E3" s="313"/>
    </row>
    <row r="4" spans="1:19" x14ac:dyDescent="0.25">
      <c r="A4" s="311"/>
      <c r="D4" s="313"/>
      <c r="E4" s="313"/>
    </row>
    <row r="5" spans="1:19" x14ac:dyDescent="0.25">
      <c r="A5" s="311"/>
      <c r="C5" s="315" t="s">
        <v>413</v>
      </c>
    </row>
    <row r="6" spans="1:19" x14ac:dyDescent="0.25">
      <c r="A6" s="311"/>
      <c r="C6" s="316" t="s">
        <v>245</v>
      </c>
      <c r="D6" s="365">
        <v>5.04</v>
      </c>
      <c r="E6" s="316"/>
    </row>
    <row r="7" spans="1:19" x14ac:dyDescent="0.25">
      <c r="A7" s="311"/>
      <c r="F7" s="317"/>
      <c r="G7" s="317"/>
      <c r="H7" s="317"/>
      <c r="J7" s="317"/>
      <c r="K7" s="317"/>
      <c r="L7" s="317"/>
      <c r="M7" s="317"/>
      <c r="N7" s="317"/>
      <c r="O7" s="317"/>
      <c r="P7" s="317"/>
      <c r="Q7" s="317"/>
      <c r="R7" s="317"/>
      <c r="S7" s="317"/>
    </row>
    <row r="8" spans="1:19" x14ac:dyDescent="0.25">
      <c r="A8" s="311"/>
      <c r="C8" s="318">
        <v>45688</v>
      </c>
      <c r="F8" s="317"/>
      <c r="G8" s="317"/>
      <c r="H8" s="317"/>
      <c r="J8" s="317"/>
      <c r="K8" s="317"/>
      <c r="L8" s="317"/>
      <c r="M8" s="317"/>
      <c r="N8" s="317"/>
      <c r="O8" s="317"/>
      <c r="P8" s="317"/>
      <c r="Q8" s="317"/>
      <c r="R8" s="317"/>
      <c r="S8" s="317"/>
    </row>
    <row r="9" spans="1:19" x14ac:dyDescent="0.25">
      <c r="A9" s="311"/>
      <c r="C9" s="319"/>
      <c r="D9" s="319"/>
      <c r="F9" s="317"/>
      <c r="G9" s="317"/>
      <c r="H9" s="317"/>
      <c r="I9" s="317"/>
      <c r="J9" s="317"/>
      <c r="K9" s="317"/>
      <c r="L9" s="317"/>
      <c r="M9" s="317"/>
      <c r="N9" s="317"/>
      <c r="O9" s="317"/>
      <c r="P9" s="317"/>
      <c r="Q9" s="317"/>
      <c r="R9" s="317"/>
      <c r="S9" s="317"/>
    </row>
    <row r="10" spans="1:19" x14ac:dyDescent="0.25">
      <c r="A10" s="311"/>
      <c r="C10" s="319"/>
      <c r="D10" s="319"/>
      <c r="F10" s="317"/>
      <c r="G10" s="317"/>
      <c r="H10" s="317"/>
      <c r="I10" s="317"/>
      <c r="J10" s="317"/>
      <c r="K10" s="317"/>
      <c r="L10" s="317"/>
      <c r="M10" s="317"/>
      <c r="N10" s="317"/>
      <c r="O10" s="317"/>
      <c r="P10" s="317"/>
      <c r="Q10" s="317"/>
      <c r="R10" s="317"/>
      <c r="S10" s="317"/>
    </row>
    <row r="11" spans="1:19" x14ac:dyDescent="0.25">
      <c r="A11" s="311"/>
      <c r="C11" s="319"/>
      <c r="D11" s="319"/>
      <c r="F11" s="317"/>
      <c r="G11" s="317"/>
      <c r="H11" s="317"/>
      <c r="I11" s="317"/>
      <c r="J11" s="317"/>
      <c r="K11" s="317"/>
      <c r="L11" s="317"/>
      <c r="M11" s="317"/>
      <c r="N11" s="317"/>
      <c r="O11" s="317"/>
      <c r="P11" s="317"/>
      <c r="Q11" s="317"/>
      <c r="R11" s="317"/>
      <c r="S11" s="317"/>
    </row>
    <row r="12" spans="1:19" x14ac:dyDescent="0.25">
      <c r="A12" s="311"/>
      <c r="C12" s="319"/>
      <c r="D12" s="319"/>
      <c r="F12" s="317"/>
      <c r="G12" s="317"/>
      <c r="H12" s="317"/>
      <c r="I12" s="317"/>
      <c r="J12" s="317"/>
      <c r="K12" s="317"/>
      <c r="L12" s="317"/>
      <c r="M12" s="317"/>
      <c r="N12" s="317"/>
      <c r="O12" s="317"/>
      <c r="P12" s="317"/>
      <c r="Q12" s="317"/>
      <c r="R12" s="317"/>
      <c r="S12" s="317"/>
    </row>
    <row r="13" spans="1:19" x14ac:dyDescent="0.25">
      <c r="A13" s="311"/>
      <c r="C13" s="319"/>
      <c r="D13" s="319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Q13" s="317"/>
      <c r="R13" s="317"/>
      <c r="S13" s="317"/>
    </row>
    <row r="14" spans="1:19" x14ac:dyDescent="0.25">
      <c r="A14" s="311"/>
      <c r="C14" s="317"/>
      <c r="D14" s="317"/>
      <c r="E14" s="317"/>
      <c r="F14" s="317"/>
      <c r="G14" s="317"/>
      <c r="H14" s="317"/>
      <c r="I14" s="317"/>
      <c r="J14" s="317"/>
      <c r="K14" s="317"/>
      <c r="L14" s="317"/>
      <c r="M14" s="317"/>
      <c r="N14" s="317"/>
      <c r="O14" s="317"/>
      <c r="P14" s="317"/>
      <c r="Q14" s="317"/>
      <c r="R14" s="317"/>
      <c r="S14" s="317"/>
    </row>
    <row r="15" spans="1:19" x14ac:dyDescent="0.25">
      <c r="A15" s="311"/>
      <c r="C15" s="315"/>
      <c r="D15" s="317"/>
      <c r="E15" s="317"/>
      <c r="F15" s="317"/>
      <c r="G15" s="317"/>
      <c r="H15" s="317"/>
      <c r="I15" s="317"/>
      <c r="J15" s="317"/>
      <c r="K15" s="317"/>
      <c r="L15" s="317"/>
      <c r="M15" s="317"/>
      <c r="N15" s="317"/>
      <c r="O15" s="317"/>
      <c r="P15" s="317"/>
      <c r="Q15" s="317"/>
      <c r="R15" s="317"/>
      <c r="S15" s="317"/>
    </row>
    <row r="16" spans="1:19" x14ac:dyDescent="0.25">
      <c r="A16" s="311"/>
      <c r="C16" s="315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Q16" s="317"/>
      <c r="R16" s="317"/>
      <c r="S16" s="317"/>
    </row>
    <row r="17" spans="1:19" x14ac:dyDescent="0.25">
      <c r="A17" s="311"/>
      <c r="C17" s="317"/>
      <c r="D17" s="317"/>
      <c r="E17" s="317"/>
      <c r="F17" s="317"/>
      <c r="G17" s="317"/>
      <c r="H17" s="317"/>
      <c r="I17" s="317"/>
      <c r="J17" s="317"/>
      <c r="K17" s="317"/>
      <c r="L17" s="317"/>
      <c r="M17" s="317"/>
      <c r="N17" s="317"/>
      <c r="O17" s="317"/>
      <c r="P17" s="317"/>
      <c r="Q17" s="317"/>
      <c r="R17" s="317"/>
      <c r="S17" s="317"/>
    </row>
    <row r="18" spans="1:19" x14ac:dyDescent="0.25">
      <c r="A18" s="311"/>
      <c r="C18" s="317"/>
      <c r="D18" s="317"/>
      <c r="E18" s="317"/>
      <c r="F18" s="317"/>
      <c r="G18" s="317"/>
      <c r="H18" s="317"/>
      <c r="I18" s="317"/>
      <c r="J18" s="317"/>
      <c r="K18" s="317"/>
      <c r="L18" s="317"/>
      <c r="M18" s="317"/>
      <c r="N18" s="317"/>
      <c r="O18" s="317"/>
      <c r="P18" s="317"/>
      <c r="Q18" s="317"/>
      <c r="R18" s="317"/>
      <c r="S18" s="317"/>
    </row>
    <row r="19" spans="1:19" x14ac:dyDescent="0.25">
      <c r="A19" s="311"/>
      <c r="C19" s="317"/>
      <c r="D19" s="317"/>
      <c r="E19" s="317"/>
      <c r="F19" s="317"/>
      <c r="G19"/>
      <c r="H19" s="317"/>
      <c r="I19" s="317"/>
      <c r="J19" s="317"/>
      <c r="K19" s="317"/>
      <c r="L19" s="317"/>
      <c r="M19" s="317"/>
      <c r="N19" s="317"/>
      <c r="O19" s="317"/>
      <c r="P19" s="317"/>
      <c r="Q19" s="317"/>
      <c r="R19" s="317"/>
      <c r="S19" s="317"/>
    </row>
    <row r="20" spans="1:19" x14ac:dyDescent="0.25">
      <c r="A20" s="311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Q20" s="317"/>
      <c r="R20" s="317"/>
      <c r="S20" s="317"/>
    </row>
    <row r="21" spans="1:19" ht="16.5" customHeight="1" x14ac:dyDescent="0.25">
      <c r="A21" s="311"/>
      <c r="C21" s="317"/>
      <c r="D21" s="317"/>
      <c r="E21" s="317"/>
      <c r="F21" s="317"/>
      <c r="G21" s="317"/>
      <c r="H21" s="317"/>
      <c r="I21" s="317"/>
      <c r="J21" s="317"/>
      <c r="K21" s="317"/>
      <c r="L21" s="317"/>
      <c r="M21" s="317"/>
      <c r="N21" s="317"/>
      <c r="O21" s="317"/>
      <c r="P21" s="317"/>
      <c r="Q21" s="317"/>
      <c r="R21" s="317"/>
      <c r="S21" s="317"/>
    </row>
    <row r="22" spans="1:19" x14ac:dyDescent="0.25">
      <c r="A22" s="311"/>
      <c r="C22" s="317"/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317"/>
      <c r="P22" s="317"/>
      <c r="Q22" s="317"/>
      <c r="R22" s="317"/>
      <c r="S22" s="317"/>
    </row>
    <row r="23" spans="1:19" x14ac:dyDescent="0.25">
      <c r="A23" s="311"/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</row>
    <row r="24" spans="1:19" x14ac:dyDescent="0.25">
      <c r="A24" s="311"/>
      <c r="C24" s="317"/>
      <c r="D24" s="317"/>
      <c r="E24" s="317"/>
      <c r="F24" s="317"/>
      <c r="G24" s="317"/>
      <c r="H24" s="317"/>
      <c r="I24" s="317"/>
      <c r="J24" s="317"/>
      <c r="K24" s="317"/>
      <c r="L24" s="317"/>
      <c r="M24" s="317"/>
      <c r="N24" s="317"/>
      <c r="O24" s="317"/>
      <c r="P24" s="317"/>
      <c r="Q24" s="317"/>
      <c r="R24" s="317"/>
      <c r="S24" s="317"/>
    </row>
    <row r="25" spans="1:19" x14ac:dyDescent="0.25">
      <c r="A25" s="311"/>
      <c r="C25" s="317"/>
      <c r="D25" s="317"/>
      <c r="E25" s="317"/>
      <c r="F25" s="317"/>
      <c r="G25" s="317"/>
      <c r="H25" s="317"/>
      <c r="I25" s="317"/>
      <c r="J25" s="317"/>
      <c r="K25" s="317"/>
      <c r="L25" s="317"/>
      <c r="M25" s="317"/>
      <c r="N25" s="317"/>
      <c r="O25" s="317"/>
      <c r="P25" s="317"/>
      <c r="Q25" s="317"/>
      <c r="R25" s="317"/>
      <c r="S25" s="317"/>
    </row>
    <row r="26" spans="1:19" x14ac:dyDescent="0.25">
      <c r="A26" s="311"/>
      <c r="C26" s="317"/>
      <c r="D26" s="317"/>
      <c r="E26" s="317"/>
      <c r="F26" s="317"/>
      <c r="G26" s="317"/>
      <c r="H26" s="317"/>
      <c r="I26" s="317"/>
      <c r="J26" s="317"/>
      <c r="K26" s="317"/>
      <c r="L26" s="317"/>
      <c r="M26" s="317"/>
      <c r="N26" s="317"/>
      <c r="O26" s="317"/>
      <c r="P26" s="317"/>
      <c r="Q26" s="317"/>
      <c r="R26" s="317"/>
      <c r="S26" s="317"/>
    </row>
    <row r="27" spans="1:19" x14ac:dyDescent="0.25">
      <c r="A27" s="311"/>
      <c r="C27" s="317"/>
      <c r="D27" s="317"/>
      <c r="E27" s="317"/>
      <c r="F27" s="317"/>
      <c r="G27" s="317"/>
      <c r="H27" s="317"/>
      <c r="I27" s="317"/>
      <c r="J27" s="317"/>
      <c r="K27" s="317"/>
      <c r="L27" s="317"/>
      <c r="M27" s="317"/>
      <c r="N27" s="317"/>
      <c r="O27" s="317"/>
      <c r="P27" s="317"/>
      <c r="Q27" s="317"/>
      <c r="R27" s="317"/>
      <c r="S27" s="317"/>
    </row>
    <row r="28" spans="1:19" x14ac:dyDescent="0.25">
      <c r="A28" s="311"/>
      <c r="C28" s="317"/>
      <c r="D28" s="317"/>
      <c r="E28" s="317"/>
      <c r="F28" s="317"/>
      <c r="G28" s="317"/>
      <c r="H28" s="317"/>
      <c r="I28" s="317"/>
      <c r="J28" s="317"/>
      <c r="K28" s="317"/>
      <c r="L28" s="317"/>
      <c r="M28" s="317"/>
      <c r="N28" s="317"/>
      <c r="O28" s="317"/>
      <c r="P28" s="317"/>
      <c r="Q28" s="317"/>
      <c r="R28" s="317"/>
      <c r="S28" s="317"/>
    </row>
    <row r="29" spans="1:19" x14ac:dyDescent="0.25">
      <c r="A29" s="311"/>
      <c r="C29" s="317"/>
      <c r="D29" s="317"/>
      <c r="E29" s="317"/>
      <c r="F29" s="317"/>
      <c r="G29" s="317"/>
      <c r="H29" s="317"/>
      <c r="I29" s="317"/>
      <c r="J29" s="317"/>
      <c r="K29" s="317"/>
      <c r="L29" s="317"/>
      <c r="M29" s="317"/>
      <c r="N29" s="317"/>
      <c r="O29" s="317"/>
      <c r="P29" s="317"/>
      <c r="Q29" s="317"/>
      <c r="R29" s="317"/>
      <c r="S29" s="317"/>
    </row>
    <row r="30" spans="1:19" x14ac:dyDescent="0.25">
      <c r="A30" s="311"/>
      <c r="C30" s="317"/>
      <c r="E30" s="317"/>
      <c r="F30" s="317"/>
      <c r="G30" s="317"/>
      <c r="H30" s="317"/>
      <c r="I30" s="317"/>
      <c r="J30" s="317"/>
      <c r="K30" s="317"/>
      <c r="L30" s="317"/>
      <c r="M30" s="317"/>
      <c r="N30" s="317"/>
      <c r="O30" s="317"/>
      <c r="P30" s="317"/>
      <c r="Q30" s="317"/>
      <c r="R30" s="317"/>
      <c r="S30" s="317"/>
    </row>
    <row r="31" spans="1:19" x14ac:dyDescent="0.25">
      <c r="A31" s="311"/>
      <c r="C31" s="317"/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317"/>
      <c r="P31" s="317"/>
      <c r="Q31" s="317"/>
      <c r="R31" s="317"/>
      <c r="S31" s="317"/>
    </row>
    <row r="32" spans="1:19" x14ac:dyDescent="0.25">
      <c r="A32" s="311"/>
      <c r="C32" s="317"/>
      <c r="D32" s="317"/>
      <c r="E32" s="317"/>
      <c r="F32" s="317"/>
      <c r="G32" s="317"/>
      <c r="H32" s="317"/>
      <c r="I32" s="317"/>
      <c r="J32" s="317"/>
      <c r="K32" s="317"/>
      <c r="L32" s="317"/>
      <c r="M32" s="317"/>
      <c r="N32" s="317"/>
      <c r="O32" s="317"/>
      <c r="P32" s="317"/>
      <c r="Q32" s="317"/>
      <c r="R32" s="317"/>
      <c r="S32" s="317"/>
    </row>
    <row r="33" spans="1:19" x14ac:dyDescent="0.25">
      <c r="A33" s="311"/>
      <c r="E33" s="317"/>
      <c r="F33" s="317"/>
      <c r="G33" s="317"/>
      <c r="H33" s="317"/>
      <c r="I33" s="317"/>
      <c r="J33" s="317"/>
      <c r="K33" s="317"/>
      <c r="L33" s="317"/>
      <c r="M33" s="317"/>
      <c r="N33" s="317"/>
      <c r="O33" s="317"/>
      <c r="P33" s="317"/>
      <c r="Q33" s="317"/>
      <c r="R33" s="317"/>
      <c r="S33" s="317"/>
    </row>
    <row r="34" spans="1:19" x14ac:dyDescent="0.25">
      <c r="A34" s="311"/>
      <c r="C34" s="317"/>
      <c r="D34" s="317"/>
      <c r="E34" s="317"/>
      <c r="F34" s="317"/>
      <c r="G34" s="317"/>
      <c r="H34" s="317"/>
      <c r="I34" s="317"/>
      <c r="J34" s="317"/>
      <c r="K34" s="317"/>
      <c r="L34" s="317"/>
      <c r="M34" s="317"/>
      <c r="N34" s="317"/>
      <c r="O34" s="317"/>
      <c r="P34" s="317"/>
      <c r="Q34" s="317"/>
      <c r="R34" s="317"/>
      <c r="S34" s="317"/>
    </row>
    <row r="35" spans="1:19" x14ac:dyDescent="0.25">
      <c r="A35" s="311"/>
      <c r="C35" s="317"/>
      <c r="D35" s="317"/>
      <c r="E35" s="317"/>
      <c r="F35" s="317"/>
      <c r="G35" s="317"/>
      <c r="H35" s="317"/>
      <c r="I35" s="317"/>
      <c r="J35" s="317"/>
      <c r="K35" s="317"/>
      <c r="L35" s="317"/>
      <c r="M35" s="317"/>
      <c r="N35" s="317"/>
      <c r="O35" s="317"/>
      <c r="P35" s="317"/>
      <c r="Q35" s="317"/>
      <c r="R35" s="317"/>
      <c r="S35" s="317"/>
    </row>
    <row r="36" spans="1:19" x14ac:dyDescent="0.25">
      <c r="A36" s="311"/>
    </row>
    <row r="37" spans="1:19" x14ac:dyDescent="0.25">
      <c r="A37" s="311"/>
    </row>
    <row r="38" spans="1:19" x14ac:dyDescent="0.25">
      <c r="A38" s="311"/>
    </row>
    <row r="39" spans="1:19" x14ac:dyDescent="0.25">
      <c r="A39" s="311"/>
    </row>
    <row r="40" spans="1:19" x14ac:dyDescent="0.25">
      <c r="A40" s="311">
        <f ca="1">_xlfn.SHEETS()</f>
        <v>14</v>
      </c>
    </row>
    <row r="41" spans="1:19" x14ac:dyDescent="0.25">
      <c r="A41" s="311"/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66FFFF"/>
    <pageSetUpPr fitToPage="1"/>
  </sheetPr>
  <dimension ref="A1:N232"/>
  <sheetViews>
    <sheetView showGridLines="0" zoomScale="85" zoomScaleNormal="85" workbookViewId="0">
      <pane ySplit="2" topLeftCell="A3" activePane="bottomLeft" state="frozen"/>
      <selection activeCell="Z23" sqref="Z23"/>
      <selection pane="bottomLeft" activeCell="A3" sqref="A3"/>
    </sheetView>
  </sheetViews>
  <sheetFormatPr defaultColWidth="0" defaultRowHeight="12" zeroHeight="1" x14ac:dyDescent="0.2"/>
  <cols>
    <col min="1" max="1" width="1.875" style="10" customWidth="1"/>
    <col min="2" max="2" width="2" style="10" customWidth="1"/>
    <col min="3" max="3" width="21.625" style="10" customWidth="1"/>
    <col min="4" max="4" width="34.625" style="10" customWidth="1"/>
    <col min="5" max="5" width="15.25" style="10" customWidth="1"/>
    <col min="6" max="9" width="13.125" style="10" customWidth="1"/>
    <col min="10" max="10" width="11.75" style="10" customWidth="1"/>
    <col min="11" max="11" width="1.75" style="10" customWidth="1"/>
    <col min="12" max="12" width="14.625" style="10" customWidth="1"/>
    <col min="13" max="13" width="2.25" style="10" customWidth="1"/>
    <col min="14" max="14" width="8.75" style="10" hidden="1" customWidth="1"/>
    <col min="15" max="16384" width="9" style="10" hidden="1"/>
  </cols>
  <sheetData>
    <row r="1" spans="1:13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3" s="8" customFormat="1" ht="18.75" x14ac:dyDescent="0.3">
      <c r="A2" s="56" t="str">
        <f>proj</f>
        <v>Apollo Bay microgrid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3" s="7" customFormat="1" ht="18.75" x14ac:dyDescent="0.3">
      <c r="A3" s="204" t="s">
        <v>16</v>
      </c>
      <c r="B3" s="34"/>
      <c r="C3" s="34"/>
      <c r="D3" s="33"/>
      <c r="E3" s="33"/>
      <c r="F3" s="33"/>
      <c r="G3" s="33"/>
      <c r="H3" s="33"/>
      <c r="I3" s="33"/>
      <c r="J3" s="33"/>
      <c r="K3" s="33"/>
      <c r="L3" s="33"/>
      <c r="M3" s="8"/>
    </row>
    <row r="4" spans="1:13" s="7" customFormat="1" ht="18.75" x14ac:dyDescent="0.3">
      <c r="A4" s="34"/>
      <c r="B4" s="34"/>
      <c r="C4" s="34"/>
      <c r="D4" s="33"/>
      <c r="E4" s="33"/>
      <c r="F4" s="33"/>
      <c r="G4" s="33"/>
      <c r="H4" s="33"/>
      <c r="I4" s="33"/>
      <c r="J4" s="33"/>
      <c r="K4" s="33"/>
      <c r="L4" s="33"/>
      <c r="M4" s="8"/>
    </row>
    <row r="5" spans="1:13" s="7" customFormat="1" ht="15" x14ac:dyDescent="0.25">
      <c r="A5" s="19" t="s">
        <v>163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8"/>
    </row>
    <row r="6" spans="1:13" s="7" customFormat="1" ht="12.75" x14ac:dyDescent="0.2">
      <c r="A6" s="9"/>
      <c r="B6" s="9"/>
      <c r="C6" s="9"/>
      <c r="D6" s="4"/>
      <c r="E6" s="4"/>
      <c r="F6" s="9"/>
      <c r="G6" s="9"/>
      <c r="H6" s="9"/>
      <c r="I6" s="9"/>
      <c r="J6" s="9"/>
      <c r="K6" s="9"/>
      <c r="L6" s="9"/>
    </row>
    <row r="7" spans="1:13" s="7" customFormat="1" ht="12.75" x14ac:dyDescent="0.2">
      <c r="G7" s="153" t="s">
        <v>193</v>
      </c>
      <c r="H7" s="153" t="s">
        <v>194</v>
      </c>
      <c r="I7" s="153" t="s">
        <v>119</v>
      </c>
    </row>
    <row r="8" spans="1:13" s="7" customFormat="1" ht="12.75" x14ac:dyDescent="0.2">
      <c r="C8" s="29" t="s">
        <v>1</v>
      </c>
      <c r="D8" s="29"/>
      <c r="E8" s="29"/>
      <c r="F8" s="29"/>
      <c r="G8" s="185">
        <f>output_dollars</f>
        <v>46203</v>
      </c>
      <c r="H8" s="185">
        <f>output_dollars</f>
        <v>46203</v>
      </c>
      <c r="I8" s="185">
        <f>output_dollars</f>
        <v>46203</v>
      </c>
    </row>
    <row r="9" spans="1:13" s="7" customFormat="1" ht="12.75" x14ac:dyDescent="0.2">
      <c r="C9" s="91" t="str" cm="1">
        <f t="array" ref="C9:C13">options</f>
        <v>Option 1 (base case)</v>
      </c>
      <c r="D9" s="367" t="str">
        <f>INDEX(Assumptions!$E$14:$E$18, MATCH(C9, Assumptions!$C$14:$C$18,0))</f>
        <v>No change to existing practices</v>
      </c>
      <c r="E9" s="368"/>
      <c r="F9" s="368"/>
      <c r="G9" s="103">
        <f>IF(Data!$C9, "", INDEX(Consol!$F$15:$F$82, MATCH($C9&amp;G$7, Consol!$D$15:$D$82,0))/mill_conv)</f>
        <v>0</v>
      </c>
      <c r="H9" s="103">
        <f>IF(Data!$C9, "", INDEX(Consol!$F$15:$F$82, MATCH($C9&amp;H$7, Consol!$D$15:$D$82,0))/mill_conv)</f>
        <v>0</v>
      </c>
      <c r="I9" s="103">
        <f>IF(Data!$C9, "", INDEX(Consol!$F$15:$F$82, MATCH($C9&amp;I$7, Consol!$D$15:$D$82,0))/mill_conv)</f>
        <v>0</v>
      </c>
    </row>
    <row r="10" spans="1:13" s="7" customFormat="1" ht="12.75" customHeight="1" x14ac:dyDescent="0.2">
      <c r="C10" s="91" t="str">
        <v>Option 2</v>
      </c>
      <c r="D10" s="369" t="str">
        <f>INDEX(Assumptions!$E$14:$E$18, MATCH(C10, Assumptions!$C$14:$C$18,0))</f>
        <v>Install generator only microgrid</v>
      </c>
      <c r="E10" s="370"/>
      <c r="F10" s="370"/>
      <c r="G10" s="103">
        <f>IF(Data!$C10, "", INDEX(Consol!$F$15:$F$82, MATCH($C10&amp;G$7, Consol!$D$15:$D$82,0))/mill_conv)</f>
        <v>-3.7413537106237533</v>
      </c>
      <c r="H10" s="103">
        <f>IF(Data!$C10, "", INDEX(Consol!$F$15:$F$82, MATCH($C10&amp;H$7, Consol!$D$15:$D$82,0))/mill_conv)</f>
        <v>5.4659985674685112</v>
      </c>
      <c r="I10" s="103">
        <f>IF(Data!$C10, "", INDEX(Consol!$F$15:$F$82, MATCH($C10&amp;I$7, Consol!$D$15:$D$82,0))/mill_conv)</f>
        <v>1.7246448568447579</v>
      </c>
    </row>
    <row r="11" spans="1:13" s="7" customFormat="1" ht="12.75" x14ac:dyDescent="0.2">
      <c r="C11" s="91" t="str">
        <v>Option 3</v>
      </c>
      <c r="D11" s="369" t="str">
        <f>INDEX(Assumptions!$E$14:$E$18, MATCH(C11, Assumptions!$C$14:$C$18,0))</f>
        <v>Install generator + BESS microgrid</v>
      </c>
      <c r="E11" s="370"/>
      <c r="F11" s="370"/>
      <c r="G11" s="103">
        <f>IF(Data!$C11, "", INDEX(Consol!$F$15:$F$82, MATCH($C11&amp;G$7, Consol!$D$15:$D$82,0))/mill_conv)</f>
        <v>-8.3608997130598244</v>
      </c>
      <c r="H11" s="103">
        <f>IF(Data!$C11, "", INDEX(Consol!$F$15:$F$82, MATCH($C11&amp;H$7, Consol!$D$15:$D$82,0))/mill_conv)</f>
        <v>5.6147957962619763</v>
      </c>
      <c r="I11" s="103">
        <f>IF(Data!$C11, "", INDEX(Consol!$F$15:$F$82, MATCH($C11&amp;I$7, Consol!$D$15:$D$82,0))/mill_conv)</f>
        <v>-2.7461039167978494</v>
      </c>
    </row>
    <row r="12" spans="1:13" s="7" customFormat="1" ht="12.75" x14ac:dyDescent="0.2">
      <c r="C12" s="91" t="str">
        <v>Option 4</v>
      </c>
      <c r="D12" s="369">
        <f>INDEX(Assumptions!$E$14:$E$18, MATCH(C12, Assumptions!$C$14:$C$18,0))</f>
        <v>0</v>
      </c>
      <c r="E12" s="370"/>
      <c r="F12" s="370"/>
      <c r="G12" s="103" t="str">
        <f>IF(Data!$C12, "", INDEX(Consol!$F$15:$F$82, MATCH($C12&amp;G$7, Consol!$D$15:$D$82,0))/mill_conv)</f>
        <v/>
      </c>
      <c r="H12" s="103" t="str">
        <f>IF(Data!$C12, "", INDEX(Consol!$F$15:$F$82, MATCH($C12&amp;H$7, Consol!$D$15:$D$82,0))/mill_conv)</f>
        <v/>
      </c>
      <c r="I12" s="103" t="str">
        <f>IF(Data!$C12, "", INDEX(Consol!$F$15:$F$82, MATCH($C12&amp;I$7, Consol!$D$15:$D$82,0))/mill_conv)</f>
        <v/>
      </c>
    </row>
    <row r="13" spans="1:13" s="7" customFormat="1" ht="12.75" x14ac:dyDescent="0.2">
      <c r="C13" s="91" t="str">
        <v>Option 5</v>
      </c>
      <c r="D13" s="369">
        <f>INDEX(Assumptions!$E$14:$E$18, MATCH(C13, Assumptions!$C$14:$C$18,0))</f>
        <v>0</v>
      </c>
      <c r="E13" s="370"/>
      <c r="F13" s="370"/>
      <c r="G13" s="103" t="str">
        <f>IF(Data!$C13, "", INDEX(Consol!$F$15:$F$82, MATCH($C13&amp;G$7, Consol!$D$15:$D$82,0))/mill_conv)</f>
        <v/>
      </c>
      <c r="H13" s="103" t="str">
        <f>IF(Data!$C13, "", INDEX(Consol!$F$15:$F$82, MATCH($C13&amp;H$7, Consol!$D$15:$D$82,0))/mill_conv)</f>
        <v/>
      </c>
      <c r="I13" s="103" t="str">
        <f>IF(Data!$C13, "", INDEX(Consol!$F$15:$F$82, MATCH($C13&amp;I$7, Consol!$D$15:$D$82,0))/mill_conv)</f>
        <v/>
      </c>
    </row>
    <row r="14" spans="1:13" s="7" customFormat="1" ht="12.75" x14ac:dyDescent="0.2">
      <c r="C14" s="91"/>
      <c r="D14" s="248"/>
      <c r="E14" s="248"/>
      <c r="F14" s="242"/>
      <c r="H14" s="9"/>
    </row>
    <row r="15" spans="1:13" s="7" customFormat="1" ht="12.75" x14ac:dyDescent="0.2">
      <c r="C15" s="91"/>
      <c r="D15" s="91"/>
      <c r="E15" s="91"/>
      <c r="F15" s="92"/>
      <c r="G15"/>
      <c r="I15" s="9"/>
    </row>
    <row r="16" spans="1:13" s="7" customFormat="1" ht="12.75" x14ac:dyDescent="0.2">
      <c r="G16" s="153" t="s">
        <v>119</v>
      </c>
      <c r="H16"/>
      <c r="J16" s="9"/>
    </row>
    <row r="17" spans="1:13" s="7" customFormat="1" ht="12.75" x14ac:dyDescent="0.2">
      <c r="C17" s="26" t="s">
        <v>24</v>
      </c>
      <c r="D17" s="29"/>
      <c r="E17" s="29"/>
      <c r="F17" s="29"/>
      <c r="G17" s="185">
        <f>output_dollars</f>
        <v>46203</v>
      </c>
      <c r="H17"/>
      <c r="J17" s="9"/>
    </row>
    <row r="18" spans="1:13" s="7" customFormat="1" ht="12.75" x14ac:dyDescent="0.2">
      <c r="C18" s="36" t="str">
        <f>INDEX($C$9:$C$13,MATCH(G18, $I$9:$I$13,0))</f>
        <v>Option 2</v>
      </c>
      <c r="D18" s="366" t="str">
        <f>INDEX($D$9:$D$13,MATCH(G18, $I$9:$I$13,0))</f>
        <v>Install generator only microgrid</v>
      </c>
      <c r="E18" s="366"/>
      <c r="F18" s="366"/>
      <c r="G18" s="104">
        <f>_xlfn.MAXIFS(I9:I13, IF(compliance, Data!$F$9:$F$13, Data!$C$9:$C$13),FALSE)</f>
        <v>1.7246448568447579</v>
      </c>
      <c r="H18"/>
    </row>
    <row r="19" spans="1:13" s="7" customFormat="1" ht="12.75" x14ac:dyDescent="0.2">
      <c r="H19"/>
    </row>
    <row r="20" spans="1:13" x14ac:dyDescent="0.2"/>
    <row r="21" spans="1:13" x14ac:dyDescent="0.2"/>
    <row r="22" spans="1:13" x14ac:dyDescent="0.2"/>
    <row r="23" spans="1:13" ht="15" x14ac:dyDescent="0.25">
      <c r="A23" s="19" t="s">
        <v>88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8"/>
    </row>
    <row r="24" spans="1:13" x14ac:dyDescent="0.2"/>
    <row r="25" spans="1:13" s="8" customFormat="1" ht="12.75" x14ac:dyDescent="0.2">
      <c r="C25" s="14" t="s">
        <v>28</v>
      </c>
    </row>
    <row r="26" spans="1:13" s="8" customFormat="1" ht="12.75" x14ac:dyDescent="0.2">
      <c r="C26" s="93" t="str">
        <f>C18</f>
        <v>Option 2</v>
      </c>
    </row>
    <row r="27" spans="1:13" s="8" customFormat="1" ht="12.75" x14ac:dyDescent="0.2"/>
    <row r="28" spans="1:13" s="8" customFormat="1" ht="12.75" x14ac:dyDescent="0.2"/>
    <row r="29" spans="1:13" s="8" customFormat="1" ht="12.75" x14ac:dyDescent="0.2">
      <c r="C29" s="53" t="s">
        <v>29</v>
      </c>
      <c r="D29" s="290">
        <f>output_dollars</f>
        <v>46203</v>
      </c>
      <c r="E29" s="186"/>
      <c r="F29" s="55" t="str">
        <f>Assumptions!K93</f>
        <v>2026-27</v>
      </c>
      <c r="G29" s="55" t="str">
        <f>Assumptions!L93</f>
        <v>2027-28</v>
      </c>
      <c r="H29" s="55" t="str">
        <f>Assumptions!M93</f>
        <v>2028-29</v>
      </c>
      <c r="I29" s="55" t="str">
        <f>Assumptions!N93</f>
        <v>2029-30</v>
      </c>
      <c r="J29" s="55" t="str">
        <f>Assumptions!O93</f>
        <v>2030-31</v>
      </c>
      <c r="L29" s="55" t="s">
        <v>145</v>
      </c>
    </row>
    <row r="30" spans="1:13" s="8" customFormat="1" ht="12.75" x14ac:dyDescent="0.2">
      <c r="C30" s="4" t="s">
        <v>30</v>
      </c>
      <c r="F30" s="105">
        <f>-INDEX(Consol!I$15:I$82,MATCH($C$26&amp;$C30,Consol!$D$15:$D$82,0))/mill_conv</f>
        <v>0</v>
      </c>
      <c r="G30" s="105">
        <f>-INDEX(Consol!J$15:J$82,MATCH($C$26&amp;$C30,Consol!$D$15:$D$82,0))/mill_conv</f>
        <v>0</v>
      </c>
      <c r="H30" s="105">
        <f>-INDEX(Consol!K$15:K$82,MATCH($C$26&amp;$C30,Consol!$D$15:$D$82,0))/mill_conv</f>
        <v>0</v>
      </c>
      <c r="I30" s="105">
        <f>-INDEX(Consol!L$15:L$82,MATCH($C$26&amp;$C30,Consol!$D$15:$D$82,0))/mill_conv</f>
        <v>3.1093967888446392</v>
      </c>
      <c r="J30" s="105">
        <f>-INDEX(Consol!M$15:M$82,MATCH($C$26&amp;$C30,Consol!$D$15:$D$82,0))/mill_conv</f>
        <v>0</v>
      </c>
      <c r="K30" s="187"/>
      <c r="L30" s="187">
        <f>SUM(F30:J30)</f>
        <v>3.1093967888446392</v>
      </c>
    </row>
    <row r="31" spans="1:13" s="8" customFormat="1" ht="12.75" x14ac:dyDescent="0.2">
      <c r="C31" s="4" t="s">
        <v>31</v>
      </c>
      <c r="D31" s="28"/>
      <c r="E31" s="28"/>
      <c r="F31" s="105">
        <f>-INDEX(Consol!I$15:I$82,MATCH($C$26&amp;$C31,Consol!$D$15:$D$82,0))/mill_conv</f>
        <v>0</v>
      </c>
      <c r="G31" s="105">
        <f>-INDEX(Consol!J$15:J$82,MATCH($C$26&amp;$C31,Consol!$D$15:$D$82,0))/mill_conv</f>
        <v>0</v>
      </c>
      <c r="H31" s="105">
        <f>-INDEX(Consol!K$15:K$82,MATCH($C$26&amp;$C31,Consol!$D$15:$D$82,0))/mill_conv</f>
        <v>0</v>
      </c>
      <c r="I31" s="105">
        <f>-INDEX(Consol!L$15:L$82,MATCH($C$26&amp;$C31,Consol!$D$15:$D$82,0))/mill_conv</f>
        <v>0</v>
      </c>
      <c r="J31" s="105">
        <f>-INDEX(Consol!M$15:M$82,MATCH($C$26&amp;$C31,Consol!$D$15:$D$82,0))/mill_conv</f>
        <v>8.9033011713327753E-2</v>
      </c>
      <c r="K31" s="187"/>
      <c r="L31" s="187">
        <f>SUM(F31:J31)</f>
        <v>8.9033011713327753E-2</v>
      </c>
    </row>
    <row r="32" spans="1:13" s="8" customFormat="1" ht="12.75" x14ac:dyDescent="0.2"/>
    <row r="33" spans="1:12" s="8" customFormat="1" ht="12.75" x14ac:dyDescent="0.2"/>
    <row r="34" spans="1:12" s="8" customFormat="1" ht="12.75" x14ac:dyDescent="0.2"/>
    <row r="35" spans="1:12" s="8" customFormat="1" ht="15" x14ac:dyDescent="0.25">
      <c r="A35" s="19" t="s">
        <v>162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</row>
    <row r="36" spans="1:12" s="8" customFormat="1" ht="12.75" x14ac:dyDescent="0.2"/>
    <row r="37" spans="1:12" s="8" customFormat="1" ht="12.75" x14ac:dyDescent="0.2">
      <c r="C37" s="8" t="s">
        <v>235</v>
      </c>
      <c r="D37" s="28"/>
      <c r="E37" s="28"/>
      <c r="F37" s="322" t="s">
        <v>241</v>
      </c>
    </row>
    <row r="38" spans="1:12" s="8" customFormat="1" ht="12.75" x14ac:dyDescent="0.2"/>
    <row r="39" spans="1:12" s="8" customFormat="1" ht="12.75" x14ac:dyDescent="0.2"/>
    <row r="40" spans="1:12" s="8" customFormat="1" ht="12.75" x14ac:dyDescent="0.2"/>
    <row r="41" spans="1:12" s="8" customFormat="1" ht="12.75" x14ac:dyDescent="0.2"/>
    <row r="42" spans="1:12" s="8" customFormat="1" ht="12.75" x14ac:dyDescent="0.2"/>
    <row r="43" spans="1:12" s="8" customFormat="1" ht="12.75" x14ac:dyDescent="0.2"/>
    <row r="44" spans="1:12" s="8" customFormat="1" ht="12.75" x14ac:dyDescent="0.2"/>
    <row r="45" spans="1:12" s="8" customFormat="1" ht="12.75" x14ac:dyDescent="0.2"/>
    <row r="46" spans="1:12" s="8" customFormat="1" ht="12.75" x14ac:dyDescent="0.2"/>
    <row r="47" spans="1:12" s="8" customFormat="1" ht="12.75" x14ac:dyDescent="0.2"/>
    <row r="48" spans="1:12" s="8" customFormat="1" ht="12.75" x14ac:dyDescent="0.2"/>
    <row r="49" spans="1:12" s="8" customFormat="1" ht="12.75" x14ac:dyDescent="0.2"/>
    <row r="50" spans="1:12" s="8" customFormat="1" ht="12.75" x14ac:dyDescent="0.2"/>
    <row r="51" spans="1:12" s="8" customFormat="1" ht="12.75" x14ac:dyDescent="0.2"/>
    <row r="52" spans="1:12" s="8" customFormat="1" ht="12.75" x14ac:dyDescent="0.2"/>
    <row r="53" spans="1:12" s="8" customFormat="1" ht="12.75" x14ac:dyDescent="0.2"/>
    <row r="54" spans="1:12" s="8" customFormat="1" ht="12.75" x14ac:dyDescent="0.2"/>
    <row r="55" spans="1:12" s="8" customFormat="1" ht="12.75" x14ac:dyDescent="0.2"/>
    <row r="56" spans="1:12" s="8" customFormat="1" ht="12.75" x14ac:dyDescent="0.2"/>
    <row r="57" spans="1:12" s="8" customFormat="1" ht="12.75" x14ac:dyDescent="0.2"/>
    <row r="58" spans="1:12" s="8" customFormat="1" ht="12.75" x14ac:dyDescent="0.2"/>
    <row r="59" spans="1:12" s="8" customFormat="1" ht="12.75" x14ac:dyDescent="0.2"/>
    <row r="60" spans="1:12" s="8" customFormat="1" ht="12.75" x14ac:dyDescent="0.2"/>
    <row r="61" spans="1:12" s="8" customFormat="1" ht="12.75" x14ac:dyDescent="0.2"/>
    <row r="62" spans="1:12" s="8" customFormat="1" ht="12.75" x14ac:dyDescent="0.2"/>
    <row r="63" spans="1:12" s="8" customFormat="1" ht="15" x14ac:dyDescent="0.25">
      <c r="A63" s="19" t="s">
        <v>218</v>
      </c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</row>
    <row r="64" spans="1:12" s="8" customFormat="1" ht="12.75" x14ac:dyDescent="0.2"/>
    <row r="65" spans="3:13" s="8" customFormat="1" ht="12.75" x14ac:dyDescent="0.2">
      <c r="C65" s="257"/>
      <c r="D65" s="257"/>
      <c r="E65" s="257"/>
      <c r="F65" s="257"/>
      <c r="G65" s="257"/>
      <c r="H65" s="257"/>
      <c r="I65" s="257"/>
      <c r="J65" s="257"/>
      <c r="K65" s="257"/>
      <c r="L65" s="257"/>
      <c r="M65" s="257"/>
    </row>
    <row r="66" spans="3:13" s="8" customFormat="1" ht="12.75" x14ac:dyDescent="0.2">
      <c r="C66" s="258" t="s">
        <v>222</v>
      </c>
      <c r="D66" s="186">
        <f>output_dollars</f>
        <v>46203</v>
      </c>
      <c r="E66" s="186"/>
      <c r="F66" s="259" t="str">
        <f>Sensitivity_calcs!C89</f>
        <v>Option 1 (base case)</v>
      </c>
      <c r="G66" s="259" t="str">
        <f>Sensitivity_calcs!D89</f>
        <v>Option 2</v>
      </c>
      <c r="H66" s="259" t="str">
        <f>Sensitivity_calcs!E89</f>
        <v>Option 3</v>
      </c>
      <c r="I66" s="259" t="str">
        <f>Sensitivity_calcs!F89</f>
        <v>Option 4</v>
      </c>
      <c r="J66" s="259" t="str">
        <f>Sensitivity_calcs!G89</f>
        <v>Option 5</v>
      </c>
      <c r="K66" s="263"/>
      <c r="L66" s="288" t="s">
        <v>220</v>
      </c>
      <c r="M66" s="263"/>
    </row>
    <row r="67" spans="3:13" s="8" customFormat="1" ht="12.75" x14ac:dyDescent="0.2">
      <c r="C67" s="286" t="str">
        <f>Sensitivity_calcs!B90</f>
        <v>None</v>
      </c>
      <c r="D67" s="266"/>
      <c r="E67" s="266"/>
      <c r="F67" s="287">
        <f>Sensitivity_calcs!C90</f>
        <v>0</v>
      </c>
      <c r="G67" s="287">
        <f>Sensitivity_calcs!D90</f>
        <v>1.7246448568447574</v>
      </c>
      <c r="H67" s="287">
        <f>Sensitivity_calcs!E90</f>
        <v>-2.7461039167978503</v>
      </c>
      <c r="I67" s="287" t="str">
        <f>Sensitivity_calcs!F90</f>
        <v/>
      </c>
      <c r="J67" s="287" t="str">
        <f>Sensitivity_calcs!G90</f>
        <v/>
      </c>
      <c r="K67" s="257"/>
      <c r="L67" s="289" t="str">
        <f>Sensitivity_calcs!K90</f>
        <v>Option 2</v>
      </c>
      <c r="M67" s="257"/>
    </row>
    <row r="68" spans="3:13" s="8" customFormat="1" ht="12.75" x14ac:dyDescent="0.2">
      <c r="C68" s="265" t="str">
        <f>Sensitivity_calcs!B91</f>
        <v>Capex 10% higher</v>
      </c>
      <c r="D68" s="265"/>
      <c r="E68" s="265"/>
      <c r="F68" s="279">
        <f>Sensitivity_calcs!C91</f>
        <v>0</v>
      </c>
      <c r="G68" s="274">
        <f>IF($C68=0, "", Sensitivity_calcs!D91)</f>
        <v>1.4587256521776295</v>
      </c>
      <c r="H68" s="274">
        <f>Sensitivity_calcs!E91</f>
        <v>-3.3387075137145255</v>
      </c>
      <c r="I68" s="274" t="str">
        <f>Sensitivity_calcs!F91</f>
        <v/>
      </c>
      <c r="J68" s="274" t="str">
        <f>Sensitivity_calcs!G91</f>
        <v/>
      </c>
      <c r="K68" s="257"/>
      <c r="L68" s="282" t="str">
        <f>Sensitivity_calcs!K91</f>
        <v>Option 2</v>
      </c>
      <c r="M68" s="257"/>
    </row>
    <row r="69" spans="3:13" s="8" customFormat="1" ht="12.75" x14ac:dyDescent="0.2">
      <c r="C69" s="265" t="str">
        <f>Sensitivity_calcs!B92</f>
        <v>Capex 10% lower</v>
      </c>
      <c r="D69" s="265"/>
      <c r="E69" s="265"/>
      <c r="F69" s="280">
        <f>Sensitivity_calcs!C92</f>
        <v>0</v>
      </c>
      <c r="G69" s="275">
        <f>Sensitivity_calcs!D92</f>
        <v>1.9905640615118854</v>
      </c>
      <c r="H69" s="275">
        <f>Sensitivity_calcs!E92</f>
        <v>-2.1535003198811742</v>
      </c>
      <c r="I69" s="275" t="str">
        <f>Sensitivity_calcs!F92</f>
        <v/>
      </c>
      <c r="J69" s="275" t="str">
        <f>Sensitivity_calcs!G92</f>
        <v/>
      </c>
      <c r="K69" s="257"/>
      <c r="L69" s="282" t="str">
        <f>Sensitivity_calcs!K92</f>
        <v>Option 2</v>
      </c>
      <c r="M69" s="257"/>
    </row>
    <row r="70" spans="3:13" s="8" customFormat="1" ht="12.75" x14ac:dyDescent="0.2">
      <c r="C70" s="265" t="str">
        <f>Sensitivity_calcs!B93</f>
        <v>Increasing wind escalation</v>
      </c>
      <c r="D70" s="265"/>
      <c r="E70" s="265"/>
      <c r="F70" s="280">
        <f>Sensitivity_calcs!C93</f>
        <v>0</v>
      </c>
      <c r="G70" s="275">
        <f>Sensitivity_calcs!D93</f>
        <v>1.7623918729216062</v>
      </c>
      <c r="H70" s="275">
        <f>Sensitivity_calcs!E93</f>
        <v>-2.7083569007210015</v>
      </c>
      <c r="I70" s="275" t="str">
        <f>Sensitivity_calcs!F93</f>
        <v/>
      </c>
      <c r="J70" s="275" t="str">
        <f>Sensitivity_calcs!G93</f>
        <v/>
      </c>
      <c r="K70" s="257"/>
      <c r="L70" s="282" t="str">
        <f>Sensitivity_calcs!K93</f>
        <v>Option 2</v>
      </c>
      <c r="M70" s="257"/>
    </row>
    <row r="71" spans="3:13" s="8" customFormat="1" ht="12.75" x14ac:dyDescent="0.2">
      <c r="C71" s="265" t="str">
        <f>Sensitivity_calcs!B94</f>
        <v/>
      </c>
      <c r="D71" s="265"/>
      <c r="E71" s="265"/>
      <c r="F71" s="280">
        <f>Sensitivity_calcs!C94</f>
        <v>0</v>
      </c>
      <c r="G71" s="275">
        <f>Sensitivity_calcs!D94</f>
        <v>1.7246448568447574</v>
      </c>
      <c r="H71" s="275">
        <f>Sensitivity_calcs!E94</f>
        <v>-2.7461039167978503</v>
      </c>
      <c r="I71" s="275" t="str">
        <f>Sensitivity_calcs!F94</f>
        <v/>
      </c>
      <c r="J71" s="275" t="str">
        <f>Sensitivity_calcs!G94</f>
        <v/>
      </c>
      <c r="K71" s="257"/>
      <c r="L71" s="282" t="str">
        <f>Sensitivity_calcs!K94</f>
        <v>Option 2</v>
      </c>
      <c r="M71" s="257"/>
    </row>
    <row r="72" spans="3:13" s="8" customFormat="1" ht="12.75" x14ac:dyDescent="0.2">
      <c r="C72" s="265" t="str">
        <f>Sensitivity_calcs!B95</f>
        <v/>
      </c>
      <c r="D72" s="265"/>
      <c r="E72" s="265"/>
      <c r="F72" s="280">
        <f>Sensitivity_calcs!C95</f>
        <v>0</v>
      </c>
      <c r="G72" s="275">
        <f>Sensitivity_calcs!D95</f>
        <v>1.7246448568447574</v>
      </c>
      <c r="H72" s="275">
        <f>Sensitivity_calcs!E95</f>
        <v>-2.7461039167978503</v>
      </c>
      <c r="I72" s="275" t="str">
        <f>Sensitivity_calcs!F95</f>
        <v/>
      </c>
      <c r="J72" s="275" t="str">
        <f>Sensitivity_calcs!G95</f>
        <v/>
      </c>
      <c r="K72" s="257"/>
      <c r="L72" s="282" t="str">
        <f>Sensitivity_calcs!K95</f>
        <v>Option 2</v>
      </c>
      <c r="M72" s="257"/>
    </row>
    <row r="73" spans="3:13" s="8" customFormat="1" ht="12.75" x14ac:dyDescent="0.2">
      <c r="C73" s="265">
        <f>Sensitivity_calcs!B96</f>
        <v>0</v>
      </c>
      <c r="D73" s="265"/>
      <c r="E73" s="265"/>
      <c r="F73" s="280" t="str">
        <f>Sensitivity_calcs!C96</f>
        <v/>
      </c>
      <c r="G73" s="275" t="str">
        <f>Sensitivity_calcs!D96</f>
        <v/>
      </c>
      <c r="H73" s="275" t="str">
        <f>Sensitivity_calcs!E96</f>
        <v/>
      </c>
      <c r="I73" s="275" t="str">
        <f>Sensitivity_calcs!F96</f>
        <v/>
      </c>
      <c r="J73" s="275" t="str">
        <f>Sensitivity_calcs!G96</f>
        <v/>
      </c>
      <c r="K73" s="257"/>
      <c r="L73" s="282" t="str">
        <f>Sensitivity_calcs!K96</f>
        <v/>
      </c>
      <c r="M73" s="257"/>
    </row>
    <row r="74" spans="3:13" s="8" customFormat="1" ht="12.75" x14ac:dyDescent="0.2">
      <c r="C74" s="265">
        <f>Sensitivity_calcs!B97</f>
        <v>0</v>
      </c>
      <c r="D74" s="260"/>
      <c r="E74" s="260"/>
      <c r="F74" s="280" t="str">
        <f>Sensitivity_calcs!C97</f>
        <v/>
      </c>
      <c r="G74" s="275" t="str">
        <f>Sensitivity_calcs!D97</f>
        <v/>
      </c>
      <c r="H74" s="275" t="str">
        <f>Sensitivity_calcs!E97</f>
        <v/>
      </c>
      <c r="I74" s="275" t="str">
        <f>Sensitivity_calcs!F97</f>
        <v/>
      </c>
      <c r="J74" s="275" t="str">
        <f>Sensitivity_calcs!G97</f>
        <v/>
      </c>
      <c r="K74" s="267">
        <f>IF(C74=0,0, INDEX($F$66:$J$66, MATCH(MAX($F74:$I74),$F74:$I74,0)))</f>
        <v>0</v>
      </c>
      <c r="L74" s="282" t="str">
        <f>Sensitivity_calcs!K97</f>
        <v/>
      </c>
    </row>
    <row r="75" spans="3:13" s="8" customFormat="1" ht="12.75" x14ac:dyDescent="0.2">
      <c r="D75" s="265">
        <f>Sensitivity_calcs!B98</f>
        <v>0</v>
      </c>
      <c r="E75" s="265"/>
      <c r="F75" s="280" t="str">
        <f>Sensitivity_calcs!C98</f>
        <v/>
      </c>
      <c r="G75" s="275" t="str">
        <f>Sensitivity_calcs!D98</f>
        <v/>
      </c>
      <c r="H75" s="275" t="str">
        <f>Sensitivity_calcs!E98</f>
        <v/>
      </c>
      <c r="I75" s="275" t="str">
        <f>Sensitivity_calcs!F98</f>
        <v/>
      </c>
      <c r="J75" s="275" t="str">
        <f>Sensitivity_calcs!G98</f>
        <v/>
      </c>
      <c r="K75" s="257"/>
      <c r="L75" s="282" t="str">
        <f>Sensitivity_calcs!K98</f>
        <v/>
      </c>
      <c r="M75" s="257"/>
    </row>
    <row r="76" spans="3:13" s="8" customFormat="1" ht="12.75" x14ac:dyDescent="0.2">
      <c r="D76" s="265">
        <f>Sensitivity_calcs!B99</f>
        <v>0</v>
      </c>
      <c r="E76" s="265"/>
      <c r="F76" s="281"/>
      <c r="G76" s="105"/>
      <c r="H76" s="105"/>
      <c r="I76" s="105"/>
      <c r="J76" s="105"/>
      <c r="K76" s="257"/>
      <c r="L76" s="257"/>
    </row>
    <row r="77" spans="3:13" s="8" customFormat="1" ht="12.75" x14ac:dyDescent="0.2">
      <c r="F77" s="264"/>
      <c r="G77" s="105"/>
      <c r="H77" s="105"/>
      <c r="I77" s="105"/>
      <c r="J77" s="105"/>
    </row>
    <row r="78" spans="3:13" s="8" customFormat="1" ht="12.75" x14ac:dyDescent="0.2">
      <c r="F78" s="264"/>
      <c r="G78" s="264"/>
      <c r="H78" s="264"/>
      <c r="I78" s="264"/>
    </row>
    <row r="79" spans="3:13" s="8" customFormat="1" ht="12.75" x14ac:dyDescent="0.2"/>
    <row r="80" spans="3:13" s="8" customFormat="1" ht="12.75" x14ac:dyDescent="0.2"/>
    <row r="81" spans="4:6" s="8" customFormat="1" ht="12.75" x14ac:dyDescent="0.2">
      <c r="D81" s="245"/>
      <c r="E81" s="245"/>
      <c r="F81" s="245"/>
    </row>
    <row r="82" spans="4:6" s="8" customFormat="1" ht="12.75" x14ac:dyDescent="0.2">
      <c r="D82" s="245"/>
      <c r="E82" s="245"/>
      <c r="F82" s="245"/>
    </row>
    <row r="83" spans="4:6" s="8" customFormat="1" ht="12.75" hidden="1" x14ac:dyDescent="0.2">
      <c r="D83" s="245"/>
      <c r="E83" s="245"/>
      <c r="F83" s="245"/>
    </row>
    <row r="84" spans="4:6" s="8" customFormat="1" ht="12.75" hidden="1" x14ac:dyDescent="0.2"/>
    <row r="85" spans="4:6" s="8" customFormat="1" ht="12.75" hidden="1" x14ac:dyDescent="0.2"/>
    <row r="86" spans="4:6" s="8" customFormat="1" ht="12.75" hidden="1" x14ac:dyDescent="0.2"/>
    <row r="87" spans="4:6" s="8" customFormat="1" ht="12.75" hidden="1" x14ac:dyDescent="0.2"/>
    <row r="88" spans="4:6" s="8" customFormat="1" ht="12.75" hidden="1" x14ac:dyDescent="0.2"/>
    <row r="89" spans="4:6" s="8" customFormat="1" ht="12.75" hidden="1" x14ac:dyDescent="0.2"/>
    <row r="90" spans="4:6" s="8" customFormat="1" ht="12.75" hidden="1" x14ac:dyDescent="0.2"/>
    <row r="91" spans="4:6" s="8" customFormat="1" ht="12.75" hidden="1" x14ac:dyDescent="0.2"/>
    <row r="92" spans="4:6" s="8" customFormat="1" ht="12.75" hidden="1" x14ac:dyDescent="0.2"/>
    <row r="93" spans="4:6" s="8" customFormat="1" ht="12.75" hidden="1" x14ac:dyDescent="0.2"/>
    <row r="94" spans="4:6" s="8" customFormat="1" ht="12.75" hidden="1" x14ac:dyDescent="0.2"/>
    <row r="95" spans="4:6" s="8" customFormat="1" ht="12.75" hidden="1" x14ac:dyDescent="0.2"/>
    <row r="96" spans="4:6" s="8" customFormat="1" ht="12.75" hidden="1" x14ac:dyDescent="0.2"/>
    <row r="97" s="8" customFormat="1" ht="12.75" hidden="1" x14ac:dyDescent="0.2"/>
    <row r="98" s="8" customFormat="1" ht="12.75" hidden="1" x14ac:dyDescent="0.2"/>
    <row r="99" s="8" customFormat="1" ht="12.75" hidden="1" x14ac:dyDescent="0.2"/>
    <row r="100" s="8" customFormat="1" ht="12.75" hidden="1" x14ac:dyDescent="0.2"/>
    <row r="101" s="8" customFormat="1" ht="12.75" hidden="1" x14ac:dyDescent="0.2"/>
    <row r="102" s="8" customFormat="1" ht="12.75" hidden="1" x14ac:dyDescent="0.2"/>
    <row r="103" s="8" customFormat="1" ht="12.75" hidden="1" x14ac:dyDescent="0.2"/>
    <row r="104" s="8" customFormat="1" ht="12.75" hidden="1" x14ac:dyDescent="0.2"/>
    <row r="105" s="8" customFormat="1" ht="12.75" hidden="1" x14ac:dyDescent="0.2"/>
    <row r="106" s="8" customFormat="1" ht="12.75" hidden="1" x14ac:dyDescent="0.2"/>
    <row r="107" s="8" customFormat="1" ht="12.75" hidden="1" x14ac:dyDescent="0.2"/>
    <row r="108" s="8" customFormat="1" ht="12.75" hidden="1" x14ac:dyDescent="0.2"/>
    <row r="109" s="8" customFormat="1" ht="12.75" hidden="1" x14ac:dyDescent="0.2"/>
    <row r="110" s="8" customFormat="1" ht="12.75" hidden="1" x14ac:dyDescent="0.2"/>
    <row r="111" s="8" customFormat="1" ht="12.75" hidden="1" x14ac:dyDescent="0.2"/>
    <row r="112" s="8" customFormat="1" ht="12.75" hidden="1" x14ac:dyDescent="0.2"/>
    <row r="113" s="8" customFormat="1" ht="12.75" hidden="1" x14ac:dyDescent="0.2"/>
    <row r="114" s="8" customFormat="1" ht="12.75" hidden="1" x14ac:dyDescent="0.2"/>
    <row r="115" s="8" customFormat="1" ht="12.75" hidden="1" x14ac:dyDescent="0.2"/>
    <row r="116" s="8" customFormat="1" ht="12.75" hidden="1" x14ac:dyDescent="0.2"/>
    <row r="117" s="8" customFormat="1" ht="12.75" hidden="1" x14ac:dyDescent="0.2"/>
    <row r="118" s="8" customFormat="1" ht="12.75" hidden="1" x14ac:dyDescent="0.2"/>
    <row r="119" s="8" customFormat="1" ht="12.75" hidden="1" x14ac:dyDescent="0.2"/>
    <row r="120" s="8" customFormat="1" ht="12.75" hidden="1" x14ac:dyDescent="0.2"/>
    <row r="121" s="8" customFormat="1" ht="12.75" hidden="1" x14ac:dyDescent="0.2"/>
    <row r="122" s="8" customFormat="1" ht="12.75" hidden="1" x14ac:dyDescent="0.2"/>
    <row r="123" s="8" customFormat="1" ht="12.75" hidden="1" x14ac:dyDescent="0.2"/>
    <row r="124" s="8" customFormat="1" ht="12.75" hidden="1" x14ac:dyDescent="0.2"/>
    <row r="125" s="8" customFormat="1" ht="12.75" hidden="1" x14ac:dyDescent="0.2"/>
    <row r="126" s="8" customFormat="1" ht="12.75" hidden="1" x14ac:dyDescent="0.2"/>
    <row r="127" s="8" customFormat="1" ht="12.75" hidden="1" x14ac:dyDescent="0.2"/>
    <row r="128" s="8" customFormat="1" ht="12.75" hidden="1" x14ac:dyDescent="0.2"/>
    <row r="129" s="8" customFormat="1" ht="12.75" hidden="1" x14ac:dyDescent="0.2"/>
    <row r="130" s="8" customFormat="1" ht="12.75" hidden="1" x14ac:dyDescent="0.2"/>
    <row r="131" s="8" customFormat="1" ht="12.75" hidden="1" x14ac:dyDescent="0.2"/>
    <row r="132" s="8" customFormat="1" ht="12.75" hidden="1" x14ac:dyDescent="0.2"/>
    <row r="133" s="8" customFormat="1" ht="12.75" hidden="1" x14ac:dyDescent="0.2"/>
    <row r="134" s="8" customFormat="1" ht="12.75" hidden="1" x14ac:dyDescent="0.2"/>
    <row r="135" s="8" customFormat="1" ht="12.75" hidden="1" x14ac:dyDescent="0.2"/>
    <row r="136" s="8" customFormat="1" ht="12.75" hidden="1" x14ac:dyDescent="0.2"/>
    <row r="137" s="8" customFormat="1" ht="12.75" hidden="1" x14ac:dyDescent="0.2"/>
    <row r="138" s="8" customFormat="1" ht="12.75" hidden="1" x14ac:dyDescent="0.2"/>
    <row r="139" s="8" customFormat="1" ht="12.75" hidden="1" x14ac:dyDescent="0.2"/>
    <row r="140" s="8" customFormat="1" ht="12.75" hidden="1" x14ac:dyDescent="0.2"/>
    <row r="141" s="8" customFormat="1" ht="12.75" hidden="1" x14ac:dyDescent="0.2"/>
    <row r="142" s="8" customFormat="1" ht="12.75" hidden="1" x14ac:dyDescent="0.2"/>
    <row r="143" s="8" customFormat="1" ht="12.75" hidden="1" x14ac:dyDescent="0.2"/>
    <row r="144" s="8" customFormat="1" ht="12.75" hidden="1" x14ac:dyDescent="0.2"/>
    <row r="145" s="8" customFormat="1" ht="12.75" hidden="1" x14ac:dyDescent="0.2"/>
    <row r="146" s="8" customFormat="1" ht="12.75" hidden="1" x14ac:dyDescent="0.2"/>
    <row r="147" s="8" customFormat="1" ht="12.75" hidden="1" x14ac:dyDescent="0.2"/>
    <row r="148" s="8" customFormat="1" ht="12.75" hidden="1" x14ac:dyDescent="0.2"/>
    <row r="149" s="8" customFormat="1" ht="12.75" hidden="1" x14ac:dyDescent="0.2"/>
    <row r="150" s="8" customFormat="1" ht="12.75" hidden="1" x14ac:dyDescent="0.2"/>
    <row r="151" s="8" customFormat="1" ht="12.75" hidden="1" x14ac:dyDescent="0.2"/>
    <row r="152" s="8" customFormat="1" ht="12.75" hidden="1" x14ac:dyDescent="0.2"/>
    <row r="153" s="8" customFormat="1" ht="12.75" hidden="1" x14ac:dyDescent="0.2"/>
    <row r="154" s="8" customFormat="1" ht="12.75" hidden="1" x14ac:dyDescent="0.2"/>
    <row r="155" s="8" customFormat="1" ht="12.75" hidden="1" x14ac:dyDescent="0.2"/>
    <row r="156" s="8" customFormat="1" ht="12.75" hidden="1" x14ac:dyDescent="0.2"/>
    <row r="157" s="8" customFormat="1" ht="12.75" hidden="1" x14ac:dyDescent="0.2"/>
    <row r="158" s="8" customFormat="1" ht="12.75" hidden="1" x14ac:dyDescent="0.2"/>
    <row r="159" s="8" customFormat="1" ht="12.75" hidden="1" x14ac:dyDescent="0.2"/>
    <row r="160" s="8" customFormat="1" ht="12.75" hidden="1" x14ac:dyDescent="0.2"/>
    <row r="161" s="8" customFormat="1" ht="12.75" hidden="1" x14ac:dyDescent="0.2"/>
    <row r="162" s="8" customFormat="1" ht="12.75" hidden="1" x14ac:dyDescent="0.2"/>
    <row r="163" s="8" customFormat="1" ht="12.75" hidden="1" x14ac:dyDescent="0.2"/>
    <row r="164" s="8" customFormat="1" ht="12.75" hidden="1" x14ac:dyDescent="0.2"/>
    <row r="165" s="8" customFormat="1" ht="12.75" hidden="1" x14ac:dyDescent="0.2"/>
    <row r="166" s="8" customFormat="1" ht="12.75" hidden="1" x14ac:dyDescent="0.2"/>
    <row r="167" s="8" customFormat="1" ht="12.75" hidden="1" x14ac:dyDescent="0.2"/>
    <row r="168" s="8" customFormat="1" ht="12.75" hidden="1" x14ac:dyDescent="0.2"/>
    <row r="169" s="8" customFormat="1" ht="12.75" hidden="1" x14ac:dyDescent="0.2"/>
    <row r="170" s="8" customFormat="1" ht="12.75" hidden="1" x14ac:dyDescent="0.2"/>
    <row r="171" s="8" customFormat="1" ht="12.75" hidden="1" x14ac:dyDescent="0.2"/>
    <row r="172" s="8" customFormat="1" ht="12.75" hidden="1" x14ac:dyDescent="0.2"/>
    <row r="173" s="8" customFormat="1" ht="12.75" hidden="1" x14ac:dyDescent="0.2"/>
    <row r="174" s="8" customFormat="1" ht="12.75" hidden="1" x14ac:dyDescent="0.2"/>
    <row r="175" s="8" customFormat="1" ht="12.75" hidden="1" x14ac:dyDescent="0.2"/>
    <row r="176" s="8" customFormat="1" ht="12.75" hidden="1" x14ac:dyDescent="0.2"/>
    <row r="177" s="8" customFormat="1" ht="12.75" hidden="1" x14ac:dyDescent="0.2"/>
    <row r="178" s="8" customFormat="1" ht="12.75" hidden="1" x14ac:dyDescent="0.2"/>
    <row r="179" s="8" customFormat="1" ht="12.75" hidden="1" x14ac:dyDescent="0.2"/>
    <row r="180" s="8" customFormat="1" ht="12.75" hidden="1" x14ac:dyDescent="0.2"/>
    <row r="181" s="8" customFormat="1" ht="12.75" hidden="1" x14ac:dyDescent="0.2"/>
    <row r="182" s="8" customFormat="1" ht="12.75" hidden="1" x14ac:dyDescent="0.2"/>
    <row r="183" s="8" customFormat="1" ht="12.75" hidden="1" x14ac:dyDescent="0.2"/>
    <row r="184" s="8" customFormat="1" ht="12.75" hidden="1" x14ac:dyDescent="0.2"/>
    <row r="185" s="8" customFormat="1" ht="12.75" hidden="1" x14ac:dyDescent="0.2"/>
    <row r="186" s="8" customFormat="1" ht="12.75" hidden="1" x14ac:dyDescent="0.2"/>
    <row r="187" s="8" customFormat="1" ht="12.75" hidden="1" x14ac:dyDescent="0.2"/>
    <row r="188" s="8" customFormat="1" ht="12.75" hidden="1" x14ac:dyDescent="0.2"/>
    <row r="189" s="8" customFormat="1" ht="12.75" hidden="1" x14ac:dyDescent="0.2"/>
    <row r="190" s="8" customFormat="1" ht="12.75" hidden="1" x14ac:dyDescent="0.2"/>
    <row r="191" s="8" customFormat="1" ht="12.75" hidden="1" x14ac:dyDescent="0.2"/>
    <row r="192" s="8" customFormat="1" ht="12.75" hidden="1" x14ac:dyDescent="0.2"/>
    <row r="193" s="8" customFormat="1" ht="12.75" hidden="1" x14ac:dyDescent="0.2"/>
    <row r="194" s="8" customFormat="1" ht="12.75" hidden="1" x14ac:dyDescent="0.2"/>
    <row r="195" s="8" customFormat="1" ht="12.75" hidden="1" x14ac:dyDescent="0.2"/>
    <row r="196" s="8" customFormat="1" ht="12.75" hidden="1" x14ac:dyDescent="0.2"/>
    <row r="197" s="8" customFormat="1" ht="12.75" hidden="1" x14ac:dyDescent="0.2"/>
    <row r="198" s="8" customFormat="1" ht="12.75" hidden="1" x14ac:dyDescent="0.2"/>
    <row r="199" s="8" customFormat="1" ht="12.75" hidden="1" x14ac:dyDescent="0.2"/>
    <row r="200" s="8" customFormat="1" ht="12.75" hidden="1" x14ac:dyDescent="0.2"/>
    <row r="201" s="8" customFormat="1" ht="12.75" hidden="1" x14ac:dyDescent="0.2"/>
    <row r="202" s="8" customFormat="1" ht="12.75" hidden="1" x14ac:dyDescent="0.2"/>
    <row r="203" s="8" customFormat="1" ht="12.75" hidden="1" x14ac:dyDescent="0.2"/>
    <row r="204" s="8" customFormat="1" ht="12.75" hidden="1" x14ac:dyDescent="0.2"/>
    <row r="205" s="8" customFormat="1" ht="12.75" hidden="1" x14ac:dyDescent="0.2"/>
    <row r="206" s="8" customFormat="1" ht="12.75" hidden="1" x14ac:dyDescent="0.2"/>
    <row r="207" s="8" customFormat="1" ht="12.75" hidden="1" x14ac:dyDescent="0.2"/>
    <row r="208" s="8" customFormat="1" ht="12.75" hidden="1" x14ac:dyDescent="0.2"/>
    <row r="209" s="8" customFormat="1" ht="12.75" hidden="1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</sheetData>
  <mergeCells count="6">
    <mergeCell ref="D18:F18"/>
    <mergeCell ref="D9:F9"/>
    <mergeCell ref="D10:F10"/>
    <mergeCell ref="D11:F11"/>
    <mergeCell ref="D12:F12"/>
    <mergeCell ref="D13:F13"/>
  </mergeCells>
  <pageMargins left="0.23622047244094491" right="0.23622047244094491" top="0.74803149606299213" bottom="0.74803149606299213" header="0.31496062992125984" footer="0.31496062992125984"/>
  <pageSetup paperSize="9" scale="55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75" id="{6E0000F2-4B34-40F0-A950-26A22E7F516A}">
            <xm:f>AND(Data!$C18, NOT(#REF!))</xm:f>
            <x14:dxf>
              <font>
                <color theme="0"/>
              </font>
            </x14:dxf>
          </x14:cfRule>
          <xm:sqref>C14:E14</xm:sqref>
        </x14:conditionalFormatting>
        <x14:conditionalFormatting xmlns:xm="http://schemas.microsoft.com/office/excel/2006/main">
          <x14:cfRule type="expression" priority="217" id="{6E0000F2-4B34-40F0-A950-26A22E7F516A}">
            <xm:f>Data!$C18</xm:f>
            <x14:dxf>
              <font>
                <color theme="0"/>
              </font>
            </x14:dxf>
          </x14:cfRule>
          <xm:sqref>C15:E15</xm:sqref>
        </x14:conditionalFormatting>
        <x14:conditionalFormatting xmlns:xm="http://schemas.microsoft.com/office/excel/2006/main">
          <x14:cfRule type="expression" priority="26" id="{DCC025E7-DD10-45A4-B46F-8DAF8172BEA5}">
            <xm:f>$D$18=Data!B$25</xm:f>
            <x14:dxf>
              <font>
                <color theme="0" tint="-0.24994659260841701"/>
              </font>
            </x14:dxf>
          </x14:cfRule>
          <xm:sqref>D18:F18</xm:sqref>
        </x14:conditionalFormatting>
        <x14:conditionalFormatting xmlns:xm="http://schemas.microsoft.com/office/excel/2006/main">
          <x14:cfRule type="expression" priority="25" id="{0E9BFFB2-7AAD-452D-A6DC-B193223D0B5B}">
            <xm:f>INDEX(Data!$C$9:$C$13, MATCH(F$66, Data!$B$9:$B$13,0))=TRUE</xm:f>
            <x14:dxf>
              <font>
                <b val="0"/>
                <i val="0"/>
                <color theme="1" tint="0.34998626667073579"/>
              </font>
            </x14:dxf>
          </x14:cfRule>
          <xm:sqref>F66:J66</xm:sqref>
        </x14:conditionalFormatting>
        <x14:conditionalFormatting xmlns:xm="http://schemas.microsoft.com/office/excel/2006/main">
          <x14:cfRule type="expression" priority="22" id="{6B3CD12B-2C7F-467C-B21A-8374D0C11F7F}">
            <xm:f>AND($C67&lt;&gt;0, F$66=$L67, Sensitivity_calcs!C$88=FALSE)</xm:f>
            <x14:dxf>
              <fill>
                <patternFill>
                  <bgColor rgb="FFCCFFFF"/>
                </patternFill>
              </fill>
            </x14:dxf>
          </x14:cfRule>
          <xm:sqref>F67 G67:J75</xm:sqref>
        </x14:conditionalFormatting>
        <x14:conditionalFormatting xmlns:xm="http://schemas.microsoft.com/office/excel/2006/main">
          <x14:cfRule type="expression" priority="256" id="{6E0000F2-4B34-40F0-A950-26A22E7F516A}">
            <xm:f>Data!$C9</xm:f>
            <x14:dxf>
              <font>
                <color theme="0"/>
              </font>
            </x14:dxf>
          </x14:cfRule>
          <xm:sqref>G9:I13 C9:D13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EEEA9-DF92-454A-AC78-2AB747F8189C}">
  <sheetPr codeName="Sheet2">
    <tabColor rgb="FFFFFFCC"/>
    <pageSetUpPr fitToPage="1"/>
  </sheetPr>
  <dimension ref="A1:T126"/>
  <sheetViews>
    <sheetView showGridLines="0" zoomScale="90" zoomScaleNormal="90" workbookViewId="0">
      <pane ySplit="2" topLeftCell="A3" activePane="bottomLeft" state="frozen"/>
      <selection activeCell="A101" sqref="A101"/>
      <selection pane="bottomLeft" activeCell="A3" sqref="A3"/>
    </sheetView>
  </sheetViews>
  <sheetFormatPr defaultColWidth="9" defaultRowHeight="12.75" x14ac:dyDescent="0.2"/>
  <cols>
    <col min="1" max="1" width="3.625" style="8" customWidth="1"/>
    <col min="2" max="2" width="2.625" style="8" customWidth="1"/>
    <col min="3" max="3" width="18.75" style="8" customWidth="1"/>
    <col min="4" max="4" width="9.25" style="8" customWidth="1"/>
    <col min="5" max="5" width="16.375" style="8" customWidth="1"/>
    <col min="6" max="6" width="1.125" style="8" customWidth="1"/>
    <col min="7" max="7" width="14.75" style="8" customWidth="1"/>
    <col min="8" max="8" width="12.875" style="8" customWidth="1"/>
    <col min="9" max="9" width="11.5" style="8" customWidth="1"/>
    <col min="10" max="10" width="6.875" style="8" customWidth="1"/>
    <col min="11" max="16" width="8.125" style="8" customWidth="1"/>
    <col min="17" max="19" width="9" style="8"/>
    <col min="20" max="20" width="17.625" style="8" customWidth="1"/>
    <col min="21" max="16384" width="9" style="8"/>
  </cols>
  <sheetData>
    <row r="1" spans="1:16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15.75" x14ac:dyDescent="0.25">
      <c r="A2" s="56" t="str">
        <f>proj</f>
        <v>Apollo Bay microgrid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4" spans="1:16" s="1" customFormat="1" ht="15" x14ac:dyDescent="0.2">
      <c r="A4" s="18" t="s">
        <v>44</v>
      </c>
      <c r="B4" s="18"/>
      <c r="C4" s="16"/>
      <c r="D4" s="16"/>
      <c r="E4" s="16"/>
      <c r="F4" s="16"/>
      <c r="G4" s="16"/>
      <c r="H4" s="16"/>
      <c r="I4" s="16"/>
      <c r="J4" s="16"/>
      <c r="K4" s="17"/>
      <c r="L4" s="17"/>
      <c r="M4" s="17"/>
      <c r="N4" s="17"/>
      <c r="O4" s="17"/>
      <c r="P4" s="17"/>
    </row>
    <row r="5" spans="1:16" s="1" customFormat="1" x14ac:dyDescent="0.2">
      <c r="M5" s="12"/>
      <c r="N5" s="12"/>
      <c r="O5" s="12"/>
      <c r="P5" s="12"/>
    </row>
    <row r="6" spans="1:16" ht="12.75" customHeight="1" x14ac:dyDescent="0.2">
      <c r="C6" s="14" t="s">
        <v>11</v>
      </c>
      <c r="D6" s="65"/>
      <c r="E6" s="13" t="s">
        <v>3</v>
      </c>
    </row>
    <row r="7" spans="1:16" s="1" customFormat="1" ht="12.75" customHeight="1" x14ac:dyDescent="0.2">
      <c r="M7" s="12"/>
      <c r="N7" s="12"/>
      <c r="O7" s="12"/>
      <c r="P7" s="12"/>
    </row>
    <row r="8" spans="1:16" x14ac:dyDescent="0.2">
      <c r="C8" s="14" t="s">
        <v>12</v>
      </c>
      <c r="D8" s="14"/>
      <c r="E8" s="374" t="s">
        <v>413</v>
      </c>
      <c r="F8" s="374"/>
      <c r="G8" s="374"/>
      <c r="H8" s="374"/>
      <c r="I8" s="1"/>
      <c r="J8" s="1"/>
    </row>
    <row r="9" spans="1:16" x14ac:dyDescent="0.2">
      <c r="C9" s="14"/>
      <c r="D9" s="14"/>
    </row>
    <row r="10" spans="1:16" s="6" customFormat="1" x14ac:dyDescent="0.2">
      <c r="C10" s="3" t="s">
        <v>13</v>
      </c>
      <c r="D10" s="65"/>
      <c r="E10" s="60" t="s">
        <v>36</v>
      </c>
      <c r="F10" s="8"/>
      <c r="G10" s="37">
        <v>2023</v>
      </c>
      <c r="I10" s="66"/>
      <c r="J10" s="66"/>
    </row>
    <row r="11" spans="1:16" x14ac:dyDescent="0.2">
      <c r="I11" s="66"/>
      <c r="J11" s="66"/>
    </row>
    <row r="12" spans="1:16" x14ac:dyDescent="0.2">
      <c r="H12" s="43"/>
      <c r="I12" s="43"/>
      <c r="J12" s="43"/>
    </row>
    <row r="13" spans="1:16" s="72" customFormat="1" x14ac:dyDescent="0.2">
      <c r="C13" s="73" t="s">
        <v>1</v>
      </c>
      <c r="D13" s="73"/>
      <c r="E13" s="73" t="s">
        <v>0</v>
      </c>
      <c r="F13" s="73"/>
      <c r="G13" s="73"/>
      <c r="H13" s="74"/>
      <c r="I13" s="74"/>
      <c r="J13" s="74"/>
      <c r="K13" s="74"/>
      <c r="L13"/>
    </row>
    <row r="14" spans="1:16" s="1" customFormat="1" ht="12.75" customHeight="1" x14ac:dyDescent="0.2">
      <c r="C14" s="61" t="str" cm="1">
        <f t="array" ref="C14:C18">options</f>
        <v>Option 1 (base case)</v>
      </c>
      <c r="D14" s="61"/>
      <c r="E14" s="375" t="s">
        <v>58</v>
      </c>
      <c r="F14" s="375"/>
      <c r="G14" s="375"/>
      <c r="H14" s="375"/>
      <c r="I14" s="375"/>
      <c r="J14" s="375"/>
      <c r="K14" s="375"/>
      <c r="L14"/>
    </row>
    <row r="15" spans="1:16" s="1" customFormat="1" ht="12.75" customHeight="1" x14ac:dyDescent="0.2">
      <c r="C15" s="61" t="str">
        <v>Option 2</v>
      </c>
      <c r="D15" s="61"/>
      <c r="E15" s="362" t="s">
        <v>415</v>
      </c>
      <c r="F15" s="362"/>
      <c r="G15" s="362"/>
      <c r="H15" s="362"/>
      <c r="I15" s="362"/>
      <c r="J15" s="362"/>
      <c r="K15" s="362"/>
      <c r="L15"/>
    </row>
    <row r="16" spans="1:16" s="1" customFormat="1" ht="12.75" customHeight="1" x14ac:dyDescent="0.2">
      <c r="C16" s="61" t="str">
        <v>Option 3</v>
      </c>
      <c r="D16" s="61"/>
      <c r="E16" s="376" t="s">
        <v>414</v>
      </c>
      <c r="F16" s="376"/>
      <c r="G16" s="376"/>
      <c r="H16" s="376"/>
      <c r="I16" s="376"/>
      <c r="J16" s="376"/>
      <c r="K16" s="376"/>
      <c r="L16"/>
    </row>
    <row r="17" spans="1:16" s="1" customFormat="1" ht="12.75" customHeight="1" x14ac:dyDescent="0.2">
      <c r="C17" s="61" t="str">
        <v>Option 4</v>
      </c>
      <c r="D17" s="61"/>
      <c r="E17" s="376"/>
      <c r="F17" s="376"/>
      <c r="G17" s="376"/>
      <c r="H17" s="376"/>
      <c r="I17" s="376"/>
      <c r="J17" s="376"/>
      <c r="K17" s="376"/>
      <c r="L17"/>
    </row>
    <row r="18" spans="1:16" s="1" customFormat="1" ht="12.75" customHeight="1" x14ac:dyDescent="0.2">
      <c r="C18" s="61" t="str">
        <v>Option 5</v>
      </c>
      <c r="D18" s="61"/>
      <c r="E18" s="376"/>
      <c r="F18" s="376"/>
      <c r="G18" s="376"/>
      <c r="H18" s="376"/>
      <c r="I18" s="376"/>
      <c r="J18" s="376"/>
      <c r="K18" s="376"/>
      <c r="L18"/>
    </row>
    <row r="19" spans="1:16" s="1" customFormat="1" ht="12.75" customHeight="1" x14ac:dyDescent="0.2">
      <c r="C19"/>
      <c r="D19"/>
      <c r="E19"/>
      <c r="F19"/>
      <c r="G19"/>
      <c r="H19"/>
      <c r="I19"/>
      <c r="J19"/>
      <c r="K19"/>
      <c r="L19"/>
      <c r="M19"/>
    </row>
    <row r="20" spans="1:16" s="1" customFormat="1" ht="12.75" customHeight="1" x14ac:dyDescent="0.2">
      <c r="C20" s="291" t="s">
        <v>225</v>
      </c>
      <c r="D20"/>
      <c r="E20" s="292" t="s">
        <v>228</v>
      </c>
      <c r="F20"/>
      <c r="G20"/>
      <c r="H20"/>
      <c r="I20"/>
      <c r="J20"/>
      <c r="K20"/>
      <c r="L20"/>
      <c r="M20"/>
    </row>
    <row r="21" spans="1:16" s="1" customFormat="1" ht="12.75" customHeight="1" x14ac:dyDescent="0.2">
      <c r="C21"/>
      <c r="D21"/>
      <c r="E21"/>
      <c r="F21"/>
      <c r="G21"/>
      <c r="H21"/>
      <c r="I21"/>
      <c r="J21"/>
      <c r="K21"/>
      <c r="L21"/>
      <c r="M21"/>
    </row>
    <row r="22" spans="1:16" s="1" customFormat="1" x14ac:dyDescent="0.2">
      <c r="C22" s="1" t="s">
        <v>239</v>
      </c>
      <c r="E22" s="297" t="s">
        <v>19</v>
      </c>
      <c r="F22" s="68" t="s">
        <v>65</v>
      </c>
      <c r="J22" s="68"/>
    </row>
    <row r="23" spans="1:16" s="1" customFormat="1" ht="12.75" customHeight="1" x14ac:dyDescent="0.2">
      <c r="C23"/>
      <c r="D23"/>
      <c r="E23"/>
      <c r="F23"/>
      <c r="G23"/>
      <c r="H23"/>
      <c r="I23"/>
      <c r="J23"/>
      <c r="K23"/>
      <c r="L23"/>
      <c r="M23"/>
    </row>
    <row r="24" spans="1:16" s="1" customFormat="1" ht="15.75" x14ac:dyDescent="0.25">
      <c r="E24" s="5"/>
      <c r="F24" s="5"/>
      <c r="L24" s="8"/>
    </row>
    <row r="25" spans="1:16" s="1" customFormat="1" ht="15" x14ac:dyDescent="0.2">
      <c r="A25" s="18" t="s">
        <v>186</v>
      </c>
      <c r="B25" s="18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</row>
    <row r="26" spans="1:16" s="1" customFormat="1" x14ac:dyDescent="0.2"/>
    <row r="27" spans="1:16" s="1" customFormat="1" x14ac:dyDescent="0.2">
      <c r="C27" s="1" t="s">
        <v>46</v>
      </c>
      <c r="G27" s="67">
        <f>EOMONTH(DATE(Assumptions!$G$10,INDEX(Data!$K$107:$K$108, MATCH(Assumptions!$E$10, Data!$J$107:$J$108,0)), 1),0)</f>
        <v>45291</v>
      </c>
      <c r="H27" s="68" t="s">
        <v>70</v>
      </c>
    </row>
    <row r="28" spans="1:16" s="1" customFormat="1" x14ac:dyDescent="0.2">
      <c r="C28" s="1" t="s">
        <v>187</v>
      </c>
      <c r="G28" s="303">
        <v>3.5000000000000003E-2</v>
      </c>
      <c r="H28" s="68" t="s">
        <v>66</v>
      </c>
      <c r="J28" s="68"/>
    </row>
    <row r="29" spans="1:16" s="1" customFormat="1" x14ac:dyDescent="0.2">
      <c r="C29" s="1" t="s">
        <v>61</v>
      </c>
      <c r="G29" s="304">
        <v>45291</v>
      </c>
      <c r="H29" s="68" t="s">
        <v>67</v>
      </c>
      <c r="J29" s="68"/>
    </row>
    <row r="30" spans="1:16" s="1" customFormat="1" x14ac:dyDescent="0.2">
      <c r="J30" s="68"/>
    </row>
    <row r="31" spans="1:16" x14ac:dyDescent="0.2">
      <c r="C31" s="8" t="s">
        <v>200</v>
      </c>
      <c r="G31" s="305">
        <v>20</v>
      </c>
      <c r="H31" s="68" t="s">
        <v>201</v>
      </c>
    </row>
    <row r="32" spans="1:16" s="1" customFormat="1" x14ac:dyDescent="0.2"/>
    <row r="33" spans="1:20" s="1" customFormat="1" x14ac:dyDescent="0.2">
      <c r="C33" s="1" t="s">
        <v>32</v>
      </c>
      <c r="G33" s="306">
        <v>46203</v>
      </c>
      <c r="H33" s="68" t="s">
        <v>64</v>
      </c>
      <c r="J33" s="68"/>
    </row>
    <row r="34" spans="1:20" s="1" customFormat="1" x14ac:dyDescent="0.2">
      <c r="C34" s="1" t="s">
        <v>71</v>
      </c>
      <c r="G34" s="321">
        <v>45291</v>
      </c>
      <c r="H34" s="68" t="s">
        <v>72</v>
      </c>
      <c r="J34" s="68"/>
    </row>
    <row r="35" spans="1:20" s="1" customFormat="1" ht="13.5" x14ac:dyDescent="0.25">
      <c r="C35" s="1" t="s">
        <v>242</v>
      </c>
      <c r="G35" s="304">
        <v>45107</v>
      </c>
      <c r="H35" s="68"/>
      <c r="J35" s="68"/>
    </row>
    <row r="39" spans="1:20" s="1" customFormat="1" ht="15" x14ac:dyDescent="0.2">
      <c r="A39" s="18" t="s">
        <v>8</v>
      </c>
      <c r="B39" s="18"/>
      <c r="C39" s="16"/>
      <c r="D39" s="16"/>
      <c r="E39" s="16"/>
      <c r="F39" s="16"/>
      <c r="G39" s="16"/>
      <c r="H39" s="16"/>
      <c r="I39" s="16"/>
      <c r="J39" s="16"/>
      <c r="K39" s="16"/>
      <c r="L39" s="17"/>
      <c r="M39" s="17"/>
      <c r="N39" s="17"/>
      <c r="O39" s="17"/>
      <c r="P39" s="17"/>
    </row>
    <row r="40" spans="1:20" s="1" customFormat="1" x14ac:dyDescent="0.2">
      <c r="M40" s="12"/>
      <c r="N40" s="12"/>
      <c r="O40" s="12"/>
      <c r="P40" s="12"/>
    </row>
    <row r="41" spans="1:20" s="128" customFormat="1" x14ac:dyDescent="0.2">
      <c r="A41" s="127"/>
      <c r="B41" s="127"/>
      <c r="C41" s="1"/>
      <c r="D41" s="241"/>
      <c r="E41" s="39" t="s">
        <v>432</v>
      </c>
      <c r="F41" s="332"/>
      <c r="G41" s="333" t="s">
        <v>433</v>
      </c>
      <c r="H41" s="334" cm="1">
        <f t="array" ref="H41">SUMPRODUCT(($H$43:$H$47)*($I$43:$I$47))</f>
        <v>44906.183515166558</v>
      </c>
      <c r="I41" s="331" t="s">
        <v>217</v>
      </c>
      <c r="J41" s="127"/>
      <c r="M41" s="127"/>
      <c r="N41" s="127"/>
      <c r="O41" s="127"/>
      <c r="P41" s="127"/>
      <c r="Q41" s="127"/>
      <c r="R41" s="127"/>
      <c r="S41" s="127"/>
      <c r="T41" s="127"/>
    </row>
    <row r="42" spans="1:20" s="128" customFormat="1" x14ac:dyDescent="0.2">
      <c r="A42"/>
      <c r="B42"/>
      <c r="C42"/>
      <c r="D42"/>
      <c r="E42"/>
      <c r="F42"/>
      <c r="G42"/>
      <c r="H42"/>
      <c r="I42"/>
      <c r="J42"/>
      <c r="K42"/>
      <c r="L42"/>
      <c r="M42" s="127"/>
      <c r="N42" s="127"/>
      <c r="O42" s="127"/>
      <c r="P42" s="127"/>
      <c r="Q42" s="127"/>
      <c r="R42" s="127"/>
      <c r="S42" s="127"/>
      <c r="T42" s="127"/>
    </row>
    <row r="43" spans="1:20" s="128" customFormat="1" x14ac:dyDescent="0.2">
      <c r="A43"/>
      <c r="B43"/>
      <c r="C43"/>
      <c r="D43"/>
      <c r="E43" s="1" t="s">
        <v>143</v>
      </c>
      <c r="H43" s="165">
        <v>25520</v>
      </c>
      <c r="I43" s="330">
        <v>0.31618741781210452</v>
      </c>
      <c r="J43"/>
      <c r="K43"/>
      <c r="L43"/>
      <c r="M43" s="127"/>
      <c r="N43" s="127"/>
      <c r="O43" s="127"/>
      <c r="P43" s="127"/>
      <c r="Q43" s="127"/>
      <c r="R43" s="127"/>
      <c r="S43" s="127"/>
      <c r="T43" s="127"/>
    </row>
    <row r="44" spans="1:20" s="128" customFormat="1" x14ac:dyDescent="0.2">
      <c r="A44"/>
      <c r="B44"/>
      <c r="C44"/>
      <c r="D44"/>
      <c r="E44" s="1" t="s">
        <v>138</v>
      </c>
      <c r="H44" s="165">
        <v>52200</v>
      </c>
      <c r="I44" s="330">
        <v>0.56126125387323744</v>
      </c>
      <c r="J44"/>
      <c r="K44"/>
      <c r="L44"/>
      <c r="M44" s="127"/>
      <c r="N44" s="127"/>
      <c r="O44" s="127"/>
      <c r="P44" s="127"/>
      <c r="Q44" s="127"/>
      <c r="R44" s="127"/>
      <c r="S44" s="127"/>
      <c r="T44" s="127"/>
    </row>
    <row r="45" spans="1:20" s="128" customFormat="1" x14ac:dyDescent="0.2">
      <c r="A45"/>
      <c r="B45"/>
      <c r="C45"/>
      <c r="D45"/>
      <c r="E45" s="1" t="s">
        <v>140</v>
      </c>
      <c r="H45" s="165">
        <v>74790</v>
      </c>
      <c r="I45" s="330">
        <v>6.9034688491209001E-2</v>
      </c>
      <c r="J45"/>
      <c r="K45"/>
      <c r="L45"/>
      <c r="M45" s="127"/>
      <c r="N45" s="127"/>
      <c r="O45" s="127"/>
      <c r="P45" s="127"/>
      <c r="Q45" s="127"/>
      <c r="R45" s="127"/>
      <c r="S45" s="127"/>
      <c r="T45" s="127"/>
    </row>
    <row r="46" spans="1:20" s="128" customFormat="1" x14ac:dyDescent="0.2">
      <c r="A46"/>
      <c r="B46"/>
      <c r="C46"/>
      <c r="D46"/>
      <c r="E46" s="1" t="s">
        <v>141</v>
      </c>
      <c r="H46" s="165">
        <v>44400</v>
      </c>
      <c r="I46" s="330">
        <v>5.3516639823449057E-2</v>
      </c>
      <c r="J46"/>
      <c r="K46"/>
      <c r="L46"/>
      <c r="M46" s="127"/>
      <c r="N46" s="127"/>
      <c r="O46" s="127"/>
      <c r="P46" s="127"/>
      <c r="Q46" s="127"/>
      <c r="R46" s="127"/>
      <c r="S46" s="127"/>
      <c r="T46" s="127"/>
    </row>
    <row r="47" spans="1:20" s="128" customFormat="1" x14ac:dyDescent="0.2">
      <c r="A47" s="127"/>
      <c r="B47" s="127"/>
      <c r="C47" s="127"/>
      <c r="D47" s="129"/>
      <c r="E47" s="1" t="s">
        <v>144</v>
      </c>
      <c r="H47" s="165">
        <v>52200</v>
      </c>
      <c r="I47" s="160">
        <v>0</v>
      </c>
      <c r="J47" s="127"/>
      <c r="K47" s="127"/>
      <c r="L47" s="127"/>
      <c r="M47" s="127"/>
      <c r="N47" s="127"/>
      <c r="O47" s="127"/>
      <c r="P47" s="127"/>
      <c r="Q47" s="127"/>
      <c r="R47" s="127"/>
      <c r="S47" s="127"/>
      <c r="T47" s="127"/>
    </row>
    <row r="49" spans="1:16" ht="15" x14ac:dyDescent="0.2">
      <c r="A49" s="18" t="s">
        <v>153</v>
      </c>
      <c r="B49" s="18"/>
      <c r="C49" s="16"/>
      <c r="D49" s="16"/>
      <c r="E49" s="16"/>
      <c r="F49" s="16"/>
      <c r="G49" s="16"/>
      <c r="H49" s="16"/>
      <c r="I49" s="16"/>
      <c r="J49" s="16"/>
      <c r="K49" s="16"/>
      <c r="L49" s="17"/>
      <c r="M49" s="17"/>
      <c r="N49" s="17"/>
      <c r="O49" s="17"/>
      <c r="P49" s="17"/>
    </row>
    <row r="52" spans="1:16" x14ac:dyDescent="0.2">
      <c r="B52" s="30" t="s">
        <v>178</v>
      </c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</row>
    <row r="54" spans="1:16" x14ac:dyDescent="0.2">
      <c r="C54" s="8" t="s">
        <v>152</v>
      </c>
      <c r="G54" s="307">
        <v>5400000</v>
      </c>
      <c r="H54" s="69">
        <v>45107</v>
      </c>
    </row>
    <row r="56" spans="1:16" x14ac:dyDescent="0.2">
      <c r="C56" s="8" t="s">
        <v>169</v>
      </c>
      <c r="G56" s="165">
        <v>0</v>
      </c>
      <c r="H56" s="69">
        <f>input_dollars</f>
        <v>45291</v>
      </c>
    </row>
    <row r="58" spans="1:16" x14ac:dyDescent="0.2">
      <c r="C58" s="14" t="str">
        <f>Data!A83</f>
        <v>Disproportionate factors applied to various bushfire and other risk valuations</v>
      </c>
    </row>
    <row r="59" spans="1:16" x14ac:dyDescent="0.2">
      <c r="C59" s="8" t="str">
        <f>Data!B85</f>
        <v>Harm to property from network</v>
      </c>
      <c r="G59" s="305">
        <f>Data!F85</f>
        <v>1</v>
      </c>
    </row>
    <row r="60" spans="1:16" x14ac:dyDescent="0.2">
      <c r="C60" s="8" t="str">
        <f>Data!B86</f>
        <v>Harm to property from bushfire</v>
      </c>
      <c r="G60" s="305">
        <f>Data!F86</f>
        <v>1</v>
      </c>
    </row>
    <row r="61" spans="1:16" x14ac:dyDescent="0.2">
      <c r="C61" s="8" t="str">
        <f>Data!B87</f>
        <v>Harm to environment</v>
      </c>
      <c r="G61" s="305">
        <f>Data!F87</f>
        <v>1</v>
      </c>
    </row>
    <row r="62" spans="1:16" x14ac:dyDescent="0.2">
      <c r="C62" s="8" t="str">
        <f>Data!B88</f>
        <v>Safety - Public trespass</v>
      </c>
      <c r="G62" s="305">
        <f>Data!F88</f>
        <v>1</v>
      </c>
    </row>
    <row r="63" spans="1:16" x14ac:dyDescent="0.2">
      <c r="C63" s="8" t="str">
        <f>Data!B89</f>
        <v>Safety - Single fatality or serious injury ^</v>
      </c>
      <c r="G63" s="305">
        <f>Data!F89</f>
        <v>3</v>
      </c>
    </row>
    <row r="64" spans="1:16" x14ac:dyDescent="0.2">
      <c r="C64" s="8" t="str">
        <f>Data!B90</f>
        <v>Safety from bushfire in HBRA</v>
      </c>
      <c r="G64" s="305">
        <f>Data!F90</f>
        <v>3</v>
      </c>
    </row>
    <row r="65" spans="3:13" x14ac:dyDescent="0.2">
      <c r="C65" s="8" t="str">
        <f>Data!B91</f>
        <v>Safety - Multiple fatality or serious injury ^</v>
      </c>
      <c r="G65" s="305">
        <f>Data!F91</f>
        <v>6</v>
      </c>
    </row>
    <row r="66" spans="3:13" x14ac:dyDescent="0.2">
      <c r="C66" s="8" t="str">
        <f>Data!B92</f>
        <v>Safety from bushfire (REFCL declared areas)</v>
      </c>
      <c r="G66" s="305">
        <f>Data!F92</f>
        <v>6</v>
      </c>
    </row>
    <row r="67" spans="3:13" x14ac:dyDescent="0.2">
      <c r="C67" s="8" t="str">
        <f>Data!B93</f>
        <v>Safety from bushfire (electric line construction areas)</v>
      </c>
      <c r="G67" s="305">
        <f>Data!F93</f>
        <v>10</v>
      </c>
    </row>
    <row r="68" spans="3:13" x14ac:dyDescent="0.2">
      <c r="E68"/>
      <c r="F68"/>
      <c r="G68"/>
      <c r="H68"/>
    </row>
    <row r="70" spans="3:13" x14ac:dyDescent="0.2">
      <c r="C70" s="82" t="s">
        <v>113</v>
      </c>
    </row>
    <row r="73" spans="3:13" x14ac:dyDescent="0.2">
      <c r="C73" s="53" t="s">
        <v>185</v>
      </c>
      <c r="D73" s="59"/>
      <c r="E73" s="59"/>
      <c r="F73" s="59"/>
      <c r="G73" s="158" t="s">
        <v>68</v>
      </c>
      <c r="H73" s="158" t="s">
        <v>170</v>
      </c>
      <c r="I73" s="158" t="s">
        <v>184</v>
      </c>
      <c r="J73" s="157" t="s">
        <v>188</v>
      </c>
      <c r="K73" s="158"/>
      <c r="L73" s="158"/>
      <c r="M73" s="158"/>
    </row>
    <row r="74" spans="3:13" x14ac:dyDescent="0.2">
      <c r="C74" s="8" t="s">
        <v>171</v>
      </c>
      <c r="G74" s="159">
        <f>G54*INDEX(hy_escalation, MATCH(input_dollars,hy_dates,0))/INDEX(hy_escalation, MATCH(H54,hy_dates,0))</f>
        <v>5607473.5197347086</v>
      </c>
      <c r="H74" s="164">
        <v>0</v>
      </c>
      <c r="I74" s="166">
        <v>0</v>
      </c>
      <c r="J74" s="371">
        <v>0</v>
      </c>
      <c r="K74" s="372"/>
      <c r="L74" s="372"/>
      <c r="M74" s="373"/>
    </row>
    <row r="75" spans="3:13" x14ac:dyDescent="0.2">
      <c r="C75" s="8" t="s">
        <v>172</v>
      </c>
      <c r="G75" s="159">
        <f>G56*INDEX(hy_escalation, MATCH(input_dollars,hy_dates,0))/INDEX(hy_escalation, MATCH(H56,hy_dates,0))</f>
        <v>0</v>
      </c>
      <c r="H75" s="163">
        <v>0</v>
      </c>
      <c r="I75" s="166">
        <v>0</v>
      </c>
      <c r="J75" s="371">
        <v>0</v>
      </c>
      <c r="K75" s="372"/>
      <c r="L75" s="372"/>
      <c r="M75" s="373"/>
    </row>
    <row r="76" spans="3:13" x14ac:dyDescent="0.2">
      <c r="I76" s="162"/>
      <c r="M76"/>
    </row>
    <row r="77" spans="3:13" x14ac:dyDescent="0.2">
      <c r="G77" s="167"/>
    </row>
    <row r="78" spans="3:13" x14ac:dyDescent="0.2">
      <c r="C78" s="82"/>
    </row>
    <row r="81" spans="1:16" x14ac:dyDescent="0.2">
      <c r="B81" s="30" t="s">
        <v>179</v>
      </c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</row>
    <row r="82" spans="1:16" x14ac:dyDescent="0.2">
      <c r="C82" s="8" t="s">
        <v>173</v>
      </c>
      <c r="G82" s="155">
        <v>0</v>
      </c>
      <c r="H82" s="69">
        <f>input_dollars</f>
        <v>45291</v>
      </c>
    </row>
    <row r="83" spans="1:16" x14ac:dyDescent="0.2">
      <c r="C83" s="8" t="s">
        <v>174</v>
      </c>
      <c r="G83" s="155">
        <v>0</v>
      </c>
      <c r="H83" s="69">
        <f>input_dollars</f>
        <v>45291</v>
      </c>
    </row>
    <row r="85" spans="1:16" x14ac:dyDescent="0.2">
      <c r="C85" s="8" t="s">
        <v>175</v>
      </c>
      <c r="G85" s="160">
        <v>0.2</v>
      </c>
    </row>
    <row r="90" spans="1:16" x14ac:dyDescent="0.2">
      <c r="A90" s="1"/>
      <c r="B90" s="1"/>
      <c r="C90" s="1"/>
      <c r="D90" s="1"/>
      <c r="E90" s="1"/>
      <c r="F90" s="1"/>
      <c r="K90" s="1"/>
      <c r="L90" s="1"/>
      <c r="M90" s="1"/>
      <c r="N90" s="1"/>
      <c r="O90" s="1"/>
    </row>
    <row r="91" spans="1:16" ht="15" x14ac:dyDescent="0.2">
      <c r="A91" s="18" t="s">
        <v>55</v>
      </c>
      <c r="B91" s="18"/>
      <c r="C91" s="16"/>
      <c r="D91" s="16"/>
      <c r="E91" s="16"/>
      <c r="F91" s="16"/>
      <c r="G91" s="16"/>
      <c r="H91" s="16"/>
      <c r="I91" s="16"/>
      <c r="J91" s="16"/>
      <c r="K91" s="16"/>
      <c r="L91" s="17"/>
      <c r="M91" s="17"/>
      <c r="N91" s="17"/>
      <c r="O91" s="17"/>
      <c r="P91" s="17"/>
    </row>
    <row r="92" spans="1:16" x14ac:dyDescent="0.2">
      <c r="A92" s="1"/>
      <c r="B92" s="1"/>
      <c r="C92" s="1"/>
      <c r="D92" s="1"/>
      <c r="F92" s="1"/>
      <c r="H92" s="1"/>
      <c r="L92" s="1"/>
      <c r="N92" s="1"/>
      <c r="O92" s="1"/>
    </row>
    <row r="93" spans="1:16" x14ac:dyDescent="0.2">
      <c r="A93" s="1"/>
      <c r="B93" s="30" t="s">
        <v>180</v>
      </c>
      <c r="C93" s="30"/>
      <c r="D93" s="30"/>
      <c r="E93" s="30"/>
      <c r="F93" s="30"/>
      <c r="G93" s="30"/>
      <c r="H93" s="53"/>
      <c r="I93" s="53"/>
      <c r="J93" s="53"/>
      <c r="K93" s="70" t="s">
        <v>19</v>
      </c>
      <c r="L93" s="70" t="s">
        <v>21</v>
      </c>
      <c r="M93" s="70" t="s">
        <v>20</v>
      </c>
      <c r="N93" s="70" t="s">
        <v>22</v>
      </c>
      <c r="O93" s="70" t="s">
        <v>93</v>
      </c>
      <c r="P93" s="70" t="s">
        <v>94</v>
      </c>
    </row>
    <row r="94" spans="1:16" ht="13.5" x14ac:dyDescent="0.25">
      <c r="A94" s="1"/>
      <c r="B94" s="1"/>
      <c r="C94" s="1" t="s">
        <v>73</v>
      </c>
      <c r="D94" s="1"/>
      <c r="F94" s="1"/>
      <c r="G94" s="68"/>
      <c r="H94" s="69">
        <f>G35</f>
        <v>45107</v>
      </c>
      <c r="I94" s="71" t="s">
        <v>62</v>
      </c>
      <c r="J94" s="71"/>
      <c r="K94" s="308">
        <v>2.4730486797759084E-2</v>
      </c>
      <c r="L94" s="308">
        <v>2.2340740091772258E-2</v>
      </c>
      <c r="M94" s="308">
        <v>2.0196329122153123E-2</v>
      </c>
      <c r="N94" s="308">
        <v>1.806294207659629E-2</v>
      </c>
      <c r="O94" s="308">
        <v>1.5913397615084226E-2</v>
      </c>
      <c r="P94" s="308">
        <v>1.3715069432539001E-2</v>
      </c>
    </row>
    <row r="95" spans="1:16" x14ac:dyDescent="0.2">
      <c r="A95" s="1"/>
      <c r="B95" s="1"/>
      <c r="C95" s="1"/>
      <c r="D95" s="1"/>
      <c r="E95" s="1"/>
      <c r="F95" s="1"/>
      <c r="G95" s="1"/>
      <c r="K95" s="1"/>
      <c r="L95" s="1"/>
      <c r="M95" s="1"/>
      <c r="N95" s="1"/>
      <c r="O95" s="1"/>
    </row>
    <row r="96" spans="1:16" x14ac:dyDescent="0.2">
      <c r="A96" s="1"/>
      <c r="B96" s="1"/>
      <c r="C96" s="1"/>
      <c r="D96" s="1"/>
      <c r="E96" s="1"/>
      <c r="F96" s="1"/>
      <c r="K96" s="1"/>
      <c r="L96" s="1"/>
      <c r="M96" s="1"/>
      <c r="N96" s="1"/>
      <c r="O96" s="1"/>
    </row>
    <row r="97" spans="1:16" x14ac:dyDescent="0.2">
      <c r="A97" s="1"/>
      <c r="B97" s="30" t="s">
        <v>181</v>
      </c>
      <c r="C97" s="30"/>
      <c r="D97" s="30"/>
      <c r="E97" s="30"/>
      <c r="F97" s="30"/>
      <c r="G97" s="70" t="s">
        <v>68</v>
      </c>
      <c r="H97" s="30"/>
      <c r="I97" s="30"/>
      <c r="J97" s="39"/>
      <c r="K97" s="1"/>
      <c r="L97" s="1"/>
    </row>
    <row r="98" spans="1:16" x14ac:dyDescent="0.2">
      <c r="A98" s="1"/>
      <c r="B98" s="1"/>
      <c r="C98" s="1" t="str">
        <f>Data!B60</f>
        <v>Reliability in worst-served areas</v>
      </c>
      <c r="D98" s="1"/>
      <c r="E98"/>
      <c r="F98" s="1"/>
      <c r="G98" s="307">
        <v>67500</v>
      </c>
      <c r="H98" s="69">
        <f t="shared" ref="H98:H105" si="0">custval_date</f>
        <v>45291</v>
      </c>
      <c r="I98" s="71" t="s">
        <v>53</v>
      </c>
      <c r="J98" s="71"/>
      <c r="K98" s="1"/>
      <c r="P98" s="1"/>
    </row>
    <row r="99" spans="1:16" x14ac:dyDescent="0.2">
      <c r="A99" s="1"/>
      <c r="B99" s="1"/>
      <c r="C99" s="1" t="str">
        <f>Data!B61</f>
        <v>Network resilience</v>
      </c>
      <c r="D99" s="1"/>
      <c r="E99"/>
      <c r="F99" s="1"/>
      <c r="G99" s="307">
        <v>24590</v>
      </c>
      <c r="H99" s="69">
        <f t="shared" si="0"/>
        <v>45291</v>
      </c>
      <c r="I99" s="71" t="s">
        <v>53</v>
      </c>
      <c r="J99" s="71"/>
      <c r="P99" s="1"/>
    </row>
    <row r="100" spans="1:16" x14ac:dyDescent="0.2">
      <c r="A100" s="1"/>
      <c r="B100" s="1"/>
      <c r="C100" s="1" t="str">
        <f>Data!B62</f>
        <v>Enabling solar exports</v>
      </c>
      <c r="D100" s="1"/>
      <c r="E100"/>
      <c r="G100" s="307">
        <v>88.357719508603083</v>
      </c>
      <c r="H100" s="69">
        <f t="shared" si="0"/>
        <v>45291</v>
      </c>
      <c r="I100" s="71" t="s">
        <v>53</v>
      </c>
      <c r="J100" s="71"/>
      <c r="P100" s="1"/>
    </row>
    <row r="101" spans="1:16" x14ac:dyDescent="0.2">
      <c r="A101" s="1"/>
      <c r="B101" s="1"/>
      <c r="C101" s="1" t="str">
        <f>Data!B63</f>
        <v>Aesthetics</v>
      </c>
      <c r="D101" s="1"/>
      <c r="E101"/>
      <c r="G101" s="308">
        <v>0</v>
      </c>
      <c r="H101" s="69">
        <f t="shared" si="0"/>
        <v>45291</v>
      </c>
      <c r="I101" s="71" t="s">
        <v>78</v>
      </c>
      <c r="J101" s="71"/>
      <c r="P101" s="1"/>
    </row>
    <row r="102" spans="1:16" x14ac:dyDescent="0.2">
      <c r="A102" s="1"/>
      <c r="B102" s="1"/>
      <c r="C102" s="1" t="str">
        <f>Data!B64</f>
        <v>Customer value of time - residential</v>
      </c>
      <c r="D102" s="1"/>
      <c r="E102"/>
      <c r="G102" s="308">
        <v>0.35181336539087127</v>
      </c>
      <c r="H102" s="69">
        <f t="shared" si="0"/>
        <v>45291</v>
      </c>
      <c r="I102" s="71" t="s">
        <v>79</v>
      </c>
      <c r="J102" s="71"/>
      <c r="P102" s="1"/>
    </row>
    <row r="103" spans="1:16" x14ac:dyDescent="0.2">
      <c r="A103" s="1"/>
      <c r="B103" s="1"/>
      <c r="C103" s="1" t="str">
        <f>Data!B65</f>
        <v>Customer value of time - business</v>
      </c>
      <c r="D103" s="1"/>
      <c r="E103"/>
      <c r="G103" s="308">
        <v>0.35181336539087127</v>
      </c>
      <c r="H103" s="69">
        <f t="shared" si="0"/>
        <v>45291</v>
      </c>
      <c r="I103" s="71" t="s">
        <v>79</v>
      </c>
      <c r="J103" s="71"/>
      <c r="P103" s="1"/>
    </row>
    <row r="104" spans="1:16" x14ac:dyDescent="0.2">
      <c r="A104" s="1"/>
      <c r="B104" s="1"/>
      <c r="C104" s="1" t="str">
        <f>Data!B66</f>
        <v>Communication</v>
      </c>
      <c r="D104" s="1"/>
      <c r="E104"/>
      <c r="G104" s="308">
        <v>0</v>
      </c>
      <c r="H104" s="69">
        <f t="shared" si="0"/>
        <v>45291</v>
      </c>
      <c r="I104" s="71" t="s">
        <v>78</v>
      </c>
      <c r="J104" s="71"/>
      <c r="P104" s="1"/>
    </row>
    <row r="105" spans="1:16" x14ac:dyDescent="0.2">
      <c r="A105" s="1"/>
      <c r="B105" s="1"/>
      <c r="C105" s="1" t="str">
        <f>Data!B67</f>
        <v>Information accessibility</v>
      </c>
      <c r="D105" s="1"/>
      <c r="E105"/>
      <c r="G105" s="308">
        <v>0</v>
      </c>
      <c r="H105" s="69">
        <f t="shared" si="0"/>
        <v>45291</v>
      </c>
      <c r="I105" s="71" t="s">
        <v>78</v>
      </c>
      <c r="J105" s="71"/>
      <c r="P105" s="1"/>
    </row>
    <row r="106" spans="1:16" x14ac:dyDescent="0.2">
      <c r="A106" s="1"/>
      <c r="B106" s="1"/>
      <c r="C106" s="1"/>
      <c r="D106" s="1"/>
      <c r="E106"/>
      <c r="L106" s="1"/>
      <c r="N106" s="1"/>
      <c r="O106" s="1"/>
      <c r="P106" s="1"/>
    </row>
    <row r="107" spans="1:16" x14ac:dyDescent="0.2">
      <c r="A107" s="1"/>
      <c r="B107" s="1"/>
      <c r="C107" s="1"/>
      <c r="D107" s="1"/>
      <c r="E107"/>
      <c r="F107" s="1"/>
      <c r="L107" s="1"/>
      <c r="N107" s="1"/>
      <c r="O107" s="1"/>
    </row>
    <row r="110" spans="1:16" ht="15" x14ac:dyDescent="0.2">
      <c r="A110" s="18" t="s">
        <v>219</v>
      </c>
      <c r="B110" s="18"/>
      <c r="C110" s="16"/>
      <c r="D110" s="16"/>
      <c r="E110" s="16"/>
      <c r="F110" s="16"/>
      <c r="G110" s="16"/>
      <c r="H110" s="16"/>
      <c r="I110" s="16"/>
      <c r="J110" s="16"/>
      <c r="K110" s="16"/>
      <c r="L110" s="17"/>
      <c r="M110" s="17"/>
      <c r="N110" s="17"/>
      <c r="O110" s="17"/>
      <c r="P110" s="17"/>
    </row>
    <row r="111" spans="1:16" x14ac:dyDescent="0.2">
      <c r="A111" s="1"/>
      <c r="B111" s="1"/>
      <c r="C111" s="1"/>
      <c r="D111" s="1"/>
      <c r="E111" s="1"/>
      <c r="F111" s="1"/>
      <c r="G111" s="1"/>
      <c r="K111" s="1"/>
      <c r="L111" s="1"/>
      <c r="M111" s="1"/>
      <c r="N111" s="1"/>
      <c r="O111" s="1"/>
    </row>
    <row r="112" spans="1:16" x14ac:dyDescent="0.2">
      <c r="A112" s="1"/>
      <c r="B112" s="1"/>
      <c r="C112" s="1"/>
      <c r="D112" s="1"/>
      <c r="E112" s="1"/>
      <c r="F112" s="1"/>
      <c r="G112" s="1"/>
      <c r="K112" s="1"/>
      <c r="L112" s="1"/>
      <c r="M112" s="1"/>
      <c r="N112" s="1"/>
      <c r="O112" s="1"/>
    </row>
    <row r="113" spans="1:16" x14ac:dyDescent="0.2">
      <c r="A113" s="1"/>
      <c r="B113" s="1"/>
      <c r="C113" s="1"/>
      <c r="D113" s="1"/>
      <c r="E113" s="1"/>
      <c r="F113" s="1"/>
      <c r="G113" s="1"/>
      <c r="K113" s="1"/>
      <c r="L113" s="1"/>
      <c r="M113" s="1"/>
      <c r="N113" s="1"/>
      <c r="O113" s="1"/>
    </row>
    <row r="114" spans="1:16" x14ac:dyDescent="0.2">
      <c r="A114" s="6"/>
      <c r="B114" s="172"/>
      <c r="C114" s="299"/>
      <c r="D114" s="59"/>
      <c r="E114" s="300"/>
      <c r="F114" s="299"/>
      <c r="G114" s="299" t="s">
        <v>17</v>
      </c>
      <c r="H114" s="299" t="s">
        <v>243</v>
      </c>
      <c r="I114"/>
      <c r="J114"/>
      <c r="K114"/>
      <c r="L114"/>
      <c r="M114"/>
      <c r="N114"/>
      <c r="O114"/>
      <c r="P114"/>
    </row>
    <row r="115" spans="1:16" x14ac:dyDescent="0.2">
      <c r="B115" s="8">
        <v>1</v>
      </c>
      <c r="C115" s="8" t="str">
        <f>IF(G115=0, "", G$114&amp;" "&amp;ABS($G115)*100&amp;"%"&amp;IF($G115&gt;0, " higher", " lower"))&amp;IF(AND(G115&lt;&gt;0, H115&lt;&gt;0), " &amp; ", "")&amp;IF(H115=0, "", H$114&amp;" "&amp;ABS($H115)*100&amp;"%"&amp;IF($H115&gt;0, " higher", " lower"))</f>
        <v>Capex 10% higher</v>
      </c>
      <c r="E115" s="268"/>
      <c r="G115" s="309">
        <v>0.1</v>
      </c>
      <c r="H115" s="309">
        <v>0</v>
      </c>
      <c r="I115" s="262"/>
      <c r="J115"/>
      <c r="K115"/>
      <c r="L115"/>
      <c r="M115"/>
      <c r="N115"/>
      <c r="O115"/>
      <c r="P115"/>
    </row>
    <row r="116" spans="1:16" x14ac:dyDescent="0.2">
      <c r="B116" s="8">
        <v>2</v>
      </c>
      <c r="C116" s="8" t="str">
        <f>IF(G116=0, "", G$114&amp;" "&amp;ABS($G116)*100&amp;"%"&amp;IF($G116&gt;0, " higher", " lower"))&amp;IF(AND(G116&lt;&gt;0, H116&lt;&gt;0), " &amp; ", "")&amp;IF(H116=0, "", H$114&amp;" "&amp;ABS($H116)*100&amp;"%"&amp;IF($H116&gt;0, " higher", " lower"))</f>
        <v>Capex 10% lower</v>
      </c>
      <c r="E116" s="268"/>
      <c r="G116" s="309">
        <v>-0.1</v>
      </c>
      <c r="H116" s="309">
        <v>0</v>
      </c>
      <c r="I116" s="262"/>
      <c r="J116"/>
      <c r="K116"/>
      <c r="L116"/>
      <c r="M116"/>
      <c r="N116"/>
      <c r="O116"/>
      <c r="P116"/>
    </row>
    <row r="117" spans="1:16" x14ac:dyDescent="0.2">
      <c r="B117" s="8">
        <v>3</v>
      </c>
      <c r="C117" s="8" t="s">
        <v>426</v>
      </c>
      <c r="E117" s="268"/>
      <c r="G117" s="310">
        <v>0</v>
      </c>
      <c r="H117" s="309">
        <v>0.15</v>
      </c>
      <c r="I117" s="262"/>
      <c r="J117"/>
      <c r="K117"/>
      <c r="L117"/>
      <c r="M117"/>
      <c r="N117"/>
      <c r="O117"/>
      <c r="P117"/>
    </row>
    <row r="118" spans="1:16" x14ac:dyDescent="0.2">
      <c r="B118" s="8">
        <v>4</v>
      </c>
      <c r="C118" s="8" t="str">
        <f>IF(G118=0, "", G$114&amp;" "&amp;ABS($G118)*100&amp;"%"&amp;IF($G118&gt;0, " higher", " lower"))&amp;IF(AND(G118&lt;&gt;0, H118&lt;&gt;0), " &amp; ", "")&amp;IF(H118=0, "", H$114&amp;" "&amp;ABS($H118)*100&amp;"%"&amp;IF($H118&gt;0, " higher", " lower"))</f>
        <v/>
      </c>
      <c r="E118" s="268"/>
      <c r="G118" s="310">
        <v>0</v>
      </c>
      <c r="H118" s="309">
        <v>0</v>
      </c>
      <c r="I118" s="262"/>
      <c r="J118"/>
      <c r="K118"/>
      <c r="L118"/>
      <c r="M118"/>
      <c r="N118"/>
      <c r="O118"/>
      <c r="P118"/>
    </row>
    <row r="119" spans="1:16" x14ac:dyDescent="0.2">
      <c r="B119" s="8">
        <v>5</v>
      </c>
      <c r="C119" s="8" t="str">
        <f>IF(G119=0, "", G$114&amp;" "&amp;ABS($G119)*100&amp;"%"&amp;IF($G119&gt;0, " higher", " lower"))&amp;IF(AND(G119&lt;&gt;0, H119&lt;&gt;0), " &amp; ", "")&amp;IF(H119=0, "", H$114&amp;" "&amp;ABS($H119)*100&amp;"%"&amp;IF($H119&gt;0, " higher", " lower"))</f>
        <v/>
      </c>
      <c r="E119" s="268"/>
      <c r="G119" s="309">
        <v>0</v>
      </c>
      <c r="H119" s="309">
        <v>0</v>
      </c>
      <c r="I119" s="262"/>
      <c r="J119"/>
      <c r="K119"/>
      <c r="L119"/>
      <c r="M119"/>
      <c r="N119"/>
      <c r="O119"/>
      <c r="P119"/>
    </row>
    <row r="120" spans="1:16" x14ac:dyDescent="0.2">
      <c r="E120" s="268"/>
      <c r="H120"/>
      <c r="I120"/>
      <c r="J120"/>
      <c r="K120"/>
      <c r="L120"/>
      <c r="M120"/>
      <c r="N120"/>
      <c r="O120"/>
      <c r="P120"/>
    </row>
    <row r="121" spans="1:16" x14ac:dyDescent="0.2">
      <c r="E121" s="261"/>
      <c r="H121"/>
      <c r="I121"/>
      <c r="J121"/>
      <c r="K121"/>
      <c r="L121"/>
      <c r="M121"/>
      <c r="N121"/>
      <c r="O121"/>
      <c r="P121"/>
    </row>
    <row r="122" spans="1:16" x14ac:dyDescent="0.2">
      <c r="H122"/>
      <c r="I122"/>
      <c r="J122"/>
      <c r="K122"/>
      <c r="L122"/>
      <c r="M122"/>
      <c r="N122"/>
      <c r="O122"/>
      <c r="P122"/>
    </row>
    <row r="123" spans="1:16" x14ac:dyDescent="0.2">
      <c r="H123"/>
      <c r="I123"/>
      <c r="J123"/>
      <c r="K123"/>
      <c r="L123"/>
      <c r="M123"/>
      <c r="N123"/>
      <c r="O123"/>
      <c r="P123"/>
    </row>
    <row r="124" spans="1:16" x14ac:dyDescent="0.2">
      <c r="H124"/>
      <c r="I124"/>
      <c r="J124"/>
      <c r="K124"/>
      <c r="L124"/>
      <c r="M124"/>
      <c r="N124"/>
      <c r="O124"/>
      <c r="P124"/>
    </row>
    <row r="125" spans="1:16" x14ac:dyDescent="0.2">
      <c r="H125"/>
      <c r="I125"/>
      <c r="J125"/>
      <c r="K125"/>
      <c r="L125"/>
      <c r="M125"/>
      <c r="N125"/>
      <c r="O125"/>
      <c r="P125"/>
    </row>
    <row r="126" spans="1:16" x14ac:dyDescent="0.2">
      <c r="H126"/>
      <c r="I126"/>
      <c r="J126"/>
      <c r="K126"/>
      <c r="L126"/>
      <c r="M126"/>
      <c r="N126"/>
      <c r="O126"/>
      <c r="P126"/>
    </row>
  </sheetData>
  <mergeCells count="7">
    <mergeCell ref="J74:M74"/>
    <mergeCell ref="J75:M75"/>
    <mergeCell ref="E8:H8"/>
    <mergeCell ref="E14:K14"/>
    <mergeCell ref="E16:K16"/>
    <mergeCell ref="E17:K17"/>
    <mergeCell ref="E18:K18"/>
  </mergeCells>
  <phoneticPr fontId="76" type="noConversion"/>
  <conditionalFormatting sqref="G41">
    <cfRule type="expression" dxfId="15" priority="162">
      <formula>E41=#REF!</formula>
    </cfRule>
  </conditionalFormatting>
  <dataValidations count="1">
    <dataValidation type="list" allowBlank="1" showInputMessage="1" showErrorMessage="1" sqref="E41" xr:uid="{3C3B5659-643B-4DFF-A84D-4D674BA4C05E}">
      <formula1>list</formula1>
    </dataValidation>
  </dataValidations>
  <pageMargins left="0.25" right="0.25" top="0.75" bottom="0.75" header="0.3" footer="0.3"/>
  <pageSetup paperSize="9" scale="59" fitToHeight="0" orientation="portrait" horizontalDpi="90" verticalDpi="90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6" id="{F3F10DC4-43C8-4325-9D02-19BA52A23CAF}">
            <xm:f>E6=Data!#REF!</xm:f>
            <x14:dxf>
              <font>
                <color rgb="FFFF0000"/>
              </font>
            </x14:dxf>
          </x14:cfRule>
          <xm:sqref>D6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93A524C-E45A-4CD6-9037-0C9A8CB9BEDE}">
          <x14:formula1>
            <xm:f>Data!$J$107:$J$108</xm:f>
          </x14:formula1>
          <xm:sqref>E10</xm:sqref>
        </x14:dataValidation>
        <x14:dataValidation type="list" allowBlank="1" showInputMessage="1" showErrorMessage="1" xr:uid="{8AD3462E-BCDF-4C70-9696-A5196E905744}">
          <x14:formula1>
            <xm:f>Data!$T$107:$T$109</xm:f>
          </x14:formula1>
          <xm:sqref>E20</xm:sqref>
        </x14:dataValidation>
        <x14:dataValidation type="list" allowBlank="1" showInputMessage="1" showErrorMessage="1" xr:uid="{4146EE4B-BCAC-4E68-A5B1-65A7A34C1F3E}">
          <x14:formula1>
            <xm:f>Data!$R$107:$R$113</xm:f>
          </x14:formula1>
          <xm:sqref>G10</xm:sqref>
        </x14:dataValidation>
        <x14:dataValidation type="list" allowBlank="1" showInputMessage="1" showErrorMessage="1" xr:uid="{76E6FA8E-A026-4C8F-84A6-848CF895714B}">
          <x14:formula1>
            <xm:f>Data!$V$107:$V$110</xm:f>
          </x14:formula1>
          <xm:sqref>E22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4853D-D3A3-4079-BDBE-13E29B41B5A0}">
  <sheetPr codeName="Sheet3">
    <tabColor rgb="FFFF6600"/>
  </sheetPr>
  <dimension ref="A1:XER117"/>
  <sheetViews>
    <sheetView showGridLines="0" zoomScale="85" zoomScaleNormal="85" workbookViewId="0">
      <pane xSplit="7" ySplit="10" topLeftCell="H11" activePane="bottomRight" state="frozen"/>
      <selection activeCell="I105" sqref="I105"/>
      <selection pane="topRight" activeCell="I105" sqref="I105"/>
      <selection pane="bottomLeft" activeCell="I105" sqref="I105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31.8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6.8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Apollo Bay microgrid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4" t="s">
        <v>146</v>
      </c>
      <c r="B3" s="5"/>
      <c r="C3" s="135"/>
      <c r="D3" s="94"/>
    </row>
    <row r="4" spans="1:43" x14ac:dyDescent="0.2">
      <c r="A4" s="168"/>
      <c r="B4" s="188"/>
      <c r="C4" s="239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100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">
        <v>92</v>
      </c>
      <c r="B6" s="98"/>
      <c r="C6" s="99"/>
      <c r="D6" s="98"/>
      <c r="E6" s="100"/>
      <c r="F6" s="100"/>
      <c r="G6" s="100"/>
      <c r="H6" s="152">
        <v>0</v>
      </c>
      <c r="I6" s="101">
        <f t="shared" ref="I6:AG6" si="0">H6+1</f>
        <v>1</v>
      </c>
      <c r="J6" s="101">
        <f t="shared" si="0"/>
        <v>2</v>
      </c>
      <c r="K6" s="101">
        <f t="shared" si="0"/>
        <v>3</v>
      </c>
      <c r="L6" s="101">
        <f t="shared" si="0"/>
        <v>4</v>
      </c>
      <c r="M6" s="101">
        <f t="shared" si="0"/>
        <v>5</v>
      </c>
      <c r="N6" s="101">
        <f t="shared" si="0"/>
        <v>6</v>
      </c>
      <c r="O6" s="101">
        <f t="shared" si="0"/>
        <v>7</v>
      </c>
      <c r="P6" s="101">
        <f t="shared" si="0"/>
        <v>8</v>
      </c>
      <c r="Q6" s="101">
        <f t="shared" si="0"/>
        <v>9</v>
      </c>
      <c r="R6" s="101">
        <f t="shared" si="0"/>
        <v>10</v>
      </c>
      <c r="S6" s="101">
        <f t="shared" si="0"/>
        <v>11</v>
      </c>
      <c r="T6" s="101">
        <f t="shared" si="0"/>
        <v>12</v>
      </c>
      <c r="U6" s="101">
        <f t="shared" si="0"/>
        <v>13</v>
      </c>
      <c r="V6" s="101">
        <f t="shared" si="0"/>
        <v>14</v>
      </c>
      <c r="W6" s="101">
        <f t="shared" si="0"/>
        <v>15</v>
      </c>
      <c r="X6" s="101">
        <f t="shared" si="0"/>
        <v>16</v>
      </c>
      <c r="Y6" s="101">
        <f t="shared" si="0"/>
        <v>17</v>
      </c>
      <c r="Z6" s="101">
        <f t="shared" si="0"/>
        <v>18</v>
      </c>
      <c r="AA6" s="101">
        <f t="shared" si="0"/>
        <v>19</v>
      </c>
      <c r="AB6" s="101">
        <f t="shared" si="0"/>
        <v>20</v>
      </c>
      <c r="AC6" s="101">
        <f t="shared" si="0"/>
        <v>21</v>
      </c>
      <c r="AD6" s="101">
        <f t="shared" si="0"/>
        <v>22</v>
      </c>
      <c r="AE6" s="101">
        <f t="shared" si="0"/>
        <v>23</v>
      </c>
      <c r="AF6" s="101">
        <f t="shared" si="0"/>
        <v>24</v>
      </c>
      <c r="AG6" s="101">
        <f t="shared" si="0"/>
        <v>25</v>
      </c>
    </row>
    <row r="7" spans="1:43" hidden="1" outlineLevel="1" x14ac:dyDescent="0.2">
      <c r="A7" s="98" t="s">
        <v>127</v>
      </c>
      <c r="B7" s="98"/>
      <c r="G7" s="161" t="s">
        <v>63</v>
      </c>
      <c r="I7" s="99">
        <f>IF(ISBLANK(Assumptions!K94), H7,Assumptions!K94*thous_conv)</f>
        <v>24.730486797759085</v>
      </c>
      <c r="J7" s="99">
        <f>IF(ISBLANK(Assumptions!L94), I7,Assumptions!L94*thous_conv)</f>
        <v>22.340740091772258</v>
      </c>
      <c r="K7" s="99">
        <f>IF(ISBLANK(Assumptions!M94), J7,Assumptions!M94*thous_conv)</f>
        <v>20.196329122153124</v>
      </c>
      <c r="L7" s="99">
        <f>IF(ISBLANK(Assumptions!N94), K7,Assumptions!N94*thous_conv)</f>
        <v>18.06294207659629</v>
      </c>
      <c r="M7" s="99">
        <f>IF(ISBLANK(Assumptions!O94), L7,Assumptions!O94*thous_conv)</f>
        <v>15.913397615084225</v>
      </c>
      <c r="N7" s="99">
        <f>IF(ISBLANK(Assumptions!P94), M7,Assumptions!P94*thous_conv)</f>
        <v>13.715069432539002</v>
      </c>
      <c r="O7" s="99">
        <f>IF(ISBLANK(Assumptions!Q94), N7,Assumptions!Q94*thous_conv)</f>
        <v>13.715069432539002</v>
      </c>
      <c r="P7" s="99">
        <f>IF(ISBLANK(Assumptions!R94), O7,Assumptions!R94*thous_conv)</f>
        <v>13.715069432539002</v>
      </c>
      <c r="Q7" s="99">
        <f>IF(ISBLANK(Assumptions!S94), P7,Assumptions!S94*thous_conv)</f>
        <v>13.715069432539002</v>
      </c>
      <c r="R7" s="99">
        <f>IF(ISBLANK(Assumptions!T94), Q7,Assumptions!T94*thous_conv)</f>
        <v>13.715069432539002</v>
      </c>
      <c r="S7" s="99">
        <f>IF(ISBLANK(Assumptions!U94), R7,Assumptions!U94*thous_conv)</f>
        <v>13.715069432539002</v>
      </c>
      <c r="T7" s="99">
        <f>IF(ISBLANK(Assumptions!V94), S7,Assumptions!V94*thous_conv)</f>
        <v>13.715069432539002</v>
      </c>
      <c r="U7" s="99">
        <f>IF(ISBLANK(Assumptions!W94), T7,Assumptions!W94*thous_conv)</f>
        <v>13.715069432539002</v>
      </c>
      <c r="V7" s="99">
        <f>IF(ISBLANK(Assumptions!X94), U7,Assumptions!X94*thous_conv)</f>
        <v>13.715069432539002</v>
      </c>
      <c r="W7" s="99">
        <f>IF(ISBLANK(Assumptions!Y94), V7,Assumptions!Y94*thous_conv)</f>
        <v>13.715069432539002</v>
      </c>
      <c r="X7" s="99">
        <f>IF(ISBLANK(Assumptions!Z94), W7,Assumptions!Z94*thous_conv)</f>
        <v>13.715069432539002</v>
      </c>
      <c r="Y7" s="99">
        <f>IF(ISBLANK(Assumptions!AA94), X7,Assumptions!AA94*thous_conv)</f>
        <v>13.715069432539002</v>
      </c>
      <c r="Z7" s="99">
        <f>IF(ISBLANK(Assumptions!AB94), Y7,Assumptions!AB94*thous_conv)</f>
        <v>13.715069432539002</v>
      </c>
      <c r="AA7" s="99">
        <f>IF(ISBLANK(Assumptions!AC94), Z7,Assumptions!AC94*thous_conv)</f>
        <v>13.715069432539002</v>
      </c>
      <c r="AB7" s="99">
        <f>IF(ISBLANK(Assumptions!AD94), AA7,Assumptions!AD94*thous_conv)</f>
        <v>13.715069432539002</v>
      </c>
      <c r="AC7" s="99">
        <f>IF(ISBLANK(Assumptions!AE94), AB7,Assumptions!AE94*thous_conv)</f>
        <v>13.715069432539002</v>
      </c>
      <c r="AD7" s="99">
        <f>IF(ISBLANK(Assumptions!AF94), AC7,Assumptions!AF94*thous_conv)</f>
        <v>13.715069432539002</v>
      </c>
      <c r="AE7" s="99">
        <f>IF(ISBLANK(Assumptions!AG94), AD7,Assumptions!AG94*thous_conv)</f>
        <v>13.715069432539002</v>
      </c>
      <c r="AF7" s="99">
        <f>IF(ISBLANK(Assumptions!AH94), AE7,Assumptions!AH94*thous_conv)</f>
        <v>13.715069432539002</v>
      </c>
      <c r="AG7" s="99">
        <f>IF(ISBLANK(Assumptions!AI94), AF7,Assumptions!AI94*thous_conv)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2"/>
      <c r="B9" s="182"/>
      <c r="C9" s="182"/>
      <c r="D9" s="182"/>
      <c r="E9" s="182"/>
      <c r="F9" s="183"/>
      <c r="G9" s="182" t="s">
        <v>25</v>
      </c>
      <c r="H9" s="361">
        <f>DATE(LEFT(I9,4), 6,30)</f>
        <v>46203</v>
      </c>
      <c r="I9" s="184" t="str">
        <f>start</f>
        <v>2026-27</v>
      </c>
      <c r="J9" s="184" t="str">
        <f t="shared" ref="J9:AG9" si="1">LEFT(I9,4)+1&amp;"-"&amp;RIGHT(I9,2)+1</f>
        <v>2027-28</v>
      </c>
      <c r="K9" s="184" t="str">
        <f t="shared" si="1"/>
        <v>2028-29</v>
      </c>
      <c r="L9" s="184" t="str">
        <f t="shared" si="1"/>
        <v>2029-30</v>
      </c>
      <c r="M9" s="184" t="str">
        <f t="shared" si="1"/>
        <v>2030-31</v>
      </c>
      <c r="N9" s="184" t="str">
        <f t="shared" si="1"/>
        <v>2031-32</v>
      </c>
      <c r="O9" s="184" t="str">
        <f t="shared" si="1"/>
        <v>2032-33</v>
      </c>
      <c r="P9" s="184" t="str">
        <f t="shared" si="1"/>
        <v>2033-34</v>
      </c>
      <c r="Q9" s="184" t="str">
        <f t="shared" si="1"/>
        <v>2034-35</v>
      </c>
      <c r="R9" s="184" t="str">
        <f t="shared" si="1"/>
        <v>2035-36</v>
      </c>
      <c r="S9" s="184" t="str">
        <f t="shared" si="1"/>
        <v>2036-37</v>
      </c>
      <c r="T9" s="184" t="str">
        <f t="shared" si="1"/>
        <v>2037-38</v>
      </c>
      <c r="U9" s="184" t="str">
        <f t="shared" si="1"/>
        <v>2038-39</v>
      </c>
      <c r="V9" s="184" t="str">
        <f t="shared" si="1"/>
        <v>2039-40</v>
      </c>
      <c r="W9" s="184" t="str">
        <f t="shared" si="1"/>
        <v>2040-41</v>
      </c>
      <c r="X9" s="184" t="str">
        <f t="shared" si="1"/>
        <v>2041-42</v>
      </c>
      <c r="Y9" s="184" t="str">
        <f t="shared" si="1"/>
        <v>2042-43</v>
      </c>
      <c r="Z9" s="184" t="str">
        <f t="shared" si="1"/>
        <v>2043-44</v>
      </c>
      <c r="AA9" s="184" t="str">
        <f t="shared" si="1"/>
        <v>2044-45</v>
      </c>
      <c r="AB9" s="184" t="str">
        <f t="shared" si="1"/>
        <v>2045-46</v>
      </c>
      <c r="AC9" s="184" t="str">
        <f t="shared" si="1"/>
        <v>2046-47</v>
      </c>
      <c r="AD9" s="184" t="str">
        <f t="shared" si="1"/>
        <v>2047-48</v>
      </c>
      <c r="AE9" s="184" t="str">
        <f t="shared" si="1"/>
        <v>2048-49</v>
      </c>
      <c r="AF9" s="184" t="str">
        <f t="shared" si="1"/>
        <v>2049-50</v>
      </c>
      <c r="AG9" s="184" t="str">
        <f t="shared" si="1"/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5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43" x14ac:dyDescent="0.2">
      <c r="A12" s="3"/>
      <c r="B12" s="3"/>
      <c r="C12" s="3"/>
      <c r="D12" s="3"/>
      <c r="G12" s="206"/>
    </row>
    <row r="13" spans="1:43" x14ac:dyDescent="0.2">
      <c r="C13" s="3" t="s">
        <v>17</v>
      </c>
      <c r="D13"/>
      <c r="E13" s="126" t="s">
        <v>69</v>
      </c>
      <c r="G13" s="20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57</v>
      </c>
      <c r="D14"/>
      <c r="E14" s="149">
        <v>0</v>
      </c>
      <c r="G14" s="208">
        <f>input_dollars</f>
        <v>45291</v>
      </c>
      <c r="H14" s="2"/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57</v>
      </c>
      <c r="D15"/>
      <c r="E15" s="149">
        <v>0</v>
      </c>
      <c r="G15" s="208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 t="s">
        <v>57</v>
      </c>
      <c r="D16"/>
      <c r="E16" s="149">
        <v>0</v>
      </c>
      <c r="G16" s="208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8">
        <f>input_dollars</f>
        <v>45291</v>
      </c>
      <c r="H17" s="107"/>
      <c r="I17" s="106">
        <f t="shared" ref="I17:AB17" si="2">SUM(I14:I16)</f>
        <v>0</v>
      </c>
      <c r="J17" s="106">
        <f t="shared" si="2"/>
        <v>0</v>
      </c>
      <c r="K17" s="106">
        <f t="shared" si="2"/>
        <v>0</v>
      </c>
      <c r="L17" s="106">
        <f t="shared" si="2"/>
        <v>0</v>
      </c>
      <c r="M17" s="106">
        <f t="shared" si="2"/>
        <v>0</v>
      </c>
      <c r="N17" s="106">
        <f t="shared" si="2"/>
        <v>0</v>
      </c>
      <c r="O17" s="106">
        <f t="shared" si="2"/>
        <v>0</v>
      </c>
      <c r="P17" s="106">
        <f t="shared" si="2"/>
        <v>0</v>
      </c>
      <c r="Q17" s="106">
        <f t="shared" si="2"/>
        <v>0</v>
      </c>
      <c r="R17" s="106">
        <f t="shared" si="2"/>
        <v>0</v>
      </c>
      <c r="S17" s="106">
        <f t="shared" si="2"/>
        <v>0</v>
      </c>
      <c r="T17" s="106">
        <f t="shared" si="2"/>
        <v>0</v>
      </c>
      <c r="U17" s="106">
        <f t="shared" si="2"/>
        <v>0</v>
      </c>
      <c r="V17" s="106">
        <f t="shared" si="2"/>
        <v>0</v>
      </c>
      <c r="W17" s="106">
        <f t="shared" si="2"/>
        <v>0</v>
      </c>
      <c r="X17" s="106">
        <f t="shared" si="2"/>
        <v>0</v>
      </c>
      <c r="Y17" s="106">
        <f t="shared" si="2"/>
        <v>0</v>
      </c>
      <c r="Z17" s="106">
        <f t="shared" si="2"/>
        <v>0</v>
      </c>
      <c r="AA17" s="106">
        <f t="shared" si="2"/>
        <v>0</v>
      </c>
      <c r="AB17" s="106">
        <f t="shared" si="2"/>
        <v>0</v>
      </c>
      <c r="AC17" s="106">
        <f>SUM(AC14:AC16)</f>
        <v>0</v>
      </c>
      <c r="AD17" s="106">
        <f>SUM(AD14:AD16)</f>
        <v>0</v>
      </c>
      <c r="AE17" s="106">
        <f>SUM(AE14:AE16)</f>
        <v>0</v>
      </c>
      <c r="AF17" s="106">
        <f>SUM(AF14:AF16)</f>
        <v>0</v>
      </c>
      <c r="AG17" s="106">
        <f>SUM(AG14:AG16)</f>
        <v>0</v>
      </c>
    </row>
    <row r="18" spans="1:43" x14ac:dyDescent="0.2">
      <c r="C18"/>
      <c r="D18"/>
      <c r="E18"/>
      <c r="G18" s="20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8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</row>
    <row r="20" spans="1:43" x14ac:dyDescent="0.2">
      <c r="G20" s="206"/>
    </row>
    <row r="21" spans="1:43" x14ac:dyDescent="0.2">
      <c r="C21"/>
      <c r="D21"/>
      <c r="E21"/>
      <c r="G21" s="20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154</v>
      </c>
      <c r="B22" s="89"/>
      <c r="C22" s="89"/>
      <c r="D22" s="89"/>
      <c r="E22" s="89"/>
      <c r="F22" s="89"/>
      <c r="G22" s="205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9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155</v>
      </c>
      <c r="D24" s="111"/>
      <c r="E24" s="111"/>
      <c r="F24" s="111"/>
      <c r="G24" s="209"/>
      <c r="H24" s="111"/>
      <c r="I24" s="137">
        <v>0</v>
      </c>
      <c r="J24" s="137">
        <v>0</v>
      </c>
      <c r="K24" s="137">
        <v>0</v>
      </c>
      <c r="L24" s="137">
        <v>0</v>
      </c>
      <c r="M24" s="137">
        <v>0</v>
      </c>
      <c r="N24" s="137">
        <v>0</v>
      </c>
      <c r="O24" s="137">
        <v>0</v>
      </c>
      <c r="P24" s="137">
        <v>0</v>
      </c>
      <c r="Q24" s="137">
        <v>0</v>
      </c>
      <c r="R24" s="137">
        <v>0</v>
      </c>
      <c r="S24" s="137">
        <v>0</v>
      </c>
      <c r="T24" s="137">
        <v>0</v>
      </c>
      <c r="U24" s="137">
        <v>0</v>
      </c>
      <c r="V24" s="137">
        <v>0</v>
      </c>
      <c r="W24" s="137">
        <v>0</v>
      </c>
      <c r="X24" s="137">
        <v>0</v>
      </c>
      <c r="Y24" s="137">
        <v>0</v>
      </c>
      <c r="Z24" s="137">
        <v>0</v>
      </c>
      <c r="AA24" s="137">
        <v>0</v>
      </c>
      <c r="AB24" s="137">
        <v>0</v>
      </c>
      <c r="AC24" s="137">
        <v>0</v>
      </c>
      <c r="AD24" s="137">
        <v>0</v>
      </c>
      <c r="AE24" s="137">
        <v>0</v>
      </c>
      <c r="AF24" s="137">
        <v>0</v>
      </c>
      <c r="AG24" s="137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156</v>
      </c>
      <c r="D25" s="209"/>
      <c r="E25" s="111"/>
      <c r="F25" s="111"/>
      <c r="G25" s="209"/>
      <c r="H25" s="111"/>
      <c r="I25" s="137">
        <v>0</v>
      </c>
      <c r="J25" s="137">
        <v>0</v>
      </c>
      <c r="K25" s="137">
        <v>0</v>
      </c>
      <c r="L25" s="137">
        <v>0</v>
      </c>
      <c r="M25" s="137">
        <v>0</v>
      </c>
      <c r="N25" s="137">
        <v>0</v>
      </c>
      <c r="O25" s="137">
        <v>0</v>
      </c>
      <c r="P25" s="137">
        <v>0</v>
      </c>
      <c r="Q25" s="137">
        <v>0</v>
      </c>
      <c r="R25" s="137">
        <v>0</v>
      </c>
      <c r="S25" s="137">
        <v>0</v>
      </c>
      <c r="T25" s="137">
        <v>0</v>
      </c>
      <c r="U25" s="137">
        <v>0</v>
      </c>
      <c r="V25" s="137">
        <v>0</v>
      </c>
      <c r="W25" s="137">
        <v>0</v>
      </c>
      <c r="X25" s="137">
        <v>0</v>
      </c>
      <c r="Y25" s="137">
        <v>0</v>
      </c>
      <c r="Z25" s="137">
        <v>0</v>
      </c>
      <c r="AA25" s="137">
        <v>0</v>
      </c>
      <c r="AB25" s="137">
        <v>0</v>
      </c>
      <c r="AC25" s="137">
        <v>0</v>
      </c>
      <c r="AD25" s="137">
        <v>0</v>
      </c>
      <c r="AE25" s="137">
        <v>0</v>
      </c>
      <c r="AF25" s="137">
        <v>0</v>
      </c>
      <c r="AG25" s="137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9"/>
      <c r="E26" s="111"/>
      <c r="F26" s="111"/>
      <c r="G26" s="209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6"/>
      <c r="E27"/>
      <c r="G27" s="208" t="s">
        <v>40</v>
      </c>
      <c r="H27"/>
      <c r="I27" s="169">
        <f>SUM(Workings_risks!$F$19*Workings_risks!I27,Workings_risks!I26*Workings_risks!$F$18)*Workings_risks!$F$13*Workings_risks!I8</f>
        <v>6.6347470270849405</v>
      </c>
      <c r="J27" s="169">
        <f>SUM(Workings_risks!$F$19*Workings_risks!J27,Workings_risks!J26*Workings_risks!$F$18)*Workings_risks!$F$13*Workings_risks!J8</f>
        <v>6.656893687446134</v>
      </c>
      <c r="K27" s="169">
        <f>SUM(Workings_risks!$F$19*Workings_risks!K27,Workings_risks!K26*Workings_risks!$F$18)*Workings_risks!$F$13*Workings_risks!K8</f>
        <v>6.7304290182046191</v>
      </c>
      <c r="L27" s="169">
        <f>SUM(Workings_risks!$F$19*Workings_risks!L27,Workings_risks!L26*Workings_risks!$F$18)*Workings_risks!$F$13*Workings_risks!L8</f>
        <v>6.7930014945947468</v>
      </c>
      <c r="M27" s="169">
        <f>SUM(Workings_risks!$F$19*Workings_risks!M27,Workings_risks!M26*Workings_risks!$F$18)*Workings_risks!$F$13*Workings_risks!M8</f>
        <v>6.7899622652823917</v>
      </c>
      <c r="N27" s="169">
        <f>SUM(Workings_risks!$F$19*Workings_risks!N27,Workings_risks!N26*Workings_risks!$F$18)*Workings_risks!$F$13*Workings_risks!N8</f>
        <v>6.8784695371706173</v>
      </c>
      <c r="O27" s="169">
        <f>SUM(Workings_risks!$F$19*Workings_risks!O27,Workings_risks!O26*Workings_risks!$F$18)*Workings_risks!$F$13*Workings_risks!O8</f>
        <v>7.0357497585042097</v>
      </c>
      <c r="P27" s="169">
        <f>SUM(Workings_risks!$F$19*Workings_risks!P27,Workings_risks!P26*Workings_risks!$F$18)*Workings_risks!$F$13*Workings_risks!P8</f>
        <v>7.2077940523996951</v>
      </c>
      <c r="Q27" s="169">
        <f>SUM(Workings_risks!$F$19*Workings_risks!Q27,Workings_risks!Q26*Workings_risks!$F$18)*Workings_risks!$F$13*Workings_risks!Q8</f>
        <v>7.3146535628017268</v>
      </c>
      <c r="R27" s="169">
        <f>SUM(Workings_risks!$F$19*Workings_risks!R27,Workings_risks!R26*Workings_risks!$F$18)*Workings_risks!$F$13*Workings_risks!R8</f>
        <v>7.3487789412311821</v>
      </c>
      <c r="S27" s="169">
        <f>SUM(Workings_risks!$F$19*Workings_risks!S27,Workings_risks!S26*Workings_risks!$F$18)*Workings_risks!$F$13*Workings_risks!S8</f>
        <v>7.3829043196606525</v>
      </c>
      <c r="T27" s="169">
        <f>SUM(Workings_risks!$F$19*Workings_risks!T27,Workings_risks!T26*Workings_risks!$F$18)*Workings_risks!$F$13*Workings_risks!T8</f>
        <v>7.4170296980901087</v>
      </c>
      <c r="U27" s="169">
        <f>SUM(Workings_risks!$F$19*Workings_risks!U27,Workings_risks!U26*Workings_risks!$F$18)*Workings_risks!$F$13*Workings_risks!U8</f>
        <v>7.4511550765195631</v>
      </c>
      <c r="V27" s="169">
        <f>SUM(Workings_risks!$F$19*Workings_risks!V27,Workings_risks!V26*Workings_risks!$F$18)*Workings_risks!$F$13*Workings_risks!V8</f>
        <v>7.4852804549490335</v>
      </c>
      <c r="W27" s="169">
        <f>SUM(Workings_risks!$F$19*Workings_risks!W27,Workings_risks!W26*Workings_risks!$F$18)*Workings_risks!$F$13*Workings_risks!W8</f>
        <v>7.5194058333784897</v>
      </c>
      <c r="X27" s="169">
        <f>SUM(Workings_risks!$F$19*Workings_risks!X27,Workings_risks!X26*Workings_risks!$F$18)*Workings_risks!$F$13*Workings_risks!X8</f>
        <v>7.553531211807945</v>
      </c>
      <c r="Y27" s="169">
        <f>SUM(Workings_risks!$F$19*Workings_risks!Y27,Workings_risks!Y26*Workings_risks!$F$18)*Workings_risks!$F$13*Workings_risks!Y8</f>
        <v>7.5876565902374145</v>
      </c>
      <c r="Z27" s="169">
        <f>SUM(Workings_risks!$F$19*Workings_risks!Z27,Workings_risks!Z26*Workings_risks!$F$18)*Workings_risks!$F$13*Workings_risks!Z8</f>
        <v>7.6217819686668715</v>
      </c>
      <c r="AA27" s="169">
        <f>SUM(Workings_risks!$F$19*Workings_risks!AA27,Workings_risks!AA26*Workings_risks!$F$18)*Workings_risks!$F$13*Workings_risks!AA8</f>
        <v>7.655907347096341</v>
      </c>
      <c r="AB27" s="169">
        <f>SUM(Workings_risks!$F$19*Workings_risks!AB27,Workings_risks!AB26*Workings_risks!$F$18)*Workings_risks!$F$13*Workings_risks!AB8</f>
        <v>7.6900327255257954</v>
      </c>
      <c r="AC27" s="169">
        <f>SUM(Workings_risks!$F$19*Workings_risks!AC27,Workings_risks!AC26*Workings_risks!$F$18)*Workings_risks!$F$13*Workings_risks!AC8</f>
        <v>7.7241581039552525</v>
      </c>
      <c r="AD27" s="169">
        <f>SUM(Workings_risks!$F$19*Workings_risks!AD27,Workings_risks!AD26*Workings_risks!$F$18)*Workings_risks!$F$13*Workings_risks!AD8</f>
        <v>7.758283482384722</v>
      </c>
      <c r="AE27" s="169">
        <f>SUM(Workings_risks!$F$19*Workings_risks!AE27,Workings_risks!AE26*Workings_risks!$F$18)*Workings_risks!$F$13*Workings_risks!AE8</f>
        <v>7.7924088608141773</v>
      </c>
      <c r="AF27" s="169">
        <f>SUM(Workings_risks!$F$19*Workings_risks!AF27,Workings_risks!AF26*Workings_risks!$F$18)*Workings_risks!$F$13*Workings_risks!AF8</f>
        <v>7.8265342392436352</v>
      </c>
      <c r="AG27" s="169">
        <f>SUM(Workings_risks!$F$19*Workings_risks!AG27,Workings_risks!AG26*Workings_risks!$F$18)*Workings_risks!$F$13*Workings_risks!AG8</f>
        <v>7.8606596176731038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6" t="s">
        <v>63</v>
      </c>
      <c r="E28" s="113">
        <f>Assumptions!H41*vcr_esc</f>
        <v>44906.183515166558</v>
      </c>
      <c r="F28" s="239" t="str">
        <f>IF(AND(SUM(I27:AG27)&lt;&gt;0, E28=0), "!", "")</f>
        <v/>
      </c>
      <c r="G28" s="208">
        <f>input_dollars</f>
        <v>45291</v>
      </c>
      <c r="H28"/>
      <c r="I28" s="298">
        <f>I27*$E$28</f>
        <v>297941.1675749821</v>
      </c>
      <c r="J28" s="298">
        <f t="shared" ref="J28:AG28" si="3">J27*$E$28</f>
        <v>298935.68956940988</v>
      </c>
      <c r="K28" s="298">
        <f t="shared" si="3"/>
        <v>302237.8806272989</v>
      </c>
      <c r="L28" s="298">
        <f t="shared" si="3"/>
        <v>305047.77173507243</v>
      </c>
      <c r="M28" s="298">
        <f t="shared" si="3"/>
        <v>304911.29154582712</v>
      </c>
      <c r="N28" s="298">
        <f t="shared" si="3"/>
        <v>308885.8153396665</v>
      </c>
      <c r="O28" s="298">
        <f t="shared" si="3"/>
        <v>315948.66982217884</v>
      </c>
      <c r="P28" s="298">
        <f t="shared" si="3"/>
        <v>323674.52245658677</v>
      </c>
      <c r="Q28" s="298">
        <f t="shared" si="3"/>
        <v>328473.17524104123</v>
      </c>
      <c r="R28" s="298">
        <f t="shared" si="3"/>
        <v>330005.61574731884</v>
      </c>
      <c r="S28" s="298">
        <f t="shared" si="3"/>
        <v>331538.05625359714</v>
      </c>
      <c r="T28" s="298">
        <f t="shared" si="3"/>
        <v>333070.49675987486</v>
      </c>
      <c r="U28" s="298">
        <f t="shared" si="3"/>
        <v>334602.93726615241</v>
      </c>
      <c r="V28" s="298">
        <f t="shared" si="3"/>
        <v>336135.37777243071</v>
      </c>
      <c r="W28" s="298">
        <f t="shared" si="3"/>
        <v>337667.81827870838</v>
      </c>
      <c r="X28" s="298">
        <f t="shared" si="3"/>
        <v>339200.25878498598</v>
      </c>
      <c r="Y28" s="298">
        <f t="shared" si="3"/>
        <v>340732.69929126429</v>
      </c>
      <c r="Z28" s="298">
        <f t="shared" si="3"/>
        <v>342265.13979754201</v>
      </c>
      <c r="AA28" s="298">
        <f t="shared" si="3"/>
        <v>343797.58030382026</v>
      </c>
      <c r="AB28" s="298">
        <f t="shared" si="3"/>
        <v>345330.02081009781</v>
      </c>
      <c r="AC28" s="298">
        <f t="shared" si="3"/>
        <v>346862.46131637553</v>
      </c>
      <c r="AD28" s="298">
        <f t="shared" si="3"/>
        <v>348394.90182265377</v>
      </c>
      <c r="AE28" s="298">
        <f t="shared" si="3"/>
        <v>349927.34232893144</v>
      </c>
      <c r="AF28" s="298">
        <f t="shared" si="3"/>
        <v>351459.78283520916</v>
      </c>
      <c r="AG28" s="298">
        <f t="shared" si="3"/>
        <v>352992.22334148741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7"/>
      <c r="E29"/>
      <c r="G29" s="20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6" t="s">
        <v>210</v>
      </c>
      <c r="G30" s="208">
        <f>input_dollars</f>
        <v>45291</v>
      </c>
      <c r="H30" s="150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7"/>
      <c r="E31"/>
      <c r="G31" s="208">
        <f>input_dollars</f>
        <v>45291</v>
      </c>
      <c r="H31" s="150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6" t="s">
        <v>210</v>
      </c>
      <c r="E32"/>
      <c r="G32" s="208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5" t="s">
        <v>177</v>
      </c>
      <c r="D33" s="220"/>
      <c r="E33"/>
      <c r="G33" s="208">
        <f>input_dollars</f>
        <v>45291</v>
      </c>
      <c r="H33"/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32">
        <v>0</v>
      </c>
      <c r="S33" s="32">
        <v>0</v>
      </c>
      <c r="T33" s="32">
        <v>0</v>
      </c>
      <c r="U33" s="32">
        <v>0</v>
      </c>
      <c r="V33" s="32">
        <v>0</v>
      </c>
      <c r="W33" s="32">
        <v>0</v>
      </c>
      <c r="X33" s="32">
        <v>0</v>
      </c>
      <c r="Y33" s="32">
        <v>0</v>
      </c>
      <c r="Z33" s="32">
        <v>0</v>
      </c>
      <c r="AA33" s="32">
        <v>0</v>
      </c>
      <c r="AB33" s="32">
        <v>0</v>
      </c>
      <c r="AC33" s="32">
        <v>0</v>
      </c>
      <c r="AD33" s="32">
        <v>0</v>
      </c>
      <c r="AE33" s="32">
        <v>0</v>
      </c>
      <c r="AF33" s="32">
        <v>0</v>
      </c>
      <c r="AG33" s="32"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5" t="s">
        <v>177</v>
      </c>
      <c r="D34" s="207"/>
      <c r="E34"/>
      <c r="G34" s="208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7"/>
      <c r="E35"/>
      <c r="G35" s="20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176</v>
      </c>
      <c r="D36" s="219"/>
      <c r="E36" s="107"/>
      <c r="F36" s="3"/>
      <c r="G36" s="210"/>
      <c r="H36" s="107"/>
      <c r="I36" s="106">
        <f>SUM(I28:I34)</f>
        <v>297941.1675749821</v>
      </c>
      <c r="J36" s="106">
        <f t="shared" ref="J36:AB36" si="4">SUM(J28:J34)</f>
        <v>298935.68956940988</v>
      </c>
      <c r="K36" s="106">
        <f t="shared" si="4"/>
        <v>302237.8806272989</v>
      </c>
      <c r="L36" s="106">
        <f t="shared" si="4"/>
        <v>305047.77173507243</v>
      </c>
      <c r="M36" s="106">
        <f t="shared" si="4"/>
        <v>304911.29154582712</v>
      </c>
      <c r="N36" s="106">
        <f t="shared" si="4"/>
        <v>308885.8153396665</v>
      </c>
      <c r="O36" s="106">
        <f t="shared" si="4"/>
        <v>315948.66982217884</v>
      </c>
      <c r="P36" s="106">
        <f t="shared" si="4"/>
        <v>323674.52245658677</v>
      </c>
      <c r="Q36" s="106">
        <f t="shared" si="4"/>
        <v>328473.17524104123</v>
      </c>
      <c r="R36" s="106">
        <f t="shared" si="4"/>
        <v>330005.61574731884</v>
      </c>
      <c r="S36" s="106">
        <f t="shared" si="4"/>
        <v>331538.05625359714</v>
      </c>
      <c r="T36" s="106">
        <f t="shared" si="4"/>
        <v>333070.49675987486</v>
      </c>
      <c r="U36" s="106">
        <f t="shared" si="4"/>
        <v>334602.93726615241</v>
      </c>
      <c r="V36" s="106">
        <f t="shared" si="4"/>
        <v>336135.37777243071</v>
      </c>
      <c r="W36" s="106">
        <f t="shared" si="4"/>
        <v>337667.81827870838</v>
      </c>
      <c r="X36" s="106">
        <f t="shared" si="4"/>
        <v>339200.25878498598</v>
      </c>
      <c r="Y36" s="106">
        <f t="shared" si="4"/>
        <v>340732.69929126429</v>
      </c>
      <c r="Z36" s="106">
        <f t="shared" si="4"/>
        <v>342265.13979754201</v>
      </c>
      <c r="AA36" s="106">
        <f t="shared" si="4"/>
        <v>343797.58030382026</v>
      </c>
      <c r="AB36" s="106">
        <f t="shared" si="4"/>
        <v>345330.02081009781</v>
      </c>
      <c r="AC36" s="106">
        <f>SUM(AC28:AC34)</f>
        <v>346862.46131637553</v>
      </c>
      <c r="AD36" s="106">
        <f>SUM(AD28:AD34)</f>
        <v>348394.90182265377</v>
      </c>
      <c r="AE36" s="106">
        <f>SUM(AE28:AE34)</f>
        <v>349927.34232893144</v>
      </c>
      <c r="AF36" s="106">
        <f>SUM(AF28:AF34)</f>
        <v>351459.78283520916</v>
      </c>
      <c r="AG36" s="106">
        <f>SUM(AG28:AG34)</f>
        <v>352992.22334148741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8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5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8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8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6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6" t="s">
        <v>104</v>
      </c>
      <c r="I42" s="31">
        <f t="shared" ref="I42:AG42" si="5">I41*I7</f>
        <v>0</v>
      </c>
      <c r="J42" s="31">
        <f t="shared" si="5"/>
        <v>0</v>
      </c>
      <c r="K42" s="31">
        <f t="shared" si="5"/>
        <v>0</v>
      </c>
      <c r="L42" s="31">
        <f t="shared" si="5"/>
        <v>0</v>
      </c>
      <c r="M42" s="31">
        <f t="shared" si="5"/>
        <v>0</v>
      </c>
      <c r="N42" s="31">
        <f t="shared" si="5"/>
        <v>0</v>
      </c>
      <c r="O42" s="31">
        <f t="shared" si="5"/>
        <v>0</v>
      </c>
      <c r="P42" s="31">
        <f t="shared" si="5"/>
        <v>0</v>
      </c>
      <c r="Q42" s="31">
        <f t="shared" si="5"/>
        <v>0</v>
      </c>
      <c r="R42" s="31">
        <f t="shared" si="5"/>
        <v>0</v>
      </c>
      <c r="S42" s="31">
        <f t="shared" si="5"/>
        <v>0</v>
      </c>
      <c r="T42" s="31">
        <f t="shared" si="5"/>
        <v>0</v>
      </c>
      <c r="U42" s="31">
        <f t="shared" si="5"/>
        <v>0</v>
      </c>
      <c r="V42" s="31">
        <f t="shared" si="5"/>
        <v>0</v>
      </c>
      <c r="W42" s="31">
        <f t="shared" si="5"/>
        <v>0</v>
      </c>
      <c r="X42" s="31">
        <f t="shared" si="5"/>
        <v>0</v>
      </c>
      <c r="Y42" s="31">
        <f t="shared" si="5"/>
        <v>0</v>
      </c>
      <c r="Z42" s="31">
        <f t="shared" si="5"/>
        <v>0</v>
      </c>
      <c r="AA42" s="31">
        <f t="shared" si="5"/>
        <v>0</v>
      </c>
      <c r="AB42" s="31">
        <f t="shared" si="5"/>
        <v>0</v>
      </c>
      <c r="AC42" s="31">
        <f t="shared" si="5"/>
        <v>0</v>
      </c>
      <c r="AD42" s="31">
        <f t="shared" si="5"/>
        <v>0</v>
      </c>
      <c r="AE42" s="31">
        <f t="shared" si="5"/>
        <v>0</v>
      </c>
      <c r="AF42" s="31">
        <f t="shared" si="5"/>
        <v>0</v>
      </c>
      <c r="AG42" s="31">
        <f t="shared" si="5"/>
        <v>0</v>
      </c>
    </row>
    <row r="43" spans="1:16372" x14ac:dyDescent="0.2">
      <c r="D43"/>
      <c r="E43"/>
      <c r="G43" s="208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7"/>
      <c r="E44"/>
      <c r="G44" s="208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418</v>
      </c>
      <c r="D45" s="206" t="s">
        <v>63</v>
      </c>
      <c r="E45" s="113">
        <f>Assumptions!G98-Assumptions!H41</f>
        <v>22593.816484833442</v>
      </c>
      <c r="G45" s="208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">
        <v>419</v>
      </c>
      <c r="D46" s="206" t="s">
        <v>63</v>
      </c>
      <c r="E46" s="113">
        <f>Assumptions!H43</f>
        <v>25520</v>
      </c>
      <c r="G46" s="208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">
        <v>420</v>
      </c>
      <c r="D47" s="206" t="s">
        <v>63</v>
      </c>
      <c r="E47" s="113">
        <f>Assumptions!H44</f>
        <v>52200</v>
      </c>
      <c r="G47" s="208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">
        <v>421</v>
      </c>
      <c r="D48" s="206" t="s">
        <v>126</v>
      </c>
      <c r="E48" s="113">
        <f>Assumptions!H45</f>
        <v>74790</v>
      </c>
      <c r="G48" s="208" t="s">
        <v>207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">
        <v>422</v>
      </c>
      <c r="D49" s="206" t="s">
        <v>208</v>
      </c>
      <c r="E49" s="113">
        <f>Assumptions!H46</f>
        <v>44400</v>
      </c>
      <c r="G49" s="208" t="s">
        <v>209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">
        <v>423</v>
      </c>
      <c r="D50" s="206" t="s">
        <v>208</v>
      </c>
      <c r="E50" s="113">
        <f>Assumptions!H47</f>
        <v>52200</v>
      </c>
      <c r="G50" s="208" t="s">
        <v>209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D51" s="206"/>
      <c r="E51" s="112">
        <f>Assumptions!G104</f>
        <v>0</v>
      </c>
      <c r="G51" s="208"/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D52" s="206"/>
      <c r="E52" s="112">
        <f>Assumptions!G105</f>
        <v>0</v>
      </c>
      <c r="G52" s="208"/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6"/>
      <c r="G53" s="208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6"/>
      <c r="G54" s="208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6"/>
      <c r="G55" s="208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6"/>
      <c r="G56" s="206"/>
    </row>
    <row r="57" spans="1:43" x14ac:dyDescent="0.2">
      <c r="C57" s="3" t="s">
        <v>125</v>
      </c>
      <c r="D57" s="219"/>
      <c r="E57" s="107"/>
      <c r="F57" s="3"/>
      <c r="G57" s="211">
        <f>input_dollars</f>
        <v>45291</v>
      </c>
      <c r="H57" s="107"/>
      <c r="I57" s="106" cm="1">
        <f t="array" ref="I57">SUMPRODUCT((I$45:I$52)*($E$45:$E$52))+SUM(I54:I55)+I42</f>
        <v>0</v>
      </c>
      <c r="J57" s="106" cm="1">
        <f t="array" ref="J57">SUMPRODUCT((J$45:J$52)*($E$45:$E$52))+SUM(J54:J55)+J42</f>
        <v>0</v>
      </c>
      <c r="K57" s="106" cm="1">
        <f t="array" ref="K57">SUMPRODUCT((K$45:K$52)*($E$45:$E$52))+SUM(K54:K55)+K42</f>
        <v>0</v>
      </c>
      <c r="L57" s="106" cm="1">
        <f t="array" ref="L57">SUMPRODUCT((L$45:L$52)*($E$45:$E$52))+SUM(L54:L55)+L42</f>
        <v>0</v>
      </c>
      <c r="M57" s="106" cm="1">
        <f t="array" ref="M57">SUMPRODUCT((M$45:M$52)*($E$45:$E$52))+SUM(M54:M55)+M42</f>
        <v>0</v>
      </c>
      <c r="N57" s="106" cm="1">
        <f t="array" ref="N57">SUMPRODUCT((N$45:N$52)*($E$45:$E$52))+SUM(N54:N55)+N42</f>
        <v>0</v>
      </c>
      <c r="O57" s="106" cm="1">
        <f t="array" ref="O57">SUMPRODUCT((O$45:O$52)*($E$45:$E$52))+SUM(O54:O55)+O42</f>
        <v>0</v>
      </c>
      <c r="P57" s="106" cm="1">
        <f t="array" ref="P57">SUMPRODUCT((P$45:P$52)*($E$45:$E$52))+SUM(P54:P55)+P42</f>
        <v>0</v>
      </c>
      <c r="Q57" s="106" cm="1">
        <f t="array" ref="Q57">SUMPRODUCT((Q$45:Q$52)*($E$45:$E$52))+SUM(Q54:Q55)+Q42</f>
        <v>0</v>
      </c>
      <c r="R57" s="106" cm="1">
        <f t="array" ref="R57">SUMPRODUCT((R$45:R$52)*($E$45:$E$52))+SUM(R54:R55)+R42</f>
        <v>0</v>
      </c>
      <c r="S57" s="106" cm="1">
        <f t="array" ref="S57">SUMPRODUCT((S$45:S$52)*($E$45:$E$52))+SUM(S54:S55)+S42</f>
        <v>0</v>
      </c>
      <c r="T57" s="106" cm="1">
        <f t="array" ref="T57">SUMPRODUCT((T$45:T$52)*($E$45:$E$52))+SUM(T54:T55)+T42</f>
        <v>0</v>
      </c>
      <c r="U57" s="106" cm="1">
        <f t="array" ref="U57">SUMPRODUCT((U$45:U$52)*($E$45:$E$52))+SUM(U54:U55)+U42</f>
        <v>0</v>
      </c>
      <c r="V57" s="106" cm="1">
        <f t="array" ref="V57">SUMPRODUCT((V$45:V$52)*($E$45:$E$52))+SUM(V54:V55)+V42</f>
        <v>0</v>
      </c>
      <c r="W57" s="106" cm="1">
        <f t="array" ref="W57">SUMPRODUCT((W$45:W$52)*($E$45:$E$52))+SUM(W54:W55)+W42</f>
        <v>0</v>
      </c>
      <c r="X57" s="106" cm="1">
        <f t="array" ref="X57">SUMPRODUCT((X$45:X$52)*($E$45:$E$52))+SUM(X54:X55)+X42</f>
        <v>0</v>
      </c>
      <c r="Y57" s="106" cm="1">
        <f t="array" ref="Y57">SUMPRODUCT((Y$45:Y$52)*($E$45:$E$52))+SUM(Y54:Y55)+Y42</f>
        <v>0</v>
      </c>
      <c r="Z57" s="106" cm="1">
        <f t="array" ref="Z57">SUMPRODUCT((Z$45:Z$52)*($E$45:$E$52))+SUM(Z54:Z55)+Z42</f>
        <v>0</v>
      </c>
      <c r="AA57" s="106" cm="1">
        <f t="array" ref="AA57">SUMPRODUCT((AA$45:AA$52)*($E$45:$E$52))+SUM(AA54:AA55)+AA42</f>
        <v>0</v>
      </c>
      <c r="AB57" s="106" cm="1">
        <f t="array" ref="AB57">SUMPRODUCT((AB$45:AB$52)*($E$45:$E$52))+SUM(AB54:AB55)+AB42</f>
        <v>0</v>
      </c>
      <c r="AC57" s="106" cm="1">
        <f t="array" ref="AC57">SUMPRODUCT((AC$45:AC$52)*($E$45:$E$52))+SUM(AC54:AC55)+AC42</f>
        <v>0</v>
      </c>
      <c r="AD57" s="106" cm="1">
        <f t="array" ref="AD57">SUMPRODUCT((AD$45:AD$52)*($E$45:$E$52))+SUM(AD54:AD55)+AD42</f>
        <v>0</v>
      </c>
      <c r="AE57" s="106" cm="1">
        <f t="array" ref="AE57">SUMPRODUCT((AE$45:AE$52)*($E$45:$E$52))+SUM(AE54:AE55)+AE42</f>
        <v>0</v>
      </c>
      <c r="AF57" s="106" cm="1">
        <f t="array" ref="AF57">SUMPRODUCT((AF$45:AF$52)*($E$45:$E$52))+SUM(AF54:AF55)+AF42</f>
        <v>0</v>
      </c>
      <c r="AG57" s="106" cm="1">
        <f t="array" ref="AG57">SUMPRODUCT((AG$45:AG$52)*($E$45:$E$52))+SUM(AG54:AG55)+AG42</f>
        <v>0</v>
      </c>
    </row>
    <row r="58" spans="1:43" x14ac:dyDescent="0.2">
      <c r="D58" s="206"/>
      <c r="G58" s="206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6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5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9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2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3"/>
    </row>
    <row r="64" spans="1:43" x14ac:dyDescent="0.2">
      <c r="C64" s="4" t="s">
        <v>121</v>
      </c>
      <c r="G64" s="211">
        <f>input_dollars</f>
        <v>45291</v>
      </c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</row>
    <row r="65" spans="1:33" x14ac:dyDescent="0.2">
      <c r="G65" s="213"/>
    </row>
    <row r="66" spans="1:33" x14ac:dyDescent="0.2">
      <c r="A66" s="8"/>
      <c r="B66" s="8"/>
      <c r="C66" s="148" t="s">
        <v>30</v>
      </c>
      <c r="D66" s="38"/>
      <c r="F66" s="97"/>
      <c r="G66" s="214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&lt; Enter description &gt;</v>
      </c>
      <c r="D67" s="38"/>
      <c r="F67" s="97"/>
      <c r="G67" s="211">
        <f>input_dollars</f>
        <v>45291</v>
      </c>
      <c r="H67" s="31"/>
      <c r="I67" s="119">
        <f t="shared" ref="I67:AG67" si="6">-I14</f>
        <v>0</v>
      </c>
      <c r="J67" s="119">
        <f t="shared" si="6"/>
        <v>0</v>
      </c>
      <c r="K67" s="119">
        <f t="shared" si="6"/>
        <v>0</v>
      </c>
      <c r="L67" s="119">
        <f t="shared" si="6"/>
        <v>0</v>
      </c>
      <c r="M67" s="119">
        <f t="shared" si="6"/>
        <v>0</v>
      </c>
      <c r="N67" s="119">
        <f t="shared" si="6"/>
        <v>0</v>
      </c>
      <c r="O67" s="119">
        <f t="shared" si="6"/>
        <v>0</v>
      </c>
      <c r="P67" s="119">
        <f t="shared" si="6"/>
        <v>0</v>
      </c>
      <c r="Q67" s="119">
        <f t="shared" si="6"/>
        <v>0</v>
      </c>
      <c r="R67" s="119">
        <f t="shared" si="6"/>
        <v>0</v>
      </c>
      <c r="S67" s="119">
        <f t="shared" si="6"/>
        <v>0</v>
      </c>
      <c r="T67" s="119">
        <f t="shared" si="6"/>
        <v>0</v>
      </c>
      <c r="U67" s="119">
        <f t="shared" si="6"/>
        <v>0</v>
      </c>
      <c r="V67" s="119">
        <f t="shared" si="6"/>
        <v>0</v>
      </c>
      <c r="W67" s="119">
        <f t="shared" si="6"/>
        <v>0</v>
      </c>
      <c r="X67" s="119">
        <f t="shared" si="6"/>
        <v>0</v>
      </c>
      <c r="Y67" s="119">
        <f t="shared" si="6"/>
        <v>0</v>
      </c>
      <c r="Z67" s="119">
        <f t="shared" si="6"/>
        <v>0</v>
      </c>
      <c r="AA67" s="119">
        <f t="shared" si="6"/>
        <v>0</v>
      </c>
      <c r="AB67" s="119">
        <f t="shared" si="6"/>
        <v>0</v>
      </c>
      <c r="AC67" s="119">
        <f t="shared" si="6"/>
        <v>0</v>
      </c>
      <c r="AD67" s="119">
        <f t="shared" si="6"/>
        <v>0</v>
      </c>
      <c r="AE67" s="119">
        <f t="shared" si="6"/>
        <v>0</v>
      </c>
      <c r="AF67" s="119">
        <f t="shared" si="6"/>
        <v>0</v>
      </c>
      <c r="AG67" s="119">
        <f t="shared" si="6"/>
        <v>0</v>
      </c>
    </row>
    <row r="68" spans="1:33" x14ac:dyDescent="0.2">
      <c r="A68" s="8"/>
      <c r="B68" s="8"/>
      <c r="C68" s="4" t="str">
        <f>C15</f>
        <v>&lt; Enter description &gt;</v>
      </c>
      <c r="D68" s="38"/>
      <c r="F68" s="97"/>
      <c r="G68" s="211">
        <f>input_dollars</f>
        <v>45291</v>
      </c>
      <c r="H68" s="31"/>
      <c r="I68" s="119">
        <f t="shared" ref="I68:AG68" si="7">-I15</f>
        <v>0</v>
      </c>
      <c r="J68" s="119">
        <f t="shared" si="7"/>
        <v>0</v>
      </c>
      <c r="K68" s="119">
        <f t="shared" si="7"/>
        <v>0</v>
      </c>
      <c r="L68" s="119">
        <f t="shared" si="7"/>
        <v>0</v>
      </c>
      <c r="M68" s="119">
        <f t="shared" si="7"/>
        <v>0</v>
      </c>
      <c r="N68" s="119">
        <f t="shared" si="7"/>
        <v>0</v>
      </c>
      <c r="O68" s="119">
        <f t="shared" si="7"/>
        <v>0</v>
      </c>
      <c r="P68" s="119">
        <f t="shared" si="7"/>
        <v>0</v>
      </c>
      <c r="Q68" s="119">
        <f t="shared" si="7"/>
        <v>0</v>
      </c>
      <c r="R68" s="119">
        <f t="shared" si="7"/>
        <v>0</v>
      </c>
      <c r="S68" s="119">
        <f t="shared" si="7"/>
        <v>0</v>
      </c>
      <c r="T68" s="119">
        <f t="shared" si="7"/>
        <v>0</v>
      </c>
      <c r="U68" s="119">
        <f t="shared" si="7"/>
        <v>0</v>
      </c>
      <c r="V68" s="119">
        <f t="shared" si="7"/>
        <v>0</v>
      </c>
      <c r="W68" s="119">
        <f t="shared" si="7"/>
        <v>0</v>
      </c>
      <c r="X68" s="119">
        <f t="shared" si="7"/>
        <v>0</v>
      </c>
      <c r="Y68" s="119">
        <f t="shared" si="7"/>
        <v>0</v>
      </c>
      <c r="Z68" s="119">
        <f t="shared" si="7"/>
        <v>0</v>
      </c>
      <c r="AA68" s="119">
        <f t="shared" si="7"/>
        <v>0</v>
      </c>
      <c r="AB68" s="119">
        <f t="shared" si="7"/>
        <v>0</v>
      </c>
      <c r="AC68" s="119">
        <f t="shared" si="7"/>
        <v>0</v>
      </c>
      <c r="AD68" s="119">
        <f t="shared" si="7"/>
        <v>0</v>
      </c>
      <c r="AE68" s="119">
        <f t="shared" si="7"/>
        <v>0</v>
      </c>
      <c r="AF68" s="119">
        <f t="shared" si="7"/>
        <v>0</v>
      </c>
      <c r="AG68" s="119">
        <f t="shared" si="7"/>
        <v>0</v>
      </c>
    </row>
    <row r="69" spans="1:33" x14ac:dyDescent="0.2">
      <c r="A69" s="8"/>
      <c r="B69" s="8"/>
      <c r="C69" s="4" t="str">
        <f>C16</f>
        <v>&lt; Enter description &gt;</v>
      </c>
      <c r="D69" s="38"/>
      <c r="F69" s="97"/>
      <c r="G69" s="211">
        <f>input_dollars</f>
        <v>45291</v>
      </c>
      <c r="H69" s="31"/>
      <c r="I69" s="119">
        <f t="shared" ref="I69:AG69" si="8">-I16</f>
        <v>0</v>
      </c>
      <c r="J69" s="119">
        <f t="shared" si="8"/>
        <v>0</v>
      </c>
      <c r="K69" s="119">
        <f t="shared" si="8"/>
        <v>0</v>
      </c>
      <c r="L69" s="119">
        <f t="shared" si="8"/>
        <v>0</v>
      </c>
      <c r="M69" s="119">
        <f t="shared" si="8"/>
        <v>0</v>
      </c>
      <c r="N69" s="119">
        <f t="shared" si="8"/>
        <v>0</v>
      </c>
      <c r="O69" s="119">
        <f t="shared" si="8"/>
        <v>0</v>
      </c>
      <c r="P69" s="119">
        <f t="shared" si="8"/>
        <v>0</v>
      </c>
      <c r="Q69" s="119">
        <f t="shared" si="8"/>
        <v>0</v>
      </c>
      <c r="R69" s="119">
        <f t="shared" si="8"/>
        <v>0</v>
      </c>
      <c r="S69" s="119">
        <f t="shared" si="8"/>
        <v>0</v>
      </c>
      <c r="T69" s="119">
        <f t="shared" si="8"/>
        <v>0</v>
      </c>
      <c r="U69" s="119">
        <f t="shared" si="8"/>
        <v>0</v>
      </c>
      <c r="V69" s="119">
        <f t="shared" si="8"/>
        <v>0</v>
      </c>
      <c r="W69" s="119">
        <f t="shared" si="8"/>
        <v>0</v>
      </c>
      <c r="X69" s="119">
        <f t="shared" si="8"/>
        <v>0</v>
      </c>
      <c r="Y69" s="119">
        <f t="shared" si="8"/>
        <v>0</v>
      </c>
      <c r="Z69" s="119">
        <f t="shared" si="8"/>
        <v>0</v>
      </c>
      <c r="AA69" s="119">
        <f t="shared" si="8"/>
        <v>0</v>
      </c>
      <c r="AB69" s="119">
        <f t="shared" si="8"/>
        <v>0</v>
      </c>
      <c r="AC69" s="119">
        <f t="shared" si="8"/>
        <v>0</v>
      </c>
      <c r="AD69" s="119">
        <f t="shared" si="8"/>
        <v>0</v>
      </c>
      <c r="AE69" s="119">
        <f t="shared" si="8"/>
        <v>0</v>
      </c>
      <c r="AF69" s="119">
        <f t="shared" si="8"/>
        <v>0</v>
      </c>
      <c r="AG69" s="119">
        <f t="shared" si="8"/>
        <v>0</v>
      </c>
    </row>
    <row r="70" spans="1:33" x14ac:dyDescent="0.2">
      <c r="A70" s="8"/>
      <c r="B70" s="8"/>
      <c r="C70" s="4"/>
      <c r="D70" s="38"/>
      <c r="F70" s="97"/>
      <c r="G70" s="215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8" t="s">
        <v>160</v>
      </c>
      <c r="D71" s="38"/>
      <c r="F71" s="97"/>
      <c r="G71" s="214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&lt; Enter description &gt;</v>
      </c>
      <c r="D72" s="38"/>
      <c r="F72" s="97"/>
      <c r="G72" s="211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0</v>
      </c>
      <c r="M72" s="119" cm="1">
        <f t="array" ref="M72">SUMPRODUCT(($I67:M67))-SUMPRODUCT(($I67:M67)*($I$6:M$6&lt;=(M$6-$E14)))</f>
        <v>0</v>
      </c>
      <c r="N72" s="119" cm="1">
        <f t="array" ref="N72">SUMPRODUCT(($I67:N67))-SUMPRODUCT(($I67:N67)*($I$6:N$6&lt;=(N$6-$E14)))</f>
        <v>0</v>
      </c>
      <c r="O72" s="119" cm="1">
        <f t="array" ref="O72">SUMPRODUCT(($I67:O67))-SUMPRODUCT(($I67:O67)*($I$6:O$6&lt;=(O$6-$E14)))</f>
        <v>0</v>
      </c>
      <c r="P72" s="119" cm="1">
        <f t="array" ref="P72">SUMPRODUCT(($I67:P67))-SUMPRODUCT(($I67:P67)*($I$6:P$6&lt;=(P$6-$E14)))</f>
        <v>0</v>
      </c>
      <c r="Q72" s="119" cm="1">
        <f t="array" ref="Q72">SUMPRODUCT(($I67:Q67))-SUMPRODUCT(($I67:Q67)*($I$6:Q$6&lt;=(Q$6-$E14)))</f>
        <v>0</v>
      </c>
      <c r="R72" s="119" cm="1">
        <f t="array" ref="R72">SUMPRODUCT(($I67:R67))-SUMPRODUCT(($I67:R67)*($I$6:R$6&lt;=(R$6-$E14)))</f>
        <v>0</v>
      </c>
      <c r="S72" s="119" cm="1">
        <f t="array" ref="S72">SUMPRODUCT(($I67:S67))-SUMPRODUCT(($I67:S67)*($I$6:S$6&lt;=(S$6-$E14)))</f>
        <v>0</v>
      </c>
      <c r="T72" s="119" cm="1">
        <f t="array" ref="T72">SUMPRODUCT(($I67:T67))-SUMPRODUCT(($I67:T67)*($I$6:T$6&lt;=(T$6-$E14)))</f>
        <v>0</v>
      </c>
      <c r="U72" s="119" cm="1">
        <f t="array" ref="U72">SUMPRODUCT(($I67:U67))-SUMPRODUCT(($I67:U67)*($I$6:U$6&lt;=(U$6-$E14)))</f>
        <v>0</v>
      </c>
      <c r="V72" s="119" cm="1">
        <f t="array" ref="V72">SUMPRODUCT(($I67:V67))-SUMPRODUCT(($I67:V67)*($I$6:V$6&lt;=(V$6-$E14)))</f>
        <v>0</v>
      </c>
      <c r="W72" s="119" cm="1">
        <f t="array" ref="W72">SUMPRODUCT(($I67:W67))-SUMPRODUCT(($I67:W67)*($I$6:W$6&lt;=(W$6-$E14)))</f>
        <v>0</v>
      </c>
      <c r="X72" s="119" cm="1">
        <f t="array" ref="X72">SUMPRODUCT(($I67:X67))-SUMPRODUCT(($I67:X67)*($I$6:X$6&lt;=(X$6-$E14)))</f>
        <v>0</v>
      </c>
      <c r="Y72" s="119" cm="1">
        <f t="array" ref="Y72">SUMPRODUCT(($I67:Y67))-SUMPRODUCT(($I67:Y67)*($I$6:Y$6&lt;=(Y$6-$E14)))</f>
        <v>0</v>
      </c>
      <c r="Z72" s="119" cm="1">
        <f t="array" ref="Z72">SUMPRODUCT(($I67:Z67))-SUMPRODUCT(($I67:Z67)*($I$6:Z$6&lt;=(Z$6-$E14)))</f>
        <v>0</v>
      </c>
      <c r="AA72" s="119" cm="1">
        <f t="array" ref="AA72">SUMPRODUCT(($I67:AA67))-SUMPRODUCT(($I67:AA67)*($I$6:AA$6&lt;=(AA$6-$E14)))</f>
        <v>0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 t="str">
        <f>C15</f>
        <v>&lt; Enter description &gt;</v>
      </c>
      <c r="D73" s="38"/>
      <c r="F73" s="97"/>
      <c r="G73" s="211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 t="str">
        <f>C16</f>
        <v>&lt; Enter description &gt;</v>
      </c>
      <c r="D74" s="38"/>
      <c r="F74" s="97"/>
      <c r="G74" s="211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5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8" t="s">
        <v>91</v>
      </c>
      <c r="D76" s="38"/>
      <c r="F76" s="97"/>
      <c r="G76" s="214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&lt; Enter description &gt;</v>
      </c>
      <c r="D77" s="38"/>
      <c r="F77" s="97"/>
      <c r="G77" s="211">
        <f>input_dollars</f>
        <v>45291</v>
      </c>
      <c r="H77" s="31"/>
      <c r="I77" s="119">
        <f t="shared" ref="I77:AG77" si="9">IF($E14=0,0,-PMT(real_disc, $E14,H72,))</f>
        <v>0</v>
      </c>
      <c r="J77" s="119">
        <f t="shared" si="9"/>
        <v>0</v>
      </c>
      <c r="K77" s="119">
        <f t="shared" si="9"/>
        <v>0</v>
      </c>
      <c r="L77" s="119">
        <f t="shared" si="9"/>
        <v>0</v>
      </c>
      <c r="M77" s="119">
        <f t="shared" si="9"/>
        <v>0</v>
      </c>
      <c r="N77" s="119">
        <f t="shared" si="9"/>
        <v>0</v>
      </c>
      <c r="O77" s="119">
        <f t="shared" si="9"/>
        <v>0</v>
      </c>
      <c r="P77" s="119">
        <f t="shared" si="9"/>
        <v>0</v>
      </c>
      <c r="Q77" s="119">
        <f t="shared" si="9"/>
        <v>0</v>
      </c>
      <c r="R77" s="119">
        <f t="shared" si="9"/>
        <v>0</v>
      </c>
      <c r="S77" s="119">
        <f t="shared" si="9"/>
        <v>0</v>
      </c>
      <c r="T77" s="119">
        <f t="shared" si="9"/>
        <v>0</v>
      </c>
      <c r="U77" s="119">
        <f t="shared" si="9"/>
        <v>0</v>
      </c>
      <c r="V77" s="119">
        <f t="shared" si="9"/>
        <v>0</v>
      </c>
      <c r="W77" s="119">
        <f t="shared" si="9"/>
        <v>0</v>
      </c>
      <c r="X77" s="119">
        <f t="shared" si="9"/>
        <v>0</v>
      </c>
      <c r="Y77" s="119">
        <f t="shared" si="9"/>
        <v>0</v>
      </c>
      <c r="Z77" s="119">
        <f t="shared" si="9"/>
        <v>0</v>
      </c>
      <c r="AA77" s="119">
        <f t="shared" si="9"/>
        <v>0</v>
      </c>
      <c r="AB77" s="119">
        <f t="shared" si="9"/>
        <v>0</v>
      </c>
      <c r="AC77" s="119">
        <f t="shared" si="9"/>
        <v>0</v>
      </c>
      <c r="AD77" s="119">
        <f t="shared" si="9"/>
        <v>0</v>
      </c>
      <c r="AE77" s="119">
        <f t="shared" si="9"/>
        <v>0</v>
      </c>
      <c r="AF77" s="119">
        <f t="shared" si="9"/>
        <v>0</v>
      </c>
      <c r="AG77" s="119">
        <f t="shared" si="9"/>
        <v>0</v>
      </c>
    </row>
    <row r="78" spans="1:33" x14ac:dyDescent="0.2">
      <c r="A78" s="8"/>
      <c r="B78" s="8"/>
      <c r="C78" s="4" t="str">
        <f>$C$76&amp;" - "&amp;C15</f>
        <v>Annualised capex - &lt; Enter description &gt;</v>
      </c>
      <c r="D78" s="38"/>
      <c r="F78" s="97"/>
      <c r="G78" s="211">
        <f>input_dollars</f>
        <v>45291</v>
      </c>
      <c r="H78" s="31"/>
      <c r="I78" s="119">
        <f t="shared" ref="I78:AG78" si="10">IF($E15=0,0,-PMT(real_disc, $E15,H73,))</f>
        <v>0</v>
      </c>
      <c r="J78" s="119">
        <f t="shared" si="10"/>
        <v>0</v>
      </c>
      <c r="K78" s="119">
        <f t="shared" si="10"/>
        <v>0</v>
      </c>
      <c r="L78" s="119">
        <f t="shared" si="10"/>
        <v>0</v>
      </c>
      <c r="M78" s="119">
        <f t="shared" si="10"/>
        <v>0</v>
      </c>
      <c r="N78" s="119">
        <f t="shared" si="10"/>
        <v>0</v>
      </c>
      <c r="O78" s="119">
        <f t="shared" si="10"/>
        <v>0</v>
      </c>
      <c r="P78" s="119">
        <f t="shared" si="10"/>
        <v>0</v>
      </c>
      <c r="Q78" s="119">
        <f t="shared" si="10"/>
        <v>0</v>
      </c>
      <c r="R78" s="119">
        <f t="shared" si="10"/>
        <v>0</v>
      </c>
      <c r="S78" s="119">
        <f t="shared" si="10"/>
        <v>0</v>
      </c>
      <c r="T78" s="119">
        <f t="shared" si="10"/>
        <v>0</v>
      </c>
      <c r="U78" s="119">
        <f t="shared" si="10"/>
        <v>0</v>
      </c>
      <c r="V78" s="119">
        <f t="shared" si="10"/>
        <v>0</v>
      </c>
      <c r="W78" s="119">
        <f t="shared" si="10"/>
        <v>0</v>
      </c>
      <c r="X78" s="119">
        <f t="shared" si="10"/>
        <v>0</v>
      </c>
      <c r="Y78" s="119">
        <f t="shared" si="10"/>
        <v>0</v>
      </c>
      <c r="Z78" s="119">
        <f t="shared" si="10"/>
        <v>0</v>
      </c>
      <c r="AA78" s="119">
        <f t="shared" si="10"/>
        <v>0</v>
      </c>
      <c r="AB78" s="119">
        <f t="shared" si="10"/>
        <v>0</v>
      </c>
      <c r="AC78" s="119">
        <f t="shared" si="10"/>
        <v>0</v>
      </c>
      <c r="AD78" s="119">
        <f t="shared" si="10"/>
        <v>0</v>
      </c>
      <c r="AE78" s="119">
        <f t="shared" si="10"/>
        <v>0</v>
      </c>
      <c r="AF78" s="119">
        <f t="shared" si="10"/>
        <v>0</v>
      </c>
      <c r="AG78" s="119">
        <f t="shared" si="10"/>
        <v>0</v>
      </c>
    </row>
    <row r="79" spans="1:33" x14ac:dyDescent="0.2">
      <c r="A79" s="8"/>
      <c r="B79" s="8"/>
      <c r="C79" s="4" t="str">
        <f>$C$76&amp;" - "&amp;C16</f>
        <v>Annualised capex - &lt; Enter description &gt;</v>
      </c>
      <c r="D79" s="38"/>
      <c r="F79" s="97"/>
      <c r="G79" s="211">
        <f>input_dollars</f>
        <v>45291</v>
      </c>
      <c r="H79" s="31"/>
      <c r="I79" s="119">
        <f t="shared" ref="I79:AG79" si="11">IF($E16=0,0,-PMT(real_disc, $E16,H74,))</f>
        <v>0</v>
      </c>
      <c r="J79" s="119">
        <f t="shared" si="11"/>
        <v>0</v>
      </c>
      <c r="K79" s="119">
        <f t="shared" si="11"/>
        <v>0</v>
      </c>
      <c r="L79" s="119">
        <f t="shared" si="11"/>
        <v>0</v>
      </c>
      <c r="M79" s="119">
        <f t="shared" si="11"/>
        <v>0</v>
      </c>
      <c r="N79" s="119">
        <f t="shared" si="11"/>
        <v>0</v>
      </c>
      <c r="O79" s="119">
        <f t="shared" si="11"/>
        <v>0</v>
      </c>
      <c r="P79" s="119">
        <f t="shared" si="11"/>
        <v>0</v>
      </c>
      <c r="Q79" s="119">
        <f t="shared" si="11"/>
        <v>0</v>
      </c>
      <c r="R79" s="119">
        <f t="shared" si="11"/>
        <v>0</v>
      </c>
      <c r="S79" s="119">
        <f t="shared" si="11"/>
        <v>0</v>
      </c>
      <c r="T79" s="119">
        <f t="shared" si="11"/>
        <v>0</v>
      </c>
      <c r="U79" s="119">
        <f t="shared" si="11"/>
        <v>0</v>
      </c>
      <c r="V79" s="119">
        <f t="shared" si="11"/>
        <v>0</v>
      </c>
      <c r="W79" s="119">
        <f t="shared" si="11"/>
        <v>0</v>
      </c>
      <c r="X79" s="119">
        <f t="shared" si="11"/>
        <v>0</v>
      </c>
      <c r="Y79" s="119">
        <f t="shared" si="11"/>
        <v>0</v>
      </c>
      <c r="Z79" s="119">
        <f t="shared" si="11"/>
        <v>0</v>
      </c>
      <c r="AA79" s="119">
        <f t="shared" si="11"/>
        <v>0</v>
      </c>
      <c r="AB79" s="119">
        <f t="shared" si="11"/>
        <v>0</v>
      </c>
      <c r="AC79" s="119">
        <f t="shared" si="11"/>
        <v>0</v>
      </c>
      <c r="AD79" s="119">
        <f t="shared" si="11"/>
        <v>0</v>
      </c>
      <c r="AE79" s="119">
        <f t="shared" si="11"/>
        <v>0</v>
      </c>
      <c r="AF79" s="119">
        <f t="shared" si="11"/>
        <v>0</v>
      </c>
      <c r="AG79" s="119">
        <f t="shared" si="11"/>
        <v>0</v>
      </c>
    </row>
    <row r="80" spans="1:33" x14ac:dyDescent="0.2">
      <c r="A80" s="8"/>
      <c r="B80" s="8"/>
      <c r="C80" s="173" t="s">
        <v>161</v>
      </c>
      <c r="D80" s="173"/>
      <c r="E80" s="174"/>
      <c r="F80" s="175"/>
      <c r="G80" s="216">
        <f>input_dollars</f>
        <v>45291</v>
      </c>
      <c r="H80" s="176"/>
      <c r="I80" s="177">
        <f>SUM(I77:I79)</f>
        <v>0</v>
      </c>
      <c r="J80" s="177">
        <f t="shared" ref="J80:AB80" si="12">SUM(J77:J79)</f>
        <v>0</v>
      </c>
      <c r="K80" s="177">
        <f t="shared" si="12"/>
        <v>0</v>
      </c>
      <c r="L80" s="177">
        <f t="shared" si="12"/>
        <v>0</v>
      </c>
      <c r="M80" s="177">
        <f t="shared" si="12"/>
        <v>0</v>
      </c>
      <c r="N80" s="177">
        <f t="shared" si="12"/>
        <v>0</v>
      </c>
      <c r="O80" s="177">
        <f t="shared" si="12"/>
        <v>0</v>
      </c>
      <c r="P80" s="177">
        <f t="shared" si="12"/>
        <v>0</v>
      </c>
      <c r="Q80" s="177">
        <f t="shared" si="12"/>
        <v>0</v>
      </c>
      <c r="R80" s="177">
        <f t="shared" si="12"/>
        <v>0</v>
      </c>
      <c r="S80" s="177">
        <f t="shared" si="12"/>
        <v>0</v>
      </c>
      <c r="T80" s="177">
        <f t="shared" si="12"/>
        <v>0</v>
      </c>
      <c r="U80" s="177">
        <f t="shared" si="12"/>
        <v>0</v>
      </c>
      <c r="V80" s="177">
        <f t="shared" si="12"/>
        <v>0</v>
      </c>
      <c r="W80" s="177">
        <f t="shared" si="12"/>
        <v>0</v>
      </c>
      <c r="X80" s="177">
        <f t="shared" si="12"/>
        <v>0</v>
      </c>
      <c r="Y80" s="177">
        <f t="shared" si="12"/>
        <v>0</v>
      </c>
      <c r="Z80" s="177">
        <f t="shared" si="12"/>
        <v>0</v>
      </c>
      <c r="AA80" s="177">
        <f t="shared" si="12"/>
        <v>0</v>
      </c>
      <c r="AB80" s="177">
        <f t="shared" si="12"/>
        <v>0</v>
      </c>
      <c r="AC80" s="177">
        <f>SUM(AC77:AC79)</f>
        <v>0</v>
      </c>
      <c r="AD80" s="177">
        <f>SUM(AD77:AD79)</f>
        <v>0</v>
      </c>
      <c r="AE80" s="177">
        <f>SUM(AE77:AE79)</f>
        <v>0</v>
      </c>
      <c r="AF80" s="177">
        <f>SUM(AF77:AF79)</f>
        <v>0</v>
      </c>
      <c r="AG80" s="177">
        <f>SUM(AG77:AG79)</f>
        <v>0</v>
      </c>
    </row>
    <row r="81" spans="1:33" x14ac:dyDescent="0.2">
      <c r="A81" s="8"/>
      <c r="B81" s="8"/>
      <c r="C81" s="75"/>
      <c r="D81" s="38"/>
      <c r="F81"/>
      <c r="G81" s="217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1">
        <f t="shared" ref="G82:G87" si="13">input_dollars</f>
        <v>45291</v>
      </c>
      <c r="H82" s="31"/>
      <c r="I82" s="119">
        <f>I80</f>
        <v>0</v>
      </c>
      <c r="J82" s="119">
        <f t="shared" ref="J82:AB82" si="14">J80</f>
        <v>0</v>
      </c>
      <c r="K82" s="119">
        <f t="shared" si="14"/>
        <v>0</v>
      </c>
      <c r="L82" s="119">
        <f t="shared" si="14"/>
        <v>0</v>
      </c>
      <c r="M82" s="119">
        <f t="shared" si="14"/>
        <v>0</v>
      </c>
      <c r="N82" s="119">
        <f t="shared" si="14"/>
        <v>0</v>
      </c>
      <c r="O82" s="119">
        <f t="shared" si="14"/>
        <v>0</v>
      </c>
      <c r="P82" s="119">
        <f t="shared" si="14"/>
        <v>0</v>
      </c>
      <c r="Q82" s="119">
        <f t="shared" si="14"/>
        <v>0</v>
      </c>
      <c r="R82" s="119">
        <f t="shared" si="14"/>
        <v>0</v>
      </c>
      <c r="S82" s="119">
        <f t="shared" si="14"/>
        <v>0</v>
      </c>
      <c r="T82" s="119">
        <f t="shared" si="14"/>
        <v>0</v>
      </c>
      <c r="U82" s="119">
        <f t="shared" si="14"/>
        <v>0</v>
      </c>
      <c r="V82" s="119">
        <f t="shared" si="14"/>
        <v>0</v>
      </c>
      <c r="W82" s="119">
        <f t="shared" si="14"/>
        <v>0</v>
      </c>
      <c r="X82" s="119">
        <f t="shared" si="14"/>
        <v>0</v>
      </c>
      <c r="Y82" s="119">
        <f t="shared" si="14"/>
        <v>0</v>
      </c>
      <c r="Z82" s="119">
        <f t="shared" si="14"/>
        <v>0</v>
      </c>
      <c r="AA82" s="119">
        <f t="shared" si="14"/>
        <v>0</v>
      </c>
      <c r="AB82" s="119">
        <f t="shared" si="14"/>
        <v>0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1">
        <f t="shared" si="13"/>
        <v>45291</v>
      </c>
      <c r="H83" s="31"/>
      <c r="I83" s="31">
        <f t="shared" ref="I83:AG83" si="15">-I19</f>
        <v>0</v>
      </c>
      <c r="J83" s="31">
        <f t="shared" si="15"/>
        <v>0</v>
      </c>
      <c r="K83" s="31">
        <f t="shared" si="15"/>
        <v>0</v>
      </c>
      <c r="L83" s="31">
        <f t="shared" si="15"/>
        <v>0</v>
      </c>
      <c r="M83" s="31">
        <f t="shared" si="15"/>
        <v>0</v>
      </c>
      <c r="N83" s="31">
        <f t="shared" si="15"/>
        <v>0</v>
      </c>
      <c r="O83" s="31">
        <f t="shared" si="15"/>
        <v>0</v>
      </c>
      <c r="P83" s="31">
        <f t="shared" si="15"/>
        <v>0</v>
      </c>
      <c r="Q83" s="31">
        <f t="shared" si="15"/>
        <v>0</v>
      </c>
      <c r="R83" s="31">
        <f t="shared" si="15"/>
        <v>0</v>
      </c>
      <c r="S83" s="31">
        <f t="shared" si="15"/>
        <v>0</v>
      </c>
      <c r="T83" s="31">
        <f t="shared" si="15"/>
        <v>0</v>
      </c>
      <c r="U83" s="31">
        <f t="shared" si="15"/>
        <v>0</v>
      </c>
      <c r="V83" s="31">
        <f t="shared" si="15"/>
        <v>0</v>
      </c>
      <c r="W83" s="31">
        <f t="shared" si="15"/>
        <v>0</v>
      </c>
      <c r="X83" s="31">
        <f t="shared" si="15"/>
        <v>0</v>
      </c>
      <c r="Y83" s="31">
        <f t="shared" si="15"/>
        <v>0</v>
      </c>
      <c r="Z83" s="31">
        <f t="shared" si="15"/>
        <v>0</v>
      </c>
      <c r="AA83" s="31">
        <f t="shared" si="15"/>
        <v>0</v>
      </c>
      <c r="AB83" s="31">
        <f t="shared" si="15"/>
        <v>0</v>
      </c>
      <c r="AC83" s="31">
        <f t="shared" si="15"/>
        <v>0</v>
      </c>
      <c r="AD83" s="31">
        <f t="shared" si="15"/>
        <v>0</v>
      </c>
      <c r="AE83" s="31">
        <f t="shared" si="15"/>
        <v>0</v>
      </c>
      <c r="AF83" s="31">
        <f t="shared" si="15"/>
        <v>0</v>
      </c>
      <c r="AG83" s="31">
        <f t="shared" si="15"/>
        <v>0</v>
      </c>
    </row>
    <row r="84" spans="1:33" x14ac:dyDescent="0.2">
      <c r="A84" s="8"/>
      <c r="B84" s="8"/>
      <c r="C84" s="4" t="s">
        <v>142</v>
      </c>
      <c r="D84" s="38"/>
      <c r="F84" s="97"/>
      <c r="G84" s="211">
        <f t="shared" si="13"/>
        <v>45291</v>
      </c>
      <c r="H84" s="31"/>
      <c r="I84" s="31">
        <f>I64</f>
        <v>0</v>
      </c>
      <c r="J84" s="31">
        <f t="shared" ref="J84:AB84" si="16">J64</f>
        <v>0</v>
      </c>
      <c r="K84" s="31">
        <f t="shared" si="16"/>
        <v>0</v>
      </c>
      <c r="L84" s="31">
        <f t="shared" si="16"/>
        <v>0</v>
      </c>
      <c r="M84" s="31">
        <f t="shared" si="16"/>
        <v>0</v>
      </c>
      <c r="N84" s="31">
        <f t="shared" si="16"/>
        <v>0</v>
      </c>
      <c r="O84" s="31">
        <f t="shared" si="16"/>
        <v>0</v>
      </c>
      <c r="P84" s="31">
        <f t="shared" si="16"/>
        <v>0</v>
      </c>
      <c r="Q84" s="31">
        <f t="shared" si="16"/>
        <v>0</v>
      </c>
      <c r="R84" s="31">
        <f t="shared" si="16"/>
        <v>0</v>
      </c>
      <c r="S84" s="31">
        <f t="shared" si="16"/>
        <v>0</v>
      </c>
      <c r="T84" s="31">
        <f t="shared" si="16"/>
        <v>0</v>
      </c>
      <c r="U84" s="31">
        <f t="shared" si="16"/>
        <v>0</v>
      </c>
      <c r="V84" s="31">
        <f t="shared" si="16"/>
        <v>0</v>
      </c>
      <c r="W84" s="31">
        <f t="shared" si="16"/>
        <v>0</v>
      </c>
      <c r="X84" s="31">
        <f t="shared" si="16"/>
        <v>0</v>
      </c>
      <c r="Y84" s="31">
        <f t="shared" si="16"/>
        <v>0</v>
      </c>
      <c r="Z84" s="31">
        <f t="shared" si="16"/>
        <v>0</v>
      </c>
      <c r="AA84" s="31">
        <f t="shared" si="16"/>
        <v>0</v>
      </c>
      <c r="AB84" s="31">
        <f t="shared" si="16"/>
        <v>0</v>
      </c>
      <c r="AC84" s="31">
        <f>AC64</f>
        <v>0</v>
      </c>
      <c r="AD84" s="31">
        <f>AD64</f>
        <v>0</v>
      </c>
      <c r="AE84" s="31">
        <f>AE64</f>
        <v>0</v>
      </c>
      <c r="AF84" s="31">
        <f>AF64</f>
        <v>0</v>
      </c>
      <c r="AG84" s="31">
        <f>AG64</f>
        <v>0</v>
      </c>
    </row>
    <row r="85" spans="1:33" x14ac:dyDescent="0.2">
      <c r="A85" s="8"/>
      <c r="B85" s="8"/>
      <c r="C85" s="4" t="s">
        <v>122</v>
      </c>
      <c r="D85" s="38"/>
      <c r="F85" s="97"/>
      <c r="G85" s="211">
        <f t="shared" si="13"/>
        <v>45291</v>
      </c>
      <c r="H85" s="31"/>
      <c r="I85" s="31">
        <f t="shared" ref="I85:AG85" si="17">I57</f>
        <v>0</v>
      </c>
      <c r="J85" s="31">
        <f t="shared" si="17"/>
        <v>0</v>
      </c>
      <c r="K85" s="31">
        <f t="shared" si="17"/>
        <v>0</v>
      </c>
      <c r="L85" s="31">
        <f t="shared" si="17"/>
        <v>0</v>
      </c>
      <c r="M85" s="31">
        <f t="shared" si="17"/>
        <v>0</v>
      </c>
      <c r="N85" s="31">
        <f t="shared" si="17"/>
        <v>0</v>
      </c>
      <c r="O85" s="31">
        <f t="shared" si="17"/>
        <v>0</v>
      </c>
      <c r="P85" s="31">
        <f t="shared" si="17"/>
        <v>0</v>
      </c>
      <c r="Q85" s="31">
        <f t="shared" si="17"/>
        <v>0</v>
      </c>
      <c r="R85" s="31">
        <f t="shared" si="17"/>
        <v>0</v>
      </c>
      <c r="S85" s="31">
        <f t="shared" si="17"/>
        <v>0</v>
      </c>
      <c r="T85" s="31">
        <f t="shared" si="17"/>
        <v>0</v>
      </c>
      <c r="U85" s="31">
        <f t="shared" si="17"/>
        <v>0</v>
      </c>
      <c r="V85" s="31">
        <f t="shared" si="17"/>
        <v>0</v>
      </c>
      <c r="W85" s="31">
        <f t="shared" si="17"/>
        <v>0</v>
      </c>
      <c r="X85" s="31">
        <f t="shared" si="17"/>
        <v>0</v>
      </c>
      <c r="Y85" s="31">
        <f t="shared" si="17"/>
        <v>0</v>
      </c>
      <c r="Z85" s="31">
        <f t="shared" si="17"/>
        <v>0</v>
      </c>
      <c r="AA85" s="31">
        <f t="shared" si="17"/>
        <v>0</v>
      </c>
      <c r="AB85" s="31">
        <f t="shared" si="17"/>
        <v>0</v>
      </c>
      <c r="AC85" s="31">
        <f t="shared" si="17"/>
        <v>0</v>
      </c>
      <c r="AD85" s="31">
        <f t="shared" si="17"/>
        <v>0</v>
      </c>
      <c r="AE85" s="31">
        <f t="shared" si="17"/>
        <v>0</v>
      </c>
      <c r="AF85" s="31">
        <f t="shared" si="17"/>
        <v>0</v>
      </c>
      <c r="AG85" s="31">
        <f t="shared" si="17"/>
        <v>0</v>
      </c>
    </row>
    <row r="86" spans="1:33" x14ac:dyDescent="0.2">
      <c r="A86" s="8"/>
      <c r="B86" s="8"/>
      <c r="C86" s="4"/>
      <c r="D86" s="38"/>
      <c r="F86" s="31"/>
      <c r="G86" s="21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81" t="s">
        <v>192</v>
      </c>
      <c r="D87" s="179"/>
      <c r="E87" s="174"/>
      <c r="F87" s="180"/>
      <c r="G87" s="216">
        <f t="shared" si="13"/>
        <v>45291</v>
      </c>
      <c r="H87" s="180"/>
      <c r="I87" s="180">
        <f t="shared" ref="I87:AB87" si="18">SUM(I82:I86)</f>
        <v>0</v>
      </c>
      <c r="J87" s="180">
        <f t="shared" si="18"/>
        <v>0</v>
      </c>
      <c r="K87" s="180">
        <f t="shared" si="18"/>
        <v>0</v>
      </c>
      <c r="L87" s="180">
        <f t="shared" si="18"/>
        <v>0</v>
      </c>
      <c r="M87" s="180">
        <f t="shared" si="18"/>
        <v>0</v>
      </c>
      <c r="N87" s="180">
        <f t="shared" si="18"/>
        <v>0</v>
      </c>
      <c r="O87" s="180">
        <f t="shared" si="18"/>
        <v>0</v>
      </c>
      <c r="P87" s="180">
        <f t="shared" si="18"/>
        <v>0</v>
      </c>
      <c r="Q87" s="180">
        <f t="shared" si="18"/>
        <v>0</v>
      </c>
      <c r="R87" s="180">
        <f t="shared" si="18"/>
        <v>0</v>
      </c>
      <c r="S87" s="180">
        <f t="shared" si="18"/>
        <v>0</v>
      </c>
      <c r="T87" s="180">
        <f t="shared" si="18"/>
        <v>0</v>
      </c>
      <c r="U87" s="180">
        <f t="shared" si="18"/>
        <v>0</v>
      </c>
      <c r="V87" s="180">
        <f t="shared" si="18"/>
        <v>0</v>
      </c>
      <c r="W87" s="180">
        <f t="shared" si="18"/>
        <v>0</v>
      </c>
      <c r="X87" s="180">
        <f t="shared" si="18"/>
        <v>0</v>
      </c>
      <c r="Y87" s="180">
        <f t="shared" si="18"/>
        <v>0</v>
      </c>
      <c r="Z87" s="180">
        <f t="shared" si="18"/>
        <v>0</v>
      </c>
      <c r="AA87" s="180">
        <f t="shared" si="18"/>
        <v>0</v>
      </c>
      <c r="AB87" s="180">
        <f t="shared" si="18"/>
        <v>0</v>
      </c>
      <c r="AC87" s="180">
        <f>SUM(AC82:AC86)</f>
        <v>0</v>
      </c>
      <c r="AD87" s="180">
        <f>SUM(AD82:AD86)</f>
        <v>0</v>
      </c>
      <c r="AE87" s="180">
        <f>SUM(AE82:AE86)</f>
        <v>0</v>
      </c>
      <c r="AF87" s="180">
        <f>SUM(AF82:AF86)</f>
        <v>0</v>
      </c>
      <c r="AG87" s="180">
        <f>SUM(AG82:AG86)</f>
        <v>0</v>
      </c>
    </row>
    <row r="88" spans="1:33" x14ac:dyDescent="0.2">
      <c r="A88" s="8"/>
      <c r="B88" s="8"/>
      <c r="C88" s="75"/>
      <c r="D88" s="139"/>
      <c r="E88" s="64"/>
      <c r="F88" s="141"/>
      <c r="G88" s="21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9"/>
      <c r="E89" s="64"/>
      <c r="F89" s="141"/>
      <c r="G89" s="21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1"/>
      <c r="D90" s="82"/>
      <c r="E90" s="232"/>
      <c r="F90" s="233"/>
      <c r="G90" s="232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232"/>
      <c r="D91" s="232"/>
      <c r="E91" s="232"/>
      <c r="F91" s="232"/>
      <c r="G91" s="232"/>
    </row>
    <row r="92" spans="1:33" x14ac:dyDescent="0.2">
      <c r="C92" s="232"/>
      <c r="D92" s="232"/>
      <c r="E92" s="232"/>
      <c r="F92" s="232"/>
      <c r="G92" s="232"/>
    </row>
    <row r="94" spans="1:33" x14ac:dyDescent="0.2">
      <c r="G94" s="12"/>
    </row>
    <row r="102" spans="1:43" ht="15" x14ac:dyDescent="0.2">
      <c r="A102" s="89" t="s">
        <v>218</v>
      </c>
      <c r="B102" s="89"/>
      <c r="C102" s="89"/>
      <c r="D102" s="89"/>
      <c r="E102" s="89"/>
      <c r="F102" s="89"/>
      <c r="G102" s="205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3"/>
      <c r="J104" s="243"/>
      <c r="K104" s="243"/>
      <c r="L104" s="243"/>
      <c r="M104" s="243"/>
      <c r="N104" s="243"/>
      <c r="O104" s="243"/>
      <c r="P104" s="243"/>
      <c r="Q104" s="243"/>
      <c r="R104" s="243"/>
      <c r="S104" s="243"/>
      <c r="T104" s="243"/>
      <c r="U104" s="243"/>
      <c r="V104" s="243"/>
      <c r="W104" s="243"/>
      <c r="X104" s="243"/>
      <c r="Y104" s="243"/>
      <c r="Z104" s="243"/>
    </row>
    <row r="105" spans="1:43" x14ac:dyDescent="0.2">
      <c r="E105"/>
      <c r="F105"/>
      <c r="G105"/>
      <c r="I105" s="243"/>
      <c r="J105" s="243"/>
      <c r="K105" s="243"/>
      <c r="L105" s="243"/>
      <c r="M105" s="243"/>
      <c r="N105" s="243"/>
      <c r="O105" s="243"/>
      <c r="P105" s="243"/>
      <c r="Q105" s="243"/>
      <c r="R105" s="243"/>
      <c r="S105" s="243"/>
      <c r="T105" s="243"/>
      <c r="U105" s="243"/>
      <c r="V105" s="243"/>
      <c r="W105" s="243"/>
      <c r="X105" s="243"/>
      <c r="Y105" s="243"/>
      <c r="Z105" s="243"/>
    </row>
    <row r="106" spans="1:43" x14ac:dyDescent="0.2">
      <c r="A106" s="1" t="s">
        <v>119</v>
      </c>
      <c r="C106" s="1" t="s">
        <v>192</v>
      </c>
      <c r="D106"/>
      <c r="E106"/>
      <c r="F106"/>
      <c r="G106" s="38" t="str">
        <f>PROPER($A$3)&amp;A106</f>
        <v>Option 1 (Base Case)NPV</v>
      </c>
      <c r="I106" s="31">
        <f>I87</f>
        <v>0</v>
      </c>
      <c r="J106" s="31">
        <f t="shared" ref="J106:AG106" si="19">J87</f>
        <v>0</v>
      </c>
      <c r="K106" s="31">
        <f t="shared" si="19"/>
        <v>0</v>
      </c>
      <c r="L106" s="31">
        <f t="shared" si="19"/>
        <v>0</v>
      </c>
      <c r="M106" s="31">
        <f t="shared" si="19"/>
        <v>0</v>
      </c>
      <c r="N106" s="31">
        <f t="shared" si="19"/>
        <v>0</v>
      </c>
      <c r="O106" s="31">
        <f t="shared" si="19"/>
        <v>0</v>
      </c>
      <c r="P106" s="31">
        <f t="shared" si="19"/>
        <v>0</v>
      </c>
      <c r="Q106" s="31">
        <f t="shared" si="19"/>
        <v>0</v>
      </c>
      <c r="R106" s="31">
        <f t="shared" si="19"/>
        <v>0</v>
      </c>
      <c r="S106" s="31">
        <f t="shared" si="19"/>
        <v>0</v>
      </c>
      <c r="T106" s="31">
        <f t="shared" si="19"/>
        <v>0</v>
      </c>
      <c r="U106" s="31">
        <f t="shared" si="19"/>
        <v>0</v>
      </c>
      <c r="V106" s="31">
        <f t="shared" si="19"/>
        <v>0</v>
      </c>
      <c r="W106" s="31">
        <f t="shared" si="19"/>
        <v>0</v>
      </c>
      <c r="X106" s="31">
        <f t="shared" si="19"/>
        <v>0</v>
      </c>
      <c r="Y106" s="31">
        <f t="shared" si="19"/>
        <v>0</v>
      </c>
      <c r="Z106" s="31">
        <f t="shared" si="19"/>
        <v>0</v>
      </c>
      <c r="AA106" s="31">
        <f t="shared" si="19"/>
        <v>0</v>
      </c>
      <c r="AB106" s="31">
        <f t="shared" si="19"/>
        <v>0</v>
      </c>
      <c r="AC106" s="31">
        <f t="shared" si="19"/>
        <v>0</v>
      </c>
      <c r="AD106" s="31">
        <f t="shared" si="19"/>
        <v>0</v>
      </c>
      <c r="AE106" s="31">
        <f t="shared" si="19"/>
        <v>0</v>
      </c>
      <c r="AF106" s="31">
        <f t="shared" si="19"/>
        <v>0</v>
      </c>
      <c r="AG106" s="31">
        <f t="shared" si="19"/>
        <v>0</v>
      </c>
    </row>
    <row r="107" spans="1:43" x14ac:dyDescent="0.2">
      <c r="C107" s="1" t="s">
        <v>161</v>
      </c>
      <c r="D107"/>
      <c r="E107"/>
      <c r="F107"/>
      <c r="G107"/>
      <c r="I107" s="31">
        <f>I82</f>
        <v>0</v>
      </c>
      <c r="J107" s="31">
        <f t="shared" ref="J107:AG107" si="20">J82</f>
        <v>0</v>
      </c>
      <c r="K107" s="31">
        <f t="shared" si="20"/>
        <v>0</v>
      </c>
      <c r="L107" s="31">
        <f t="shared" si="20"/>
        <v>0</v>
      </c>
      <c r="M107" s="31">
        <f t="shared" si="20"/>
        <v>0</v>
      </c>
      <c r="N107" s="31">
        <f t="shared" si="20"/>
        <v>0</v>
      </c>
      <c r="O107" s="31">
        <f t="shared" si="20"/>
        <v>0</v>
      </c>
      <c r="P107" s="31">
        <f t="shared" si="20"/>
        <v>0</v>
      </c>
      <c r="Q107" s="31">
        <f t="shared" si="20"/>
        <v>0</v>
      </c>
      <c r="R107" s="31">
        <f t="shared" si="20"/>
        <v>0</v>
      </c>
      <c r="S107" s="31">
        <f t="shared" si="20"/>
        <v>0</v>
      </c>
      <c r="T107" s="31">
        <f t="shared" si="20"/>
        <v>0</v>
      </c>
      <c r="U107" s="31">
        <f t="shared" si="20"/>
        <v>0</v>
      </c>
      <c r="V107" s="31">
        <f t="shared" si="20"/>
        <v>0</v>
      </c>
      <c r="W107" s="31">
        <f t="shared" si="20"/>
        <v>0</v>
      </c>
      <c r="X107" s="31">
        <f t="shared" si="20"/>
        <v>0</v>
      </c>
      <c r="Y107" s="31">
        <f t="shared" si="20"/>
        <v>0</v>
      </c>
      <c r="Z107" s="31">
        <f t="shared" si="20"/>
        <v>0</v>
      </c>
      <c r="AA107" s="31">
        <f t="shared" si="20"/>
        <v>0</v>
      </c>
      <c r="AB107" s="31">
        <f t="shared" si="20"/>
        <v>0</v>
      </c>
      <c r="AC107" s="31">
        <f t="shared" si="20"/>
        <v>0</v>
      </c>
      <c r="AD107" s="31">
        <f t="shared" si="20"/>
        <v>0</v>
      </c>
      <c r="AE107" s="31">
        <f t="shared" si="20"/>
        <v>0</v>
      </c>
      <c r="AF107" s="31">
        <f t="shared" si="20"/>
        <v>0</v>
      </c>
      <c r="AG107" s="31">
        <f t="shared" si="20"/>
        <v>0</v>
      </c>
    </row>
    <row r="108" spans="1:43" x14ac:dyDescent="0.2">
      <c r="C108" s="1" t="s">
        <v>243</v>
      </c>
      <c r="D108" s="253"/>
      <c r="E108" s="38"/>
      <c r="I108" s="31">
        <f>SUM(I84:I85)</f>
        <v>0</v>
      </c>
      <c r="J108" s="31">
        <f t="shared" ref="J108:AG108" si="21">SUM(J84:J85)</f>
        <v>0</v>
      </c>
      <c r="K108" s="31">
        <f t="shared" si="21"/>
        <v>0</v>
      </c>
      <c r="L108" s="31">
        <f t="shared" si="21"/>
        <v>0</v>
      </c>
      <c r="M108" s="31">
        <f t="shared" si="21"/>
        <v>0</v>
      </c>
      <c r="N108" s="31">
        <f t="shared" si="21"/>
        <v>0</v>
      </c>
      <c r="O108" s="31">
        <f t="shared" si="21"/>
        <v>0</v>
      </c>
      <c r="P108" s="31">
        <f t="shared" si="21"/>
        <v>0</v>
      </c>
      <c r="Q108" s="31">
        <f t="shared" si="21"/>
        <v>0</v>
      </c>
      <c r="R108" s="31">
        <f t="shared" si="21"/>
        <v>0</v>
      </c>
      <c r="S108" s="31">
        <f t="shared" si="21"/>
        <v>0</v>
      </c>
      <c r="T108" s="31">
        <f t="shared" si="21"/>
        <v>0</v>
      </c>
      <c r="U108" s="31">
        <f t="shared" si="21"/>
        <v>0</v>
      </c>
      <c r="V108" s="31">
        <f t="shared" si="21"/>
        <v>0</v>
      </c>
      <c r="W108" s="31">
        <f t="shared" si="21"/>
        <v>0</v>
      </c>
      <c r="X108" s="31">
        <f t="shared" si="21"/>
        <v>0</v>
      </c>
      <c r="Y108" s="31">
        <f t="shared" si="21"/>
        <v>0</v>
      </c>
      <c r="Z108" s="31">
        <f t="shared" si="21"/>
        <v>0</v>
      </c>
      <c r="AA108" s="31">
        <f t="shared" si="21"/>
        <v>0</v>
      </c>
      <c r="AB108" s="31">
        <f t="shared" si="21"/>
        <v>0</v>
      </c>
      <c r="AC108" s="31">
        <f t="shared" si="21"/>
        <v>0</v>
      </c>
      <c r="AD108" s="31">
        <f t="shared" si="21"/>
        <v>0</v>
      </c>
      <c r="AE108" s="31">
        <f t="shared" si="21"/>
        <v>0</v>
      </c>
      <c r="AF108" s="31">
        <f t="shared" si="21"/>
        <v>0</v>
      </c>
      <c r="AG108" s="31">
        <f t="shared" si="21"/>
        <v>0</v>
      </c>
    </row>
    <row r="109" spans="1:43" x14ac:dyDescent="0.2">
      <c r="D109" s="302" t="str">
        <f>Assumptions!G114</f>
        <v>Capex</v>
      </c>
      <c r="E109" s="302" t="str">
        <f>Assumptions!H114</f>
        <v>Total benefits</v>
      </c>
      <c r="I109" s="243"/>
      <c r="J109" s="243"/>
      <c r="K109" s="243"/>
      <c r="L109" s="243"/>
      <c r="M109" s="243"/>
      <c r="N109" s="243"/>
      <c r="O109" s="243"/>
      <c r="P109" s="243"/>
      <c r="Q109" s="243"/>
      <c r="R109" s="243"/>
      <c r="S109" s="243"/>
      <c r="T109" s="243"/>
      <c r="U109" s="243"/>
      <c r="V109" s="243"/>
      <c r="W109" s="243"/>
      <c r="X109" s="243"/>
      <c r="Y109" s="243"/>
      <c r="Z109" s="243"/>
    </row>
    <row r="110" spans="1:43" x14ac:dyDescent="0.2">
      <c r="A110" s="1" t="str">
        <f>"sens"&amp;Assumptions!B115</f>
        <v>sens1</v>
      </c>
      <c r="C110" s="301" t="str">
        <f>Assumptions!C115</f>
        <v>Capex 10% higher</v>
      </c>
      <c r="D110" s="302">
        <f>Assumptions!G115</f>
        <v>0.1</v>
      </c>
      <c r="E110" s="302">
        <f>Assumptions!H115</f>
        <v>0</v>
      </c>
      <c r="G110" s="38" t="str">
        <f>PROPER($A$3)&amp;A110</f>
        <v>Option 1 (Base Case)sens1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0</v>
      </c>
      <c r="N110" s="31" cm="1">
        <f t="array" ref="N110">N$106+IF($C110&lt;&gt;0,SUMPRODUCT((N$107:N$108)*TRANSPOSE(($D110:$E110))),0)</f>
        <v>0</v>
      </c>
      <c r="O110" s="31" cm="1">
        <f t="array" ref="O110">O$106+IF($C110&lt;&gt;0,SUMPRODUCT((O$107:O$108)*TRANSPOSE(($D110:$E110))),0)</f>
        <v>0</v>
      </c>
      <c r="P110" s="31" cm="1">
        <f t="array" ref="P110">P$106+IF($C110&lt;&gt;0,SUMPRODUCT((P$107:P$108)*TRANSPOSE(($D110:$E110))),0)</f>
        <v>0</v>
      </c>
      <c r="Q110" s="31" cm="1">
        <f t="array" ref="Q110">Q$106+IF($C110&lt;&gt;0,SUMPRODUCT((Q$107:Q$108)*TRANSPOSE(($D110:$E110))),0)</f>
        <v>0</v>
      </c>
      <c r="R110" s="31" cm="1">
        <f t="array" ref="R110">R$106+IF($C110&lt;&gt;0,SUMPRODUCT((R$107:R$108)*TRANSPOSE(($D110:$E110))),0)</f>
        <v>0</v>
      </c>
      <c r="S110" s="31" cm="1">
        <f t="array" ref="S110">S$106+IF($C110&lt;&gt;0,SUMPRODUCT((S$107:S$108)*TRANSPOSE(($D110:$E110))),0)</f>
        <v>0</v>
      </c>
      <c r="T110" s="31" cm="1">
        <f t="array" ref="T110">T$106+IF($C110&lt;&gt;0,SUMPRODUCT((T$107:T$108)*TRANSPOSE(($D110:$E110))),0)</f>
        <v>0</v>
      </c>
      <c r="U110" s="31" cm="1">
        <f t="array" ref="U110">U$106+IF($C110&lt;&gt;0,SUMPRODUCT((U$107:U$108)*TRANSPOSE(($D110:$E110))),0)</f>
        <v>0</v>
      </c>
      <c r="V110" s="31" cm="1">
        <f t="array" ref="V110">V$106+IF($C110&lt;&gt;0,SUMPRODUCT((V$107:V$108)*TRANSPOSE(($D110:$E110))),0)</f>
        <v>0</v>
      </c>
      <c r="W110" s="31" cm="1">
        <f t="array" ref="W110">W$106+IF($C110&lt;&gt;0,SUMPRODUCT((W$107:W$108)*TRANSPOSE(($D110:$E110))),0)</f>
        <v>0</v>
      </c>
      <c r="X110" s="31" cm="1">
        <f t="array" ref="X110">X$106+IF($C110&lt;&gt;0,SUMPRODUCT((X$107:X$108)*TRANSPOSE(($D110:$E110))),0)</f>
        <v>0</v>
      </c>
      <c r="Y110" s="31" cm="1">
        <f t="array" ref="Y110">Y$106+IF($C110&lt;&gt;0,SUMPRODUCT((Y$107:Y$108)*TRANSPOSE(($D110:$E110))),0)</f>
        <v>0</v>
      </c>
      <c r="Z110" s="31" cm="1">
        <f t="array" ref="Z110">Z$106+IF($C110&lt;&gt;0,SUMPRODUCT((Z$107:Z$108)*TRANSPOSE(($D110:$E110))),0)</f>
        <v>0</v>
      </c>
      <c r="AA110" s="31" cm="1">
        <f t="array" ref="AA110">AA$106+IF($C110&lt;&gt;0,SUMPRODUCT((AA$107:AA$108)*TRANSPOSE(($D110:$E110))),0)</f>
        <v>0</v>
      </c>
      <c r="AB110" s="31" cm="1">
        <f t="array" ref="AB110">AB$106+IF($C110&lt;&gt;0,SUMPRODUCT((AB$107:AB$108)*TRANSPOSE(($D110:$E110))),0)</f>
        <v>0</v>
      </c>
      <c r="AC110" s="31" cm="1">
        <f t="array" ref="AC110">AC$106+IF($C110&lt;&gt;0,SUMPRODUCT((AC$107:AC$108)*TRANSPOSE(($D110:$E110))),0)</f>
        <v>0</v>
      </c>
      <c r="AD110" s="31" cm="1">
        <f t="array" ref="AD110">AD$106+IF($C110&lt;&gt;0,SUMPRODUCT((AD$107:AD$108)*TRANSPOSE(($D110:$E110))),0)</f>
        <v>0</v>
      </c>
      <c r="AE110" s="31" cm="1">
        <f t="array" ref="AE110">AE$106+IF($C110&lt;&gt;0,SUMPRODUCT((AE$107:AE$108)*TRANSPOSE(($D110:$E110))),0)</f>
        <v>0</v>
      </c>
      <c r="AF110" s="31" cm="1">
        <f t="array" ref="AF110">AF$106+IF($C110&lt;&gt;0,SUMPRODUCT((AF$107:AF$108)*TRANSPOSE(($D110:$E110))),0)</f>
        <v>0</v>
      </c>
      <c r="AG110" s="31" cm="1">
        <f t="array" ref="AG110">AG$106+IF($C110&lt;&gt;0,SUMPRODUCT((AG$107:AG$108)*TRANSPOSE(($D110:$E110))),0)</f>
        <v>0</v>
      </c>
    </row>
    <row r="111" spans="1:43" x14ac:dyDescent="0.2">
      <c r="A111" s="1" t="str">
        <f>"sens"&amp;Assumptions!B116</f>
        <v>sens2</v>
      </c>
      <c r="C111" s="301" t="str">
        <f>Assumptions!C116</f>
        <v>Capex 10% lower</v>
      </c>
      <c r="D111" s="302">
        <f>Assumptions!G116</f>
        <v>-0.1</v>
      </c>
      <c r="E111" s="302">
        <f>Assumptions!H116</f>
        <v>0</v>
      </c>
      <c r="G111" s="38" t="str">
        <f t="shared" ref="G111:G117" si="22">PROPER($A$3)&amp;A111</f>
        <v>Option 1 (Base Case)sens2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0</v>
      </c>
      <c r="N111" s="31" cm="1">
        <f t="array" ref="N111">N$106+IF($C111&lt;&gt;0,SUMPRODUCT((N$107:N$108)*TRANSPOSE(($D111:$E111))),0)</f>
        <v>0</v>
      </c>
      <c r="O111" s="31" cm="1">
        <f t="array" ref="O111">O$106+IF($C111&lt;&gt;0,SUMPRODUCT((O$107:O$108)*TRANSPOSE(($D111:$E111))),0)</f>
        <v>0</v>
      </c>
      <c r="P111" s="31" cm="1">
        <f t="array" ref="P111">P$106+IF($C111&lt;&gt;0,SUMPRODUCT((P$107:P$108)*TRANSPOSE(($D111:$E111))),0)</f>
        <v>0</v>
      </c>
      <c r="Q111" s="31" cm="1">
        <f t="array" ref="Q111">Q$106+IF($C111&lt;&gt;0,SUMPRODUCT((Q$107:Q$108)*TRANSPOSE(($D111:$E111))),0)</f>
        <v>0</v>
      </c>
      <c r="R111" s="31" cm="1">
        <f t="array" ref="R111">R$106+IF($C111&lt;&gt;0,SUMPRODUCT((R$107:R$108)*TRANSPOSE(($D111:$E111))),0)</f>
        <v>0</v>
      </c>
      <c r="S111" s="31" cm="1">
        <f t="array" ref="S111">S$106+IF($C111&lt;&gt;0,SUMPRODUCT((S$107:S$108)*TRANSPOSE(($D111:$E111))),0)</f>
        <v>0</v>
      </c>
      <c r="T111" s="31" cm="1">
        <f t="array" ref="T111">T$106+IF($C111&lt;&gt;0,SUMPRODUCT((T$107:T$108)*TRANSPOSE(($D111:$E111))),0)</f>
        <v>0</v>
      </c>
      <c r="U111" s="31" cm="1">
        <f t="array" ref="U111">U$106+IF($C111&lt;&gt;0,SUMPRODUCT((U$107:U$108)*TRANSPOSE(($D111:$E111))),0)</f>
        <v>0</v>
      </c>
      <c r="V111" s="31" cm="1">
        <f t="array" ref="V111">V$106+IF($C111&lt;&gt;0,SUMPRODUCT((V$107:V$108)*TRANSPOSE(($D111:$E111))),0)</f>
        <v>0</v>
      </c>
      <c r="W111" s="31" cm="1">
        <f t="array" ref="W111">W$106+IF($C111&lt;&gt;0,SUMPRODUCT((W$107:W$108)*TRANSPOSE(($D111:$E111))),0)</f>
        <v>0</v>
      </c>
      <c r="X111" s="31" cm="1">
        <f t="array" ref="X111">X$106+IF($C111&lt;&gt;0,SUMPRODUCT((X$107:X$108)*TRANSPOSE(($D111:$E111))),0)</f>
        <v>0</v>
      </c>
      <c r="Y111" s="31" cm="1">
        <f t="array" ref="Y111">Y$106+IF($C111&lt;&gt;0,SUMPRODUCT((Y$107:Y$108)*TRANSPOSE(($D111:$E111))),0)</f>
        <v>0</v>
      </c>
      <c r="Z111" s="31" cm="1">
        <f t="array" ref="Z111">Z$106+IF($C111&lt;&gt;0,SUMPRODUCT((Z$107:Z$108)*TRANSPOSE(($D111:$E111))),0)</f>
        <v>0</v>
      </c>
      <c r="AA111" s="31" cm="1">
        <f t="array" ref="AA111">AA$106+IF($C111&lt;&gt;0,SUMPRODUCT((AA$107:AA$108)*TRANSPOSE(($D111:$E111))),0)</f>
        <v>0</v>
      </c>
      <c r="AB111" s="31" cm="1">
        <f t="array" ref="AB111">AB$106+IF($C111&lt;&gt;0,SUMPRODUCT((AB$107:AB$108)*TRANSPOSE(($D111:$E111))),0)</f>
        <v>0</v>
      </c>
      <c r="AC111" s="31" cm="1">
        <f t="array" ref="AC111">AC$106+IF($C111&lt;&gt;0,SUMPRODUCT((AC$107:AC$108)*TRANSPOSE(($D111:$E111))),0)</f>
        <v>0</v>
      </c>
      <c r="AD111" s="31" cm="1">
        <f t="array" ref="AD111">AD$106+IF($C111&lt;&gt;0,SUMPRODUCT((AD$107:AD$108)*TRANSPOSE(($D111:$E111))),0)</f>
        <v>0</v>
      </c>
      <c r="AE111" s="31" cm="1">
        <f t="array" ref="AE111">AE$106+IF($C111&lt;&gt;0,SUMPRODUCT((AE$107:AE$108)*TRANSPOSE(($D111:$E111))),0)</f>
        <v>0</v>
      </c>
      <c r="AF111" s="31" cm="1">
        <f t="array" ref="AF111">AF$106+IF($C111&lt;&gt;0,SUMPRODUCT((AF$107:AF$108)*TRANSPOSE(($D111:$E111))),0)</f>
        <v>0</v>
      </c>
      <c r="AG111" s="31" cm="1">
        <f t="array" ref="AG111">AG$106+IF($C111&lt;&gt;0,SUMPRODUCT((AG$107:AG$108)*TRANSPOSE(($D111:$E111))),0)</f>
        <v>0</v>
      </c>
    </row>
    <row r="112" spans="1:43" x14ac:dyDescent="0.2">
      <c r="A112" s="1" t="str">
        <f>"sens"&amp;Assumptions!B117</f>
        <v>sens3</v>
      </c>
      <c r="C112" s="301" t="str">
        <f>Assumptions!C117</f>
        <v>Increasing wind escalation</v>
      </c>
      <c r="D112" s="302">
        <f>Assumptions!G117</f>
        <v>0</v>
      </c>
      <c r="E112" s="302">
        <f>Assumptions!H117</f>
        <v>0.15</v>
      </c>
      <c r="G112" s="38" t="str">
        <f t="shared" si="22"/>
        <v>Option 1 (Base Case)sens3</v>
      </c>
      <c r="I112" s="31" cm="1">
        <f t="array" ref="I112">I$106+IF($C112&lt;&gt;0,SUMPRODUCT((I$107:I$108)*TRANSPOSE(($D112:$E112))),0)</f>
        <v>0</v>
      </c>
      <c r="J112" s="31" cm="1">
        <f t="array" ref="J112">J$106+IF($C112&lt;&gt;0,SUMPRODUCT((J$107:J$108)*TRANSPOSE(($D112:$E112))),0)</f>
        <v>0</v>
      </c>
      <c r="K112" s="31" cm="1">
        <f t="array" ref="K112">K$106+IF($C112&lt;&gt;0,SUMPRODUCT((K$107:K$108)*TRANSPOSE(($D112:$E112))),0)</f>
        <v>0</v>
      </c>
      <c r="L112" s="31" cm="1">
        <f t="array" ref="L112">L$106+IF($C112&lt;&gt;0,SUMPRODUCT((L$107:L$108)*TRANSPOSE(($D112:$E112))),0)</f>
        <v>0</v>
      </c>
      <c r="M112" s="31" cm="1">
        <f t="array" ref="M112">M$106+IF($C112&lt;&gt;0,SUMPRODUCT((M$107:M$108)*TRANSPOSE(($D112:$E112))),0)</f>
        <v>0</v>
      </c>
      <c r="N112" s="31" cm="1">
        <f t="array" ref="N112">N$106+IF($C112&lt;&gt;0,SUMPRODUCT((N$107:N$108)*TRANSPOSE(($D112:$E112))),0)</f>
        <v>0</v>
      </c>
      <c r="O112" s="31" cm="1">
        <f t="array" ref="O112">O$106+IF($C112&lt;&gt;0,SUMPRODUCT((O$107:O$108)*TRANSPOSE(($D112:$E112))),0)</f>
        <v>0</v>
      </c>
      <c r="P112" s="31" cm="1">
        <f t="array" ref="P112">P$106+IF($C112&lt;&gt;0,SUMPRODUCT((P$107:P$108)*TRANSPOSE(($D112:$E112))),0)</f>
        <v>0</v>
      </c>
      <c r="Q112" s="31" cm="1">
        <f t="array" ref="Q112">Q$106+IF($C112&lt;&gt;0,SUMPRODUCT((Q$107:Q$108)*TRANSPOSE(($D112:$E112))),0)</f>
        <v>0</v>
      </c>
      <c r="R112" s="31" cm="1">
        <f t="array" ref="R112">R$106+IF($C112&lt;&gt;0,SUMPRODUCT((R$107:R$108)*TRANSPOSE(($D112:$E112))),0)</f>
        <v>0</v>
      </c>
      <c r="S112" s="31" cm="1">
        <f t="array" ref="S112">S$106+IF($C112&lt;&gt;0,SUMPRODUCT((S$107:S$108)*TRANSPOSE(($D112:$E112))),0)</f>
        <v>0</v>
      </c>
      <c r="T112" s="31" cm="1">
        <f t="array" ref="T112">T$106+IF($C112&lt;&gt;0,SUMPRODUCT((T$107:T$108)*TRANSPOSE(($D112:$E112))),0)</f>
        <v>0</v>
      </c>
      <c r="U112" s="31" cm="1">
        <f t="array" ref="U112">U$106+IF($C112&lt;&gt;0,SUMPRODUCT((U$107:U$108)*TRANSPOSE(($D112:$E112))),0)</f>
        <v>0</v>
      </c>
      <c r="V112" s="31" cm="1">
        <f t="array" ref="V112">V$106+IF($C112&lt;&gt;0,SUMPRODUCT((V$107:V$108)*TRANSPOSE(($D112:$E112))),0)</f>
        <v>0</v>
      </c>
      <c r="W112" s="31" cm="1">
        <f t="array" ref="W112">W$106+IF($C112&lt;&gt;0,SUMPRODUCT((W$107:W$108)*TRANSPOSE(($D112:$E112))),0)</f>
        <v>0</v>
      </c>
      <c r="X112" s="31" cm="1">
        <f t="array" ref="X112">X$106+IF($C112&lt;&gt;0,SUMPRODUCT((X$107:X$108)*TRANSPOSE(($D112:$E112))),0)</f>
        <v>0</v>
      </c>
      <c r="Y112" s="31" cm="1">
        <f t="array" ref="Y112">Y$106+IF($C112&lt;&gt;0,SUMPRODUCT((Y$107:Y$108)*TRANSPOSE(($D112:$E112))),0)</f>
        <v>0</v>
      </c>
      <c r="Z112" s="31" cm="1">
        <f t="array" ref="Z112">Z$106+IF($C112&lt;&gt;0,SUMPRODUCT((Z$107:Z$108)*TRANSPOSE(($D112:$E112))),0)</f>
        <v>0</v>
      </c>
      <c r="AA112" s="31" cm="1">
        <f t="array" ref="AA112">AA$106+IF($C112&lt;&gt;0,SUMPRODUCT((AA$107:AA$108)*TRANSPOSE(($D112:$E112))),0)</f>
        <v>0</v>
      </c>
      <c r="AB112" s="31" cm="1">
        <f t="array" ref="AB112">AB$106+IF($C112&lt;&gt;0,SUMPRODUCT((AB$107:AB$108)*TRANSPOSE(($D112:$E112))),0)</f>
        <v>0</v>
      </c>
      <c r="AC112" s="31" cm="1">
        <f t="array" ref="AC112">AC$106+IF($C112&lt;&gt;0,SUMPRODUCT((AC$107:AC$108)*TRANSPOSE(($D112:$E112))),0)</f>
        <v>0</v>
      </c>
      <c r="AD112" s="31" cm="1">
        <f t="array" ref="AD112">AD$106+IF($C112&lt;&gt;0,SUMPRODUCT((AD$107:AD$108)*TRANSPOSE(($D112:$E112))),0)</f>
        <v>0</v>
      </c>
      <c r="AE112" s="31" cm="1">
        <f t="array" ref="AE112">AE$106+IF($C112&lt;&gt;0,SUMPRODUCT((AE$107:AE$108)*TRANSPOSE(($D112:$E112))),0)</f>
        <v>0</v>
      </c>
      <c r="AF112" s="31" cm="1">
        <f t="array" ref="AF112">AF$106+IF($C112&lt;&gt;0,SUMPRODUCT((AF$107:AF$108)*TRANSPOSE(($D112:$E112))),0)</f>
        <v>0</v>
      </c>
      <c r="AG112" s="31" cm="1">
        <f t="array" ref="AG112">AG$106+IF($C112&lt;&gt;0,SUMPRODUCT((AG$107:AG$108)*TRANSPOSE(($D112:$E112))),0)</f>
        <v>0</v>
      </c>
    </row>
    <row r="113" spans="1:33" x14ac:dyDescent="0.2">
      <c r="A113" s="1" t="str">
        <f>"sens"&amp;Assumptions!B118</f>
        <v>sens4</v>
      </c>
      <c r="C113" s="301" t="str">
        <f>Assumptions!C118</f>
        <v/>
      </c>
      <c r="D113" s="302">
        <f>Assumptions!G118</f>
        <v>0</v>
      </c>
      <c r="E113" s="302">
        <f>Assumptions!H118</f>
        <v>0</v>
      </c>
      <c r="G113" s="38" t="str">
        <f t="shared" si="22"/>
        <v>Option 1 (Base Case)sens4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0</v>
      </c>
      <c r="N113" s="31" cm="1">
        <f t="array" ref="N113">N$106+IF($C113&lt;&gt;0,SUMPRODUCT((N$107:N$108)*TRANSPOSE(($D113:$E113))),0)</f>
        <v>0</v>
      </c>
      <c r="O113" s="31" cm="1">
        <f t="array" ref="O113">O$106+IF($C113&lt;&gt;0,SUMPRODUCT((O$107:O$108)*TRANSPOSE(($D113:$E113))),0)</f>
        <v>0</v>
      </c>
      <c r="P113" s="31" cm="1">
        <f t="array" ref="P113">P$106+IF($C113&lt;&gt;0,SUMPRODUCT((P$107:P$108)*TRANSPOSE(($D113:$E113))),0)</f>
        <v>0</v>
      </c>
      <c r="Q113" s="31" cm="1">
        <f t="array" ref="Q113">Q$106+IF($C113&lt;&gt;0,SUMPRODUCT((Q$107:Q$108)*TRANSPOSE(($D113:$E113))),0)</f>
        <v>0</v>
      </c>
      <c r="R113" s="31" cm="1">
        <f t="array" ref="R113">R$106+IF($C113&lt;&gt;0,SUMPRODUCT((R$107:R$108)*TRANSPOSE(($D113:$E113))),0)</f>
        <v>0</v>
      </c>
      <c r="S113" s="31" cm="1">
        <f t="array" ref="S113">S$106+IF($C113&lt;&gt;0,SUMPRODUCT((S$107:S$108)*TRANSPOSE(($D113:$E113))),0)</f>
        <v>0</v>
      </c>
      <c r="T113" s="31" cm="1">
        <f t="array" ref="T113">T$106+IF($C113&lt;&gt;0,SUMPRODUCT((T$107:T$108)*TRANSPOSE(($D113:$E113))),0)</f>
        <v>0</v>
      </c>
      <c r="U113" s="31" cm="1">
        <f t="array" ref="U113">U$106+IF($C113&lt;&gt;0,SUMPRODUCT((U$107:U$108)*TRANSPOSE(($D113:$E113))),0)</f>
        <v>0</v>
      </c>
      <c r="V113" s="31" cm="1">
        <f t="array" ref="V113">V$106+IF($C113&lt;&gt;0,SUMPRODUCT((V$107:V$108)*TRANSPOSE(($D113:$E113))),0)</f>
        <v>0</v>
      </c>
      <c r="W113" s="31" cm="1">
        <f t="array" ref="W113">W$106+IF($C113&lt;&gt;0,SUMPRODUCT((W$107:W$108)*TRANSPOSE(($D113:$E113))),0)</f>
        <v>0</v>
      </c>
      <c r="X113" s="31" cm="1">
        <f t="array" ref="X113">X$106+IF($C113&lt;&gt;0,SUMPRODUCT((X$107:X$108)*TRANSPOSE(($D113:$E113))),0)</f>
        <v>0</v>
      </c>
      <c r="Y113" s="31" cm="1">
        <f t="array" ref="Y113">Y$106+IF($C113&lt;&gt;0,SUMPRODUCT((Y$107:Y$108)*TRANSPOSE(($D113:$E113))),0)</f>
        <v>0</v>
      </c>
      <c r="Z113" s="31" cm="1">
        <f t="array" ref="Z113">Z$106+IF($C113&lt;&gt;0,SUMPRODUCT((Z$107:Z$108)*TRANSPOSE(($D113:$E113))),0)</f>
        <v>0</v>
      </c>
      <c r="AA113" s="31" cm="1">
        <f t="array" ref="AA113">AA$106+IF($C113&lt;&gt;0,SUMPRODUCT((AA$107:AA$108)*TRANSPOSE(($D113:$E113))),0)</f>
        <v>0</v>
      </c>
      <c r="AB113" s="31" cm="1">
        <f t="array" ref="AB113">AB$106+IF($C113&lt;&gt;0,SUMPRODUCT((AB$107:AB$108)*TRANSPOSE(($D113:$E113))),0)</f>
        <v>0</v>
      </c>
      <c r="AC113" s="31" cm="1">
        <f t="array" ref="AC113">AC$106+IF($C113&lt;&gt;0,SUMPRODUCT((AC$107:AC$108)*TRANSPOSE(($D113:$E113))),0)</f>
        <v>0</v>
      </c>
      <c r="AD113" s="31" cm="1">
        <f t="array" ref="AD113">AD$106+IF($C113&lt;&gt;0,SUMPRODUCT((AD$107:AD$108)*TRANSPOSE(($D113:$E113))),0)</f>
        <v>0</v>
      </c>
      <c r="AE113" s="31" cm="1">
        <f t="array" ref="AE113">AE$106+IF($C113&lt;&gt;0,SUMPRODUCT((AE$107:AE$108)*TRANSPOSE(($D113:$E113))),0)</f>
        <v>0</v>
      </c>
      <c r="AF113" s="31" cm="1">
        <f t="array" ref="AF113">AF$106+IF($C113&lt;&gt;0,SUMPRODUCT((AF$107:AF$108)*TRANSPOSE(($D113:$E113))),0)</f>
        <v>0</v>
      </c>
      <c r="AG113" s="31" cm="1">
        <f t="array" ref="AG113">AG$106+IF($C113&lt;&gt;0,SUMPRODUCT((AG$107:AG$108)*TRANSPOSE(($D113:$E113))),0)</f>
        <v>0</v>
      </c>
    </row>
    <row r="114" spans="1:33" x14ac:dyDescent="0.2">
      <c r="A114" s="1" t="str">
        <f>"sens"&amp;Assumptions!B119</f>
        <v>sens5</v>
      </c>
      <c r="C114" s="301" t="str">
        <f>Assumptions!C119</f>
        <v/>
      </c>
      <c r="D114" s="302">
        <f>Assumptions!G119</f>
        <v>0</v>
      </c>
      <c r="E114" s="302">
        <f>Assumptions!H119</f>
        <v>0</v>
      </c>
      <c r="G114" s="38" t="str">
        <f t="shared" si="22"/>
        <v>Option 1 (Base Case)sens5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0</v>
      </c>
      <c r="N114" s="31" cm="1">
        <f t="array" ref="N114">N$106+IF($C114&lt;&gt;0,SUMPRODUCT((N$107:N$108)*TRANSPOSE(($D114:$E114))),0)</f>
        <v>0</v>
      </c>
      <c r="O114" s="31" cm="1">
        <f t="array" ref="O114">O$106+IF($C114&lt;&gt;0,SUMPRODUCT((O$107:O$108)*TRANSPOSE(($D114:$E114))),0)</f>
        <v>0</v>
      </c>
      <c r="P114" s="31" cm="1">
        <f t="array" ref="P114">P$106+IF($C114&lt;&gt;0,SUMPRODUCT((P$107:P$108)*TRANSPOSE(($D114:$E114))),0)</f>
        <v>0</v>
      </c>
      <c r="Q114" s="31" cm="1">
        <f t="array" ref="Q114">Q$106+IF($C114&lt;&gt;0,SUMPRODUCT((Q$107:Q$108)*TRANSPOSE(($D114:$E114))),0)</f>
        <v>0</v>
      </c>
      <c r="R114" s="31" cm="1">
        <f t="array" ref="R114">R$106+IF($C114&lt;&gt;0,SUMPRODUCT((R$107:R$108)*TRANSPOSE(($D114:$E114))),0)</f>
        <v>0</v>
      </c>
      <c r="S114" s="31" cm="1">
        <f t="array" ref="S114">S$106+IF($C114&lt;&gt;0,SUMPRODUCT((S$107:S$108)*TRANSPOSE(($D114:$E114))),0)</f>
        <v>0</v>
      </c>
      <c r="T114" s="31" cm="1">
        <f t="array" ref="T114">T$106+IF($C114&lt;&gt;0,SUMPRODUCT((T$107:T$108)*TRANSPOSE(($D114:$E114))),0)</f>
        <v>0</v>
      </c>
      <c r="U114" s="31" cm="1">
        <f t="array" ref="U114">U$106+IF($C114&lt;&gt;0,SUMPRODUCT((U$107:U$108)*TRANSPOSE(($D114:$E114))),0)</f>
        <v>0</v>
      </c>
      <c r="V114" s="31" cm="1">
        <f t="array" ref="V114">V$106+IF($C114&lt;&gt;0,SUMPRODUCT((V$107:V$108)*TRANSPOSE(($D114:$E114))),0)</f>
        <v>0</v>
      </c>
      <c r="W114" s="31" cm="1">
        <f t="array" ref="W114">W$106+IF($C114&lt;&gt;0,SUMPRODUCT((W$107:W$108)*TRANSPOSE(($D114:$E114))),0)</f>
        <v>0</v>
      </c>
      <c r="X114" s="31" cm="1">
        <f t="array" ref="X114">X$106+IF($C114&lt;&gt;0,SUMPRODUCT((X$107:X$108)*TRANSPOSE(($D114:$E114))),0)</f>
        <v>0</v>
      </c>
      <c r="Y114" s="31" cm="1">
        <f t="array" ref="Y114">Y$106+IF($C114&lt;&gt;0,SUMPRODUCT((Y$107:Y$108)*TRANSPOSE(($D114:$E114))),0)</f>
        <v>0</v>
      </c>
      <c r="Z114" s="31" cm="1">
        <f t="array" ref="Z114">Z$106+IF($C114&lt;&gt;0,SUMPRODUCT((Z$107:Z$108)*TRANSPOSE(($D114:$E114))),0)</f>
        <v>0</v>
      </c>
      <c r="AA114" s="31" cm="1">
        <f t="array" ref="AA114">AA$106+IF($C114&lt;&gt;0,SUMPRODUCT((AA$107:AA$108)*TRANSPOSE(($D114:$E114))),0)</f>
        <v>0</v>
      </c>
      <c r="AB114" s="31" cm="1">
        <f t="array" ref="AB114">AB$106+IF($C114&lt;&gt;0,SUMPRODUCT((AB$107:AB$108)*TRANSPOSE(($D114:$E114))),0)</f>
        <v>0</v>
      </c>
      <c r="AC114" s="31" cm="1">
        <f t="array" ref="AC114">AC$106+IF($C114&lt;&gt;0,SUMPRODUCT((AC$107:AC$108)*TRANSPOSE(($D114:$E114))),0)</f>
        <v>0</v>
      </c>
      <c r="AD114" s="31" cm="1">
        <f t="array" ref="AD114">AD$106+IF($C114&lt;&gt;0,SUMPRODUCT((AD$107:AD$108)*TRANSPOSE(($D114:$E114))),0)</f>
        <v>0</v>
      </c>
      <c r="AE114" s="31" cm="1">
        <f t="array" ref="AE114">AE$106+IF($C114&lt;&gt;0,SUMPRODUCT((AE$107:AE$108)*TRANSPOSE(($D114:$E114))),0)</f>
        <v>0</v>
      </c>
      <c r="AF114" s="31" cm="1">
        <f t="array" ref="AF114">AF$106+IF($C114&lt;&gt;0,SUMPRODUCT((AF$107:AF$108)*TRANSPOSE(($D114:$E114))),0)</f>
        <v>0</v>
      </c>
      <c r="AG114" s="31" cm="1">
        <f t="array" ref="AG114">AG$106+IF($C114&lt;&gt;0,SUMPRODUCT((AG$107:AG$108)*TRANSPOSE(($D114:$E114))),0)</f>
        <v>0</v>
      </c>
    </row>
    <row r="115" spans="1:33" x14ac:dyDescent="0.2">
      <c r="A115" s="1" t="str">
        <f>"sens"&amp;Assumptions!B120</f>
        <v>sens</v>
      </c>
      <c r="C115" s="301">
        <f>Assumptions!C120</f>
        <v>0</v>
      </c>
      <c r="D115" s="302">
        <f>Assumptions!G120</f>
        <v>0</v>
      </c>
      <c r="E115" s="302">
        <f>Assumptions!H120</f>
        <v>0</v>
      </c>
      <c r="G115" s="38" t="str">
        <f t="shared" si="22"/>
        <v>Option 1 (Base Case)sens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0</v>
      </c>
      <c r="N115" s="31" cm="1">
        <f t="array" ref="N115">N$106+IF($C115&lt;&gt;0,SUMPRODUCT((N$107:N$108)*TRANSPOSE(($D115:$E115))),0)</f>
        <v>0</v>
      </c>
      <c r="O115" s="31" cm="1">
        <f t="array" ref="O115">O$106+IF($C115&lt;&gt;0,SUMPRODUCT((O$107:O$108)*TRANSPOSE(($D115:$E115))),0)</f>
        <v>0</v>
      </c>
      <c r="P115" s="31" cm="1">
        <f t="array" ref="P115">P$106+IF($C115&lt;&gt;0,SUMPRODUCT((P$107:P$108)*TRANSPOSE(($D115:$E115))),0)</f>
        <v>0</v>
      </c>
      <c r="Q115" s="31" cm="1">
        <f t="array" ref="Q115">Q$106+IF($C115&lt;&gt;0,SUMPRODUCT((Q$107:Q$108)*TRANSPOSE(($D115:$E115))),0)</f>
        <v>0</v>
      </c>
      <c r="R115" s="31" cm="1">
        <f t="array" ref="R115">R$106+IF($C115&lt;&gt;0,SUMPRODUCT((R$107:R$108)*TRANSPOSE(($D115:$E115))),0)</f>
        <v>0</v>
      </c>
      <c r="S115" s="31" cm="1">
        <f t="array" ref="S115">S$106+IF($C115&lt;&gt;0,SUMPRODUCT((S$107:S$108)*TRANSPOSE(($D115:$E115))),0)</f>
        <v>0</v>
      </c>
      <c r="T115" s="31" cm="1">
        <f t="array" ref="T115">T$106+IF($C115&lt;&gt;0,SUMPRODUCT((T$107:T$108)*TRANSPOSE(($D115:$E115))),0)</f>
        <v>0</v>
      </c>
      <c r="U115" s="31" cm="1">
        <f t="array" ref="U115">U$106+IF($C115&lt;&gt;0,SUMPRODUCT((U$107:U$108)*TRANSPOSE(($D115:$E115))),0)</f>
        <v>0</v>
      </c>
      <c r="V115" s="31" cm="1">
        <f t="array" ref="V115">V$106+IF($C115&lt;&gt;0,SUMPRODUCT((V$107:V$108)*TRANSPOSE(($D115:$E115))),0)</f>
        <v>0</v>
      </c>
      <c r="W115" s="31" cm="1">
        <f t="array" ref="W115">W$106+IF($C115&lt;&gt;0,SUMPRODUCT((W$107:W$108)*TRANSPOSE(($D115:$E115))),0)</f>
        <v>0</v>
      </c>
      <c r="X115" s="31" cm="1">
        <f t="array" ref="X115">X$106+IF($C115&lt;&gt;0,SUMPRODUCT((X$107:X$108)*TRANSPOSE(($D115:$E115))),0)</f>
        <v>0</v>
      </c>
      <c r="Y115" s="31" cm="1">
        <f t="array" ref="Y115">Y$106+IF($C115&lt;&gt;0,SUMPRODUCT((Y$107:Y$108)*TRANSPOSE(($D115:$E115))),0)</f>
        <v>0</v>
      </c>
      <c r="Z115" s="31" cm="1">
        <f t="array" ref="Z115">Z$106+IF($C115&lt;&gt;0,SUMPRODUCT((Z$107:Z$108)*TRANSPOSE(($D115:$E115))),0)</f>
        <v>0</v>
      </c>
      <c r="AA115" s="31" cm="1">
        <f t="array" ref="AA115">AA$106+IF($C115&lt;&gt;0,SUMPRODUCT((AA$107:AA$108)*TRANSPOSE(($D115:$E115))),0)</f>
        <v>0</v>
      </c>
      <c r="AB115" s="31" cm="1">
        <f t="array" ref="AB115">AB$106+IF($C115&lt;&gt;0,SUMPRODUCT((AB$107:AB$108)*TRANSPOSE(($D115:$E115))),0)</f>
        <v>0</v>
      </c>
      <c r="AC115" s="31" cm="1">
        <f t="array" ref="AC115">AC$106+IF($C115&lt;&gt;0,SUMPRODUCT((AC$107:AC$108)*TRANSPOSE(($D115:$E115))),0)</f>
        <v>0</v>
      </c>
      <c r="AD115" s="31" cm="1">
        <f t="array" ref="AD115">AD$106+IF($C115&lt;&gt;0,SUMPRODUCT((AD$107:AD$108)*TRANSPOSE(($D115:$E115))),0)</f>
        <v>0</v>
      </c>
      <c r="AE115" s="31" cm="1">
        <f t="array" ref="AE115">AE$106+IF($C115&lt;&gt;0,SUMPRODUCT((AE$107:AE$108)*TRANSPOSE(($D115:$E115))),0)</f>
        <v>0</v>
      </c>
      <c r="AF115" s="31" cm="1">
        <f t="array" ref="AF115">AF$106+IF($C115&lt;&gt;0,SUMPRODUCT((AF$107:AF$108)*TRANSPOSE(($D115:$E115))),0)</f>
        <v>0</v>
      </c>
      <c r="AG115" s="31" cm="1">
        <f t="array" ref="AG115">AG$106+IF($C115&lt;&gt;0,SUMPRODUCT((AG$107:AG$108)*TRANSPOSE(($D115:$E115))),0)</f>
        <v>0</v>
      </c>
    </row>
    <row r="116" spans="1:33" x14ac:dyDescent="0.2">
      <c r="A116" s="1" t="str">
        <f>"sens"&amp;Assumptions!B121</f>
        <v>sens</v>
      </c>
      <c r="C116" s="301">
        <f>Assumptions!C121</f>
        <v>0</v>
      </c>
      <c r="D116" s="302">
        <f>Assumptions!G121</f>
        <v>0</v>
      </c>
      <c r="E116" s="302">
        <f>Assumptions!H121</f>
        <v>0</v>
      </c>
      <c r="G116" s="38" t="str">
        <f t="shared" si="22"/>
        <v>Option 1 (Base Case)sens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0</v>
      </c>
      <c r="N116" s="31" cm="1">
        <f t="array" ref="N116">N$106+IF($C116&lt;&gt;0,SUMPRODUCT((N$107:N$108)*TRANSPOSE(($D116:$E116))),0)</f>
        <v>0</v>
      </c>
      <c r="O116" s="31" cm="1">
        <f t="array" ref="O116">O$106+IF($C116&lt;&gt;0,SUMPRODUCT((O$107:O$108)*TRANSPOSE(($D116:$E116))),0)</f>
        <v>0</v>
      </c>
      <c r="P116" s="31" cm="1">
        <f t="array" ref="P116">P$106+IF($C116&lt;&gt;0,SUMPRODUCT((P$107:P$108)*TRANSPOSE(($D116:$E116))),0)</f>
        <v>0</v>
      </c>
      <c r="Q116" s="31" cm="1">
        <f t="array" ref="Q116">Q$106+IF($C116&lt;&gt;0,SUMPRODUCT((Q$107:Q$108)*TRANSPOSE(($D116:$E116))),0)</f>
        <v>0</v>
      </c>
      <c r="R116" s="31" cm="1">
        <f t="array" ref="R116">R$106+IF($C116&lt;&gt;0,SUMPRODUCT((R$107:R$108)*TRANSPOSE(($D116:$E116))),0)</f>
        <v>0</v>
      </c>
      <c r="S116" s="31" cm="1">
        <f t="array" ref="S116">S$106+IF($C116&lt;&gt;0,SUMPRODUCT((S$107:S$108)*TRANSPOSE(($D116:$E116))),0)</f>
        <v>0</v>
      </c>
      <c r="T116" s="31" cm="1">
        <f t="array" ref="T116">T$106+IF($C116&lt;&gt;0,SUMPRODUCT((T$107:T$108)*TRANSPOSE(($D116:$E116))),0)</f>
        <v>0</v>
      </c>
      <c r="U116" s="31" cm="1">
        <f t="array" ref="U116">U$106+IF($C116&lt;&gt;0,SUMPRODUCT((U$107:U$108)*TRANSPOSE(($D116:$E116))),0)</f>
        <v>0</v>
      </c>
      <c r="V116" s="31" cm="1">
        <f t="array" ref="V116">V$106+IF($C116&lt;&gt;0,SUMPRODUCT((V$107:V$108)*TRANSPOSE(($D116:$E116))),0)</f>
        <v>0</v>
      </c>
      <c r="W116" s="31" cm="1">
        <f t="array" ref="W116">W$106+IF($C116&lt;&gt;0,SUMPRODUCT((W$107:W$108)*TRANSPOSE(($D116:$E116))),0)</f>
        <v>0</v>
      </c>
      <c r="X116" s="31" cm="1">
        <f t="array" ref="X116">X$106+IF($C116&lt;&gt;0,SUMPRODUCT((X$107:X$108)*TRANSPOSE(($D116:$E116))),0)</f>
        <v>0</v>
      </c>
      <c r="Y116" s="31" cm="1">
        <f t="array" ref="Y116">Y$106+IF($C116&lt;&gt;0,SUMPRODUCT((Y$107:Y$108)*TRANSPOSE(($D116:$E116))),0)</f>
        <v>0</v>
      </c>
      <c r="Z116" s="31" cm="1">
        <f t="array" ref="Z116">Z$106+IF($C116&lt;&gt;0,SUMPRODUCT((Z$107:Z$108)*TRANSPOSE(($D116:$E116))),0)</f>
        <v>0</v>
      </c>
      <c r="AA116" s="31" cm="1">
        <f t="array" ref="AA116">AA$106+IF($C116&lt;&gt;0,SUMPRODUCT((AA$107:AA$108)*TRANSPOSE(($D116:$E116))),0)</f>
        <v>0</v>
      </c>
      <c r="AB116" s="31" cm="1">
        <f t="array" ref="AB116">AB$106+IF($C116&lt;&gt;0,SUMPRODUCT((AB$107:AB$108)*TRANSPOSE(($D116:$E116))),0)</f>
        <v>0</v>
      </c>
      <c r="AC116" s="31" cm="1">
        <f t="array" ref="AC116">AC$106+IF($C116&lt;&gt;0,SUMPRODUCT((AC$107:AC$108)*TRANSPOSE(($D116:$E116))),0)</f>
        <v>0</v>
      </c>
      <c r="AD116" s="31" cm="1">
        <f t="array" ref="AD116">AD$106+IF($C116&lt;&gt;0,SUMPRODUCT((AD$107:AD$108)*TRANSPOSE(($D116:$E116))),0)</f>
        <v>0</v>
      </c>
      <c r="AE116" s="31" cm="1">
        <f t="array" ref="AE116">AE$106+IF($C116&lt;&gt;0,SUMPRODUCT((AE$107:AE$108)*TRANSPOSE(($D116:$E116))),0)</f>
        <v>0</v>
      </c>
      <c r="AF116" s="31" cm="1">
        <f t="array" ref="AF116">AF$106+IF($C116&lt;&gt;0,SUMPRODUCT((AF$107:AF$108)*TRANSPOSE(($D116:$E116))),0)</f>
        <v>0</v>
      </c>
      <c r="AG116" s="31" cm="1">
        <f t="array" ref="AG116">AG$106+IF($C116&lt;&gt;0,SUMPRODUCT((AG$107:AG$108)*TRANSPOSE(($D116:$E116))),0)</f>
        <v>0</v>
      </c>
    </row>
    <row r="117" spans="1:33" x14ac:dyDescent="0.2">
      <c r="A117" s="1" t="str">
        <f>"sens"&amp;Assumptions!B122</f>
        <v>sens</v>
      </c>
      <c r="C117" s="301">
        <f>Assumptions!C122</f>
        <v>0</v>
      </c>
      <c r="D117" s="302">
        <f>Assumptions!G122</f>
        <v>0</v>
      </c>
      <c r="E117" s="302">
        <f>Assumptions!H122</f>
        <v>0</v>
      </c>
      <c r="G117" s="38" t="str">
        <f t="shared" si="22"/>
        <v>Option 1 (Base Case)sens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0</v>
      </c>
      <c r="N117" s="31" cm="1">
        <f t="array" ref="N117">N$106+IF($C117&lt;&gt;0,SUMPRODUCT((N$107:N$108)*TRANSPOSE(($D117:$E117))),0)</f>
        <v>0</v>
      </c>
      <c r="O117" s="31" cm="1">
        <f t="array" ref="O117">O$106+IF($C117&lt;&gt;0,SUMPRODUCT((O$107:O$108)*TRANSPOSE(($D117:$E117))),0)</f>
        <v>0</v>
      </c>
      <c r="P117" s="31" cm="1">
        <f t="array" ref="P117">P$106+IF($C117&lt;&gt;0,SUMPRODUCT((P$107:P$108)*TRANSPOSE(($D117:$E117))),0)</f>
        <v>0</v>
      </c>
      <c r="Q117" s="31" cm="1">
        <f t="array" ref="Q117">Q$106+IF($C117&lt;&gt;0,SUMPRODUCT((Q$107:Q$108)*TRANSPOSE(($D117:$E117))),0)</f>
        <v>0</v>
      </c>
      <c r="R117" s="31" cm="1">
        <f t="array" ref="R117">R$106+IF($C117&lt;&gt;0,SUMPRODUCT((R$107:R$108)*TRANSPOSE(($D117:$E117))),0)</f>
        <v>0</v>
      </c>
      <c r="S117" s="31" cm="1">
        <f t="array" ref="S117">S$106+IF($C117&lt;&gt;0,SUMPRODUCT((S$107:S$108)*TRANSPOSE(($D117:$E117))),0)</f>
        <v>0</v>
      </c>
      <c r="T117" s="31" cm="1">
        <f t="array" ref="T117">T$106+IF($C117&lt;&gt;0,SUMPRODUCT((T$107:T$108)*TRANSPOSE(($D117:$E117))),0)</f>
        <v>0</v>
      </c>
      <c r="U117" s="31" cm="1">
        <f t="array" ref="U117">U$106+IF($C117&lt;&gt;0,SUMPRODUCT((U$107:U$108)*TRANSPOSE(($D117:$E117))),0)</f>
        <v>0</v>
      </c>
      <c r="V117" s="31" cm="1">
        <f t="array" ref="V117">V$106+IF($C117&lt;&gt;0,SUMPRODUCT((V$107:V$108)*TRANSPOSE(($D117:$E117))),0)</f>
        <v>0</v>
      </c>
      <c r="W117" s="31" cm="1">
        <f t="array" ref="W117">W$106+IF($C117&lt;&gt;0,SUMPRODUCT((W$107:W$108)*TRANSPOSE(($D117:$E117))),0)</f>
        <v>0</v>
      </c>
      <c r="X117" s="31" cm="1">
        <f t="array" ref="X117">X$106+IF($C117&lt;&gt;0,SUMPRODUCT((X$107:X$108)*TRANSPOSE(($D117:$E117))),0)</f>
        <v>0</v>
      </c>
      <c r="Y117" s="31" cm="1">
        <f t="array" ref="Y117">Y$106+IF($C117&lt;&gt;0,SUMPRODUCT((Y$107:Y$108)*TRANSPOSE(($D117:$E117))),0)</f>
        <v>0</v>
      </c>
      <c r="Z117" s="31" cm="1">
        <f t="array" ref="Z117">Z$106+IF($C117&lt;&gt;0,SUMPRODUCT((Z$107:Z$108)*TRANSPOSE(($D117:$E117))),0)</f>
        <v>0</v>
      </c>
      <c r="AA117" s="31" cm="1">
        <f t="array" ref="AA117">AA$106+IF($C117&lt;&gt;0,SUMPRODUCT((AA$107:AA$108)*TRANSPOSE(($D117:$E117))),0)</f>
        <v>0</v>
      </c>
      <c r="AB117" s="31" cm="1">
        <f t="array" ref="AB117">AB$106+IF($C117&lt;&gt;0,SUMPRODUCT((AB$107:AB$108)*TRANSPOSE(($D117:$E117))),0)</f>
        <v>0</v>
      </c>
      <c r="AC117" s="31" cm="1">
        <f t="array" ref="AC117">AC$106+IF($C117&lt;&gt;0,SUMPRODUCT((AC$107:AC$108)*TRANSPOSE(($D117:$E117))),0)</f>
        <v>0</v>
      </c>
      <c r="AD117" s="31" cm="1">
        <f t="array" ref="AD117">AD$106+IF($C117&lt;&gt;0,SUMPRODUCT((AD$107:AD$108)*TRANSPOSE(($D117:$E117))),0)</f>
        <v>0</v>
      </c>
      <c r="AE117" s="31" cm="1">
        <f t="array" ref="AE117">AE$106+IF($C117&lt;&gt;0,SUMPRODUCT((AE$107:AE$108)*TRANSPOSE(($D117:$E117))),0)</f>
        <v>0</v>
      </c>
      <c r="AF117" s="31" cm="1">
        <f t="array" ref="AF117">AF$106+IF($C117&lt;&gt;0,SUMPRODUCT((AF$107:AF$108)*TRANSPOSE(($D117:$E117))),0)</f>
        <v>0</v>
      </c>
      <c r="AG117" s="31" cm="1">
        <f t="array" ref="AG117">AG$106+IF($C117&lt;&gt;0,SUMPRODUCT((AG$107:AG$108)*TRANSPOSE(($D117:$E117))),0)</f>
        <v>0</v>
      </c>
    </row>
  </sheetData>
  <conditionalFormatting sqref="E14:E16">
    <cfRule type="expression" dxfId="13" priority="12">
      <formula>AND(SUM($I14:$AB14)&lt;&gt;0, E14=0)</formula>
    </cfRule>
  </conditionalFormatting>
  <conditionalFormatting sqref="E28">
    <cfRule type="expression" dxfId="12" priority="239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5AA9D-F89B-4B5B-91A1-7D8DFA0D370D}">
  <sheetPr codeName="Sheet7">
    <tabColor rgb="FF0099FF"/>
  </sheetPr>
  <dimension ref="A1:XER136"/>
  <sheetViews>
    <sheetView showGridLines="0" zoomScale="85" zoomScaleNormal="85" workbookViewId="0">
      <pane xSplit="7" ySplit="10" topLeftCell="H11" activePane="bottomRight" state="frozen"/>
      <selection activeCell="G29" sqref="G29"/>
      <selection pane="topRight" activeCell="G29" sqref="G29"/>
      <selection pane="bottomLeft" activeCell="G29" sqref="G29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33.8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Apollo Bay microgrid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4" t="s">
        <v>130</v>
      </c>
      <c r="B3" s="5"/>
      <c r="C3" s="201" t="str">
        <f>INDEX(Assumptions!$E$14:$E$18, MATCH(A3,_xlfn.ANCHORARRAY( Assumptions!$C$14),0))</f>
        <v>Install generator only microgrid</v>
      </c>
    </row>
    <row r="4" spans="1:43" x14ac:dyDescent="0.2">
      <c r="A4" s="202" t="str">
        <f>(INDEX(Data!$D$9:$D$13, MATCH(A3, options,0)))</f>
        <v/>
      </c>
      <c r="B4" s="188"/>
      <c r="C4" s="239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1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3"/>
      <c r="G9" s="18" t="s">
        <v>25</v>
      </c>
      <c r="H9" s="221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5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43" x14ac:dyDescent="0.2">
      <c r="A12" s="3"/>
      <c r="B12" s="3"/>
      <c r="C12" s="3"/>
      <c r="D12" s="3"/>
      <c r="G12" s="206"/>
    </row>
    <row r="13" spans="1:43" x14ac:dyDescent="0.2">
      <c r="C13" s="3" t="s">
        <v>17</v>
      </c>
      <c r="D13"/>
      <c r="E13" s="126" t="s">
        <v>69</v>
      </c>
      <c r="G13" s="20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416</v>
      </c>
      <c r="D14"/>
      <c r="E14" s="149">
        <v>20</v>
      </c>
      <c r="G14" s="208">
        <f>input_dollars</f>
        <v>45291</v>
      </c>
      <c r="H14" s="150"/>
      <c r="I14" s="32">
        <v>0</v>
      </c>
      <c r="J14" s="32">
        <v>0</v>
      </c>
      <c r="K14" s="32">
        <v>0</v>
      </c>
      <c r="L14" s="32">
        <v>2793927.0874999999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/>
      <c r="D15"/>
      <c r="E15" s="149">
        <v>0</v>
      </c>
      <c r="G15" s="208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/>
      <c r="D16"/>
      <c r="E16" s="149">
        <v>0</v>
      </c>
      <c r="G16" s="208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6" t="s">
        <v>30</v>
      </c>
      <c r="G17" s="208">
        <f>input_dollars</f>
        <v>45291</v>
      </c>
      <c r="H17" s="107"/>
      <c r="I17" s="106">
        <f t="shared" ref="I17:Q17" si="0">SUM(I14:I16)</f>
        <v>0</v>
      </c>
      <c r="J17" s="106">
        <f t="shared" si="0"/>
        <v>0</v>
      </c>
      <c r="K17" s="106">
        <f t="shared" si="0"/>
        <v>0</v>
      </c>
      <c r="L17" s="106">
        <f t="shared" si="0"/>
        <v>2793927.0874999999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</row>
    <row r="18" spans="1:43" x14ac:dyDescent="0.2">
      <c r="C18"/>
      <c r="D18"/>
      <c r="E18"/>
      <c r="G18" s="20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8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80000</v>
      </c>
      <c r="N19" s="32">
        <v>80000</v>
      </c>
      <c r="O19" s="32">
        <v>80000</v>
      </c>
      <c r="P19" s="32">
        <v>80000</v>
      </c>
      <c r="Q19" s="32">
        <v>80000</v>
      </c>
      <c r="R19" s="32">
        <v>80000</v>
      </c>
      <c r="S19" s="32">
        <v>80000</v>
      </c>
      <c r="T19" s="32">
        <v>80000</v>
      </c>
      <c r="U19" s="32">
        <v>80000</v>
      </c>
      <c r="V19" s="32">
        <v>80000</v>
      </c>
      <c r="W19" s="32">
        <v>80000</v>
      </c>
      <c r="X19" s="32">
        <v>80000</v>
      </c>
      <c r="Y19" s="32">
        <v>80000</v>
      </c>
      <c r="Z19" s="32">
        <v>80000</v>
      </c>
      <c r="AA19" s="32">
        <v>80000</v>
      </c>
      <c r="AB19" s="32">
        <v>80000</v>
      </c>
      <c r="AC19" s="32">
        <v>80000</v>
      </c>
      <c r="AD19" s="32">
        <v>80000</v>
      </c>
      <c r="AE19" s="32">
        <v>80000</v>
      </c>
      <c r="AF19" s="32">
        <v>80000</v>
      </c>
      <c r="AG19" s="32">
        <v>80000</v>
      </c>
    </row>
    <row r="20" spans="1:43" x14ac:dyDescent="0.2">
      <c r="G20" s="206"/>
    </row>
    <row r="21" spans="1:43" x14ac:dyDescent="0.2">
      <c r="C21"/>
      <c r="D21"/>
      <c r="E21"/>
      <c r="G21" s="20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154</v>
      </c>
      <c r="B22" s="89"/>
      <c r="C22" s="89"/>
      <c r="D22" s="89"/>
      <c r="E22" s="89"/>
      <c r="F22" s="89"/>
      <c r="G22" s="205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9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155</v>
      </c>
      <c r="D24" s="111"/>
      <c r="E24" s="111"/>
      <c r="F24" s="111"/>
      <c r="G24" s="209"/>
      <c r="H24" s="111"/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0">
        <v>0</v>
      </c>
      <c r="Z24" s="170">
        <v>0</v>
      </c>
      <c r="AA24" s="170">
        <v>0</v>
      </c>
      <c r="AB24" s="170">
        <v>0</v>
      </c>
      <c r="AC24" s="170">
        <v>0</v>
      </c>
      <c r="AD24" s="170">
        <v>0</v>
      </c>
      <c r="AE24" s="170">
        <v>0</v>
      </c>
      <c r="AF24" s="170">
        <v>0</v>
      </c>
      <c r="AG24" s="170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156</v>
      </c>
      <c r="D25" s="209"/>
      <c r="E25" s="111"/>
      <c r="F25" s="111"/>
      <c r="G25" s="209"/>
      <c r="H25" s="111"/>
      <c r="I25" s="170">
        <v>0</v>
      </c>
      <c r="J25" s="170">
        <v>0</v>
      </c>
      <c r="K25" s="170">
        <v>0</v>
      </c>
      <c r="L25" s="170">
        <v>0</v>
      </c>
      <c r="M25" s="170">
        <v>0</v>
      </c>
      <c r="N25" s="170">
        <v>0</v>
      </c>
      <c r="O25" s="170">
        <v>0</v>
      </c>
      <c r="P25" s="170">
        <v>0</v>
      </c>
      <c r="Q25" s="170">
        <v>0</v>
      </c>
      <c r="R25" s="170">
        <v>0</v>
      </c>
      <c r="S25" s="170">
        <v>0</v>
      </c>
      <c r="T25" s="170">
        <v>0</v>
      </c>
      <c r="U25" s="170">
        <v>0</v>
      </c>
      <c r="V25" s="170">
        <v>0</v>
      </c>
      <c r="W25" s="170">
        <v>0</v>
      </c>
      <c r="X25" s="170">
        <v>0</v>
      </c>
      <c r="Y25" s="170">
        <v>0</v>
      </c>
      <c r="Z25" s="170">
        <v>0</v>
      </c>
      <c r="AA25" s="170">
        <v>0</v>
      </c>
      <c r="AB25" s="170">
        <v>0</v>
      </c>
      <c r="AC25" s="170">
        <v>0</v>
      </c>
      <c r="AD25" s="170">
        <v>0</v>
      </c>
      <c r="AE25" s="170">
        <v>0</v>
      </c>
      <c r="AF25" s="170">
        <v>0</v>
      </c>
      <c r="AG25" s="170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9"/>
      <c r="E26" s="111"/>
      <c r="F26" s="111"/>
      <c r="G26" s="209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6"/>
      <c r="E27"/>
      <c r="G27" s="208" t="s">
        <v>40</v>
      </c>
      <c r="H27"/>
      <c r="I27" s="169">
        <f>IF(SUM($H17:H17)&gt;0, 0, 'Option1 (base case)'!I27)</f>
        <v>6.6347470270849405</v>
      </c>
      <c r="J27" s="169">
        <f>IF(SUM($H17:I17)&gt;0, 0, 'Option1 (base case)'!J27)</f>
        <v>6.656893687446134</v>
      </c>
      <c r="K27" s="169">
        <f>IF(SUM($H17:J17)&gt;0, 0, 'Option1 (base case)'!K27)</f>
        <v>6.7304290182046191</v>
      </c>
      <c r="L27" s="169">
        <f>IF(SUM($H17:K17)&gt;0, 0, 'Option1 (base case)'!L27)</f>
        <v>6.7930014945947468</v>
      </c>
      <c r="M27" s="169">
        <f>IF(SUM($H17:L17)&gt;0, 0, 'Option1 (base case)'!M27)</f>
        <v>0</v>
      </c>
      <c r="N27" s="169">
        <f>IF(SUM($H17:M17)&gt;0, 0, 'Option1 (base case)'!N27)</f>
        <v>0</v>
      </c>
      <c r="O27" s="169">
        <f>IF(SUM($H17:N17)&gt;0, 0, 'Option1 (base case)'!O27)</f>
        <v>0</v>
      </c>
      <c r="P27" s="169">
        <f>IF(SUM($H17:O17)&gt;0, 0, 'Option1 (base case)'!P27)</f>
        <v>0</v>
      </c>
      <c r="Q27" s="169">
        <f>IF(SUM($H17:P17)&gt;0, 0, 'Option1 (base case)'!Q27)</f>
        <v>0</v>
      </c>
      <c r="R27" s="169">
        <f>IF(SUM($H17:Q17)&gt;0, 0, 'Option1 (base case)'!R27)</f>
        <v>0</v>
      </c>
      <c r="S27" s="169">
        <f>IF(SUM($H17:R17)&gt;0, 0, 'Option1 (base case)'!S27)</f>
        <v>0</v>
      </c>
      <c r="T27" s="169">
        <f>IF(SUM($H17:S17)&gt;0, 0, 'Option1 (base case)'!T27)</f>
        <v>0</v>
      </c>
      <c r="U27" s="169">
        <f>IF(SUM($H17:T17)&gt;0, 0, 'Option1 (base case)'!U27)</f>
        <v>0</v>
      </c>
      <c r="V27" s="169">
        <f>IF(SUM($H17:U17)&gt;0, 0, 'Option1 (base case)'!V27)</f>
        <v>0</v>
      </c>
      <c r="W27" s="169">
        <f>IF(SUM($H17:V17)&gt;0, 0, 'Option1 (base case)'!W27)</f>
        <v>0</v>
      </c>
      <c r="X27" s="169">
        <f>IF(SUM($H17:W17)&gt;0, 0, 'Option1 (base case)'!X27)</f>
        <v>0</v>
      </c>
      <c r="Y27" s="169">
        <f>IF(SUM($H17:X17)&gt;0, 0, 'Option1 (base case)'!Y27)</f>
        <v>0</v>
      </c>
      <c r="Z27" s="169">
        <f>IF(SUM($H17:Y17)&gt;0, 0, 'Option1 (base case)'!Z27)</f>
        <v>0</v>
      </c>
      <c r="AA27" s="169">
        <f>IF(SUM($H17:Z17)&gt;0, 0, 'Option1 (base case)'!AA27)</f>
        <v>0</v>
      </c>
      <c r="AB27" s="169">
        <f>IF(SUM($H17:AA17)&gt;0, 0, 'Option1 (base case)'!AB27)</f>
        <v>0</v>
      </c>
      <c r="AC27" s="169">
        <f>IF(SUM($H17:AB17)&gt;0, 0, 'Option1 (base case)'!AC27)</f>
        <v>0</v>
      </c>
      <c r="AD27" s="169">
        <f>IF(SUM($H17:AC17)&gt;0, 0, 'Option1 (base case)'!AD27)</f>
        <v>0</v>
      </c>
      <c r="AE27" s="169">
        <f>IF(SUM($H17:AD17)&gt;0, 0, 'Option1 (base case)'!AE27)</f>
        <v>0</v>
      </c>
      <c r="AF27" s="169">
        <f>IF(SUM($H17:AE17)&gt;0, 0, 'Option1 (base case)'!AF27)</f>
        <v>0</v>
      </c>
      <c r="AG27" s="169">
        <f>IF(SUM($H17:AF17)&gt;0, 0, 'Option1 (base case)'!AG27)</f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6" t="s">
        <v>63</v>
      </c>
      <c r="E28" s="113">
        <f>Assumptions!H41*vcr_esc</f>
        <v>44906.183515166558</v>
      </c>
      <c r="F28" s="239" t="str">
        <f>IF(AND(SUM(I27:AG27)&lt;&gt;0, E28=0), "!", "")</f>
        <v/>
      </c>
      <c r="G28" s="208">
        <f>input_dollars</f>
        <v>45291</v>
      </c>
      <c r="H28"/>
      <c r="I28" s="298">
        <f>I27*$E$28</f>
        <v>297941.1675749821</v>
      </c>
      <c r="J28" s="298">
        <f t="shared" ref="J28:AG28" si="2">J27*$E$28</f>
        <v>298935.68956940988</v>
      </c>
      <c r="K28" s="298">
        <f t="shared" si="2"/>
        <v>302237.8806272989</v>
      </c>
      <c r="L28" s="298">
        <f t="shared" si="2"/>
        <v>305047.77173507243</v>
      </c>
      <c r="M28" s="298">
        <f t="shared" si="2"/>
        <v>0</v>
      </c>
      <c r="N28" s="298">
        <f t="shared" si="2"/>
        <v>0</v>
      </c>
      <c r="O28" s="298">
        <f t="shared" si="2"/>
        <v>0</v>
      </c>
      <c r="P28" s="298">
        <f t="shared" si="2"/>
        <v>0</v>
      </c>
      <c r="Q28" s="298">
        <f t="shared" si="2"/>
        <v>0</v>
      </c>
      <c r="R28" s="298">
        <f t="shared" si="2"/>
        <v>0</v>
      </c>
      <c r="S28" s="298">
        <f t="shared" si="2"/>
        <v>0</v>
      </c>
      <c r="T28" s="298">
        <f t="shared" si="2"/>
        <v>0</v>
      </c>
      <c r="U28" s="298">
        <f t="shared" si="2"/>
        <v>0</v>
      </c>
      <c r="V28" s="298">
        <f t="shared" si="2"/>
        <v>0</v>
      </c>
      <c r="W28" s="298">
        <f t="shared" si="2"/>
        <v>0</v>
      </c>
      <c r="X28" s="298">
        <f t="shared" si="2"/>
        <v>0</v>
      </c>
      <c r="Y28" s="298">
        <f t="shared" si="2"/>
        <v>0</v>
      </c>
      <c r="Z28" s="298">
        <f t="shared" si="2"/>
        <v>0</v>
      </c>
      <c r="AA28" s="298">
        <f t="shared" si="2"/>
        <v>0</v>
      </c>
      <c r="AB28" s="298">
        <f t="shared" si="2"/>
        <v>0</v>
      </c>
      <c r="AC28" s="298">
        <f t="shared" si="2"/>
        <v>0</v>
      </c>
      <c r="AD28" s="298">
        <f t="shared" si="2"/>
        <v>0</v>
      </c>
      <c r="AE28" s="298">
        <f t="shared" si="2"/>
        <v>0</v>
      </c>
      <c r="AF28" s="298">
        <f t="shared" si="2"/>
        <v>0</v>
      </c>
      <c r="AG28" s="298">
        <f t="shared" si="2"/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7"/>
      <c r="E29"/>
      <c r="G29" s="20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6" t="s">
        <v>210</v>
      </c>
      <c r="G30" s="208">
        <f>input_dollars</f>
        <v>45291</v>
      </c>
      <c r="H30" s="150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7"/>
      <c r="E31"/>
      <c r="G31" s="208">
        <f>input_dollars</f>
        <v>45291</v>
      </c>
      <c r="H31" s="150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6" t="s">
        <v>210</v>
      </c>
      <c r="E32"/>
      <c r="G32" s="208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57" t="s">
        <v>177</v>
      </c>
      <c r="D33" s="220"/>
      <c r="E33"/>
      <c r="G33" s="208">
        <f>input_dollars</f>
        <v>45291</v>
      </c>
      <c r="H33"/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32">
        <v>0</v>
      </c>
      <c r="S33" s="32">
        <v>0</v>
      </c>
      <c r="T33" s="32">
        <v>0</v>
      </c>
      <c r="U33" s="32">
        <v>0</v>
      </c>
      <c r="V33" s="32">
        <v>0</v>
      </c>
      <c r="W33" s="32">
        <v>0</v>
      </c>
      <c r="X33" s="32">
        <v>0</v>
      </c>
      <c r="Y33" s="32">
        <v>0</v>
      </c>
      <c r="Z33" s="32">
        <v>0</v>
      </c>
      <c r="AA33" s="32">
        <v>0</v>
      </c>
      <c r="AB33" s="32">
        <v>0</v>
      </c>
      <c r="AC33" s="32">
        <v>0</v>
      </c>
      <c r="AD33" s="32">
        <v>0</v>
      </c>
      <c r="AE33" s="32">
        <v>0</v>
      </c>
      <c r="AF33" s="32">
        <v>0</v>
      </c>
      <c r="AG33" s="32"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57" t="s">
        <v>177</v>
      </c>
      <c r="D34" s="207"/>
      <c r="E34"/>
      <c r="G34" s="208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7"/>
      <c r="E35"/>
      <c r="G35" s="20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176</v>
      </c>
      <c r="D36" s="219"/>
      <c r="E36" s="107"/>
      <c r="F36" s="3"/>
      <c r="G36" s="210"/>
      <c r="H36" s="107"/>
      <c r="I36" s="171">
        <f>SUM(I28:I34)</f>
        <v>297941.1675749821</v>
      </c>
      <c r="J36" s="171">
        <f t="shared" ref="J36:AG36" si="3">SUM(J28:J34)</f>
        <v>298935.68956940988</v>
      </c>
      <c r="K36" s="171">
        <f t="shared" si="3"/>
        <v>302237.8806272989</v>
      </c>
      <c r="L36" s="171">
        <f t="shared" si="3"/>
        <v>305047.77173507243</v>
      </c>
      <c r="M36" s="171">
        <f t="shared" si="3"/>
        <v>0</v>
      </c>
      <c r="N36" s="171">
        <f t="shared" si="3"/>
        <v>0</v>
      </c>
      <c r="O36" s="171">
        <f t="shared" si="3"/>
        <v>0</v>
      </c>
      <c r="P36" s="171">
        <f t="shared" si="3"/>
        <v>0</v>
      </c>
      <c r="Q36" s="171">
        <f t="shared" si="3"/>
        <v>0</v>
      </c>
      <c r="R36" s="171">
        <f t="shared" si="3"/>
        <v>0</v>
      </c>
      <c r="S36" s="171">
        <f t="shared" si="3"/>
        <v>0</v>
      </c>
      <c r="T36" s="171">
        <f t="shared" si="3"/>
        <v>0</v>
      </c>
      <c r="U36" s="171">
        <f t="shared" si="3"/>
        <v>0</v>
      </c>
      <c r="V36" s="171">
        <f t="shared" si="3"/>
        <v>0</v>
      </c>
      <c r="W36" s="171">
        <f t="shared" si="3"/>
        <v>0</v>
      </c>
      <c r="X36" s="171">
        <f t="shared" si="3"/>
        <v>0</v>
      </c>
      <c r="Y36" s="171">
        <f t="shared" si="3"/>
        <v>0</v>
      </c>
      <c r="Z36" s="171">
        <f t="shared" si="3"/>
        <v>0</v>
      </c>
      <c r="AA36" s="171">
        <f t="shared" si="3"/>
        <v>0</v>
      </c>
      <c r="AB36" s="171">
        <f t="shared" si="3"/>
        <v>0</v>
      </c>
      <c r="AC36" s="171">
        <f t="shared" si="3"/>
        <v>0</v>
      </c>
      <c r="AD36" s="171">
        <f t="shared" si="3"/>
        <v>0</v>
      </c>
      <c r="AE36" s="171">
        <f t="shared" si="3"/>
        <v>0</v>
      </c>
      <c r="AF36" s="171">
        <f t="shared" si="3"/>
        <v>0</v>
      </c>
      <c r="AG36" s="171">
        <f t="shared" si="3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8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5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8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8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6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6" t="s">
        <v>104</v>
      </c>
      <c r="I42" s="85">
        <f t="shared" ref="I42:AG42" si="4">I41*I7</f>
        <v>0</v>
      </c>
      <c r="J42" s="85">
        <f t="shared" si="4"/>
        <v>0</v>
      </c>
      <c r="K42" s="85">
        <f t="shared" si="4"/>
        <v>0</v>
      </c>
      <c r="L42" s="85">
        <f t="shared" si="4"/>
        <v>0</v>
      </c>
      <c r="M42" s="85">
        <f t="shared" si="4"/>
        <v>0</v>
      </c>
      <c r="N42" s="85">
        <f t="shared" si="4"/>
        <v>0</v>
      </c>
      <c r="O42" s="85">
        <f t="shared" si="4"/>
        <v>0</v>
      </c>
      <c r="P42" s="85">
        <f t="shared" si="4"/>
        <v>0</v>
      </c>
      <c r="Q42" s="85">
        <f t="shared" si="4"/>
        <v>0</v>
      </c>
      <c r="R42" s="85">
        <f t="shared" si="4"/>
        <v>0</v>
      </c>
      <c r="S42" s="85">
        <f t="shared" si="4"/>
        <v>0</v>
      </c>
      <c r="T42" s="85">
        <f t="shared" si="4"/>
        <v>0</v>
      </c>
      <c r="U42" s="85">
        <f t="shared" si="4"/>
        <v>0</v>
      </c>
      <c r="V42" s="85">
        <f t="shared" si="4"/>
        <v>0</v>
      </c>
      <c r="W42" s="85">
        <f t="shared" si="4"/>
        <v>0</v>
      </c>
      <c r="X42" s="85">
        <f t="shared" si="4"/>
        <v>0</v>
      </c>
      <c r="Y42" s="85">
        <f t="shared" si="4"/>
        <v>0</v>
      </c>
      <c r="Z42" s="85">
        <f t="shared" si="4"/>
        <v>0</v>
      </c>
      <c r="AA42" s="85">
        <f t="shared" si="4"/>
        <v>0</v>
      </c>
      <c r="AB42" s="85">
        <f t="shared" si="4"/>
        <v>0</v>
      </c>
      <c r="AC42" s="85">
        <f t="shared" si="4"/>
        <v>0</v>
      </c>
      <c r="AD42" s="85">
        <f t="shared" si="4"/>
        <v>0</v>
      </c>
      <c r="AE42" s="85">
        <f t="shared" si="4"/>
        <v>0</v>
      </c>
      <c r="AF42" s="85">
        <f t="shared" si="4"/>
        <v>0</v>
      </c>
      <c r="AG42" s="85">
        <f t="shared" si="4"/>
        <v>0</v>
      </c>
    </row>
    <row r="43" spans="1:16372" x14ac:dyDescent="0.2">
      <c r="D43"/>
      <c r="E43"/>
      <c r="G43" s="208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7"/>
      <c r="E44"/>
      <c r="G44" s="208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tr">
        <f>'Option1 (base case)'!C45</f>
        <v>Incremental reliability in worst-served areas &gt; 500 mins</v>
      </c>
      <c r="D45" s="206" t="str">
        <f>'Option1 (base case)'!D45</f>
        <v>$/MWh</v>
      </c>
      <c r="E45" s="113">
        <f>'Option1 (base case)'!E45</f>
        <v>22593.816484833442</v>
      </c>
      <c r="G45" s="208" t="s">
        <v>40</v>
      </c>
      <c r="I45" s="328">
        <f>IF(SUM($H$17:H$17)&gt;0,IF(Workings_risks!I31&gt;500,(Workings_risks!I31-500)/60*Workings_risks!$F$13*Workings_risks!I8,0),0)</f>
        <v>0</v>
      </c>
      <c r="J45" s="328">
        <f>IF(SUM($H$17:I$17)&gt;0,IF(Workings_risks!J31&gt;500,(Workings_risks!J31-500)/60*Workings_risks!$F$13*Workings_risks!J8,0),0)</f>
        <v>0</v>
      </c>
      <c r="K45" s="328">
        <f>IF(SUM($H$17:J$17)&gt;0,IF(Workings_risks!K31&gt;500,(Workings_risks!K31-500)/60*Workings_risks!$F$13*Workings_risks!K8,0),0)</f>
        <v>0</v>
      </c>
      <c r="L45" s="328">
        <f>IF(SUM($H$17:K$17)&gt;0,IF(Workings_risks!L31&gt;500,(Workings_risks!L31-500)/60*Workings_risks!$F$13*Workings_risks!L8,0),0)</f>
        <v>0</v>
      </c>
      <c r="M45" s="328">
        <f>IF(SUM($H$17:L$17)&gt;0,IF(Workings_risks!M31&gt;500,(Workings_risks!M31-500)/60*Workings_risks!$F$13*Workings_risks!M8,0),0)</f>
        <v>2.6530873140496798</v>
      </c>
      <c r="N45" s="328">
        <f>IF(SUM($H$17:M$17)&gt;0,IF(Workings_risks!N31&gt;500,(Workings_risks!N31-500)/60*Workings_risks!$F$13*Workings_risks!N8,0),0)</f>
        <v>2.7074762771969105</v>
      </c>
      <c r="O45" s="328">
        <f>IF(SUM($H$17:N$17)&gt;0,IF(Workings_risks!O31&gt;500,(Workings_risks!O31-500)/60*Workings_risks!$F$13*Workings_risks!O8,0),0)</f>
        <v>2.7894522934601946</v>
      </c>
      <c r="P45" s="328">
        <f>IF(SUM($H$17:O$17)&gt;0,IF(Workings_risks!P31&gt;500,(Workings_risks!P31-500)/60*Workings_risks!$F$13*Workings_risks!P8,0),0)</f>
        <v>2.8780284002014946</v>
      </c>
      <c r="Q45" s="328">
        <f>IF(SUM($H$17:P$17)&gt;0,IF(Workings_risks!Q31&gt;500,(Workings_risks!Q31-500)/60*Workings_risks!$F$13*Workings_risks!Q8,0),0)</f>
        <v>2.9411718294694289</v>
      </c>
      <c r="R45" s="328">
        <f>IF(SUM($H$17:Q$17)&gt;0,IF(Workings_risks!R31&gt;500,(Workings_risks!R31-500)/60*Workings_risks!$F$13*Workings_risks!R8,0),0)</f>
        <v>2.9752729614742508</v>
      </c>
      <c r="S45" s="328">
        <f>IF(SUM($H$17:R$17)&gt;0,IF(Workings_risks!S31&gt;500,(Workings_risks!S31-500)/60*Workings_risks!$F$13*Workings_risks!S8,0),0)</f>
        <v>3.0093740934790865</v>
      </c>
      <c r="T45" s="328">
        <f>IF(SUM($H$17:S$17)&gt;0,IF(Workings_risks!T31&gt;500,(Workings_risks!T31-500)/60*Workings_risks!$F$13*Workings_risks!T8,0),0)</f>
        <v>3.0434752254839079</v>
      </c>
      <c r="U45" s="328">
        <f>IF(SUM($H$17:T$17)&gt;0,IF(Workings_risks!U31&gt;500,(Workings_risks!U31-500)/60*Workings_risks!$F$13*Workings_risks!U8,0),0)</f>
        <v>3.0775763574887289</v>
      </c>
      <c r="V45" s="328">
        <f>IF(SUM($H$17:U$17)&gt;0,IF(Workings_risks!V31&gt;500,(Workings_risks!V31-500)/60*Workings_risks!$F$13*Workings_risks!V8,0),0)</f>
        <v>3.1116774894935646</v>
      </c>
      <c r="W45" s="328">
        <f>IF(SUM($H$17:V$17)&gt;0,IF(Workings_risks!W31&gt;500,(Workings_risks!W31-500)/60*Workings_risks!$F$13*Workings_risks!W8,0),0)</f>
        <v>3.1457786214983865</v>
      </c>
      <c r="X45" s="328">
        <f>IF(SUM($H$17:W$17)&gt;0,IF(Workings_risks!X31&gt;500,(Workings_risks!X31-500)/60*Workings_risks!$F$13*Workings_risks!X8,0),0)</f>
        <v>3.179879753503208</v>
      </c>
      <c r="Y45" s="328">
        <f>IF(SUM($H$17:X$17)&gt;0,IF(Workings_risks!Y31&gt;500,(Workings_risks!Y31-500)/60*Workings_risks!$F$13*Workings_risks!Y8,0),0)</f>
        <v>3.2139808855080432</v>
      </c>
      <c r="Z45" s="328">
        <f>IF(SUM($H$17:Y$17)&gt;0,IF(Workings_risks!Z31&gt;500,(Workings_risks!Z31-500)/60*Workings_risks!$F$13*Workings_risks!Z8,0),0)</f>
        <v>3.2480820175128655</v>
      </c>
      <c r="AA45" s="328">
        <f>IF(SUM($H$17:Z$17)&gt;0,IF(Workings_risks!AA31&gt;500,(Workings_risks!AA31-500)/60*Workings_risks!$F$13*Workings_risks!AA8,0),0)</f>
        <v>3.2821831495177007</v>
      </c>
      <c r="AB45" s="328">
        <f>IF(SUM($H$17:AA$17)&gt;0,IF(Workings_risks!AB31&gt;500,(Workings_risks!AB31-500)/60*Workings_risks!$F$13*Workings_risks!AB8,0),0)</f>
        <v>3.3162842815225222</v>
      </c>
      <c r="AC45" s="328">
        <f>IF(SUM($H$17:AB$17)&gt;0,IF(Workings_risks!AC31&gt;500,(Workings_risks!AC31-500)/60*Workings_risks!$F$13*Workings_risks!AC8,0),0)</f>
        <v>3.3503854135273441</v>
      </c>
      <c r="AD45" s="328">
        <f>IF(SUM($H$17:AC$17)&gt;0,IF(Workings_risks!AD31&gt;500,(Workings_risks!AD31-500)/60*Workings_risks!$F$13*Workings_risks!AD8,0),0)</f>
        <v>3.3844865455321798</v>
      </c>
      <c r="AE45" s="328">
        <f>IF(SUM($H$17:AD$17)&gt;0,IF(Workings_risks!AE31&gt;500,(Workings_risks!AE31-500)/60*Workings_risks!$F$13*Workings_risks!AE8,0),0)</f>
        <v>3.4185876775370008</v>
      </c>
      <c r="AF45" s="328">
        <f>IF(SUM($H$17:AE$17)&gt;0,IF(Workings_risks!AF31&gt;500,(Workings_risks!AF31-500)/60*Workings_risks!$F$13*Workings_risks!AF8,0),0)</f>
        <v>3.452688809541824</v>
      </c>
      <c r="AG45" s="328">
        <f>IF(SUM($H$17:AF$17)&gt;0,IF(Workings_risks!AG31&gt;500,(Workings_risks!AG31-500)/60*Workings_risks!$F$13*Workings_risks!AG8,0),0)</f>
        <v>3.4867899415466583</v>
      </c>
    </row>
    <row r="46" spans="1:16372" x14ac:dyDescent="0.2">
      <c r="C46" s="1" t="str">
        <f>'Option1 (base case)'!C46</f>
        <v>Incremental network resilience (domestic)</v>
      </c>
      <c r="D46" s="206" t="str">
        <f>'Option1 (base case)'!D46</f>
        <v>$/MWh</v>
      </c>
      <c r="E46" s="113">
        <f>'Option1 (base case)'!E46</f>
        <v>25520</v>
      </c>
      <c r="G46" s="208" t="s">
        <v>40</v>
      </c>
      <c r="I46" s="328">
        <f>IF(SUM($H$17:H$17)&gt;0,(('Reliability data'!$K$19*Workings_risks!I$27+IF(bushfire_outage_duration&gt;12,12,bushfire_outage_duration-12)*Workings_risks!I$26)+0.5*('Reliability data'!$K$20*Workings_risks!I$27+IF(bushfire_outage_duration&gt;24,bushfire_outage_duration-24,0)*Workings_risks!I$26))*Workings_risks!$F$13*Workings_risks!I$8,0)*Assumptions!$I43</f>
        <v>0</v>
      </c>
      <c r="J46" s="328">
        <f>IF(SUM($H$17:I$17)&gt;0,(('Reliability data'!$K$19*Workings_risks!J$27+IF(bushfire_outage_duration&gt;12,12,bushfire_outage_duration-12)*Workings_risks!J$26)+0.5*('Reliability data'!$K$20*Workings_risks!J$27+IF(bushfire_outage_duration&gt;24,bushfire_outage_duration-24,0)*Workings_risks!J$26))*Workings_risks!$F$13*Workings_risks!J$8,0)*Assumptions!$I43</f>
        <v>0</v>
      </c>
      <c r="K46" s="328">
        <f>IF(SUM($H$17:J$17)&gt;0,(('Reliability data'!$K$19*Workings_risks!K$27+IF(bushfire_outage_duration&gt;12,12,bushfire_outage_duration-12)*Workings_risks!K$26)+0.5*('Reliability data'!$K$20*Workings_risks!K$27+IF(bushfire_outage_duration&gt;24,bushfire_outage_duration-24,0)*Workings_risks!K$26))*Workings_risks!$F$13*Workings_risks!K$8,0)*Assumptions!$I43</f>
        <v>0</v>
      </c>
      <c r="L46" s="328">
        <f>IF(SUM($H$17:K$17)&gt;0,(('Reliability data'!$K$19*Workings_risks!L$27+IF(bushfire_outage_duration&gt;12,12,bushfire_outage_duration-12)*Workings_risks!L$26)+0.5*('Reliability data'!$K$20*Workings_risks!L$27+IF(bushfire_outage_duration&gt;24,bushfire_outage_duration-24,0)*Workings_risks!L$26))*Workings_risks!$F$13*Workings_risks!L$8,0)*Assumptions!$I43</f>
        <v>0</v>
      </c>
      <c r="M46" s="328">
        <f>IF(SUM($H$17:L$17)&gt;0,(('Reliability data'!$K$19*Workings_risks!M$27+IF(bushfire_outage_duration&gt;12,12,bushfire_outage_duration-12)*Workings_risks!M$26)+0.5*('Reliability data'!$K$20*Workings_risks!M$27+IF(bushfire_outage_duration&gt;24,bushfire_outage_duration-24,0)*Workings_risks!M$26))*Workings_risks!$F$13*Workings_risks!M$8,0)*Assumptions!$I43</f>
        <v>4.1798407298528933E-2</v>
      </c>
      <c r="N46" s="328">
        <f>IF(SUM($H$17:M$17)&gt;0,(('Reliability data'!$K$19*Workings_risks!N$27+IF(bushfire_outage_duration&gt;12,12,bushfire_outage_duration-12)*Workings_risks!N$26)+0.5*('Reliability data'!$K$20*Workings_risks!N$27+IF(bushfire_outage_duration&gt;24,bushfire_outage_duration-24,0)*Workings_risks!N$26))*Workings_risks!$F$13*Workings_risks!N$8,0)*Assumptions!$I43</f>
        <v>4.2219090964689468E-2</v>
      </c>
      <c r="O46" s="328">
        <f>IF(SUM($H$17:N$17)&gt;0,(('Reliability data'!$K$19*Workings_risks!O$27+IF(bushfire_outage_duration&gt;12,12,bushfire_outage_duration-12)*Workings_risks!O$26)+0.5*('Reliability data'!$K$20*Workings_risks!O$27+IF(bushfire_outage_duration&gt;24,bushfire_outage_duration-24,0)*Workings_risks!O$26))*Workings_risks!$F$13*Workings_risks!O$8,0)*Assumptions!$I43</f>
        <v>4.3058653019788985E-2</v>
      </c>
      <c r="P46" s="328">
        <f>IF(SUM($H$17:O$17)&gt;0,(('Reliability data'!$K$19*Workings_risks!P$27+IF(bushfire_outage_duration&gt;12,12,bushfire_outage_duration-12)*Workings_risks!P$26)+0.5*('Reliability data'!$K$20*Workings_risks!P$27+IF(bushfire_outage_duration&gt;24,bushfire_outage_duration-24,0)*Workings_risks!P$26))*Workings_risks!$F$13*Workings_risks!P$8,0)*Assumptions!$I43</f>
        <v>4.3983890616628829E-2</v>
      </c>
      <c r="Q46" s="328">
        <f>IF(SUM($H$17:P$17)&gt;0,(('Reliability data'!$K$19*Workings_risks!Q$27+IF(bushfire_outage_duration&gt;12,12,bushfire_outage_duration-12)*Workings_risks!Q$26)+0.5*('Reliability data'!$K$20*Workings_risks!Q$27+IF(bushfire_outage_duration&gt;24,bushfire_outage_duration-24,0)*Workings_risks!Q$26))*Workings_risks!$F$13*Workings_risks!Q$8,0)*Assumptions!$I43</f>
        <v>4.4507621944554487E-2</v>
      </c>
      <c r="R46" s="328">
        <f>IF(SUM($H$17:Q$17)&gt;0,(('Reliability data'!$K$19*Workings_risks!R$27+IF(bushfire_outage_duration&gt;12,12,bushfire_outage_duration-12)*Workings_risks!R$26)+0.5*('Reliability data'!$K$20*Workings_risks!R$27+IF(bushfire_outage_duration&gt;24,bushfire_outage_duration-24,0)*Workings_risks!R$26))*Workings_risks!$F$13*Workings_risks!R$8,0)*Assumptions!$I43</f>
        <v>4.458751011026988E-2</v>
      </c>
      <c r="S46" s="328">
        <f>IF(SUM($H$17:R$17)&gt;0,(('Reliability data'!$K$19*Workings_risks!S$27+IF(bushfire_outage_duration&gt;12,12,bushfire_outage_duration-12)*Workings_risks!S$26)+0.5*('Reliability data'!$K$20*Workings_risks!S$27+IF(bushfire_outage_duration&gt;24,bushfire_outage_duration-24,0)*Workings_risks!S$26))*Workings_risks!$F$13*Workings_risks!S$8,0)*Assumptions!$I43</f>
        <v>4.4667398275985357E-2</v>
      </c>
      <c r="T46" s="328">
        <f>IF(SUM($H$17:S$17)&gt;0,(('Reliability data'!$K$19*Workings_risks!T$27+IF(bushfire_outage_duration&gt;12,12,bushfire_outage_duration-12)*Workings_risks!T$26)+0.5*('Reliability data'!$K$20*Workings_risks!T$27+IF(bushfire_outage_duration&gt;24,bushfire_outage_duration-24,0)*Workings_risks!T$26))*Workings_risks!$F$13*Workings_risks!T$8,0)*Assumptions!$I43</f>
        <v>4.4747286441700763E-2</v>
      </c>
      <c r="U46" s="328">
        <f>IF(SUM($H$17:T$17)&gt;0,(('Reliability data'!$K$19*Workings_risks!U$27+IF(bushfire_outage_duration&gt;12,12,bushfire_outage_duration-12)*Workings_risks!U$26)+0.5*('Reliability data'!$K$20*Workings_risks!U$27+IF(bushfire_outage_duration&gt;24,bushfire_outage_duration-24,0)*Workings_risks!U$26))*Workings_risks!$F$13*Workings_risks!U$8,0)*Assumptions!$I43</f>
        <v>4.4827174607416156E-2</v>
      </c>
      <c r="V46" s="328">
        <f>IF(SUM($H$17:U$17)&gt;0,(('Reliability data'!$K$19*Workings_risks!V$27+IF(bushfire_outage_duration&gt;12,12,bushfire_outage_duration-12)*Workings_risks!V$26)+0.5*('Reliability data'!$K$20*Workings_risks!V$27+IF(bushfire_outage_duration&gt;24,bushfire_outage_duration-24,0)*Workings_risks!V$26))*Workings_risks!$F$13*Workings_risks!V$8,0)*Assumptions!$I43</f>
        <v>4.490706277313164E-2</v>
      </c>
      <c r="W46" s="328">
        <f>IF(SUM($H$17:V$17)&gt;0,(('Reliability data'!$K$19*Workings_risks!W$27+IF(bushfire_outage_duration&gt;12,12,bushfire_outage_duration-12)*Workings_risks!W$26)+0.5*('Reliability data'!$K$20*Workings_risks!W$27+IF(bushfire_outage_duration&gt;24,bushfire_outage_duration-24,0)*Workings_risks!W$26))*Workings_risks!$F$13*Workings_risks!W$8,0)*Assumptions!$I43</f>
        <v>4.498695093884704E-2</v>
      </c>
      <c r="X46" s="328">
        <f>IF(SUM($H$17:W$17)&gt;0,(('Reliability data'!$K$19*Workings_risks!X$27+IF(bushfire_outage_duration&gt;12,12,bushfire_outage_duration-12)*Workings_risks!X$26)+0.5*('Reliability data'!$K$20*Workings_risks!X$27+IF(bushfire_outage_duration&gt;24,bushfire_outage_duration-24,0)*Workings_risks!X$26))*Workings_risks!$F$13*Workings_risks!X$8,0)*Assumptions!$I43</f>
        <v>4.5066839104562446E-2</v>
      </c>
      <c r="Y46" s="328">
        <f>IF(SUM($H$17:X$17)&gt;0,(('Reliability data'!$K$19*Workings_risks!Y$27+IF(bushfire_outage_duration&gt;12,12,bushfire_outage_duration-12)*Workings_risks!Y$26)+0.5*('Reliability data'!$K$20*Workings_risks!Y$27+IF(bushfire_outage_duration&gt;24,bushfire_outage_duration-24,0)*Workings_risks!Y$26))*Workings_risks!$F$13*Workings_risks!Y$8,0)*Assumptions!$I43</f>
        <v>4.5146727270277923E-2</v>
      </c>
      <c r="Z46" s="328">
        <f>IF(SUM($H$17:Y$17)&gt;0,(('Reliability data'!$K$19*Workings_risks!Z$27+IF(bushfire_outage_duration&gt;12,12,bushfire_outage_duration-12)*Workings_risks!Z$26)+0.5*('Reliability data'!$K$20*Workings_risks!Z$27+IF(bushfire_outage_duration&gt;24,bushfire_outage_duration-24,0)*Workings_risks!Z$26))*Workings_risks!$F$13*Workings_risks!Z$8,0)*Assumptions!$I43</f>
        <v>4.5226615435993316E-2</v>
      </c>
      <c r="AA46" s="328">
        <f>IF(SUM($H$17:Z$17)&gt;0,(('Reliability data'!$K$19*Workings_risks!AA$27+IF(bushfire_outage_duration&gt;12,12,bushfire_outage_duration-12)*Workings_risks!AA$26)+0.5*('Reliability data'!$K$20*Workings_risks!AA$27+IF(bushfire_outage_duration&gt;24,bushfire_outage_duration-24,0)*Workings_risks!AA$26))*Workings_risks!$F$13*Workings_risks!AA$8,0)*Assumptions!$I43</f>
        <v>4.5306503601708792E-2</v>
      </c>
      <c r="AB46" s="328">
        <f>IF(SUM($H$17:AA$17)&gt;0,(('Reliability data'!$K$19*Workings_risks!AB$27+IF(bushfire_outage_duration&gt;12,12,bushfire_outage_duration-12)*Workings_risks!AB$26)+0.5*('Reliability data'!$K$20*Workings_risks!AB$27+IF(bushfire_outage_duration&gt;24,bushfire_outage_duration-24,0)*Workings_risks!AB$26))*Workings_risks!$F$13*Workings_risks!AB$8,0)*Assumptions!$I43</f>
        <v>4.5386391767424199E-2</v>
      </c>
      <c r="AC46" s="328">
        <f>IF(SUM($H$17:AB$17)&gt;0,(('Reliability data'!$K$19*Workings_risks!AC$27+IF(bushfire_outage_duration&gt;12,12,bushfire_outage_duration-12)*Workings_risks!AC$26)+0.5*('Reliability data'!$K$20*Workings_risks!AC$27+IF(bushfire_outage_duration&gt;24,bushfire_outage_duration-24,0)*Workings_risks!AC$26))*Workings_risks!$F$13*Workings_risks!AC$8,0)*Assumptions!$I43</f>
        <v>4.5466279933139606E-2</v>
      </c>
      <c r="AD46" s="328">
        <f>IF(SUM($H$17:AC$17)&gt;0,(('Reliability data'!$K$19*Workings_risks!AD$27+IF(bushfire_outage_duration&gt;12,12,bushfire_outage_duration-12)*Workings_risks!AD$26)+0.5*('Reliability data'!$K$20*Workings_risks!AD$27+IF(bushfire_outage_duration&gt;24,bushfire_outage_duration-24,0)*Workings_risks!AD$26))*Workings_risks!$F$13*Workings_risks!AD$8,0)*Assumptions!$I43</f>
        <v>4.5546168098855061E-2</v>
      </c>
      <c r="AE46" s="328">
        <f>IF(SUM($H$17:AD$17)&gt;0,(('Reliability data'!$K$19*Workings_risks!AE$27+IF(bushfire_outage_duration&gt;12,12,bushfire_outage_duration-12)*Workings_risks!AE$26)+0.5*('Reliability data'!$K$20*Workings_risks!AE$27+IF(bushfire_outage_duration&gt;24,bushfire_outage_duration-24,0)*Workings_risks!AE$26))*Workings_risks!$F$13*Workings_risks!AE$8,0)*Assumptions!$I43</f>
        <v>4.5626056264570468E-2</v>
      </c>
      <c r="AF46" s="328">
        <f>IF(SUM($H$17:AE$17)&gt;0,(('Reliability data'!$K$19*Workings_risks!AF$27+IF(bushfire_outage_duration&gt;12,12,bushfire_outage_duration-12)*Workings_risks!AF$26)+0.5*('Reliability data'!$K$20*Workings_risks!AF$27+IF(bushfire_outage_duration&gt;24,bushfire_outage_duration-24,0)*Workings_risks!AF$26))*Workings_risks!$F$13*Workings_risks!AF$8,0)*Assumptions!$I43</f>
        <v>4.5705944430285889E-2</v>
      </c>
      <c r="AG46" s="328">
        <f>IF(SUM($H$17:AF$17)&gt;0,(('Reliability data'!$K$19*Workings_risks!AG$27+IF(bushfire_outage_duration&gt;12,12,bushfire_outage_duration-12)*Workings_risks!AG$26)+0.5*('Reliability data'!$K$20*Workings_risks!AG$27+IF(bushfire_outage_duration&gt;24,bushfire_outage_duration-24,0)*Workings_risks!AG$26))*Workings_risks!$F$13*Workings_risks!AG$8,0)*Assumptions!$I43</f>
        <v>4.5785832596001344E-2</v>
      </c>
    </row>
    <row r="47" spans="1:16372" x14ac:dyDescent="0.2">
      <c r="C47" s="1" t="str">
        <f>'Option1 (base case)'!C47</f>
        <v>Incremental network resilience (commercial)</v>
      </c>
      <c r="D47" s="206" t="str">
        <f>'Option1 (base case)'!D47</f>
        <v>$/MWh</v>
      </c>
      <c r="E47" s="113">
        <f>'Option1 (base case)'!E47</f>
        <v>52200</v>
      </c>
      <c r="G47" s="208" t="s">
        <v>40</v>
      </c>
      <c r="I47" s="328">
        <f>IF(SUM($H$17:H$17)&gt;0,(0.5*('Reliability data'!$K$22*Workings_risks!I$27+IF(bushfire_outage_duration&gt;12,12,bushfire_outage_duration-12)*Workings_risks!I$26)-0.5*('Reliability data'!$K$23*Workings_risks!I$27+IF(bushfire_outage_duration&gt;72,bushfire_outage_duration-72,0)*Workings_risks!I$26))*Workings_risks!$F$13*Workings_risks!I$8,0)*Assumptions!$I44</f>
        <v>0</v>
      </c>
      <c r="J47" s="328">
        <f>IF(SUM($H$17:I$17)&gt;0,(0.5*('Reliability data'!$K$22*Workings_risks!J$27+IF(bushfire_outage_duration&gt;12,12,bushfire_outage_duration-12)*Workings_risks!J$26)-0.5*('Reliability data'!$K$23*Workings_risks!J$27+IF(bushfire_outage_duration&gt;72,bushfire_outage_duration-72,0)*Workings_risks!J$26))*Workings_risks!$F$13*Workings_risks!J$8,0)*Assumptions!$I44</f>
        <v>0</v>
      </c>
      <c r="K47" s="328">
        <f>IF(SUM($H$17:J$17)&gt;0,(0.5*('Reliability data'!$K$22*Workings_risks!K$27+IF(bushfire_outage_duration&gt;12,12,bushfire_outage_duration-12)*Workings_risks!K$26)-0.5*('Reliability data'!$K$23*Workings_risks!K$27+IF(bushfire_outage_duration&gt;72,bushfire_outage_duration-72,0)*Workings_risks!K$26))*Workings_risks!$F$13*Workings_risks!K$8,0)*Assumptions!$I44</f>
        <v>0</v>
      </c>
      <c r="L47" s="328">
        <f>IF(SUM($H$17:K$17)&gt;0,(0.5*('Reliability data'!$K$22*Workings_risks!L$27+IF(bushfire_outage_duration&gt;12,12,bushfire_outage_duration-12)*Workings_risks!L$26)-0.5*('Reliability data'!$K$23*Workings_risks!L$27+IF(bushfire_outage_duration&gt;72,bushfire_outage_duration-72,0)*Workings_risks!L$26))*Workings_risks!$F$13*Workings_risks!L$8,0)*Assumptions!$I44</f>
        <v>0</v>
      </c>
      <c r="M47" s="328">
        <f>IF(SUM($H$17:L$17)&gt;0,(0.5*('Reliability data'!$K$22*Workings_risks!M$27+IF(bushfire_outage_duration&gt;12,12,bushfire_outage_duration-12)*Workings_risks!M$26)-0.5*('Reliability data'!$K$23*Workings_risks!M$27+IF(bushfire_outage_duration&gt;72,bushfire_outage_duration-72,0)*Workings_risks!M$26))*Workings_risks!$F$13*Workings_risks!M$8,0)*Assumptions!$I44</f>
        <v>3.6620552305009269E-2</v>
      </c>
      <c r="N47" s="328">
        <f>IF(SUM($H$17:M$17)&gt;0,(0.5*('Reliability data'!$K$22*Workings_risks!N$27+IF(bushfire_outage_duration&gt;12,12,bushfire_outage_duration-12)*Workings_risks!N$26)-0.5*('Reliability data'!$K$23*Workings_risks!N$27+IF(bushfire_outage_duration&gt;72,bushfire_outage_duration-72,0)*Workings_risks!N$26))*Workings_risks!$F$13*Workings_risks!N$8,0)*Assumptions!$I44</f>
        <v>3.6992672407216362E-2</v>
      </c>
      <c r="O47" s="328">
        <f>IF(SUM($H$17:N$17)&gt;0,(0.5*('Reliability data'!$K$22*Workings_risks!O$27+IF(bushfire_outage_duration&gt;12,12,bushfire_outage_duration-12)*Workings_risks!O$26)-0.5*('Reliability data'!$K$23*Workings_risks!O$27+IF(bushfire_outage_duration&gt;72,bushfire_outage_duration-72,0)*Workings_risks!O$26))*Workings_risks!$F$13*Workings_risks!O$8,0)*Assumptions!$I44</f>
        <v>3.7731909687024459E-2</v>
      </c>
      <c r="P47" s="328">
        <f>IF(SUM($H$17:O$17)&gt;0,(0.5*('Reliability data'!$K$22*Workings_risks!P$27+IF(bushfire_outage_duration&gt;12,12,bushfire_outage_duration-12)*Workings_risks!P$26)-0.5*('Reliability data'!$K$23*Workings_risks!P$27+IF(bushfire_outage_duration&gt;72,bushfire_outage_duration-72,0)*Workings_risks!P$26))*Workings_risks!$F$13*Workings_risks!P$8,0)*Assumptions!$I44</f>
        <v>3.8546358255682305E-2</v>
      </c>
      <c r="Q47" s="328">
        <f>IF(SUM($H$17:P$17)&gt;0,(0.5*('Reliability data'!$K$22*Workings_risks!Q$27+IF(bushfire_outage_duration&gt;12,12,bushfire_outage_duration-12)*Workings_risks!Q$26)-0.5*('Reliability data'!$K$23*Workings_risks!Q$27+IF(bushfire_outage_duration&gt;72,bushfire_outage_duration-72,0)*Workings_risks!Q$26))*Workings_risks!$F$13*Workings_risks!Q$8,0)*Assumptions!$I44</f>
        <v>3.9009044590845109E-2</v>
      </c>
      <c r="R47" s="328">
        <f>IF(SUM($H$17:Q$17)&gt;0,(0.5*('Reliability data'!$K$22*Workings_risks!R$27+IF(bushfire_outage_duration&gt;12,12,bushfire_outage_duration-12)*Workings_risks!R$26)-0.5*('Reliability data'!$K$23*Workings_risks!R$27+IF(bushfire_outage_duration&gt;72,bushfire_outage_duration-72,0)*Workings_risks!R$26))*Workings_risks!$F$13*Workings_risks!R$8,0)*Assumptions!$I44</f>
        <v>3.9082758115734882E-2</v>
      </c>
      <c r="S47" s="328">
        <f>IF(SUM($H$17:R$17)&gt;0,(0.5*('Reliability data'!$K$22*Workings_risks!S$27+IF(bushfire_outage_duration&gt;12,12,bushfire_outage_duration-12)*Workings_risks!S$26)-0.5*('Reliability data'!$K$23*Workings_risks!S$27+IF(bushfire_outage_duration&gt;72,bushfire_outage_duration-72,0)*Workings_risks!S$26))*Workings_risks!$F$13*Workings_risks!S$8,0)*Assumptions!$I44</f>
        <v>3.9156471640624732E-2</v>
      </c>
      <c r="T47" s="328">
        <f>IF(SUM($H$17:S$17)&gt;0,(0.5*('Reliability data'!$K$22*Workings_risks!T$27+IF(bushfire_outage_duration&gt;12,12,bushfire_outage_duration-12)*Workings_risks!T$26)-0.5*('Reliability data'!$K$23*Workings_risks!T$27+IF(bushfire_outage_duration&gt;72,bushfire_outage_duration-72,0)*Workings_risks!T$26))*Workings_risks!$F$13*Workings_risks!T$8,0)*Assumptions!$I44</f>
        <v>3.9230185165514513E-2</v>
      </c>
      <c r="U47" s="328">
        <f>IF(SUM($H$17:T$17)&gt;0,(0.5*('Reliability data'!$K$22*Workings_risks!U$27+IF(bushfire_outage_duration&gt;12,12,bushfire_outage_duration-12)*Workings_risks!U$26)-0.5*('Reliability data'!$K$23*Workings_risks!U$27+IF(bushfire_outage_duration&gt;72,bushfire_outage_duration-72,0)*Workings_risks!U$26))*Workings_risks!$F$13*Workings_risks!U$8,0)*Assumptions!$I44</f>
        <v>3.9303898690404279E-2</v>
      </c>
      <c r="V47" s="328">
        <f>IF(SUM($H$17:U$17)&gt;0,(0.5*('Reliability data'!$K$22*Workings_risks!V$27+IF(bushfire_outage_duration&gt;12,12,bushfire_outage_duration-12)*Workings_risks!V$26)-0.5*('Reliability data'!$K$23*Workings_risks!V$27+IF(bushfire_outage_duration&gt;72,bushfire_outage_duration-72,0)*Workings_risks!V$26))*Workings_risks!$F$13*Workings_risks!V$8,0)*Assumptions!$I44</f>
        <v>3.9377612215294129E-2</v>
      </c>
      <c r="W47" s="328">
        <f>IF(SUM($H$17:V$17)&gt;0,(0.5*('Reliability data'!$K$22*Workings_risks!W$27+IF(bushfire_outage_duration&gt;12,12,bushfire_outage_duration-12)*Workings_risks!W$26)-0.5*('Reliability data'!$K$23*Workings_risks!W$27+IF(bushfire_outage_duration&gt;72,bushfire_outage_duration-72,0)*Workings_risks!W$26))*Workings_risks!$F$13*Workings_risks!W$8,0)*Assumptions!$I44</f>
        <v>3.945132574018391E-2</v>
      </c>
      <c r="X47" s="328">
        <f>IF(SUM($H$17:W$17)&gt;0,(0.5*('Reliability data'!$K$22*Workings_risks!X$27+IF(bushfire_outage_duration&gt;12,12,bushfire_outage_duration-12)*Workings_risks!X$26)-0.5*('Reliability data'!$K$23*Workings_risks!X$27+IF(bushfire_outage_duration&gt;72,bushfire_outage_duration-72,0)*Workings_risks!X$26))*Workings_risks!$F$13*Workings_risks!X$8,0)*Assumptions!$I44</f>
        <v>3.9525039265073697E-2</v>
      </c>
      <c r="Y47" s="328">
        <f>IF(SUM($H$17:X$17)&gt;0,(0.5*('Reliability data'!$K$22*Workings_risks!Y$27+IF(bushfire_outage_duration&gt;12,12,bushfire_outage_duration-12)*Workings_risks!Y$26)-0.5*('Reliability data'!$K$23*Workings_risks!Y$27+IF(bushfire_outage_duration&gt;72,bushfire_outage_duration-72,0)*Workings_risks!Y$26))*Workings_risks!$F$13*Workings_risks!Y$8,0)*Assumptions!$I44</f>
        <v>3.9598752789963533E-2</v>
      </c>
      <c r="Z47" s="328">
        <f>IF(SUM($H$17:Y$17)&gt;0,(0.5*('Reliability data'!$K$22*Workings_risks!Z$27+IF(bushfire_outage_duration&gt;12,12,bushfire_outage_duration-12)*Workings_risks!Z$26)-0.5*('Reliability data'!$K$23*Workings_risks!Z$27+IF(bushfire_outage_duration&gt;72,bushfire_outage_duration-72,0)*Workings_risks!Z$26))*Workings_risks!$F$13*Workings_risks!Z$8,0)*Assumptions!$I44</f>
        <v>3.967246631485332E-2</v>
      </c>
      <c r="AA47" s="328">
        <f>IF(SUM($H$17:Z$17)&gt;0,(0.5*('Reliability data'!$K$22*Workings_risks!AA$27+IF(bushfire_outage_duration&gt;12,12,bushfire_outage_duration-12)*Workings_risks!AA$26)-0.5*('Reliability data'!$K$23*Workings_risks!AA$27+IF(bushfire_outage_duration&gt;72,bushfire_outage_duration-72,0)*Workings_risks!AA$26))*Workings_risks!$F$13*Workings_risks!AA$8,0)*Assumptions!$I44</f>
        <v>3.9746179839743163E-2</v>
      </c>
      <c r="AB47" s="328">
        <f>IF(SUM($H$17:AA$17)&gt;0,(0.5*('Reliability data'!$K$22*Workings_risks!AB$27+IF(bushfire_outage_duration&gt;12,12,bushfire_outage_duration-12)*Workings_risks!AB$26)-0.5*('Reliability data'!$K$23*Workings_risks!AB$27+IF(bushfire_outage_duration&gt;72,bushfire_outage_duration-72,0)*Workings_risks!AB$26))*Workings_risks!$F$13*Workings_risks!AB$8,0)*Assumptions!$I44</f>
        <v>3.9819893364632944E-2</v>
      </c>
      <c r="AC47" s="328">
        <f>IF(SUM($H$17:AB$17)&gt;0,(0.5*('Reliability data'!$K$22*Workings_risks!AC$27+IF(bushfire_outage_duration&gt;12,12,bushfire_outage_duration-12)*Workings_risks!AC$26)-0.5*('Reliability data'!$K$23*Workings_risks!AC$27+IF(bushfire_outage_duration&gt;72,bushfire_outage_duration-72,0)*Workings_risks!AC$26))*Workings_risks!$F$13*Workings_risks!AC$8,0)*Assumptions!$I44</f>
        <v>3.9893606889522731E-2</v>
      </c>
      <c r="AD47" s="328">
        <f>IF(SUM($H$17:AC$17)&gt;0,(0.5*('Reliability data'!$K$22*Workings_risks!AD$27+IF(bushfire_outage_duration&gt;12,12,bushfire_outage_duration-12)*Workings_risks!AD$26)-0.5*('Reliability data'!$K$23*Workings_risks!AD$27+IF(bushfire_outage_duration&gt;72,bushfire_outage_duration-72,0)*Workings_risks!AD$26))*Workings_risks!$F$13*Workings_risks!AD$8,0)*Assumptions!$I44</f>
        <v>3.9967320414412567E-2</v>
      </c>
      <c r="AE47" s="328">
        <f>IF(SUM($H$17:AD$17)&gt;0,(0.5*('Reliability data'!$K$22*Workings_risks!AE$27+IF(bushfire_outage_duration&gt;12,12,bushfire_outage_duration-12)*Workings_risks!AE$26)-0.5*('Reliability data'!$K$23*Workings_risks!AE$27+IF(bushfire_outage_duration&gt;72,bushfire_outage_duration-72,0)*Workings_risks!AE$26))*Workings_risks!$F$13*Workings_risks!AE$8,0)*Assumptions!$I44</f>
        <v>4.0041033939302355E-2</v>
      </c>
      <c r="AF47" s="328">
        <f>IF(SUM($H$17:AE$17)&gt;0,(0.5*('Reliability data'!$K$22*Workings_risks!AF$27+IF(bushfire_outage_duration&gt;12,12,bushfire_outage_duration-12)*Workings_risks!AF$26)-0.5*('Reliability data'!$K$23*Workings_risks!AF$27+IF(bushfire_outage_duration&gt;72,bushfire_outage_duration-72,0)*Workings_risks!AF$26))*Workings_risks!$F$13*Workings_risks!AF$8,0)*Assumptions!$I44</f>
        <v>4.0114747464192135E-2</v>
      </c>
      <c r="AG47" s="328">
        <f>IF(SUM($H$17:AF$17)&gt;0,(0.5*('Reliability data'!$K$22*Workings_risks!AG$27+IF(bushfire_outage_duration&gt;12,12,bushfire_outage_duration-12)*Workings_risks!AG$26)-0.5*('Reliability data'!$K$23*Workings_risks!AG$27+IF(bushfire_outage_duration&gt;72,bushfire_outage_duration-72,0)*Workings_risks!AG$26))*Workings_risks!$F$13*Workings_risks!AG$8,0)*Assumptions!$I44</f>
        <v>4.0188460989081971E-2</v>
      </c>
    </row>
    <row r="48" spans="1:16372" x14ac:dyDescent="0.2">
      <c r="C48" s="1" t="str">
        <f>'Option1 (base case)'!C48</f>
        <v>Incremental network resilience (industrial)</v>
      </c>
      <c r="D48" s="206" t="str">
        <f>'Option1 (base case)'!D48</f>
        <v>$/customer</v>
      </c>
      <c r="E48" s="113">
        <f>'Option1 (base case)'!E48</f>
        <v>74790</v>
      </c>
      <c r="G48" s="208" t="s">
        <v>40</v>
      </c>
      <c r="I48" s="328">
        <f>IF(SUM($H$17:H$17)&gt;0,(0.5*('Reliability data'!$K$22*Workings_risks!I$27+IF(bushfire_outage_duration&gt;12,12,bushfire_outage_duration-12)*Workings_risks!I$26)-0.5*('Reliability data'!$K$23*Workings_risks!I$27+IF(bushfire_outage_duration&gt;72,bushfire_outage_duration-72,0)*Workings_risks!I$26))*Workings_risks!$F$13*Workings_risks!I$8,0)*Assumptions!$I45</f>
        <v>0</v>
      </c>
      <c r="J48" s="328">
        <f>IF(SUM($H$17:I$17)&gt;0,(0.5*('Reliability data'!$K$22*Workings_risks!J$27+IF(bushfire_outage_duration&gt;12,12,bushfire_outage_duration-12)*Workings_risks!J$26)-0.5*('Reliability data'!$K$23*Workings_risks!J$27+IF(bushfire_outage_duration&gt;72,bushfire_outage_duration-72,0)*Workings_risks!J$26))*Workings_risks!$F$13*Workings_risks!J$8,0)*Assumptions!$I45</f>
        <v>0</v>
      </c>
      <c r="K48" s="328">
        <f>IF(SUM($H$17:J$17)&gt;0,(0.5*('Reliability data'!$K$22*Workings_risks!K$27+IF(bushfire_outage_duration&gt;12,12,bushfire_outage_duration-12)*Workings_risks!K$26)-0.5*('Reliability data'!$K$23*Workings_risks!K$27+IF(bushfire_outage_duration&gt;72,bushfire_outage_duration-72,0)*Workings_risks!K$26))*Workings_risks!$F$13*Workings_risks!K$8,0)*Assumptions!$I45</f>
        <v>0</v>
      </c>
      <c r="L48" s="328">
        <f>IF(SUM($H$17:K$17)&gt;0,(0.5*('Reliability data'!$K$22*Workings_risks!L$27+IF(bushfire_outage_duration&gt;12,12,bushfire_outage_duration-12)*Workings_risks!L$26)-0.5*('Reliability data'!$K$23*Workings_risks!L$27+IF(bushfire_outage_duration&gt;72,bushfire_outage_duration-72,0)*Workings_risks!L$26))*Workings_risks!$F$13*Workings_risks!L$8,0)*Assumptions!$I45</f>
        <v>0</v>
      </c>
      <c r="M48" s="328">
        <f>IF(SUM($H$17:L$17)&gt;0,(0.5*('Reliability data'!$K$22*Workings_risks!M$27+IF(bushfire_outage_duration&gt;12,12,bushfire_outage_duration-12)*Workings_risks!M$26)-0.5*('Reliability data'!$K$23*Workings_risks!M$27+IF(bushfire_outage_duration&gt;72,bushfire_outage_duration-72,0)*Workings_risks!M$26))*Workings_risks!$F$13*Workings_risks!M$8,0)*Assumptions!$I45</f>
        <v>4.5042988506798238E-3</v>
      </c>
      <c r="N48" s="328">
        <f>IF(SUM($H$17:M$17)&gt;0,(0.5*('Reliability data'!$K$22*Workings_risks!N$27+IF(bushfire_outage_duration&gt;12,12,bushfire_outage_duration-12)*Workings_risks!N$26)-0.5*('Reliability data'!$K$23*Workings_risks!N$27+IF(bushfire_outage_duration&gt;72,bushfire_outage_duration-72,0)*Workings_risks!N$26))*Workings_risks!$F$13*Workings_risks!N$8,0)*Assumptions!$I45</f>
        <v>4.5500693277257705E-3</v>
      </c>
      <c r="O48" s="328">
        <f>IF(SUM($H$17:N$17)&gt;0,(0.5*('Reliability data'!$K$22*Workings_risks!O$27+IF(bushfire_outage_duration&gt;12,12,bushfire_outage_duration-12)*Workings_risks!O$26)-0.5*('Reliability data'!$K$23*Workings_risks!O$27+IF(bushfire_outage_duration&gt;72,bushfire_outage_duration-72,0)*Workings_risks!O$26))*Workings_risks!$F$13*Workings_risks!O$8,0)*Assumptions!$I45</f>
        <v>4.6409949260642694E-3</v>
      </c>
      <c r="P48" s="328">
        <f>IF(SUM($H$17:O$17)&gt;0,(0.5*('Reliability data'!$K$22*Workings_risks!P$27+IF(bushfire_outage_duration&gt;12,12,bushfire_outage_duration-12)*Workings_risks!P$26)-0.5*('Reliability data'!$K$23*Workings_risks!P$27+IF(bushfire_outage_duration&gt;72,bushfire_outage_duration-72,0)*Workings_risks!P$26))*Workings_risks!$F$13*Workings_risks!P$8,0)*Assumptions!$I45</f>
        <v>4.74117145320096E-3</v>
      </c>
      <c r="Q48" s="328">
        <f>IF(SUM($H$17:P$17)&gt;0,(0.5*('Reliability data'!$K$22*Workings_risks!Q$27+IF(bushfire_outage_duration&gt;12,12,bushfire_outage_duration-12)*Workings_risks!Q$26)-0.5*('Reliability data'!$K$23*Workings_risks!Q$27+IF(bushfire_outage_duration&gt;72,bushfire_outage_duration-72,0)*Workings_risks!Q$26))*Workings_risks!$F$13*Workings_risks!Q$8,0)*Assumptions!$I45</f>
        <v>4.7980815049757392E-3</v>
      </c>
      <c r="R48" s="328">
        <f>IF(SUM($H$17:Q$17)&gt;0,(0.5*('Reliability data'!$K$22*Workings_risks!R$27+IF(bushfire_outage_duration&gt;12,12,bushfire_outage_duration-12)*Workings_risks!R$26)-0.5*('Reliability data'!$K$23*Workings_risks!R$27+IF(bushfire_outage_duration&gt;72,bushfire_outage_duration-72,0)*Workings_risks!R$26))*Workings_risks!$F$13*Workings_risks!R$8,0)*Assumptions!$I45</f>
        <v>4.8071482099963283E-3</v>
      </c>
      <c r="S48" s="328">
        <f>IF(SUM($H$17:R$17)&gt;0,(0.5*('Reliability data'!$K$22*Workings_risks!S$27+IF(bushfire_outage_duration&gt;12,12,bushfire_outage_duration-12)*Workings_risks!S$26)-0.5*('Reliability data'!$K$23*Workings_risks!S$27+IF(bushfire_outage_duration&gt;72,bushfire_outage_duration-72,0)*Workings_risks!S$26))*Workings_risks!$F$13*Workings_risks!S$8,0)*Assumptions!$I45</f>
        <v>4.816214915016926E-3</v>
      </c>
      <c r="T48" s="328">
        <f>IF(SUM($H$17:S$17)&gt;0,(0.5*('Reliability data'!$K$22*Workings_risks!T$27+IF(bushfire_outage_duration&gt;12,12,bushfire_outage_duration-12)*Workings_risks!T$26)-0.5*('Reliability data'!$K$23*Workings_risks!T$27+IF(bushfire_outage_duration&gt;72,bushfire_outage_duration-72,0)*Workings_risks!T$26))*Workings_risks!$F$13*Workings_risks!T$8,0)*Assumptions!$I45</f>
        <v>4.825281620037516E-3</v>
      </c>
      <c r="U48" s="328">
        <f>IF(SUM($H$17:T$17)&gt;0,(0.5*('Reliability data'!$K$22*Workings_risks!U$27+IF(bushfire_outage_duration&gt;12,12,bushfire_outage_duration-12)*Workings_risks!U$26)-0.5*('Reliability data'!$K$23*Workings_risks!U$27+IF(bushfire_outage_duration&gt;72,bushfire_outage_duration-72,0)*Workings_risks!U$26))*Workings_risks!$F$13*Workings_risks!U$8,0)*Assumptions!$I45</f>
        <v>4.8343483250581042E-3</v>
      </c>
      <c r="V48" s="328">
        <f>IF(SUM($H$17:U$17)&gt;0,(0.5*('Reliability data'!$K$22*Workings_risks!V$27+IF(bushfire_outage_duration&gt;12,12,bushfire_outage_duration-12)*Workings_risks!V$26)-0.5*('Reliability data'!$K$23*Workings_risks!V$27+IF(bushfire_outage_duration&gt;72,bushfire_outage_duration-72,0)*Workings_risks!V$26))*Workings_risks!$F$13*Workings_risks!V$8,0)*Assumptions!$I45</f>
        <v>4.8434150300787028E-3</v>
      </c>
      <c r="W48" s="328">
        <f>IF(SUM($H$17:V$17)&gt;0,(0.5*('Reliability data'!$K$22*Workings_risks!W$27+IF(bushfire_outage_duration&gt;12,12,bushfire_outage_duration-12)*Workings_risks!W$26)-0.5*('Reliability data'!$K$23*Workings_risks!W$27+IF(bushfire_outage_duration&gt;72,bushfire_outage_duration-72,0)*Workings_risks!W$26))*Workings_risks!$F$13*Workings_risks!W$8,0)*Assumptions!$I45</f>
        <v>4.8524817350992927E-3</v>
      </c>
      <c r="X48" s="328">
        <f>IF(SUM($H$17:W$17)&gt;0,(0.5*('Reliability data'!$K$22*Workings_risks!X$27+IF(bushfire_outage_duration&gt;12,12,bushfire_outage_duration-12)*Workings_risks!X$26)-0.5*('Reliability data'!$K$23*Workings_risks!X$27+IF(bushfire_outage_duration&gt;72,bushfire_outage_duration-72,0)*Workings_risks!X$26))*Workings_risks!$F$13*Workings_risks!X$8,0)*Assumptions!$I45</f>
        <v>4.8615484401198826E-3</v>
      </c>
      <c r="Y48" s="328">
        <f>IF(SUM($H$17:X$17)&gt;0,(0.5*('Reliability data'!$K$22*Workings_risks!Y$27+IF(bushfire_outage_duration&gt;12,12,bushfire_outage_duration-12)*Workings_risks!Y$26)-0.5*('Reliability data'!$K$23*Workings_risks!Y$27+IF(bushfire_outage_duration&gt;72,bushfire_outage_duration-72,0)*Workings_risks!Y$26))*Workings_risks!$F$13*Workings_risks!Y$8,0)*Assumptions!$I45</f>
        <v>4.8706151451404795E-3</v>
      </c>
      <c r="Z48" s="328">
        <f>IF(SUM($H$17:Y$17)&gt;0,(0.5*('Reliability data'!$K$22*Workings_risks!Z$27+IF(bushfire_outage_duration&gt;12,12,bushfire_outage_duration-12)*Workings_risks!Z$26)-0.5*('Reliability data'!$K$23*Workings_risks!Z$27+IF(bushfire_outage_duration&gt;72,bushfire_outage_duration-72,0)*Workings_risks!Z$26))*Workings_risks!$F$13*Workings_risks!Z$8,0)*Assumptions!$I45</f>
        <v>4.8796818501610694E-3</v>
      </c>
      <c r="AA48" s="328">
        <f>IF(SUM($H$17:Z$17)&gt;0,(0.5*('Reliability data'!$K$22*Workings_risks!AA$27+IF(bushfire_outage_duration&gt;12,12,bushfire_outage_duration-12)*Workings_risks!AA$26)-0.5*('Reliability data'!$K$23*Workings_risks!AA$27+IF(bushfire_outage_duration&gt;72,bushfire_outage_duration-72,0)*Workings_risks!AA$26))*Workings_risks!$F$13*Workings_risks!AA$8,0)*Assumptions!$I45</f>
        <v>4.8887485551816672E-3</v>
      </c>
      <c r="AB48" s="328">
        <f>IF(SUM($H$17:AA$17)&gt;0,(0.5*('Reliability data'!$K$22*Workings_risks!AB$27+IF(bushfire_outage_duration&gt;12,12,bushfire_outage_duration-12)*Workings_risks!AB$26)-0.5*('Reliability data'!$K$23*Workings_risks!AB$27+IF(bushfire_outage_duration&gt;72,bushfire_outage_duration-72,0)*Workings_risks!AB$26))*Workings_risks!$F$13*Workings_risks!AB$8,0)*Assumptions!$I45</f>
        <v>4.8978152602022571E-3</v>
      </c>
      <c r="AC48" s="328">
        <f>IF(SUM($H$17:AB$17)&gt;0,(0.5*('Reliability data'!$K$22*Workings_risks!AC$27+IF(bushfire_outage_duration&gt;12,12,bushfire_outage_duration-12)*Workings_risks!AC$26)-0.5*('Reliability data'!$K$23*Workings_risks!AC$27+IF(bushfire_outage_duration&gt;72,bushfire_outage_duration-72,0)*Workings_risks!AC$26))*Workings_risks!$F$13*Workings_risks!AC$8,0)*Assumptions!$I45</f>
        <v>4.9068819652228479E-3</v>
      </c>
      <c r="AD48" s="328">
        <f>IF(SUM($H$17:AC$17)&gt;0,(0.5*('Reliability data'!$K$22*Workings_risks!AD$27+IF(bushfire_outage_duration&gt;12,12,bushfire_outage_duration-12)*Workings_risks!AD$26)-0.5*('Reliability data'!$K$23*Workings_risks!AD$27+IF(bushfire_outage_duration&gt;72,bushfire_outage_duration-72,0)*Workings_risks!AD$26))*Workings_risks!$F$13*Workings_risks!AD$8,0)*Assumptions!$I45</f>
        <v>4.9159486702434448E-3</v>
      </c>
      <c r="AE48" s="328">
        <f>IF(SUM($H$17:AD$17)&gt;0,(0.5*('Reliability data'!$K$22*Workings_risks!AE$27+IF(bushfire_outage_duration&gt;12,12,bushfire_outage_duration-12)*Workings_risks!AE$26)-0.5*('Reliability data'!$K$23*Workings_risks!AE$27+IF(bushfire_outage_duration&gt;72,bushfire_outage_duration-72,0)*Workings_risks!AE$26))*Workings_risks!$F$13*Workings_risks!AE$8,0)*Assumptions!$I45</f>
        <v>4.9250153752640347E-3</v>
      </c>
      <c r="AF48" s="328">
        <f>IF(SUM($H$17:AE$17)&gt;0,(0.5*('Reliability data'!$K$22*Workings_risks!AF$27+IF(bushfire_outage_duration&gt;12,12,bushfire_outage_duration-12)*Workings_risks!AF$26)-0.5*('Reliability data'!$K$23*Workings_risks!AF$27+IF(bushfire_outage_duration&gt;72,bushfire_outage_duration-72,0)*Workings_risks!AF$26))*Workings_risks!$F$13*Workings_risks!AF$8,0)*Assumptions!$I45</f>
        <v>4.9340820802846247E-3</v>
      </c>
      <c r="AG48" s="328">
        <f>IF(SUM($H$17:AF$17)&gt;0,(0.5*('Reliability data'!$K$22*Workings_risks!AG$27+IF(bushfire_outage_duration&gt;12,12,bushfire_outage_duration-12)*Workings_risks!AG$26)-0.5*('Reliability data'!$K$23*Workings_risks!AG$27+IF(bushfire_outage_duration&gt;72,bushfire_outage_duration-72,0)*Workings_risks!AG$26))*Workings_risks!$F$13*Workings_risks!AG$8,0)*Assumptions!$I45</f>
        <v>4.9431487853052207E-3</v>
      </c>
    </row>
    <row r="49" spans="1:43" x14ac:dyDescent="0.2">
      <c r="C49" s="1" t="str">
        <f>'Option1 (base case)'!C49</f>
        <v>Incremental network resilience (agricultural)</v>
      </c>
      <c r="D49" s="206" t="str">
        <f>'Option1 (base case)'!D49</f>
        <v>$/customer min</v>
      </c>
      <c r="E49" s="113">
        <f>'Option1 (base case)'!E49</f>
        <v>44400</v>
      </c>
      <c r="G49" s="208" t="s">
        <v>40</v>
      </c>
      <c r="I49" s="328">
        <f>IF(SUM($H$17:H$17)&gt;0,(0.5*('Reliability data'!$K$22*Workings_risks!I$27+IF(bushfire_outage_duration&gt;12,12,bushfire_outage_duration-12)*Workings_risks!I$26)-0.5*('Reliability data'!$K$23*Workings_risks!I$27+IF(bushfire_outage_duration&gt;72,bushfire_outage_duration-72,0)*Workings_risks!I$26))*Workings_risks!$F$13*Workings_risks!I$8,0)*Assumptions!$I46</f>
        <v>0</v>
      </c>
      <c r="J49" s="328">
        <f>IF(SUM($H$17:I$17)&gt;0,(0.5*('Reliability data'!$K$22*Workings_risks!J$27+IF(bushfire_outage_duration&gt;12,12,bushfire_outage_duration-12)*Workings_risks!J$26)-0.5*('Reliability data'!$K$23*Workings_risks!J$27+IF(bushfire_outage_duration&gt;72,bushfire_outage_duration-72,0)*Workings_risks!J$26))*Workings_risks!$F$13*Workings_risks!J$8,0)*Assumptions!$I46</f>
        <v>0</v>
      </c>
      <c r="K49" s="328">
        <f>IF(SUM($H$17:J$17)&gt;0,(0.5*('Reliability data'!$K$22*Workings_risks!K$27+IF(bushfire_outage_duration&gt;12,12,bushfire_outage_duration-12)*Workings_risks!K$26)-0.5*('Reliability data'!$K$23*Workings_risks!K$27+IF(bushfire_outage_duration&gt;72,bushfire_outage_duration-72,0)*Workings_risks!K$26))*Workings_risks!$F$13*Workings_risks!K$8,0)*Assumptions!$I46</f>
        <v>0</v>
      </c>
      <c r="L49" s="328">
        <f>IF(SUM($H$17:K$17)&gt;0,(0.5*('Reliability data'!$K$22*Workings_risks!L$27+IF(bushfire_outage_duration&gt;12,12,bushfire_outage_duration-12)*Workings_risks!L$26)-0.5*('Reliability data'!$K$23*Workings_risks!L$27+IF(bushfire_outage_duration&gt;72,bushfire_outage_duration-72,0)*Workings_risks!L$26))*Workings_risks!$F$13*Workings_risks!L$8,0)*Assumptions!$I46</f>
        <v>0</v>
      </c>
      <c r="M49" s="328">
        <f>IF(SUM($H$17:L$17)&gt;0,(0.5*('Reliability data'!$K$22*Workings_risks!M$27+IF(bushfire_outage_duration&gt;12,12,bushfire_outage_duration-12)*Workings_risks!M$26)-0.5*('Reliability data'!$K$23*Workings_risks!M$27+IF(bushfire_outage_duration&gt;72,bushfire_outage_duration-72,0)*Workings_risks!M$26))*Workings_risks!$F$13*Workings_risks!M$8,0)*Assumptions!$I46</f>
        <v>3.4917944082517886E-3</v>
      </c>
      <c r="N49" s="328">
        <f>IF(SUM($H$17:M$17)&gt;0,(0.5*('Reliability data'!$K$22*Workings_risks!N$27+IF(bushfire_outage_duration&gt;12,12,bushfire_outage_duration-12)*Workings_risks!N$26)-0.5*('Reliability data'!$K$23*Workings_risks!N$27+IF(bushfire_outage_duration&gt;72,bushfire_outage_duration-72,0)*Workings_risks!N$26))*Workings_risks!$F$13*Workings_risks!N$8,0)*Assumptions!$I46</f>
        <v>3.5272763114536443E-3</v>
      </c>
      <c r="O49" s="328">
        <f>IF(SUM($H$17:N$17)&gt;0,(0.5*('Reliability data'!$K$22*Workings_risks!O$27+IF(bushfire_outage_duration&gt;12,12,bushfire_outage_duration-12)*Workings_risks!O$26)-0.5*('Reliability data'!$K$23*Workings_risks!O$27+IF(bushfire_outage_duration&gt;72,bushfire_outage_duration-72,0)*Workings_risks!O$26))*Workings_risks!$F$13*Workings_risks!O$8,0)*Assumptions!$I46</f>
        <v>3.5977630856154877E-3</v>
      </c>
      <c r="P49" s="328">
        <f>IF(SUM($H$17:O$17)&gt;0,(0.5*('Reliability data'!$K$22*Workings_risks!P$27+IF(bushfire_outage_duration&gt;12,12,bushfire_outage_duration-12)*Workings_risks!P$26)-0.5*('Reliability data'!$K$23*Workings_risks!P$27+IF(bushfire_outage_duration&gt;72,bushfire_outage_duration-72,0)*Workings_risks!P$26))*Workings_risks!$F$13*Workings_risks!P$8,0)*Assumptions!$I46</f>
        <v>3.6754213069924257E-3</v>
      </c>
      <c r="Q49" s="328">
        <f>IF(SUM($H$17:P$17)&gt;0,(0.5*('Reliability data'!$K$22*Workings_risks!Q$27+IF(bushfire_outage_duration&gt;12,12,bushfire_outage_duration-12)*Workings_risks!Q$26)-0.5*('Reliability data'!$K$23*Workings_risks!Q$27+IF(bushfire_outage_duration&gt;72,bushfire_outage_duration-72,0)*Workings_risks!Q$26))*Workings_risks!$F$13*Workings_risks!Q$8,0)*Assumptions!$I46</f>
        <v>3.719538761705827E-3</v>
      </c>
      <c r="R49" s="328">
        <f>IF(SUM($H$17:Q$17)&gt;0,(0.5*('Reliability data'!$K$22*Workings_risks!R$27+IF(bushfire_outage_duration&gt;12,12,bushfire_outage_duration-12)*Workings_risks!R$26)-0.5*('Reliability data'!$K$23*Workings_risks!R$27+IF(bushfire_outage_duration&gt;72,bushfire_outage_duration-72,0)*Workings_risks!R$26))*Workings_risks!$F$13*Workings_risks!R$8,0)*Assumptions!$I46</f>
        <v>3.7265673961152383E-3</v>
      </c>
      <c r="S49" s="328">
        <f>IF(SUM($H$17:R$17)&gt;0,(0.5*('Reliability data'!$K$22*Workings_risks!S$27+IF(bushfire_outage_duration&gt;12,12,bushfire_outage_duration-12)*Workings_risks!S$26)-0.5*('Reliability data'!$K$23*Workings_risks!S$27+IF(bushfire_outage_duration&gt;72,bushfire_outage_duration-72,0)*Workings_risks!S$26))*Workings_risks!$F$13*Workings_risks!S$8,0)*Assumptions!$I46</f>
        <v>3.7335960305246571E-3</v>
      </c>
      <c r="T49" s="328">
        <f>IF(SUM($H$17:S$17)&gt;0,(0.5*('Reliability data'!$K$22*Workings_risks!T$27+IF(bushfire_outage_duration&gt;12,12,bushfire_outage_duration-12)*Workings_risks!T$26)-0.5*('Reliability data'!$K$23*Workings_risks!T$27+IF(bushfire_outage_duration&gt;72,bushfire_outage_duration-72,0)*Workings_risks!T$26))*Workings_risks!$F$13*Workings_risks!T$8,0)*Assumptions!$I46</f>
        <v>3.7406246649340693E-3</v>
      </c>
      <c r="U49" s="328">
        <f>IF(SUM($H$17:T$17)&gt;0,(0.5*('Reliability data'!$K$22*Workings_risks!U$27+IF(bushfire_outage_duration&gt;12,12,bushfire_outage_duration-12)*Workings_risks!U$26)-0.5*('Reliability data'!$K$23*Workings_risks!U$27+IF(bushfire_outage_duration&gt;72,bushfire_outage_duration-72,0)*Workings_risks!U$26))*Workings_risks!$F$13*Workings_risks!U$8,0)*Assumptions!$I46</f>
        <v>3.7476532993434802E-3</v>
      </c>
      <c r="V49" s="328">
        <f>IF(SUM($H$17:U$17)&gt;0,(0.5*('Reliability data'!$K$22*Workings_risks!V$27+IF(bushfire_outage_duration&gt;12,12,bushfire_outage_duration-12)*Workings_risks!V$26)-0.5*('Reliability data'!$K$23*Workings_risks!V$27+IF(bushfire_outage_duration&gt;72,bushfire_outage_duration-72,0)*Workings_risks!V$26))*Workings_risks!$F$13*Workings_risks!V$8,0)*Assumptions!$I46</f>
        <v>3.7546819337528985E-3</v>
      </c>
      <c r="W49" s="328">
        <f>IF(SUM($H$17:V$17)&gt;0,(0.5*('Reliability data'!$K$22*Workings_risks!W$27+IF(bushfire_outage_duration&gt;12,12,bushfire_outage_duration-12)*Workings_risks!W$26)-0.5*('Reliability data'!$K$23*Workings_risks!W$27+IF(bushfire_outage_duration&gt;72,bushfire_outage_duration-72,0)*Workings_risks!W$26))*Workings_risks!$F$13*Workings_risks!W$8,0)*Assumptions!$I46</f>
        <v>3.7617105681623112E-3</v>
      </c>
      <c r="X49" s="328">
        <f>IF(SUM($H$17:W$17)&gt;0,(0.5*('Reliability data'!$K$22*Workings_risks!X$27+IF(bushfire_outage_duration&gt;12,12,bushfire_outage_duration-12)*Workings_risks!X$26)-0.5*('Reliability data'!$K$23*Workings_risks!X$27+IF(bushfire_outage_duration&gt;72,bushfire_outage_duration-72,0)*Workings_risks!X$26))*Workings_risks!$F$13*Workings_risks!X$8,0)*Assumptions!$I46</f>
        <v>3.7687392025717238E-3</v>
      </c>
      <c r="Y49" s="328">
        <f>IF(SUM($H$17:X$17)&gt;0,(0.5*('Reliability data'!$K$22*Workings_risks!Y$27+IF(bushfire_outage_duration&gt;12,12,bushfire_outage_duration-12)*Workings_risks!Y$26)-0.5*('Reliability data'!$K$23*Workings_risks!Y$27+IF(bushfire_outage_duration&gt;72,bushfire_outage_duration-72,0)*Workings_risks!Y$26))*Workings_risks!$F$13*Workings_risks!Y$8,0)*Assumptions!$I46</f>
        <v>3.7757678369811413E-3</v>
      </c>
      <c r="Z49" s="328">
        <f>IF(SUM($H$17:Y$17)&gt;0,(0.5*('Reliability data'!$K$22*Workings_risks!Z$27+IF(bushfire_outage_duration&gt;12,12,bushfire_outage_duration-12)*Workings_risks!Z$26)-0.5*('Reliability data'!$K$23*Workings_risks!Z$27+IF(bushfire_outage_duration&gt;72,bushfire_outage_duration-72,0)*Workings_risks!Z$26))*Workings_risks!$F$13*Workings_risks!Z$8,0)*Assumptions!$I46</f>
        <v>3.7827964713905539E-3</v>
      </c>
      <c r="AA49" s="328">
        <f>IF(SUM($H$17:Z$17)&gt;0,(0.5*('Reliability data'!$K$22*Workings_risks!AA$27+IF(bushfire_outage_duration&gt;12,12,bushfire_outage_duration-12)*Workings_risks!AA$26)-0.5*('Reliability data'!$K$23*Workings_risks!AA$27+IF(bushfire_outage_duration&gt;72,bushfire_outage_duration-72,0)*Workings_risks!AA$26))*Workings_risks!$F$13*Workings_risks!AA$8,0)*Assumptions!$I46</f>
        <v>3.7898251057999722E-3</v>
      </c>
      <c r="AB49" s="328">
        <f>IF(SUM($H$17:AA$17)&gt;0,(0.5*('Reliability data'!$K$22*Workings_risks!AB$27+IF(bushfire_outage_duration&gt;12,12,bushfire_outage_duration-12)*Workings_risks!AB$26)-0.5*('Reliability data'!$K$23*Workings_risks!AB$27+IF(bushfire_outage_duration&gt;72,bushfire_outage_duration-72,0)*Workings_risks!AB$26))*Workings_risks!$F$13*Workings_risks!AB$8,0)*Assumptions!$I46</f>
        <v>3.796853740209384E-3</v>
      </c>
      <c r="AC49" s="328">
        <f>IF(SUM($H$17:AB$17)&gt;0,(0.5*('Reliability data'!$K$22*Workings_risks!AC$27+IF(bushfire_outage_duration&gt;12,12,bushfire_outage_duration-12)*Workings_risks!AC$26)-0.5*('Reliability data'!$K$23*Workings_risks!AC$27+IF(bushfire_outage_duration&gt;72,bushfire_outage_duration-72,0)*Workings_risks!AC$26))*Workings_risks!$F$13*Workings_risks!AC$8,0)*Assumptions!$I46</f>
        <v>3.8038823746187971E-3</v>
      </c>
      <c r="AD49" s="328">
        <f>IF(SUM($H$17:AC$17)&gt;0,(0.5*('Reliability data'!$K$22*Workings_risks!AD$27+IF(bushfire_outage_duration&gt;12,12,bushfire_outage_duration-12)*Workings_risks!AD$26)-0.5*('Reliability data'!$K$23*Workings_risks!AD$27+IF(bushfire_outage_duration&gt;72,bushfire_outage_duration-72,0)*Workings_risks!AD$26))*Workings_risks!$F$13*Workings_risks!AD$8,0)*Assumptions!$I46</f>
        <v>3.8109110090282145E-3</v>
      </c>
      <c r="AE49" s="328">
        <f>IF(SUM($H$17:AD$17)&gt;0,(0.5*('Reliability data'!$K$22*Workings_risks!AE$27+IF(bushfire_outage_duration&gt;12,12,bushfire_outage_duration-12)*Workings_risks!AE$26)-0.5*('Reliability data'!$K$23*Workings_risks!AE$27+IF(bushfire_outage_duration&gt;72,bushfire_outage_duration-72,0)*Workings_risks!AE$26))*Workings_risks!$F$13*Workings_risks!AE$8,0)*Assumptions!$I46</f>
        <v>3.8179396434376272E-3</v>
      </c>
      <c r="AF49" s="328">
        <f>IF(SUM($H$17:AE$17)&gt;0,(0.5*('Reliability data'!$K$22*Workings_risks!AF$27+IF(bushfire_outage_duration&gt;12,12,bushfire_outage_duration-12)*Workings_risks!AF$26)-0.5*('Reliability data'!$K$23*Workings_risks!AF$27+IF(bushfire_outage_duration&gt;72,bushfire_outage_duration-72,0)*Workings_risks!AF$26))*Workings_risks!$F$13*Workings_risks!AF$8,0)*Assumptions!$I46</f>
        <v>3.8249682778470394E-3</v>
      </c>
      <c r="AG49" s="328">
        <f>IF(SUM($H$17:AF$17)&gt;0,(0.5*('Reliability data'!$K$22*Workings_risks!AG$27+IF(bushfire_outage_duration&gt;12,12,bushfire_outage_duration-12)*Workings_risks!AG$26)-0.5*('Reliability data'!$K$23*Workings_risks!AG$27+IF(bushfire_outage_duration&gt;72,bushfire_outage_duration-72,0)*Workings_risks!AG$26))*Workings_risks!$F$13*Workings_risks!AG$8,0)*Assumptions!$I46</f>
        <v>3.8319969122564564E-3</v>
      </c>
    </row>
    <row r="50" spans="1:43" x14ac:dyDescent="0.2">
      <c r="C50" s="1" t="str">
        <f>'Option1 (base case)'!C50</f>
        <v>Incremental network resilience (others)</v>
      </c>
      <c r="D50" s="206" t="str">
        <f>'Option1 (base case)'!D50</f>
        <v>$/customer min</v>
      </c>
      <c r="E50" s="113">
        <f>'Option1 (base case)'!E50</f>
        <v>52200</v>
      </c>
      <c r="G50" s="208" t="s">
        <v>40</v>
      </c>
      <c r="I50" s="328">
        <f>IF(SUM($H$17:H$17)&gt;0,(0.5*('Reliability data'!$K$22*Workings_risks!I$27+IF(bushfire_outage_duration&gt;12,12,bushfire_outage_duration-12)*Workings_risks!I$26)-0.5*('Reliability data'!$K$23*Workings_risks!I$27+IF(bushfire_outage_duration&gt;72,bushfire_outage_duration-72,0)*Workings_risks!I$26))*Workings_risks!$F$13*Workings_risks!I$8,0)*Assumptions!$I47</f>
        <v>0</v>
      </c>
      <c r="J50" s="328">
        <f>IF(SUM($H$17:I$17)&gt;0,(0.5*('Reliability data'!$K$22*Workings_risks!J$27+IF(bushfire_outage_duration&gt;12,12,bushfire_outage_duration-12)*Workings_risks!J$26)-0.5*('Reliability data'!$K$23*Workings_risks!J$27+IF(bushfire_outage_duration&gt;72,bushfire_outage_duration-72,0)*Workings_risks!J$26))*Workings_risks!$F$13*Workings_risks!J$8,0)*Assumptions!$I47</f>
        <v>0</v>
      </c>
      <c r="K50" s="328">
        <f>IF(SUM($H$17:J$17)&gt;0,(0.5*('Reliability data'!$K$22*Workings_risks!K$27+IF(bushfire_outage_duration&gt;12,12,bushfire_outage_duration-12)*Workings_risks!K$26)-0.5*('Reliability data'!$K$23*Workings_risks!K$27+IF(bushfire_outage_duration&gt;72,bushfire_outage_duration-72,0)*Workings_risks!K$26))*Workings_risks!$F$13*Workings_risks!K$8,0)*Assumptions!$I47</f>
        <v>0</v>
      </c>
      <c r="L50" s="328">
        <f>IF(SUM($H$17:K$17)&gt;0,(0.5*('Reliability data'!$K$22*Workings_risks!L$27+IF(bushfire_outage_duration&gt;12,12,bushfire_outage_duration-12)*Workings_risks!L$26)-0.5*('Reliability data'!$K$23*Workings_risks!L$27+IF(bushfire_outage_duration&gt;72,bushfire_outage_duration-72,0)*Workings_risks!L$26))*Workings_risks!$F$13*Workings_risks!L$8,0)*Assumptions!$I47</f>
        <v>0</v>
      </c>
      <c r="M50" s="328">
        <f>IF(SUM($H$17:L$17)&gt;0,(0.5*('Reliability data'!$K$22*Workings_risks!M$27+IF(bushfire_outage_duration&gt;12,12,bushfire_outage_duration-12)*Workings_risks!M$26)-0.5*('Reliability data'!$K$23*Workings_risks!M$27+IF(bushfire_outage_duration&gt;72,bushfire_outage_duration-72,0)*Workings_risks!M$26))*Workings_risks!$F$13*Workings_risks!M$8,0)*Assumptions!$I47</f>
        <v>0</v>
      </c>
      <c r="N50" s="328">
        <f>IF(SUM($H$17:M$17)&gt;0,(0.5*('Reliability data'!$K$22*Workings_risks!N$27+IF(bushfire_outage_duration&gt;12,12,bushfire_outage_duration-12)*Workings_risks!N$26)-0.5*('Reliability data'!$K$23*Workings_risks!N$27+IF(bushfire_outage_duration&gt;72,bushfire_outage_duration-72,0)*Workings_risks!N$26))*Workings_risks!$F$13*Workings_risks!N$8,0)*Assumptions!$I47</f>
        <v>0</v>
      </c>
      <c r="O50" s="328">
        <f>IF(SUM($H$17:N$17)&gt;0,(0.5*('Reliability data'!$K$22*Workings_risks!O$27+IF(bushfire_outage_duration&gt;12,12,bushfire_outage_duration-12)*Workings_risks!O$26)-0.5*('Reliability data'!$K$23*Workings_risks!O$27+IF(bushfire_outage_duration&gt;72,bushfire_outage_duration-72,0)*Workings_risks!O$26))*Workings_risks!$F$13*Workings_risks!O$8,0)*Assumptions!$I47</f>
        <v>0</v>
      </c>
      <c r="P50" s="328">
        <f>IF(SUM($H$17:O$17)&gt;0,(0.5*('Reliability data'!$K$22*Workings_risks!P$27+IF(bushfire_outage_duration&gt;12,12,bushfire_outage_duration-12)*Workings_risks!P$26)-0.5*('Reliability data'!$K$23*Workings_risks!P$27+IF(bushfire_outage_duration&gt;72,bushfire_outage_duration-72,0)*Workings_risks!P$26))*Workings_risks!$F$13*Workings_risks!P$8,0)*Assumptions!$I47</f>
        <v>0</v>
      </c>
      <c r="Q50" s="328">
        <f>IF(SUM($H$17:P$17)&gt;0,(0.5*('Reliability data'!$K$22*Workings_risks!Q$27+IF(bushfire_outage_duration&gt;12,12,bushfire_outage_duration-12)*Workings_risks!Q$26)-0.5*('Reliability data'!$K$23*Workings_risks!Q$27+IF(bushfire_outage_duration&gt;72,bushfire_outage_duration-72,0)*Workings_risks!Q$26))*Workings_risks!$F$13*Workings_risks!Q$8,0)*Assumptions!$I47</f>
        <v>0</v>
      </c>
      <c r="R50" s="328">
        <f>IF(SUM($H$17:Q$17)&gt;0,(0.5*('Reliability data'!$K$22*Workings_risks!R$27+IF(bushfire_outage_duration&gt;12,12,bushfire_outage_duration-12)*Workings_risks!R$26)-0.5*('Reliability data'!$K$23*Workings_risks!R$27+IF(bushfire_outage_duration&gt;72,bushfire_outage_duration-72,0)*Workings_risks!R$26))*Workings_risks!$F$13*Workings_risks!R$8,0)*Assumptions!$I47</f>
        <v>0</v>
      </c>
      <c r="S50" s="328">
        <f>IF(SUM($H$17:R$17)&gt;0,(0.5*('Reliability data'!$K$22*Workings_risks!S$27+IF(bushfire_outage_duration&gt;12,12,bushfire_outage_duration-12)*Workings_risks!S$26)-0.5*('Reliability data'!$K$23*Workings_risks!S$27+IF(bushfire_outage_duration&gt;72,bushfire_outage_duration-72,0)*Workings_risks!S$26))*Workings_risks!$F$13*Workings_risks!S$8,0)*Assumptions!$I47</f>
        <v>0</v>
      </c>
      <c r="T50" s="328">
        <f>IF(SUM($H$17:S$17)&gt;0,(0.5*('Reliability data'!$K$22*Workings_risks!T$27+IF(bushfire_outage_duration&gt;12,12,bushfire_outage_duration-12)*Workings_risks!T$26)-0.5*('Reliability data'!$K$23*Workings_risks!T$27+IF(bushfire_outage_duration&gt;72,bushfire_outage_duration-72,0)*Workings_risks!T$26))*Workings_risks!$F$13*Workings_risks!T$8,0)*Assumptions!$I47</f>
        <v>0</v>
      </c>
      <c r="U50" s="328">
        <f>IF(SUM($H$17:T$17)&gt;0,(0.5*('Reliability data'!$K$22*Workings_risks!U$27+IF(bushfire_outage_duration&gt;12,12,bushfire_outage_duration-12)*Workings_risks!U$26)-0.5*('Reliability data'!$K$23*Workings_risks!U$27+IF(bushfire_outage_duration&gt;72,bushfire_outage_duration-72,0)*Workings_risks!U$26))*Workings_risks!$F$13*Workings_risks!U$8,0)*Assumptions!$I47</f>
        <v>0</v>
      </c>
      <c r="V50" s="328">
        <f>IF(SUM($H$17:U$17)&gt;0,(0.5*('Reliability data'!$K$22*Workings_risks!V$27+IF(bushfire_outage_duration&gt;12,12,bushfire_outage_duration-12)*Workings_risks!V$26)-0.5*('Reliability data'!$K$23*Workings_risks!V$27+IF(bushfire_outage_duration&gt;72,bushfire_outage_duration-72,0)*Workings_risks!V$26))*Workings_risks!$F$13*Workings_risks!V$8,0)*Assumptions!$I47</f>
        <v>0</v>
      </c>
      <c r="W50" s="328">
        <f>IF(SUM($H$17:V$17)&gt;0,(0.5*('Reliability data'!$K$22*Workings_risks!W$27+IF(bushfire_outage_duration&gt;12,12,bushfire_outage_duration-12)*Workings_risks!W$26)-0.5*('Reliability data'!$K$23*Workings_risks!W$27+IF(bushfire_outage_duration&gt;72,bushfire_outage_duration-72,0)*Workings_risks!W$26))*Workings_risks!$F$13*Workings_risks!W$8,0)*Assumptions!$I47</f>
        <v>0</v>
      </c>
      <c r="X50" s="328">
        <f>IF(SUM($H$17:W$17)&gt;0,(0.5*('Reliability data'!$K$22*Workings_risks!X$27+IF(bushfire_outage_duration&gt;12,12,bushfire_outage_duration-12)*Workings_risks!X$26)-0.5*('Reliability data'!$K$23*Workings_risks!X$27+IF(bushfire_outage_duration&gt;72,bushfire_outage_duration-72,0)*Workings_risks!X$26))*Workings_risks!$F$13*Workings_risks!X$8,0)*Assumptions!$I47</f>
        <v>0</v>
      </c>
      <c r="Y50" s="328">
        <f>IF(SUM($H$17:X$17)&gt;0,(0.5*('Reliability data'!$K$22*Workings_risks!Y$27+IF(bushfire_outage_duration&gt;12,12,bushfire_outage_duration-12)*Workings_risks!Y$26)-0.5*('Reliability data'!$K$23*Workings_risks!Y$27+IF(bushfire_outage_duration&gt;72,bushfire_outage_duration-72,0)*Workings_risks!Y$26))*Workings_risks!$F$13*Workings_risks!Y$8,0)*Assumptions!$I47</f>
        <v>0</v>
      </c>
      <c r="Z50" s="328">
        <f>IF(SUM($H$17:Y$17)&gt;0,(0.5*('Reliability data'!$K$22*Workings_risks!Z$27+IF(bushfire_outage_duration&gt;12,12,bushfire_outage_duration-12)*Workings_risks!Z$26)-0.5*('Reliability data'!$K$23*Workings_risks!Z$27+IF(bushfire_outage_duration&gt;72,bushfire_outage_duration-72,0)*Workings_risks!Z$26))*Workings_risks!$F$13*Workings_risks!Z$8,0)*Assumptions!$I47</f>
        <v>0</v>
      </c>
      <c r="AA50" s="328">
        <f>IF(SUM($H$17:Z$17)&gt;0,(0.5*('Reliability data'!$K$22*Workings_risks!AA$27+IF(bushfire_outage_duration&gt;12,12,bushfire_outage_duration-12)*Workings_risks!AA$26)-0.5*('Reliability data'!$K$23*Workings_risks!AA$27+IF(bushfire_outage_duration&gt;72,bushfire_outage_duration-72,0)*Workings_risks!AA$26))*Workings_risks!$F$13*Workings_risks!AA$8,0)*Assumptions!$I47</f>
        <v>0</v>
      </c>
      <c r="AB50" s="328">
        <f>IF(SUM($H$17:AA$17)&gt;0,(0.5*('Reliability data'!$K$22*Workings_risks!AB$27+IF(bushfire_outage_duration&gt;12,12,bushfire_outage_duration-12)*Workings_risks!AB$26)-0.5*('Reliability data'!$K$23*Workings_risks!AB$27+IF(bushfire_outage_duration&gt;72,bushfire_outage_duration-72,0)*Workings_risks!AB$26))*Workings_risks!$F$13*Workings_risks!AB$8,0)*Assumptions!$I47</f>
        <v>0</v>
      </c>
      <c r="AC50" s="328">
        <f>IF(SUM($H$17:AB$17)&gt;0,(0.5*('Reliability data'!$K$22*Workings_risks!AC$27+IF(bushfire_outage_duration&gt;12,12,bushfire_outage_duration-12)*Workings_risks!AC$26)-0.5*('Reliability data'!$K$23*Workings_risks!AC$27+IF(bushfire_outage_duration&gt;72,bushfire_outage_duration-72,0)*Workings_risks!AC$26))*Workings_risks!$F$13*Workings_risks!AC$8,0)*Assumptions!$I47</f>
        <v>0</v>
      </c>
      <c r="AD50" s="328">
        <f>IF(SUM($H$17:AC$17)&gt;0,(0.5*('Reliability data'!$K$22*Workings_risks!AD$27+IF(bushfire_outage_duration&gt;12,12,bushfire_outage_duration-12)*Workings_risks!AD$26)-0.5*('Reliability data'!$K$23*Workings_risks!AD$27+IF(bushfire_outage_duration&gt;72,bushfire_outage_duration-72,0)*Workings_risks!AD$26))*Workings_risks!$F$13*Workings_risks!AD$8,0)*Assumptions!$I47</f>
        <v>0</v>
      </c>
      <c r="AE50" s="328">
        <f>IF(SUM($H$17:AD$17)&gt;0,(0.5*('Reliability data'!$K$22*Workings_risks!AE$27+IF(bushfire_outage_duration&gt;12,12,bushfire_outage_duration-12)*Workings_risks!AE$26)-0.5*('Reliability data'!$K$23*Workings_risks!AE$27+IF(bushfire_outage_duration&gt;72,bushfire_outage_duration-72,0)*Workings_risks!AE$26))*Workings_risks!$F$13*Workings_risks!AE$8,0)*Assumptions!$I47</f>
        <v>0</v>
      </c>
      <c r="AF50" s="328">
        <f>IF(SUM($H$17:AE$17)&gt;0,(0.5*('Reliability data'!$K$22*Workings_risks!AF$27+IF(bushfire_outage_duration&gt;12,12,bushfire_outage_duration-12)*Workings_risks!AF$26)-0.5*('Reliability data'!$K$23*Workings_risks!AF$27+IF(bushfire_outage_duration&gt;72,bushfire_outage_duration-72,0)*Workings_risks!AF$26))*Workings_risks!$F$13*Workings_risks!AF$8,0)*Assumptions!$I47</f>
        <v>0</v>
      </c>
      <c r="AG50" s="328">
        <f>IF(SUM($H$17:AF$17)&gt;0,(0.5*('Reliability data'!$K$22*Workings_risks!AG$27+IF(bushfire_outage_duration&gt;12,12,bushfire_outage_duration-12)*Workings_risks!AG$26)-0.5*('Reliability data'!$K$23*Workings_risks!AG$27+IF(bushfire_outage_duration&gt;72,bushfire_outage_duration-72,0)*Workings_risks!AG$26))*Workings_risks!$F$13*Workings_risks!AG$8,0)*Assumptions!$I47</f>
        <v>0</v>
      </c>
    </row>
    <row r="51" spans="1:43" x14ac:dyDescent="0.2">
      <c r="D51" s="206"/>
      <c r="E51" s="112"/>
      <c r="G51" s="208"/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D52" s="206"/>
      <c r="E52" s="112"/>
      <c r="G52" s="208"/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6"/>
      <c r="G53" s="208"/>
      <c r="H53" s="62"/>
      <c r="I53" s="329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6"/>
      <c r="G54" s="208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6"/>
      <c r="G55" s="208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6"/>
      <c r="G56" s="206"/>
    </row>
    <row r="57" spans="1:43" x14ac:dyDescent="0.2">
      <c r="C57" s="3" t="s">
        <v>125</v>
      </c>
      <c r="D57" s="219"/>
      <c r="E57" s="107"/>
      <c r="F57" s="3"/>
      <c r="G57" s="211">
        <f>input_dollars</f>
        <v>45291</v>
      </c>
      <c r="H57" s="107"/>
      <c r="I57" s="171" cm="1">
        <f t="array" ref="I57">SUMPRODUCT((I$45:I$52)*($E$45:$E$52))+SUM(I54:I55)+I42</f>
        <v>0</v>
      </c>
      <c r="J57" s="171" cm="1">
        <f t="array" ref="J57">SUMPRODUCT((J$45:J$52)*($E$45:$E$52))+SUM(J54:J55)+J42</f>
        <v>0</v>
      </c>
      <c r="K57" s="171" cm="1">
        <f t="array" ref="K57">SUMPRODUCT((K$45:K$52)*($E$45:$E$52))+SUM(K54:K55)+K42</f>
        <v>0</v>
      </c>
      <c r="L57" s="171" cm="1">
        <f t="array" ref="L57">SUMPRODUCT((L$45:L$52)*($E$45:$E$52))+SUM(L54:L55)+L42</f>
        <v>0</v>
      </c>
      <c r="M57" s="171" cm="1">
        <f t="array" ref="M57">SUMPRODUCT((M$45:M$52)*($E$45:$E$52))+SUM(M54:M55)+M42</f>
        <v>63413.568259226799</v>
      </c>
      <c r="N57" s="171" cm="1">
        <f t="array" ref="N57">SUMPRODUCT((N$45:N$52)*($E$45:$E$52))+SUM(N54:N55)+N42</f>
        <v>64677.58159835176</v>
      </c>
      <c r="O57" s="171" cm="1">
        <f t="array" ref="O57">SUMPRODUCT((O$45:O$52)*($E$45:$E$52))+SUM(O54:O55)+O42</f>
        <v>66599.676413886758</v>
      </c>
      <c r="P57" s="171" cm="1">
        <f t="array" ref="P57">SUMPRODUCT((P$45:P$52)*($E$45:$E$52))+SUM(P54:P55)+P42</f>
        <v>68678.015220789704</v>
      </c>
      <c r="Q57" s="171" cm="1">
        <f t="array" ref="Q57">SUMPRODUCT((Q$45:Q$52)*($E$45:$E$52))+SUM(Q54:Q55)+Q42</f>
        <v>70148.399241838153</v>
      </c>
      <c r="R57" s="171" cm="1">
        <f t="array" ref="R57">SUMPRODUCT((R$45:R$52)*($E$45:$E$52))+SUM(R54:R55)+R42</f>
        <v>70925.750722504745</v>
      </c>
      <c r="S57" s="171" cm="1">
        <f t="array" ref="S57">SUMPRODUCT((S$45:S$52)*($E$45:$E$52))+SUM(S54:S55)+S42</f>
        <v>71703.102203171642</v>
      </c>
      <c r="T57" s="171" cm="1">
        <f t="array" ref="T57">SUMPRODUCT((T$45:T$52)*($E$45:$E$52))+SUM(T54:T55)+T42</f>
        <v>72480.453683838234</v>
      </c>
      <c r="U57" s="171" cm="1">
        <f t="array" ref="U57">SUMPRODUCT((U$45:U$52)*($E$45:$E$52))+SUM(U54:U55)+U42</f>
        <v>73257.805164504811</v>
      </c>
      <c r="V57" s="171" cm="1">
        <f t="array" ref="V57">SUMPRODUCT((V$45:V$52)*($E$45:$E$52))+SUM(V54:V55)+V42</f>
        <v>74035.156645171723</v>
      </c>
      <c r="W57" s="171" cm="1">
        <f t="array" ref="W57">SUMPRODUCT((W$45:W$52)*($E$45:$E$52))+SUM(W54:W55)+W42</f>
        <v>74812.508125838329</v>
      </c>
      <c r="X57" s="171" cm="1">
        <f t="array" ref="X57">SUMPRODUCT((X$45:X$52)*($E$45:$E$52))+SUM(X54:X55)+X42</f>
        <v>75589.859606504906</v>
      </c>
      <c r="Y57" s="171" cm="1">
        <f t="array" ref="Y57">SUMPRODUCT((Y$45:Y$52)*($E$45:$E$52))+SUM(Y54:Y55)+Y42</f>
        <v>76367.211087171818</v>
      </c>
      <c r="Z57" s="171" cm="1">
        <f t="array" ref="Z57">SUMPRODUCT((Z$45:Z$52)*($E$45:$E$52))+SUM(Z54:Z55)+Z42</f>
        <v>77144.562567838439</v>
      </c>
      <c r="AA57" s="171" cm="1">
        <f t="array" ref="AA57">SUMPRODUCT((AA$45:AA$52)*($E$45:$E$52))+SUM(AA54:AA55)+AA42</f>
        <v>77921.914048505336</v>
      </c>
      <c r="AB57" s="171" cm="1">
        <f t="array" ref="AB57">SUMPRODUCT((AB$45:AB$52)*($E$45:$E$52))+SUM(AB54:AB55)+AB42</f>
        <v>78699.265529171927</v>
      </c>
      <c r="AC57" s="171" cm="1">
        <f t="array" ref="AC57">SUMPRODUCT((AC$45:AC$52)*($E$45:$E$52))+SUM(AC54:AC55)+AC42</f>
        <v>79476.617009838534</v>
      </c>
      <c r="AD57" s="171" cm="1">
        <f t="array" ref="AD57">SUMPRODUCT((AD$45:AD$52)*($E$45:$E$52))+SUM(AD54:AD55)+AD42</f>
        <v>80253.968490505446</v>
      </c>
      <c r="AE57" s="171" cm="1">
        <f t="array" ref="AE57">SUMPRODUCT((AE$45:AE$52)*($E$45:$E$52))+SUM(AE54:AE55)+AE42</f>
        <v>81031.319971172008</v>
      </c>
      <c r="AF57" s="171" cm="1">
        <f t="array" ref="AF57">SUMPRODUCT((AF$45:AF$52)*($E$45:$E$52))+SUM(AF54:AF55)+AF42</f>
        <v>81808.671451838643</v>
      </c>
      <c r="AG57" s="171" cm="1">
        <f t="array" ref="AG57">SUMPRODUCT((AG$45:AG$52)*($E$45:$E$52))+SUM(AG54:AG55)+AG42</f>
        <v>82586.022932505526</v>
      </c>
    </row>
    <row r="58" spans="1:43" x14ac:dyDescent="0.2">
      <c r="D58" s="206"/>
      <c r="G58" s="206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6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5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9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2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3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</row>
    <row r="64" spans="1:43" x14ac:dyDescent="0.2">
      <c r="C64" s="4" t="str">
        <f>'Option1 (base case)'!C64</f>
        <v>Risks mitigated vs base case</v>
      </c>
      <c r="G64" s="211">
        <f>input_dollars</f>
        <v>45291</v>
      </c>
      <c r="I64" s="133">
        <f>(1-INDEX(Data!$C$9:$C$13, MATCH($A$3, options,0)))*('Option1 (base case)'!I36-I36)</f>
        <v>0</v>
      </c>
      <c r="J64" s="133">
        <f>(1-INDEX(Data!$C$9:$C$13, MATCH($A$3, options,0)))*('Option1 (base case)'!J36-J36)</f>
        <v>0</v>
      </c>
      <c r="K64" s="133">
        <f>(1-INDEX(Data!$C$9:$C$13, MATCH($A$3, options,0)))*('Option1 (base case)'!K36-K36)</f>
        <v>0</v>
      </c>
      <c r="L64" s="133">
        <f>(1-INDEX(Data!$C$9:$C$13, MATCH($A$3, options,0)))*('Option1 (base case)'!L36-L36)</f>
        <v>0</v>
      </c>
      <c r="M64" s="133">
        <f>(1-INDEX(Data!$C$9:$C$13, MATCH($A$3, options,0)))*('Option1 (base case)'!M36-M36)</f>
        <v>304911.29154582712</v>
      </c>
      <c r="N64" s="133">
        <f>(1-INDEX(Data!$C$9:$C$13, MATCH($A$3, options,0)))*('Option1 (base case)'!N36-N36)</f>
        <v>308885.8153396665</v>
      </c>
      <c r="O64" s="133">
        <f>(1-INDEX(Data!$C$9:$C$13, MATCH($A$3, options,0)))*('Option1 (base case)'!O36-O36)</f>
        <v>315948.66982217884</v>
      </c>
      <c r="P64" s="133">
        <f>(1-INDEX(Data!$C$9:$C$13, MATCH($A$3, options,0)))*('Option1 (base case)'!P36-P36)</f>
        <v>323674.52245658677</v>
      </c>
      <c r="Q64" s="133">
        <f>(1-INDEX(Data!$C$9:$C$13, MATCH($A$3, options,0)))*('Option1 (base case)'!Q36-Q36)</f>
        <v>328473.17524104123</v>
      </c>
      <c r="R64" s="133">
        <f>(1-INDEX(Data!$C$9:$C$13, MATCH($A$3, options,0)))*('Option1 (base case)'!R36-R36)</f>
        <v>330005.61574731884</v>
      </c>
      <c r="S64" s="133">
        <f>(1-INDEX(Data!$C$9:$C$13, MATCH($A$3, options,0)))*('Option1 (base case)'!S36-S36)</f>
        <v>331538.05625359714</v>
      </c>
      <c r="T64" s="133">
        <f>(1-INDEX(Data!$C$9:$C$13, MATCH($A$3, options,0)))*('Option1 (base case)'!T36-T36)</f>
        <v>333070.49675987486</v>
      </c>
      <c r="U64" s="133">
        <f>(1-INDEX(Data!$C$9:$C$13, MATCH($A$3, options,0)))*('Option1 (base case)'!U36-U36)</f>
        <v>334602.93726615241</v>
      </c>
      <c r="V64" s="133">
        <f>(1-INDEX(Data!$C$9:$C$13, MATCH($A$3, options,0)))*('Option1 (base case)'!V36-V36)</f>
        <v>336135.37777243071</v>
      </c>
      <c r="W64" s="133">
        <f>(1-INDEX(Data!$C$9:$C$13, MATCH($A$3, options,0)))*('Option1 (base case)'!W36-W36)</f>
        <v>337667.81827870838</v>
      </c>
      <c r="X64" s="133">
        <f>(1-INDEX(Data!$C$9:$C$13, MATCH($A$3, options,0)))*('Option1 (base case)'!X36-X36)</f>
        <v>339200.25878498598</v>
      </c>
      <c r="Y64" s="133">
        <f>(1-INDEX(Data!$C$9:$C$13, MATCH($A$3, options,0)))*('Option1 (base case)'!Y36-Y36)</f>
        <v>340732.69929126429</v>
      </c>
      <c r="Z64" s="133">
        <f>(1-INDEX(Data!$C$9:$C$13, MATCH($A$3, options,0)))*('Option1 (base case)'!Z36-Z36)</f>
        <v>342265.13979754201</v>
      </c>
      <c r="AA64" s="133">
        <f>(1-INDEX(Data!$C$9:$C$13, MATCH($A$3, options,0)))*('Option1 (base case)'!AA36-AA36)</f>
        <v>343797.58030382026</v>
      </c>
      <c r="AB64" s="133">
        <f>(1-INDEX(Data!$C$9:$C$13, MATCH($A$3, options,0)))*('Option1 (base case)'!AB36-AB36)</f>
        <v>345330.02081009781</v>
      </c>
      <c r="AC64" s="133">
        <f>(1-INDEX(Data!$C$9:$C$13, MATCH($A$3, options,0)))*('Option1 (base case)'!AC36-AC36)</f>
        <v>346862.46131637553</v>
      </c>
      <c r="AD64" s="133">
        <f>(1-INDEX(Data!$C$9:$C$13, MATCH($A$3, options,0)))*('Option1 (base case)'!AD36-AD36)</f>
        <v>348394.90182265377</v>
      </c>
      <c r="AE64" s="133">
        <f>(1-INDEX(Data!$C$9:$C$13, MATCH($A$3, options,0)))*('Option1 (base case)'!AE36-AE36)</f>
        <v>349927.34232893144</v>
      </c>
      <c r="AF64" s="133">
        <f>(1-INDEX(Data!$C$9:$C$13, MATCH($A$3, options,0)))*('Option1 (base case)'!AF36-AF36)</f>
        <v>351459.78283520916</v>
      </c>
      <c r="AG64" s="133">
        <f>(1-INDEX(Data!$C$9:$C$13, MATCH($A$3, options,0)))*('Option1 (base case)'!AG36-AG36)</f>
        <v>352992.22334148741</v>
      </c>
    </row>
    <row r="65" spans="1:33" x14ac:dyDescent="0.2">
      <c r="G65" s="213"/>
    </row>
    <row r="66" spans="1:33" x14ac:dyDescent="0.2">
      <c r="A66" s="8"/>
      <c r="B66" s="8"/>
      <c r="C66" s="148" t="s">
        <v>30</v>
      </c>
      <c r="D66" s="38"/>
      <c r="F66" s="97"/>
      <c r="G66" s="214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Microgrid (exc BESS)</v>
      </c>
      <c r="D67" s="38"/>
      <c r="F67" s="97"/>
      <c r="G67" s="211">
        <f>input_dollars</f>
        <v>45291</v>
      </c>
      <c r="H67" s="31"/>
      <c r="I67" s="119">
        <f t="shared" ref="I67:AG67" si="5">-I14</f>
        <v>0</v>
      </c>
      <c r="J67" s="119">
        <f t="shared" si="5"/>
        <v>0</v>
      </c>
      <c r="K67" s="119">
        <f t="shared" si="5"/>
        <v>0</v>
      </c>
      <c r="L67" s="119">
        <f t="shared" si="5"/>
        <v>-2793927.0874999999</v>
      </c>
      <c r="M67" s="119">
        <f t="shared" si="5"/>
        <v>0</v>
      </c>
      <c r="N67" s="119">
        <f t="shared" si="5"/>
        <v>0</v>
      </c>
      <c r="O67" s="119">
        <f t="shared" si="5"/>
        <v>0</v>
      </c>
      <c r="P67" s="119">
        <f t="shared" si="5"/>
        <v>0</v>
      </c>
      <c r="Q67" s="119">
        <f t="shared" si="5"/>
        <v>0</v>
      </c>
      <c r="R67" s="119">
        <f t="shared" si="5"/>
        <v>0</v>
      </c>
      <c r="S67" s="119">
        <f t="shared" si="5"/>
        <v>0</v>
      </c>
      <c r="T67" s="119">
        <f t="shared" si="5"/>
        <v>0</v>
      </c>
      <c r="U67" s="119">
        <f t="shared" si="5"/>
        <v>0</v>
      </c>
      <c r="V67" s="119">
        <f t="shared" si="5"/>
        <v>0</v>
      </c>
      <c r="W67" s="119">
        <f t="shared" si="5"/>
        <v>0</v>
      </c>
      <c r="X67" s="119">
        <f t="shared" si="5"/>
        <v>0</v>
      </c>
      <c r="Y67" s="119">
        <f t="shared" si="5"/>
        <v>0</v>
      </c>
      <c r="Z67" s="119">
        <f t="shared" si="5"/>
        <v>0</v>
      </c>
      <c r="AA67" s="119">
        <f t="shared" si="5"/>
        <v>0</v>
      </c>
      <c r="AB67" s="119">
        <f t="shared" si="5"/>
        <v>0</v>
      </c>
      <c r="AC67" s="119">
        <f t="shared" si="5"/>
        <v>0</v>
      </c>
      <c r="AD67" s="119">
        <f t="shared" si="5"/>
        <v>0</v>
      </c>
      <c r="AE67" s="119">
        <f t="shared" si="5"/>
        <v>0</v>
      </c>
      <c r="AF67" s="119">
        <f t="shared" si="5"/>
        <v>0</v>
      </c>
      <c r="AG67" s="119">
        <f t="shared" si="5"/>
        <v>0</v>
      </c>
    </row>
    <row r="68" spans="1:33" x14ac:dyDescent="0.2">
      <c r="A68" s="8"/>
      <c r="B68" s="8"/>
      <c r="C68" s="4">
        <f>C15</f>
        <v>0</v>
      </c>
      <c r="D68" s="38"/>
      <c r="F68" s="97"/>
      <c r="G68" s="211">
        <f>input_dollars</f>
        <v>45291</v>
      </c>
      <c r="H68" s="31"/>
      <c r="I68" s="119">
        <f t="shared" ref="I68:AG68" si="6">-I15</f>
        <v>0</v>
      </c>
      <c r="J68" s="119">
        <f t="shared" si="6"/>
        <v>0</v>
      </c>
      <c r="K68" s="119">
        <f t="shared" si="6"/>
        <v>0</v>
      </c>
      <c r="L68" s="119">
        <f t="shared" si="6"/>
        <v>0</v>
      </c>
      <c r="M68" s="119">
        <f t="shared" si="6"/>
        <v>0</v>
      </c>
      <c r="N68" s="119">
        <f t="shared" si="6"/>
        <v>0</v>
      </c>
      <c r="O68" s="119">
        <f t="shared" si="6"/>
        <v>0</v>
      </c>
      <c r="P68" s="119">
        <f t="shared" si="6"/>
        <v>0</v>
      </c>
      <c r="Q68" s="119">
        <f t="shared" si="6"/>
        <v>0</v>
      </c>
      <c r="R68" s="119">
        <f t="shared" si="6"/>
        <v>0</v>
      </c>
      <c r="S68" s="119">
        <f t="shared" si="6"/>
        <v>0</v>
      </c>
      <c r="T68" s="119">
        <f t="shared" si="6"/>
        <v>0</v>
      </c>
      <c r="U68" s="119">
        <f t="shared" si="6"/>
        <v>0</v>
      </c>
      <c r="V68" s="119">
        <f t="shared" si="6"/>
        <v>0</v>
      </c>
      <c r="W68" s="119">
        <f t="shared" si="6"/>
        <v>0</v>
      </c>
      <c r="X68" s="119">
        <f t="shared" si="6"/>
        <v>0</v>
      </c>
      <c r="Y68" s="119">
        <f t="shared" si="6"/>
        <v>0</v>
      </c>
      <c r="Z68" s="119">
        <f t="shared" si="6"/>
        <v>0</v>
      </c>
      <c r="AA68" s="119">
        <f t="shared" si="6"/>
        <v>0</v>
      </c>
      <c r="AB68" s="119">
        <f t="shared" si="6"/>
        <v>0</v>
      </c>
      <c r="AC68" s="119">
        <f t="shared" si="6"/>
        <v>0</v>
      </c>
      <c r="AD68" s="119">
        <f t="shared" si="6"/>
        <v>0</v>
      </c>
      <c r="AE68" s="119">
        <f t="shared" si="6"/>
        <v>0</v>
      </c>
      <c r="AF68" s="119">
        <f t="shared" si="6"/>
        <v>0</v>
      </c>
      <c r="AG68" s="119">
        <f t="shared" si="6"/>
        <v>0</v>
      </c>
    </row>
    <row r="69" spans="1:33" x14ac:dyDescent="0.2">
      <c r="A69" s="8"/>
      <c r="B69" s="8"/>
      <c r="C69" s="4">
        <f>C16</f>
        <v>0</v>
      </c>
      <c r="D69" s="38"/>
      <c r="F69" s="97"/>
      <c r="G69" s="211">
        <f>input_dollars</f>
        <v>45291</v>
      </c>
      <c r="H69" s="31"/>
      <c r="I69" s="119">
        <f t="shared" ref="I69:AG69" si="7">-I16</f>
        <v>0</v>
      </c>
      <c r="J69" s="119">
        <f t="shared" si="7"/>
        <v>0</v>
      </c>
      <c r="K69" s="119">
        <f t="shared" si="7"/>
        <v>0</v>
      </c>
      <c r="L69" s="119">
        <f t="shared" si="7"/>
        <v>0</v>
      </c>
      <c r="M69" s="119">
        <f t="shared" si="7"/>
        <v>0</v>
      </c>
      <c r="N69" s="119">
        <f t="shared" si="7"/>
        <v>0</v>
      </c>
      <c r="O69" s="119">
        <f t="shared" si="7"/>
        <v>0</v>
      </c>
      <c r="P69" s="119">
        <f t="shared" si="7"/>
        <v>0</v>
      </c>
      <c r="Q69" s="119">
        <f t="shared" si="7"/>
        <v>0</v>
      </c>
      <c r="R69" s="119">
        <f t="shared" si="7"/>
        <v>0</v>
      </c>
      <c r="S69" s="119">
        <f t="shared" si="7"/>
        <v>0</v>
      </c>
      <c r="T69" s="119">
        <f t="shared" si="7"/>
        <v>0</v>
      </c>
      <c r="U69" s="119">
        <f t="shared" si="7"/>
        <v>0</v>
      </c>
      <c r="V69" s="119">
        <f t="shared" si="7"/>
        <v>0</v>
      </c>
      <c r="W69" s="119">
        <f t="shared" si="7"/>
        <v>0</v>
      </c>
      <c r="X69" s="119">
        <f t="shared" si="7"/>
        <v>0</v>
      </c>
      <c r="Y69" s="119">
        <f t="shared" si="7"/>
        <v>0</v>
      </c>
      <c r="Z69" s="119">
        <f t="shared" si="7"/>
        <v>0</v>
      </c>
      <c r="AA69" s="119">
        <f t="shared" si="7"/>
        <v>0</v>
      </c>
      <c r="AB69" s="119">
        <f t="shared" si="7"/>
        <v>0</v>
      </c>
      <c r="AC69" s="119">
        <f t="shared" si="7"/>
        <v>0</v>
      </c>
      <c r="AD69" s="119">
        <f t="shared" si="7"/>
        <v>0</v>
      </c>
      <c r="AE69" s="119">
        <f t="shared" si="7"/>
        <v>0</v>
      </c>
      <c r="AF69" s="119">
        <f t="shared" si="7"/>
        <v>0</v>
      </c>
      <c r="AG69" s="119">
        <f t="shared" si="7"/>
        <v>0</v>
      </c>
    </row>
    <row r="70" spans="1:33" x14ac:dyDescent="0.2">
      <c r="A70" s="8"/>
      <c r="B70" s="8"/>
      <c r="C70" s="4"/>
      <c r="D70" s="38"/>
      <c r="F70" s="97"/>
      <c r="G70" s="215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8" t="s">
        <v>160</v>
      </c>
      <c r="D71" s="38"/>
      <c r="F71" s="97"/>
      <c r="G71" s="214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Microgrid (exc BESS)</v>
      </c>
      <c r="D72" s="38"/>
      <c r="F72" s="97"/>
      <c r="G72" s="211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-2793927.0874999999</v>
      </c>
      <c r="M72" s="119" cm="1">
        <f t="array" ref="M72">SUMPRODUCT(($I67:M67))-SUMPRODUCT(($I67:M67)*($I$6:M$6&lt;=(M$6-$E14)))</f>
        <v>-2793927.0874999999</v>
      </c>
      <c r="N72" s="119" cm="1">
        <f t="array" ref="N72">SUMPRODUCT(($I67:N67))-SUMPRODUCT(($I67:N67)*($I$6:N$6&lt;=(N$6-$E14)))</f>
        <v>-2793927.0874999999</v>
      </c>
      <c r="O72" s="119" cm="1">
        <f t="array" ref="O72">SUMPRODUCT(($I67:O67))-SUMPRODUCT(($I67:O67)*($I$6:O$6&lt;=(O$6-$E14)))</f>
        <v>-2793927.0874999999</v>
      </c>
      <c r="P72" s="119" cm="1">
        <f t="array" ref="P72">SUMPRODUCT(($I67:P67))-SUMPRODUCT(($I67:P67)*($I$6:P$6&lt;=(P$6-$E14)))</f>
        <v>-2793927.0874999999</v>
      </c>
      <c r="Q72" s="119" cm="1">
        <f t="array" ref="Q72">SUMPRODUCT(($I67:Q67))-SUMPRODUCT(($I67:Q67)*($I$6:Q$6&lt;=(Q$6-$E14)))</f>
        <v>-2793927.0874999999</v>
      </c>
      <c r="R72" s="119" cm="1">
        <f t="array" ref="R72">SUMPRODUCT(($I67:R67))-SUMPRODUCT(($I67:R67)*($I$6:R$6&lt;=(R$6-$E14)))</f>
        <v>-2793927.0874999999</v>
      </c>
      <c r="S72" s="119" cm="1">
        <f t="array" ref="S72">SUMPRODUCT(($I67:S67))-SUMPRODUCT(($I67:S67)*($I$6:S$6&lt;=(S$6-$E14)))</f>
        <v>-2793927.0874999999</v>
      </c>
      <c r="T72" s="119" cm="1">
        <f t="array" ref="T72">SUMPRODUCT(($I67:T67))-SUMPRODUCT(($I67:T67)*($I$6:T$6&lt;=(T$6-$E14)))</f>
        <v>-2793927.0874999999</v>
      </c>
      <c r="U72" s="119" cm="1">
        <f t="array" ref="U72">SUMPRODUCT(($I67:U67))-SUMPRODUCT(($I67:U67)*($I$6:U$6&lt;=(U$6-$E14)))</f>
        <v>-2793927.0874999999</v>
      </c>
      <c r="V72" s="119" cm="1">
        <f t="array" ref="V72">SUMPRODUCT(($I67:V67))-SUMPRODUCT(($I67:V67)*($I$6:V$6&lt;=(V$6-$E14)))</f>
        <v>-2793927.0874999999</v>
      </c>
      <c r="W72" s="119" cm="1">
        <f t="array" ref="W72">SUMPRODUCT(($I67:W67))-SUMPRODUCT(($I67:W67)*($I$6:W$6&lt;=(W$6-$E14)))</f>
        <v>-2793927.0874999999</v>
      </c>
      <c r="X72" s="119" cm="1">
        <f t="array" ref="X72">SUMPRODUCT(($I67:X67))-SUMPRODUCT(($I67:X67)*($I$6:X$6&lt;=(X$6-$E14)))</f>
        <v>-2793927.0874999999</v>
      </c>
      <c r="Y72" s="119" cm="1">
        <f t="array" ref="Y72">SUMPRODUCT(($I67:Y67))-SUMPRODUCT(($I67:Y67)*($I$6:Y$6&lt;=(Y$6-$E14)))</f>
        <v>-2793927.0874999999</v>
      </c>
      <c r="Z72" s="119" cm="1">
        <f t="array" ref="Z72">SUMPRODUCT(($I67:Z67))-SUMPRODUCT(($I67:Z67)*($I$6:Z$6&lt;=(Z$6-$E14)))</f>
        <v>-2793927.0874999999</v>
      </c>
      <c r="AA72" s="119" cm="1">
        <f t="array" ref="AA72">SUMPRODUCT(($I67:AA67))-SUMPRODUCT(($I67:AA67)*($I$6:AA$6&lt;=(AA$6-$E14)))</f>
        <v>-2793927.0874999999</v>
      </c>
      <c r="AB72" s="119" cm="1">
        <f t="array" ref="AB72">SUMPRODUCT(($I67:AB67))-SUMPRODUCT(($I67:AB67)*($I$6:AB$6&lt;=(AB$6-$E14)))</f>
        <v>-2793927.0874999999</v>
      </c>
      <c r="AC72" s="119" cm="1">
        <f t="array" ref="AC72">SUMPRODUCT(($I67:AC67))-SUMPRODUCT(($I67:AC67)*($I$6:AC$6&lt;=(AC$6-$E14)))</f>
        <v>-2793927.0874999999</v>
      </c>
      <c r="AD72" s="119" cm="1">
        <f t="array" ref="AD72">SUMPRODUCT(($I67:AD67))-SUMPRODUCT(($I67:AD67)*($I$6:AD$6&lt;=(AD$6-$E14)))</f>
        <v>-2793927.0874999999</v>
      </c>
      <c r="AE72" s="119" cm="1">
        <f t="array" ref="AE72">SUMPRODUCT(($I67:AE67))-SUMPRODUCT(($I67:AE67)*($I$6:AE$6&lt;=(AE$6-$E14)))</f>
        <v>-2793927.0874999999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>
        <f>C15</f>
        <v>0</v>
      </c>
      <c r="D73" s="38"/>
      <c r="F73" s="97"/>
      <c r="G73" s="211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>
        <f>C16</f>
        <v>0</v>
      </c>
      <c r="D74" s="38"/>
      <c r="F74" s="97"/>
      <c r="G74" s="211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5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8" t="s">
        <v>91</v>
      </c>
      <c r="D76" s="38"/>
      <c r="F76" s="97"/>
      <c r="G76" s="214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Microgrid (exc BESS)</v>
      </c>
      <c r="D77" s="38"/>
      <c r="F77" s="97"/>
      <c r="G77" s="211">
        <f>input_dollars</f>
        <v>45291</v>
      </c>
      <c r="H77" s="31"/>
      <c r="I77" s="119">
        <f t="shared" ref="I77:AG77" si="8">IF($E14=0,0,-PMT(real_disc, $E14,H72,))</f>
        <v>0</v>
      </c>
      <c r="J77" s="119">
        <f t="shared" si="8"/>
        <v>0</v>
      </c>
      <c r="K77" s="119">
        <f t="shared" si="8"/>
        <v>0</v>
      </c>
      <c r="L77" s="119">
        <f t="shared" si="8"/>
        <v>0</v>
      </c>
      <c r="M77" s="119">
        <f t="shared" si="8"/>
        <v>-196583.71832976426</v>
      </c>
      <c r="N77" s="119">
        <f t="shared" si="8"/>
        <v>-196583.71832976426</v>
      </c>
      <c r="O77" s="119">
        <f t="shared" si="8"/>
        <v>-196583.71832976426</v>
      </c>
      <c r="P77" s="119">
        <f t="shared" si="8"/>
        <v>-196583.71832976426</v>
      </c>
      <c r="Q77" s="119">
        <f t="shared" si="8"/>
        <v>-196583.71832976426</v>
      </c>
      <c r="R77" s="119">
        <f t="shared" si="8"/>
        <v>-196583.71832976426</v>
      </c>
      <c r="S77" s="119">
        <f t="shared" si="8"/>
        <v>-196583.71832976426</v>
      </c>
      <c r="T77" s="119">
        <f t="shared" si="8"/>
        <v>-196583.71832976426</v>
      </c>
      <c r="U77" s="119">
        <f t="shared" si="8"/>
        <v>-196583.71832976426</v>
      </c>
      <c r="V77" s="119">
        <f t="shared" si="8"/>
        <v>-196583.71832976426</v>
      </c>
      <c r="W77" s="119">
        <f t="shared" si="8"/>
        <v>-196583.71832976426</v>
      </c>
      <c r="X77" s="119">
        <f t="shared" si="8"/>
        <v>-196583.71832976426</v>
      </c>
      <c r="Y77" s="119">
        <f t="shared" si="8"/>
        <v>-196583.71832976426</v>
      </c>
      <c r="Z77" s="119">
        <f t="shared" si="8"/>
        <v>-196583.71832976426</v>
      </c>
      <c r="AA77" s="119">
        <f t="shared" si="8"/>
        <v>-196583.71832976426</v>
      </c>
      <c r="AB77" s="119">
        <f t="shared" si="8"/>
        <v>-196583.71832976426</v>
      </c>
      <c r="AC77" s="119">
        <f t="shared" si="8"/>
        <v>-196583.71832976426</v>
      </c>
      <c r="AD77" s="119">
        <f t="shared" si="8"/>
        <v>-196583.71832976426</v>
      </c>
      <c r="AE77" s="119">
        <f t="shared" si="8"/>
        <v>-196583.71832976426</v>
      </c>
      <c r="AF77" s="119">
        <f t="shared" si="8"/>
        <v>-196583.71832976426</v>
      </c>
      <c r="AG77" s="119">
        <f t="shared" si="8"/>
        <v>0</v>
      </c>
    </row>
    <row r="78" spans="1:33" x14ac:dyDescent="0.2">
      <c r="A78" s="8"/>
      <c r="B78" s="8"/>
      <c r="C78" s="4" t="str">
        <f>$C$76&amp;" - "&amp;C15</f>
        <v xml:space="preserve">Annualised capex - </v>
      </c>
      <c r="D78" s="38"/>
      <c r="F78" s="97"/>
      <c r="G78" s="211">
        <f>input_dollars</f>
        <v>45291</v>
      </c>
      <c r="H78" s="31"/>
      <c r="I78" s="119">
        <f t="shared" ref="I78:AG78" si="9">IF($E15=0,0,-PMT(real_disc, $E15,H73,))</f>
        <v>0</v>
      </c>
      <c r="J78" s="119">
        <f t="shared" si="9"/>
        <v>0</v>
      </c>
      <c r="K78" s="119">
        <f t="shared" si="9"/>
        <v>0</v>
      </c>
      <c r="L78" s="119">
        <f t="shared" si="9"/>
        <v>0</v>
      </c>
      <c r="M78" s="119">
        <f t="shared" si="9"/>
        <v>0</v>
      </c>
      <c r="N78" s="119">
        <f t="shared" si="9"/>
        <v>0</v>
      </c>
      <c r="O78" s="119">
        <f t="shared" si="9"/>
        <v>0</v>
      </c>
      <c r="P78" s="119">
        <f t="shared" si="9"/>
        <v>0</v>
      </c>
      <c r="Q78" s="119">
        <f t="shared" si="9"/>
        <v>0</v>
      </c>
      <c r="R78" s="119">
        <f t="shared" si="9"/>
        <v>0</v>
      </c>
      <c r="S78" s="119">
        <f t="shared" si="9"/>
        <v>0</v>
      </c>
      <c r="T78" s="119">
        <f t="shared" si="9"/>
        <v>0</v>
      </c>
      <c r="U78" s="119">
        <f t="shared" si="9"/>
        <v>0</v>
      </c>
      <c r="V78" s="119">
        <f t="shared" si="9"/>
        <v>0</v>
      </c>
      <c r="W78" s="119">
        <f t="shared" si="9"/>
        <v>0</v>
      </c>
      <c r="X78" s="119">
        <f t="shared" si="9"/>
        <v>0</v>
      </c>
      <c r="Y78" s="119">
        <f t="shared" si="9"/>
        <v>0</v>
      </c>
      <c r="Z78" s="119">
        <f t="shared" si="9"/>
        <v>0</v>
      </c>
      <c r="AA78" s="119">
        <f t="shared" si="9"/>
        <v>0</v>
      </c>
      <c r="AB78" s="119">
        <f t="shared" si="9"/>
        <v>0</v>
      </c>
      <c r="AC78" s="119">
        <f t="shared" si="9"/>
        <v>0</v>
      </c>
      <c r="AD78" s="119">
        <f t="shared" si="9"/>
        <v>0</v>
      </c>
      <c r="AE78" s="119">
        <f t="shared" si="9"/>
        <v>0</v>
      </c>
      <c r="AF78" s="119">
        <f t="shared" si="9"/>
        <v>0</v>
      </c>
      <c r="AG78" s="119">
        <f t="shared" si="9"/>
        <v>0</v>
      </c>
    </row>
    <row r="79" spans="1:33" x14ac:dyDescent="0.2">
      <c r="A79" s="8"/>
      <c r="B79" s="8"/>
      <c r="C79" s="4" t="str">
        <f>$C$76&amp;" - "&amp;C16</f>
        <v xml:space="preserve">Annualised capex - </v>
      </c>
      <c r="D79" s="38"/>
      <c r="F79" s="97"/>
      <c r="G79" s="211">
        <f>input_dollars</f>
        <v>45291</v>
      </c>
      <c r="H79" s="31"/>
      <c r="I79" s="119">
        <f t="shared" ref="I79:AG79" si="10">IF($E16=0,0,-PMT(real_disc, $E16,H74,))</f>
        <v>0</v>
      </c>
      <c r="J79" s="119">
        <f t="shared" si="10"/>
        <v>0</v>
      </c>
      <c r="K79" s="119">
        <f t="shared" si="10"/>
        <v>0</v>
      </c>
      <c r="L79" s="119">
        <f t="shared" si="10"/>
        <v>0</v>
      </c>
      <c r="M79" s="119">
        <f t="shared" si="10"/>
        <v>0</v>
      </c>
      <c r="N79" s="119">
        <f t="shared" si="10"/>
        <v>0</v>
      </c>
      <c r="O79" s="119">
        <f t="shared" si="10"/>
        <v>0</v>
      </c>
      <c r="P79" s="119">
        <f t="shared" si="10"/>
        <v>0</v>
      </c>
      <c r="Q79" s="119">
        <f t="shared" si="10"/>
        <v>0</v>
      </c>
      <c r="R79" s="119">
        <f t="shared" si="10"/>
        <v>0</v>
      </c>
      <c r="S79" s="119">
        <f t="shared" si="10"/>
        <v>0</v>
      </c>
      <c r="T79" s="119">
        <f t="shared" si="10"/>
        <v>0</v>
      </c>
      <c r="U79" s="119">
        <f t="shared" si="10"/>
        <v>0</v>
      </c>
      <c r="V79" s="119">
        <f t="shared" si="10"/>
        <v>0</v>
      </c>
      <c r="W79" s="119">
        <f t="shared" si="10"/>
        <v>0</v>
      </c>
      <c r="X79" s="119">
        <f t="shared" si="10"/>
        <v>0</v>
      </c>
      <c r="Y79" s="119">
        <f t="shared" si="10"/>
        <v>0</v>
      </c>
      <c r="Z79" s="119">
        <f t="shared" si="10"/>
        <v>0</v>
      </c>
      <c r="AA79" s="119">
        <f t="shared" si="10"/>
        <v>0</v>
      </c>
      <c r="AB79" s="119">
        <f t="shared" si="10"/>
        <v>0</v>
      </c>
      <c r="AC79" s="119">
        <f t="shared" si="10"/>
        <v>0</v>
      </c>
      <c r="AD79" s="119">
        <f t="shared" si="10"/>
        <v>0</v>
      </c>
      <c r="AE79" s="119">
        <f t="shared" si="10"/>
        <v>0</v>
      </c>
      <c r="AF79" s="119">
        <f t="shared" si="10"/>
        <v>0</v>
      </c>
      <c r="AG79" s="119">
        <f t="shared" si="10"/>
        <v>0</v>
      </c>
    </row>
    <row r="80" spans="1:33" x14ac:dyDescent="0.2">
      <c r="A80" s="8"/>
      <c r="B80" s="8"/>
      <c r="C80" s="173" t="s">
        <v>161</v>
      </c>
      <c r="D80" s="173"/>
      <c r="E80" s="174"/>
      <c r="F80" s="175"/>
      <c r="G80" s="216">
        <f>input_dollars</f>
        <v>45291</v>
      </c>
      <c r="H80" s="176"/>
      <c r="I80" s="177">
        <f>SUM(I77:I79)</f>
        <v>0</v>
      </c>
      <c r="J80" s="177">
        <f t="shared" ref="J80:AB80" si="11">SUM(J77:J79)</f>
        <v>0</v>
      </c>
      <c r="K80" s="177">
        <f t="shared" si="11"/>
        <v>0</v>
      </c>
      <c r="L80" s="177">
        <f t="shared" si="11"/>
        <v>0</v>
      </c>
      <c r="M80" s="177">
        <f t="shared" si="11"/>
        <v>-196583.71832976426</v>
      </c>
      <c r="N80" s="177">
        <f t="shared" si="11"/>
        <v>-196583.71832976426</v>
      </c>
      <c r="O80" s="177">
        <f t="shared" si="11"/>
        <v>-196583.71832976426</v>
      </c>
      <c r="P80" s="177">
        <f t="shared" si="11"/>
        <v>-196583.71832976426</v>
      </c>
      <c r="Q80" s="177">
        <f t="shared" si="11"/>
        <v>-196583.71832976426</v>
      </c>
      <c r="R80" s="177">
        <f t="shared" si="11"/>
        <v>-196583.71832976426</v>
      </c>
      <c r="S80" s="177">
        <f t="shared" si="11"/>
        <v>-196583.71832976426</v>
      </c>
      <c r="T80" s="177">
        <f t="shared" si="11"/>
        <v>-196583.71832976426</v>
      </c>
      <c r="U80" s="177">
        <f t="shared" si="11"/>
        <v>-196583.71832976426</v>
      </c>
      <c r="V80" s="177">
        <f t="shared" si="11"/>
        <v>-196583.71832976426</v>
      </c>
      <c r="W80" s="177">
        <f t="shared" si="11"/>
        <v>-196583.71832976426</v>
      </c>
      <c r="X80" s="177">
        <f t="shared" si="11"/>
        <v>-196583.71832976426</v>
      </c>
      <c r="Y80" s="177">
        <f t="shared" si="11"/>
        <v>-196583.71832976426</v>
      </c>
      <c r="Z80" s="177">
        <f t="shared" si="11"/>
        <v>-196583.71832976426</v>
      </c>
      <c r="AA80" s="177">
        <f t="shared" si="11"/>
        <v>-196583.71832976426</v>
      </c>
      <c r="AB80" s="177">
        <f t="shared" si="11"/>
        <v>-196583.71832976426</v>
      </c>
      <c r="AC80" s="177">
        <f>SUM(AC77:AC79)</f>
        <v>-196583.71832976426</v>
      </c>
      <c r="AD80" s="177">
        <f>SUM(AD77:AD79)</f>
        <v>-196583.71832976426</v>
      </c>
      <c r="AE80" s="177">
        <f>SUM(AE77:AE79)</f>
        <v>-196583.71832976426</v>
      </c>
      <c r="AF80" s="177">
        <f>SUM(AF77:AF79)</f>
        <v>-196583.71832976426</v>
      </c>
      <c r="AG80" s="177">
        <f>SUM(AG77:AG79)</f>
        <v>0</v>
      </c>
    </row>
    <row r="81" spans="1:33" x14ac:dyDescent="0.2">
      <c r="A81" s="8"/>
      <c r="B81" s="8"/>
      <c r="C81" s="75"/>
      <c r="D81" s="38"/>
      <c r="F81"/>
      <c r="G81" s="217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1">
        <f t="shared" ref="G82:G87" si="12">input_dollars</f>
        <v>45291</v>
      </c>
      <c r="H82" s="31"/>
      <c r="I82" s="119">
        <f>I80</f>
        <v>0</v>
      </c>
      <c r="J82" s="119">
        <f t="shared" ref="J82:AB82" si="13">J80</f>
        <v>0</v>
      </c>
      <c r="K82" s="119">
        <f t="shared" si="13"/>
        <v>0</v>
      </c>
      <c r="L82" s="119">
        <f t="shared" si="13"/>
        <v>0</v>
      </c>
      <c r="M82" s="119">
        <f t="shared" si="13"/>
        <v>-196583.71832976426</v>
      </c>
      <c r="N82" s="119">
        <f t="shared" si="13"/>
        <v>-196583.71832976426</v>
      </c>
      <c r="O82" s="119">
        <f t="shared" si="13"/>
        <v>-196583.71832976426</v>
      </c>
      <c r="P82" s="119">
        <f t="shared" si="13"/>
        <v>-196583.71832976426</v>
      </c>
      <c r="Q82" s="119">
        <f t="shared" si="13"/>
        <v>-196583.71832976426</v>
      </c>
      <c r="R82" s="119">
        <f t="shared" si="13"/>
        <v>-196583.71832976426</v>
      </c>
      <c r="S82" s="119">
        <f t="shared" si="13"/>
        <v>-196583.71832976426</v>
      </c>
      <c r="T82" s="119">
        <f t="shared" si="13"/>
        <v>-196583.71832976426</v>
      </c>
      <c r="U82" s="119">
        <f t="shared" si="13"/>
        <v>-196583.71832976426</v>
      </c>
      <c r="V82" s="119">
        <f t="shared" si="13"/>
        <v>-196583.71832976426</v>
      </c>
      <c r="W82" s="119">
        <f t="shared" si="13"/>
        <v>-196583.71832976426</v>
      </c>
      <c r="X82" s="119">
        <f t="shared" si="13"/>
        <v>-196583.71832976426</v>
      </c>
      <c r="Y82" s="119">
        <f t="shared" si="13"/>
        <v>-196583.71832976426</v>
      </c>
      <c r="Z82" s="119">
        <f t="shared" si="13"/>
        <v>-196583.71832976426</v>
      </c>
      <c r="AA82" s="119">
        <f t="shared" si="13"/>
        <v>-196583.71832976426</v>
      </c>
      <c r="AB82" s="119">
        <f t="shared" si="13"/>
        <v>-196583.71832976426</v>
      </c>
      <c r="AC82" s="119">
        <f>AC80</f>
        <v>-196583.71832976426</v>
      </c>
      <c r="AD82" s="119">
        <f>AD80</f>
        <v>-196583.71832976426</v>
      </c>
      <c r="AE82" s="119">
        <f>AE80</f>
        <v>-196583.71832976426</v>
      </c>
      <c r="AF82" s="119">
        <f>AF80</f>
        <v>-196583.71832976426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1">
        <f t="shared" si="12"/>
        <v>45291</v>
      </c>
      <c r="H83" s="31"/>
      <c r="I83" s="31">
        <f t="shared" ref="I83:AG83" si="14">-I19</f>
        <v>0</v>
      </c>
      <c r="J83" s="31">
        <f t="shared" si="14"/>
        <v>0</v>
      </c>
      <c r="K83" s="31">
        <f t="shared" si="14"/>
        <v>0</v>
      </c>
      <c r="L83" s="31">
        <f t="shared" si="14"/>
        <v>0</v>
      </c>
      <c r="M83" s="31">
        <f t="shared" si="14"/>
        <v>-80000</v>
      </c>
      <c r="N83" s="31">
        <f t="shared" si="14"/>
        <v>-80000</v>
      </c>
      <c r="O83" s="31">
        <f t="shared" si="14"/>
        <v>-80000</v>
      </c>
      <c r="P83" s="31">
        <f t="shared" si="14"/>
        <v>-80000</v>
      </c>
      <c r="Q83" s="31">
        <f t="shared" si="14"/>
        <v>-80000</v>
      </c>
      <c r="R83" s="31">
        <f t="shared" si="14"/>
        <v>-80000</v>
      </c>
      <c r="S83" s="31">
        <f t="shared" si="14"/>
        <v>-80000</v>
      </c>
      <c r="T83" s="31">
        <f t="shared" si="14"/>
        <v>-80000</v>
      </c>
      <c r="U83" s="31">
        <f t="shared" si="14"/>
        <v>-80000</v>
      </c>
      <c r="V83" s="31">
        <f t="shared" si="14"/>
        <v>-80000</v>
      </c>
      <c r="W83" s="31">
        <f t="shared" si="14"/>
        <v>-80000</v>
      </c>
      <c r="X83" s="31">
        <f t="shared" si="14"/>
        <v>-80000</v>
      </c>
      <c r="Y83" s="31">
        <f t="shared" si="14"/>
        <v>-80000</v>
      </c>
      <c r="Z83" s="31">
        <f t="shared" si="14"/>
        <v>-80000</v>
      </c>
      <c r="AA83" s="31">
        <f t="shared" si="14"/>
        <v>-80000</v>
      </c>
      <c r="AB83" s="31">
        <f t="shared" si="14"/>
        <v>-80000</v>
      </c>
      <c r="AC83" s="31">
        <f t="shared" si="14"/>
        <v>-80000</v>
      </c>
      <c r="AD83" s="31">
        <f t="shared" si="14"/>
        <v>-80000</v>
      </c>
      <c r="AE83" s="31">
        <f t="shared" si="14"/>
        <v>-80000</v>
      </c>
      <c r="AF83" s="31">
        <f t="shared" si="14"/>
        <v>-80000</v>
      </c>
      <c r="AG83" s="31">
        <f t="shared" si="14"/>
        <v>-80000</v>
      </c>
    </row>
    <row r="84" spans="1:33" x14ac:dyDescent="0.2">
      <c r="A84" s="8"/>
      <c r="B84" s="8"/>
      <c r="C84" s="4" t="s">
        <v>142</v>
      </c>
      <c r="D84" s="38"/>
      <c r="F84" s="97"/>
      <c r="G84" s="211">
        <f t="shared" si="12"/>
        <v>45291</v>
      </c>
      <c r="H84" s="31"/>
      <c r="I84" s="31">
        <f>I64</f>
        <v>0</v>
      </c>
      <c r="J84" s="31">
        <f t="shared" ref="J84:AB84" si="15">J64</f>
        <v>0</v>
      </c>
      <c r="K84" s="31">
        <f t="shared" si="15"/>
        <v>0</v>
      </c>
      <c r="L84" s="31">
        <f t="shared" si="15"/>
        <v>0</v>
      </c>
      <c r="M84" s="31">
        <f t="shared" si="15"/>
        <v>304911.29154582712</v>
      </c>
      <c r="N84" s="31">
        <f t="shared" si="15"/>
        <v>308885.8153396665</v>
      </c>
      <c r="O84" s="31">
        <f t="shared" si="15"/>
        <v>315948.66982217884</v>
      </c>
      <c r="P84" s="31">
        <f t="shared" si="15"/>
        <v>323674.52245658677</v>
      </c>
      <c r="Q84" s="31">
        <f t="shared" si="15"/>
        <v>328473.17524104123</v>
      </c>
      <c r="R84" s="31">
        <f t="shared" si="15"/>
        <v>330005.61574731884</v>
      </c>
      <c r="S84" s="31">
        <f t="shared" si="15"/>
        <v>331538.05625359714</v>
      </c>
      <c r="T84" s="31">
        <f t="shared" si="15"/>
        <v>333070.49675987486</v>
      </c>
      <c r="U84" s="31">
        <f t="shared" si="15"/>
        <v>334602.93726615241</v>
      </c>
      <c r="V84" s="31">
        <f t="shared" si="15"/>
        <v>336135.37777243071</v>
      </c>
      <c r="W84" s="31">
        <f t="shared" si="15"/>
        <v>337667.81827870838</v>
      </c>
      <c r="X84" s="31">
        <f t="shared" si="15"/>
        <v>339200.25878498598</v>
      </c>
      <c r="Y84" s="31">
        <f t="shared" si="15"/>
        <v>340732.69929126429</v>
      </c>
      <c r="Z84" s="31">
        <f t="shared" si="15"/>
        <v>342265.13979754201</v>
      </c>
      <c r="AA84" s="31">
        <f t="shared" si="15"/>
        <v>343797.58030382026</v>
      </c>
      <c r="AB84" s="31">
        <f t="shared" si="15"/>
        <v>345330.02081009781</v>
      </c>
      <c r="AC84" s="31">
        <f>AC64</f>
        <v>346862.46131637553</v>
      </c>
      <c r="AD84" s="31">
        <f>AD64</f>
        <v>348394.90182265377</v>
      </c>
      <c r="AE84" s="31">
        <f>AE64</f>
        <v>349927.34232893144</v>
      </c>
      <c r="AF84" s="31">
        <f>AF64</f>
        <v>351459.78283520916</v>
      </c>
      <c r="AG84" s="31">
        <f>AG64</f>
        <v>352992.22334148741</v>
      </c>
    </row>
    <row r="85" spans="1:33" x14ac:dyDescent="0.2">
      <c r="A85" s="8"/>
      <c r="B85" s="8"/>
      <c r="C85" s="4" t="s">
        <v>122</v>
      </c>
      <c r="D85" s="38"/>
      <c r="F85" s="97"/>
      <c r="G85" s="211">
        <f t="shared" si="12"/>
        <v>45291</v>
      </c>
      <c r="H85" s="31"/>
      <c r="I85" s="31">
        <f t="shared" ref="I85:AG85" si="16">I57</f>
        <v>0</v>
      </c>
      <c r="J85" s="31">
        <f t="shared" si="16"/>
        <v>0</v>
      </c>
      <c r="K85" s="31">
        <f t="shared" si="16"/>
        <v>0</v>
      </c>
      <c r="L85" s="31">
        <f t="shared" si="16"/>
        <v>0</v>
      </c>
      <c r="M85" s="31">
        <f t="shared" si="16"/>
        <v>63413.568259226799</v>
      </c>
      <c r="N85" s="31">
        <f t="shared" si="16"/>
        <v>64677.58159835176</v>
      </c>
      <c r="O85" s="31">
        <f t="shared" si="16"/>
        <v>66599.676413886758</v>
      </c>
      <c r="P85" s="31">
        <f t="shared" si="16"/>
        <v>68678.015220789704</v>
      </c>
      <c r="Q85" s="31">
        <f t="shared" si="16"/>
        <v>70148.399241838153</v>
      </c>
      <c r="R85" s="31">
        <f t="shared" si="16"/>
        <v>70925.750722504745</v>
      </c>
      <c r="S85" s="31">
        <f t="shared" si="16"/>
        <v>71703.102203171642</v>
      </c>
      <c r="T85" s="31">
        <f t="shared" si="16"/>
        <v>72480.453683838234</v>
      </c>
      <c r="U85" s="31">
        <f t="shared" si="16"/>
        <v>73257.805164504811</v>
      </c>
      <c r="V85" s="31">
        <f t="shared" si="16"/>
        <v>74035.156645171723</v>
      </c>
      <c r="W85" s="31">
        <f t="shared" si="16"/>
        <v>74812.508125838329</v>
      </c>
      <c r="X85" s="31">
        <f t="shared" si="16"/>
        <v>75589.859606504906</v>
      </c>
      <c r="Y85" s="31">
        <f t="shared" si="16"/>
        <v>76367.211087171818</v>
      </c>
      <c r="Z85" s="31">
        <f t="shared" si="16"/>
        <v>77144.562567838439</v>
      </c>
      <c r="AA85" s="31">
        <f t="shared" si="16"/>
        <v>77921.914048505336</v>
      </c>
      <c r="AB85" s="31">
        <f t="shared" si="16"/>
        <v>78699.265529171927</v>
      </c>
      <c r="AC85" s="31">
        <f t="shared" si="16"/>
        <v>79476.617009838534</v>
      </c>
      <c r="AD85" s="31">
        <f t="shared" si="16"/>
        <v>80253.968490505446</v>
      </c>
      <c r="AE85" s="31">
        <f t="shared" si="16"/>
        <v>81031.319971172008</v>
      </c>
      <c r="AF85" s="31">
        <f t="shared" si="16"/>
        <v>81808.671451838643</v>
      </c>
      <c r="AG85" s="31">
        <f t="shared" si="16"/>
        <v>82586.022932505526</v>
      </c>
    </row>
    <row r="86" spans="1:33" x14ac:dyDescent="0.2">
      <c r="A86" s="8"/>
      <c r="B86" s="8"/>
      <c r="C86" s="4"/>
      <c r="D86" s="38"/>
      <c r="F86" s="31"/>
      <c r="G86" s="21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8" t="s">
        <v>192</v>
      </c>
      <c r="D87" s="179"/>
      <c r="E87" s="174"/>
      <c r="F87" s="180"/>
      <c r="G87" s="216">
        <f t="shared" si="12"/>
        <v>45291</v>
      </c>
      <c r="H87" s="180"/>
      <c r="I87" s="180">
        <f t="shared" ref="I87:AB87" si="17">SUM(I82:I86)</f>
        <v>0</v>
      </c>
      <c r="J87" s="180">
        <f t="shared" si="17"/>
        <v>0</v>
      </c>
      <c r="K87" s="180">
        <f t="shared" si="17"/>
        <v>0</v>
      </c>
      <c r="L87" s="180">
        <f t="shared" si="17"/>
        <v>0</v>
      </c>
      <c r="M87" s="180">
        <f t="shared" si="17"/>
        <v>91741.141475289653</v>
      </c>
      <c r="N87" s="180">
        <f t="shared" si="17"/>
        <v>96979.678608254006</v>
      </c>
      <c r="O87" s="180">
        <f t="shared" si="17"/>
        <v>105964.62790630134</v>
      </c>
      <c r="P87" s="180">
        <f t="shared" si="17"/>
        <v>115768.81934761221</v>
      </c>
      <c r="Q87" s="180">
        <f t="shared" si="17"/>
        <v>122037.85615311512</v>
      </c>
      <c r="R87" s="180">
        <f t="shared" si="17"/>
        <v>124347.64814005932</v>
      </c>
      <c r="S87" s="180">
        <f t="shared" si="17"/>
        <v>126657.44012700452</v>
      </c>
      <c r="T87" s="180">
        <f t="shared" si="17"/>
        <v>128967.23211394883</v>
      </c>
      <c r="U87" s="180">
        <f t="shared" si="17"/>
        <v>131277.02410089294</v>
      </c>
      <c r="V87" s="180">
        <f t="shared" si="17"/>
        <v>133586.81608783818</v>
      </c>
      <c r="W87" s="180">
        <f t="shared" si="17"/>
        <v>135896.60807478245</v>
      </c>
      <c r="X87" s="180">
        <f t="shared" si="17"/>
        <v>138206.40006172663</v>
      </c>
      <c r="Y87" s="180">
        <f t="shared" si="17"/>
        <v>140516.19204867183</v>
      </c>
      <c r="Z87" s="180">
        <f t="shared" si="17"/>
        <v>142825.98403561619</v>
      </c>
      <c r="AA87" s="180">
        <f t="shared" si="17"/>
        <v>145135.77602256133</v>
      </c>
      <c r="AB87" s="180">
        <f t="shared" si="17"/>
        <v>147445.56800950546</v>
      </c>
      <c r="AC87" s="180">
        <f>SUM(AC82:AC86)</f>
        <v>149755.35999644978</v>
      </c>
      <c r="AD87" s="180">
        <f>SUM(AD82:AD86)</f>
        <v>152065.15198339496</v>
      </c>
      <c r="AE87" s="180">
        <f>SUM(AE82:AE86)</f>
        <v>154374.9439703392</v>
      </c>
      <c r="AF87" s="180">
        <f>SUM(AF82:AF86)</f>
        <v>156684.73595728353</v>
      </c>
      <c r="AG87" s="180">
        <f>SUM(AG82:AG86)</f>
        <v>355578.24627399293</v>
      </c>
    </row>
    <row r="88" spans="1:33" x14ac:dyDescent="0.2">
      <c r="A88" s="8"/>
      <c r="B88" s="8"/>
      <c r="C88" s="75"/>
      <c r="D88" s="139"/>
      <c r="F88" s="142"/>
      <c r="G88" s="21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9"/>
      <c r="F89" s="142"/>
      <c r="G89" s="21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1" t="s">
        <v>202</v>
      </c>
      <c r="D90" s="82"/>
      <c r="E90" s="232"/>
      <c r="F90" s="233"/>
      <c r="G90" s="234" cm="1">
        <f t="array" ref="G90">IF(SUM($I17:$AG17)=0,0,(INDEX(I$6:AG$6,MATCH(TRUE,INDEX($I17:$AG17&lt;&gt;0,),0))))</f>
        <v>4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A91" s="8"/>
      <c r="B91" s="8"/>
      <c r="C91" s="82"/>
      <c r="D91" s="235"/>
      <c r="E91" s="232"/>
      <c r="F91" s="233"/>
      <c r="G91" s="234"/>
      <c r="H91" s="3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  <c r="Z91" s="105"/>
      <c r="AA91" s="105"/>
      <c r="AB91" s="105"/>
      <c r="AC91" s="105"/>
      <c r="AD91" s="105"/>
      <c r="AE91" s="105"/>
      <c r="AF91" s="105"/>
      <c r="AG91" s="105"/>
    </row>
    <row r="92" spans="1:33" x14ac:dyDescent="0.2">
      <c r="C92" s="236" t="s">
        <v>197</v>
      </c>
      <c r="D92" s="237"/>
      <c r="E92" s="237"/>
      <c r="F92" s="237"/>
      <c r="G92" s="238">
        <f>IF(_xlfn.MINIFS($G$90:$G$91, $G$90:$G$91, "&gt;"&amp;0)=0, $A$4, _xlfn.MINIFS($G$90:$G$91, $G$90:$G$91, "&gt;"&amp;0))</f>
        <v>4</v>
      </c>
    </row>
    <row r="94" spans="1:33" x14ac:dyDescent="0.2">
      <c r="G94" s="12"/>
      <c r="I94" s="249"/>
      <c r="J94" s="249"/>
      <c r="K94" s="249"/>
      <c r="L94" s="249"/>
      <c r="M94" s="249"/>
      <c r="N94" s="249"/>
      <c r="O94" s="249"/>
      <c r="P94" s="249"/>
      <c r="Q94" s="249"/>
      <c r="R94" s="249"/>
      <c r="S94" s="249"/>
      <c r="T94" s="249"/>
      <c r="U94" s="249"/>
      <c r="V94" s="249"/>
      <c r="W94" s="249"/>
      <c r="X94" s="249"/>
      <c r="Y94" s="31"/>
      <c r="Z94" s="31"/>
      <c r="AA94" s="31"/>
      <c r="AB94" s="31"/>
      <c r="AC94" s="31"/>
      <c r="AD94" s="31"/>
      <c r="AE94" s="31"/>
      <c r="AF94" s="31"/>
      <c r="AG94" s="31"/>
    </row>
    <row r="95" spans="1:33" x14ac:dyDescent="0.2">
      <c r="I95" s="243"/>
      <c r="J95" s="243"/>
      <c r="K95" s="243"/>
      <c r="L95" s="243"/>
      <c r="M95" s="243"/>
      <c r="N95" s="243"/>
      <c r="O95" s="243"/>
      <c r="P95" s="243"/>
      <c r="Q95" s="243"/>
      <c r="R95" s="243"/>
      <c r="S95" s="243"/>
      <c r="T95" s="243"/>
      <c r="U95" s="243"/>
      <c r="V95" s="243"/>
      <c r="W95" s="243"/>
      <c r="X95" s="243"/>
      <c r="Y95" s="243"/>
      <c r="Z95" s="243"/>
    </row>
    <row r="96" spans="1:33" x14ac:dyDescent="0.2">
      <c r="I96" s="243"/>
      <c r="J96" s="243"/>
      <c r="K96" s="243"/>
      <c r="L96" s="243"/>
      <c r="M96" s="243"/>
      <c r="N96" s="243"/>
      <c r="O96" s="243"/>
      <c r="P96" s="243"/>
      <c r="Q96" s="243"/>
      <c r="R96" s="243"/>
      <c r="S96" s="243"/>
      <c r="T96" s="243"/>
      <c r="U96" s="243"/>
      <c r="V96" s="243"/>
      <c r="W96" s="243"/>
      <c r="X96" s="243"/>
      <c r="Y96" s="243"/>
      <c r="Z96" s="243"/>
    </row>
    <row r="97" spans="1:43" x14ac:dyDescent="0.2">
      <c r="I97" s="243"/>
      <c r="J97" s="243"/>
      <c r="K97" s="243"/>
      <c r="L97" s="243"/>
      <c r="M97" s="243"/>
      <c r="N97" s="243"/>
      <c r="O97" s="243"/>
      <c r="P97" s="243"/>
      <c r="Q97" s="243"/>
      <c r="R97" s="243"/>
      <c r="S97" s="243"/>
      <c r="T97" s="243"/>
      <c r="U97" s="243"/>
      <c r="V97" s="243"/>
      <c r="W97" s="243"/>
      <c r="X97" s="243"/>
      <c r="Y97" s="243"/>
      <c r="Z97" s="243"/>
    </row>
    <row r="98" spans="1:43" x14ac:dyDescent="0.2">
      <c r="I98" s="243"/>
      <c r="J98" s="243"/>
      <c r="K98" s="243"/>
      <c r="L98" s="243"/>
      <c r="M98" s="243"/>
      <c r="N98" s="243"/>
      <c r="O98" s="243"/>
      <c r="P98" s="243"/>
      <c r="Q98" s="243"/>
      <c r="R98" s="243"/>
      <c r="S98" s="243"/>
      <c r="T98" s="243"/>
      <c r="U98" s="243"/>
      <c r="V98" s="243"/>
      <c r="W98" s="243"/>
      <c r="X98" s="243"/>
      <c r="Y98" s="243"/>
      <c r="Z98" s="243"/>
    </row>
    <row r="99" spans="1:43" x14ac:dyDescent="0.2">
      <c r="I99" s="243"/>
      <c r="J99" s="243"/>
      <c r="K99" s="243"/>
      <c r="L99" s="243"/>
      <c r="M99" s="243"/>
      <c r="N99" s="243"/>
      <c r="O99" s="243"/>
      <c r="P99" s="243"/>
      <c r="Q99" s="243"/>
      <c r="R99" s="243"/>
      <c r="S99" s="243"/>
      <c r="T99" s="243"/>
      <c r="U99" s="243"/>
      <c r="V99" s="243"/>
      <c r="W99" s="243"/>
      <c r="X99" s="243"/>
      <c r="Y99" s="243"/>
      <c r="Z99" s="243"/>
    </row>
    <row r="100" spans="1:43" x14ac:dyDescent="0.2">
      <c r="I100" s="243"/>
      <c r="J100" s="243"/>
      <c r="K100" s="243"/>
      <c r="L100" s="243"/>
      <c r="M100" s="243"/>
      <c r="N100" s="243"/>
      <c r="O100" s="243"/>
      <c r="P100" s="243"/>
      <c r="Q100" s="243"/>
      <c r="R100" s="243"/>
      <c r="S100" s="243"/>
      <c r="T100" s="243"/>
      <c r="U100" s="243"/>
      <c r="V100" s="243"/>
      <c r="W100" s="243"/>
      <c r="X100" s="243"/>
      <c r="Y100" s="243"/>
      <c r="Z100" s="243"/>
    </row>
    <row r="101" spans="1:43" x14ac:dyDescent="0.2">
      <c r="I101" s="243"/>
      <c r="J101" s="243"/>
      <c r="K101" s="243"/>
      <c r="L101" s="243"/>
      <c r="M101" s="243"/>
      <c r="N101" s="243"/>
      <c r="O101" s="243"/>
      <c r="P101" s="243"/>
      <c r="Q101" s="243"/>
      <c r="R101" s="243"/>
      <c r="S101" s="243"/>
      <c r="T101" s="243"/>
      <c r="U101" s="243"/>
      <c r="V101" s="243"/>
      <c r="W101" s="243"/>
      <c r="X101" s="243"/>
      <c r="Y101" s="243"/>
      <c r="Z101" s="243"/>
    </row>
    <row r="102" spans="1:43" ht="15" x14ac:dyDescent="0.2">
      <c r="A102" s="89" t="s">
        <v>218</v>
      </c>
      <c r="B102" s="89"/>
      <c r="C102" s="89"/>
      <c r="D102" s="89"/>
      <c r="E102" s="89"/>
      <c r="F102" s="89"/>
      <c r="G102" s="205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3"/>
      <c r="J104" s="243"/>
      <c r="K104" s="243"/>
      <c r="L104" s="243"/>
      <c r="M104" s="243"/>
      <c r="N104" s="243"/>
      <c r="O104" s="243"/>
      <c r="P104" s="243"/>
      <c r="Q104" s="243"/>
      <c r="R104" s="243"/>
      <c r="S104" s="243"/>
      <c r="T104" s="243"/>
      <c r="U104" s="243"/>
      <c r="V104" s="243"/>
      <c r="W104" s="243"/>
      <c r="X104" s="243"/>
      <c r="Y104" s="243"/>
      <c r="Z104" s="243"/>
    </row>
    <row r="105" spans="1:43" x14ac:dyDescent="0.2">
      <c r="D105"/>
      <c r="E105"/>
      <c r="F105"/>
      <c r="G105"/>
      <c r="I105" s="243"/>
      <c r="J105" s="243"/>
      <c r="K105" s="243"/>
      <c r="L105" s="243"/>
      <c r="M105" s="243"/>
      <c r="N105" s="243"/>
      <c r="O105" s="243"/>
      <c r="P105" s="243"/>
      <c r="Q105" s="243"/>
      <c r="R105" s="243"/>
      <c r="S105" s="243"/>
      <c r="T105" s="243"/>
      <c r="U105" s="243"/>
      <c r="V105" s="243"/>
      <c r="W105" s="243"/>
      <c r="X105" s="243"/>
      <c r="Y105" s="243"/>
      <c r="Z105" s="243"/>
    </row>
    <row r="106" spans="1:43" x14ac:dyDescent="0.2">
      <c r="A106" s="1" t="s">
        <v>119</v>
      </c>
      <c r="C106" s="1" t="s">
        <v>192</v>
      </c>
      <c r="D106"/>
      <c r="E106"/>
      <c r="F106"/>
      <c r="G106" s="38" t="str">
        <f>PROPER($A$3)&amp;A106</f>
        <v>Option 2NPV</v>
      </c>
      <c r="I106" s="31">
        <f>I87</f>
        <v>0</v>
      </c>
      <c r="J106" s="31">
        <f t="shared" ref="J106:AG106" si="18">J87</f>
        <v>0</v>
      </c>
      <c r="K106" s="31">
        <f t="shared" si="18"/>
        <v>0</v>
      </c>
      <c r="L106" s="31">
        <f t="shared" si="18"/>
        <v>0</v>
      </c>
      <c r="M106" s="31">
        <f t="shared" si="18"/>
        <v>91741.141475289653</v>
      </c>
      <c r="N106" s="31">
        <f t="shared" si="18"/>
        <v>96979.678608254006</v>
      </c>
      <c r="O106" s="31">
        <f t="shared" si="18"/>
        <v>105964.62790630134</v>
      </c>
      <c r="P106" s="31">
        <f t="shared" si="18"/>
        <v>115768.81934761221</v>
      </c>
      <c r="Q106" s="31">
        <f t="shared" si="18"/>
        <v>122037.85615311512</v>
      </c>
      <c r="R106" s="31">
        <f t="shared" si="18"/>
        <v>124347.64814005932</v>
      </c>
      <c r="S106" s="31">
        <f t="shared" si="18"/>
        <v>126657.44012700452</v>
      </c>
      <c r="T106" s="31">
        <f t="shared" si="18"/>
        <v>128967.23211394883</v>
      </c>
      <c r="U106" s="31">
        <f t="shared" si="18"/>
        <v>131277.02410089294</v>
      </c>
      <c r="V106" s="31">
        <f t="shared" si="18"/>
        <v>133586.81608783818</v>
      </c>
      <c r="W106" s="31">
        <f t="shared" si="18"/>
        <v>135896.60807478245</v>
      </c>
      <c r="X106" s="31">
        <f t="shared" si="18"/>
        <v>138206.40006172663</v>
      </c>
      <c r="Y106" s="31">
        <f t="shared" si="18"/>
        <v>140516.19204867183</v>
      </c>
      <c r="Z106" s="31">
        <f t="shared" si="18"/>
        <v>142825.98403561619</v>
      </c>
      <c r="AA106" s="31">
        <f t="shared" si="18"/>
        <v>145135.77602256133</v>
      </c>
      <c r="AB106" s="31">
        <f t="shared" si="18"/>
        <v>147445.56800950546</v>
      </c>
      <c r="AC106" s="31">
        <f t="shared" si="18"/>
        <v>149755.35999644978</v>
      </c>
      <c r="AD106" s="31">
        <f t="shared" si="18"/>
        <v>152065.15198339496</v>
      </c>
      <c r="AE106" s="31">
        <f t="shared" si="18"/>
        <v>154374.9439703392</v>
      </c>
      <c r="AF106" s="31">
        <f t="shared" si="18"/>
        <v>156684.73595728353</v>
      </c>
      <c r="AG106" s="31">
        <f t="shared" si="18"/>
        <v>355578.24627399293</v>
      </c>
    </row>
    <row r="107" spans="1:43" x14ac:dyDescent="0.2">
      <c r="C107" s="1" t="s">
        <v>161</v>
      </c>
      <c r="D107"/>
      <c r="E107"/>
      <c r="F107"/>
      <c r="G107"/>
      <c r="I107" s="31">
        <f>I82</f>
        <v>0</v>
      </c>
      <c r="J107" s="31">
        <f t="shared" ref="J107:AG107" si="19">J82</f>
        <v>0</v>
      </c>
      <c r="K107" s="31">
        <f t="shared" si="19"/>
        <v>0</v>
      </c>
      <c r="L107" s="31">
        <f t="shared" si="19"/>
        <v>0</v>
      </c>
      <c r="M107" s="31">
        <f t="shared" si="19"/>
        <v>-196583.71832976426</v>
      </c>
      <c r="N107" s="31">
        <f t="shared" si="19"/>
        <v>-196583.71832976426</v>
      </c>
      <c r="O107" s="31">
        <f t="shared" si="19"/>
        <v>-196583.71832976426</v>
      </c>
      <c r="P107" s="31">
        <f t="shared" si="19"/>
        <v>-196583.71832976426</v>
      </c>
      <c r="Q107" s="31">
        <f t="shared" si="19"/>
        <v>-196583.71832976426</v>
      </c>
      <c r="R107" s="31">
        <f t="shared" si="19"/>
        <v>-196583.71832976426</v>
      </c>
      <c r="S107" s="31">
        <f t="shared" si="19"/>
        <v>-196583.71832976426</v>
      </c>
      <c r="T107" s="31">
        <f t="shared" si="19"/>
        <v>-196583.71832976426</v>
      </c>
      <c r="U107" s="31">
        <f t="shared" si="19"/>
        <v>-196583.71832976426</v>
      </c>
      <c r="V107" s="31">
        <f t="shared" si="19"/>
        <v>-196583.71832976426</v>
      </c>
      <c r="W107" s="31">
        <f t="shared" si="19"/>
        <v>-196583.71832976426</v>
      </c>
      <c r="X107" s="31">
        <f t="shared" si="19"/>
        <v>-196583.71832976426</v>
      </c>
      <c r="Y107" s="31">
        <f t="shared" si="19"/>
        <v>-196583.71832976426</v>
      </c>
      <c r="Z107" s="31">
        <f t="shared" si="19"/>
        <v>-196583.71832976426</v>
      </c>
      <c r="AA107" s="31">
        <f t="shared" si="19"/>
        <v>-196583.71832976426</v>
      </c>
      <c r="AB107" s="31">
        <f t="shared" si="19"/>
        <v>-196583.71832976426</v>
      </c>
      <c r="AC107" s="31">
        <f t="shared" si="19"/>
        <v>-196583.71832976426</v>
      </c>
      <c r="AD107" s="31">
        <f t="shared" si="19"/>
        <v>-196583.71832976426</v>
      </c>
      <c r="AE107" s="31">
        <f t="shared" si="19"/>
        <v>-196583.71832976426</v>
      </c>
      <c r="AF107" s="31">
        <f t="shared" si="19"/>
        <v>-196583.71832976426</v>
      </c>
      <c r="AG107" s="31">
        <f t="shared" si="19"/>
        <v>0</v>
      </c>
    </row>
    <row r="108" spans="1:43" x14ac:dyDescent="0.2">
      <c r="C108" s="1" t="s">
        <v>243</v>
      </c>
      <c r="D108" s="253"/>
      <c r="E108" s="38"/>
      <c r="I108" s="31">
        <f>SUM(I84:I85)</f>
        <v>0</v>
      </c>
      <c r="J108" s="31">
        <f t="shared" ref="J108:AG108" si="20">SUM(J84:J85)</f>
        <v>0</v>
      </c>
      <c r="K108" s="31">
        <f t="shared" si="20"/>
        <v>0</v>
      </c>
      <c r="L108" s="31">
        <f t="shared" si="20"/>
        <v>0</v>
      </c>
      <c r="M108" s="31">
        <f t="shared" si="20"/>
        <v>368324.85980505391</v>
      </c>
      <c r="N108" s="31">
        <f t="shared" si="20"/>
        <v>373563.39693801827</v>
      </c>
      <c r="O108" s="31">
        <f t="shared" si="20"/>
        <v>382548.34623606561</v>
      </c>
      <c r="P108" s="31">
        <f t="shared" si="20"/>
        <v>392352.53767737647</v>
      </c>
      <c r="Q108" s="31">
        <f t="shared" si="20"/>
        <v>398621.57448287937</v>
      </c>
      <c r="R108" s="31">
        <f t="shared" si="20"/>
        <v>400931.36646982358</v>
      </c>
      <c r="S108" s="31">
        <f t="shared" si="20"/>
        <v>403241.15845676878</v>
      </c>
      <c r="T108" s="31">
        <f t="shared" si="20"/>
        <v>405550.95044371311</v>
      </c>
      <c r="U108" s="31">
        <f t="shared" si="20"/>
        <v>407860.74243065721</v>
      </c>
      <c r="V108" s="31">
        <f t="shared" si="20"/>
        <v>410170.53441760247</v>
      </c>
      <c r="W108" s="31">
        <f t="shared" si="20"/>
        <v>412480.32640454674</v>
      </c>
      <c r="X108" s="31">
        <f t="shared" si="20"/>
        <v>414790.11839149089</v>
      </c>
      <c r="Y108" s="31">
        <f t="shared" si="20"/>
        <v>417099.91037843609</v>
      </c>
      <c r="Z108" s="31">
        <f t="shared" si="20"/>
        <v>419409.70236538048</v>
      </c>
      <c r="AA108" s="31">
        <f t="shared" si="20"/>
        <v>421719.49435232556</v>
      </c>
      <c r="AB108" s="31">
        <f t="shared" si="20"/>
        <v>424029.28633926972</v>
      </c>
      <c r="AC108" s="31">
        <f t="shared" si="20"/>
        <v>426339.07832621405</v>
      </c>
      <c r="AD108" s="31">
        <f t="shared" si="20"/>
        <v>428648.87031315919</v>
      </c>
      <c r="AE108" s="31">
        <f t="shared" si="20"/>
        <v>430958.66230010346</v>
      </c>
      <c r="AF108" s="31">
        <f t="shared" si="20"/>
        <v>433268.45428704779</v>
      </c>
      <c r="AG108" s="31">
        <f t="shared" si="20"/>
        <v>435578.24627399293</v>
      </c>
    </row>
    <row r="109" spans="1:43" x14ac:dyDescent="0.2">
      <c r="D109" s="302" t="str">
        <f>Assumptions!G114</f>
        <v>Capex</v>
      </c>
      <c r="E109" s="302" t="str">
        <f>Assumptions!H114</f>
        <v>Total benefits</v>
      </c>
      <c r="I109" s="243"/>
      <c r="J109" s="243"/>
      <c r="K109" s="243"/>
      <c r="L109" s="243"/>
      <c r="M109" s="243"/>
      <c r="N109" s="243"/>
      <c r="O109" s="243"/>
      <c r="P109" s="243"/>
      <c r="Q109" s="243"/>
      <c r="R109" s="243"/>
      <c r="S109" s="243"/>
      <c r="T109" s="243"/>
      <c r="U109" s="243"/>
      <c r="V109" s="243"/>
      <c r="W109" s="243"/>
      <c r="X109" s="243"/>
      <c r="Y109" s="243"/>
      <c r="Z109" s="243"/>
    </row>
    <row r="110" spans="1:43" x14ac:dyDescent="0.2">
      <c r="A110" s="1" t="str">
        <f>"sens"&amp;Assumptions!B115</f>
        <v>sens1</v>
      </c>
      <c r="C110" s="301" t="str">
        <f>Assumptions!C115</f>
        <v>Capex 10% higher</v>
      </c>
      <c r="D110" s="302">
        <f>Assumptions!G115</f>
        <v>0.1</v>
      </c>
      <c r="E110" s="302">
        <f>Assumptions!H115</f>
        <v>0</v>
      </c>
      <c r="G110" s="38" t="str">
        <f>PROPER($A$3)&amp;A110</f>
        <v>Option 2sens1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72082.769642313229</v>
      </c>
      <c r="N110" s="31" cm="1">
        <f t="array" ref="N110">N$106+IF($C110&lt;&gt;0,SUMPRODUCT((N$107:N$108)*TRANSPOSE(($D110:$E110))),0)</f>
        <v>77321.306775277582</v>
      </c>
      <c r="O110" s="31" cm="1">
        <f t="array" ref="O110">O$106+IF($C110&lt;&gt;0,SUMPRODUCT((O$107:O$108)*TRANSPOSE(($D110:$E110))),0)</f>
        <v>86306.256073324912</v>
      </c>
      <c r="P110" s="31" cm="1">
        <f t="array" ref="P110">P$106+IF($C110&lt;&gt;0,SUMPRODUCT((P$107:P$108)*TRANSPOSE(($D110:$E110))),0)</f>
        <v>96110.447514635787</v>
      </c>
      <c r="Q110" s="31" cm="1">
        <f t="array" ref="Q110">Q$106+IF($C110&lt;&gt;0,SUMPRODUCT((Q$107:Q$108)*TRANSPOSE(($D110:$E110))),0)</f>
        <v>102379.4843201387</v>
      </c>
      <c r="R110" s="31" cm="1">
        <f t="array" ref="R110">R$106+IF($C110&lt;&gt;0,SUMPRODUCT((R$107:R$108)*TRANSPOSE(($D110:$E110))),0)</f>
        <v>104689.2763070829</v>
      </c>
      <c r="S110" s="31" cm="1">
        <f t="array" ref="S110">S$106+IF($C110&lt;&gt;0,SUMPRODUCT((S$107:S$108)*TRANSPOSE(($D110:$E110))),0)</f>
        <v>106999.0682940281</v>
      </c>
      <c r="T110" s="31" cm="1">
        <f t="array" ref="T110">T$106+IF($C110&lt;&gt;0,SUMPRODUCT((T$107:T$108)*TRANSPOSE(($D110:$E110))),0)</f>
        <v>109308.86028097241</v>
      </c>
      <c r="U110" s="31" cm="1">
        <f t="array" ref="U110">U$106+IF($C110&lt;&gt;0,SUMPRODUCT((U$107:U$108)*TRANSPOSE(($D110:$E110))),0)</f>
        <v>111618.65226791652</v>
      </c>
      <c r="V110" s="31" cm="1">
        <f t="array" ref="V110">V$106+IF($C110&lt;&gt;0,SUMPRODUCT((V$107:V$108)*TRANSPOSE(($D110:$E110))),0)</f>
        <v>113928.44425486175</v>
      </c>
      <c r="W110" s="31" cm="1">
        <f t="array" ref="W110">W$106+IF($C110&lt;&gt;0,SUMPRODUCT((W$107:W$108)*TRANSPOSE(($D110:$E110))),0)</f>
        <v>116238.23624180602</v>
      </c>
      <c r="X110" s="31" cm="1">
        <f t="array" ref="X110">X$106+IF($C110&lt;&gt;0,SUMPRODUCT((X$107:X$108)*TRANSPOSE(($D110:$E110))),0)</f>
        <v>118548.02822875021</v>
      </c>
      <c r="Y110" s="31" cm="1">
        <f t="array" ref="Y110">Y$106+IF($C110&lt;&gt;0,SUMPRODUCT((Y$107:Y$108)*TRANSPOSE(($D110:$E110))),0)</f>
        <v>120857.82021569541</v>
      </c>
      <c r="Z110" s="31" cm="1">
        <f t="array" ref="Z110">Z$106+IF($C110&lt;&gt;0,SUMPRODUCT((Z$107:Z$108)*TRANSPOSE(($D110:$E110))),0)</f>
        <v>123167.61220263976</v>
      </c>
      <c r="AA110" s="31" cm="1">
        <f t="array" ref="AA110">AA$106+IF($C110&lt;&gt;0,SUMPRODUCT((AA$107:AA$108)*TRANSPOSE(($D110:$E110))),0)</f>
        <v>125477.40418958491</v>
      </c>
      <c r="AB110" s="31" cm="1">
        <f t="array" ref="AB110">AB$106+IF($C110&lt;&gt;0,SUMPRODUCT((AB$107:AB$108)*TRANSPOSE(($D110:$E110))),0)</f>
        <v>127787.19617652903</v>
      </c>
      <c r="AC110" s="31" cm="1">
        <f t="array" ref="AC110">AC$106+IF($C110&lt;&gt;0,SUMPRODUCT((AC$107:AC$108)*TRANSPOSE(($D110:$E110))),0)</f>
        <v>130096.98816347336</v>
      </c>
      <c r="AD110" s="31" cm="1">
        <f t="array" ref="AD110">AD$106+IF($C110&lt;&gt;0,SUMPRODUCT((AD$107:AD$108)*TRANSPOSE(($D110:$E110))),0)</f>
        <v>132406.78015041852</v>
      </c>
      <c r="AE110" s="31" cm="1">
        <f t="array" ref="AE110">AE$106+IF($C110&lt;&gt;0,SUMPRODUCT((AE$107:AE$108)*TRANSPOSE(($D110:$E110))),0)</f>
        <v>134716.57213736276</v>
      </c>
      <c r="AF110" s="31" cm="1">
        <f t="array" ref="AF110">AF$106+IF($C110&lt;&gt;0,SUMPRODUCT((AF$107:AF$108)*TRANSPOSE(($D110:$E110))),0)</f>
        <v>137026.36412430709</v>
      </c>
      <c r="AG110" s="31" cm="1">
        <f t="array" ref="AG110">AG$106+IF($C110&lt;&gt;0,SUMPRODUCT((AG$107:AG$108)*TRANSPOSE(($D110:$E110))),0)</f>
        <v>355578.24627399293</v>
      </c>
    </row>
    <row r="111" spans="1:43" x14ac:dyDescent="0.2">
      <c r="A111" s="1" t="str">
        <f>"sens"&amp;Assumptions!B116</f>
        <v>sens2</v>
      </c>
      <c r="C111" s="301" t="str">
        <f>Assumptions!C116</f>
        <v>Capex 10% lower</v>
      </c>
      <c r="D111" s="302">
        <f>Assumptions!G116</f>
        <v>-0.1</v>
      </c>
      <c r="E111" s="302">
        <f>Assumptions!H116</f>
        <v>0</v>
      </c>
      <c r="G111" s="38" t="str">
        <f t="shared" ref="G111:G117" si="21">PROPER($A$3)&amp;A111</f>
        <v>Option 2sens2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111399.51330826608</v>
      </c>
      <c r="N111" s="31" cm="1">
        <f t="array" ref="N111">N$106+IF($C111&lt;&gt;0,SUMPRODUCT((N$107:N$108)*TRANSPOSE(($D111:$E111))),0)</f>
        <v>116638.05044123043</v>
      </c>
      <c r="O111" s="31" cm="1">
        <f t="array" ref="O111">O$106+IF($C111&lt;&gt;0,SUMPRODUCT((O$107:O$108)*TRANSPOSE(($D111:$E111))),0)</f>
        <v>125622.99973927776</v>
      </c>
      <c r="P111" s="31" cm="1">
        <f t="array" ref="P111">P$106+IF($C111&lt;&gt;0,SUMPRODUCT((P$107:P$108)*TRANSPOSE(($D111:$E111))),0)</f>
        <v>135427.19118058865</v>
      </c>
      <c r="Q111" s="31" cm="1">
        <f t="array" ref="Q111">Q$106+IF($C111&lt;&gt;0,SUMPRODUCT((Q$107:Q$108)*TRANSPOSE(($D111:$E111))),0)</f>
        <v>141696.22798609154</v>
      </c>
      <c r="R111" s="31" cm="1">
        <f t="array" ref="R111">R$106+IF($C111&lt;&gt;0,SUMPRODUCT((R$107:R$108)*TRANSPOSE(($D111:$E111))),0)</f>
        <v>144006.01997303576</v>
      </c>
      <c r="S111" s="31" cm="1">
        <f t="array" ref="S111">S$106+IF($C111&lt;&gt;0,SUMPRODUCT((S$107:S$108)*TRANSPOSE(($D111:$E111))),0)</f>
        <v>146315.81195998096</v>
      </c>
      <c r="T111" s="31" cm="1">
        <f t="array" ref="T111">T$106+IF($C111&lt;&gt;0,SUMPRODUCT((T$107:T$108)*TRANSPOSE(($D111:$E111))),0)</f>
        <v>148625.60394692526</v>
      </c>
      <c r="U111" s="31" cm="1">
        <f t="array" ref="U111">U$106+IF($C111&lt;&gt;0,SUMPRODUCT((U$107:U$108)*TRANSPOSE(($D111:$E111))),0)</f>
        <v>150935.39593386938</v>
      </c>
      <c r="V111" s="31" cm="1">
        <f t="array" ref="V111">V$106+IF($C111&lt;&gt;0,SUMPRODUCT((V$107:V$108)*TRANSPOSE(($D111:$E111))),0)</f>
        <v>153245.18792081461</v>
      </c>
      <c r="W111" s="31" cm="1">
        <f t="array" ref="W111">W$106+IF($C111&lt;&gt;0,SUMPRODUCT((W$107:W$108)*TRANSPOSE(($D111:$E111))),0)</f>
        <v>155554.97990775888</v>
      </c>
      <c r="X111" s="31" cm="1">
        <f t="array" ref="X111">X$106+IF($C111&lt;&gt;0,SUMPRODUCT((X$107:X$108)*TRANSPOSE(($D111:$E111))),0)</f>
        <v>157864.77189470307</v>
      </c>
      <c r="Y111" s="31" cm="1">
        <f t="array" ref="Y111">Y$106+IF($C111&lt;&gt;0,SUMPRODUCT((Y$107:Y$108)*TRANSPOSE(($D111:$E111))),0)</f>
        <v>160174.56388164827</v>
      </c>
      <c r="Z111" s="31" cm="1">
        <f t="array" ref="Z111">Z$106+IF($C111&lt;&gt;0,SUMPRODUCT((Z$107:Z$108)*TRANSPOSE(($D111:$E111))),0)</f>
        <v>162484.35586859263</v>
      </c>
      <c r="AA111" s="31" cm="1">
        <f t="array" ref="AA111">AA$106+IF($C111&lt;&gt;0,SUMPRODUCT((AA$107:AA$108)*TRANSPOSE(($D111:$E111))),0)</f>
        <v>164794.14785553777</v>
      </c>
      <c r="AB111" s="31" cm="1">
        <f t="array" ref="AB111">AB$106+IF($C111&lt;&gt;0,SUMPRODUCT((AB$107:AB$108)*TRANSPOSE(($D111:$E111))),0)</f>
        <v>167103.93984248189</v>
      </c>
      <c r="AC111" s="31" cm="1">
        <f t="array" ref="AC111">AC$106+IF($C111&lt;&gt;0,SUMPRODUCT((AC$107:AC$108)*TRANSPOSE(($D111:$E111))),0)</f>
        <v>169413.73182942622</v>
      </c>
      <c r="AD111" s="31" cm="1">
        <f t="array" ref="AD111">AD$106+IF($C111&lt;&gt;0,SUMPRODUCT((AD$107:AD$108)*TRANSPOSE(($D111:$E111))),0)</f>
        <v>171723.52381637139</v>
      </c>
      <c r="AE111" s="31" cm="1">
        <f t="array" ref="AE111">AE$106+IF($C111&lt;&gt;0,SUMPRODUCT((AE$107:AE$108)*TRANSPOSE(($D111:$E111))),0)</f>
        <v>174033.31580331564</v>
      </c>
      <c r="AF111" s="31" cm="1">
        <f t="array" ref="AF111">AF$106+IF($C111&lt;&gt;0,SUMPRODUCT((AF$107:AF$108)*TRANSPOSE(($D111:$E111))),0)</f>
        <v>176343.10779025996</v>
      </c>
      <c r="AG111" s="31" cm="1">
        <f t="array" ref="AG111">AG$106+IF($C111&lt;&gt;0,SUMPRODUCT((AG$107:AG$108)*TRANSPOSE(($D111:$E111))),0)</f>
        <v>355578.24627399293</v>
      </c>
    </row>
    <row r="112" spans="1:43" x14ac:dyDescent="0.2">
      <c r="A112" s="1" t="str">
        <f>"sens"&amp;Assumptions!B117</f>
        <v>sens3</v>
      </c>
      <c r="C112" s="301" t="str">
        <f>Assumptions!C117</f>
        <v>Increasing wind escalation</v>
      </c>
      <c r="D112" s="302">
        <f>Assumptions!G117</f>
        <v>0</v>
      </c>
      <c r="E112" s="302">
        <v>0.15</v>
      </c>
      <c r="G112" s="38" t="str">
        <f t="shared" si="21"/>
        <v>Option 2sens3</v>
      </c>
      <c r="I112" s="335">
        <f>IF(I106&lt;&gt;0, I106+SUM(Workings_risks!$F$19*Workings_risks!I28,Workings_risks!I26*Workings_risks!$F$18)*Workings_risks!$F$13*Workings_risks!I8*$E$28,0)</f>
        <v>0</v>
      </c>
      <c r="J112" s="335">
        <f>IF(J106&lt;&gt;0, J106+SUM(Workings_risks!$F$19*Workings_risks!J28,Workings_risks!J26*Workings_risks!$F$18)*Workings_risks!$F$13*Workings_risks!J8*$E$28,0)</f>
        <v>0</v>
      </c>
      <c r="K112" s="335">
        <f>IF(K106&lt;&gt;0, K106+SUM(Workings_risks!$F$19*Workings_risks!K28,Workings_risks!K26*Workings_risks!$F$18)*Workings_risks!$F$13*Workings_risks!K8*$E$28,0)</f>
        <v>0</v>
      </c>
      <c r="L112" s="335">
        <f>IF(L106&lt;&gt;0, L106+SUM(Workings_risks!$F$19*Workings_risks!L28,Workings_risks!L26*Workings_risks!$F$18)*Workings_risks!$F$13*Workings_risks!L8*$E$28,0)</f>
        <v>0</v>
      </c>
      <c r="M112" s="335">
        <f>IF(M106&lt;&gt;0, M106+SUM(Workings_risks!$F$19*Workings_risks!M28,Workings_risks!M26*Workings_risks!$F$18)*Workings_risks!$F$13*Workings_risks!M8*$E$28,0)</f>
        <v>106573.19274014083</v>
      </c>
      <c r="N112" s="335">
        <f>IF(N106&lt;&gt;0, N106+SUM(Workings_risks!$F$19*Workings_risks!N28,Workings_risks!N26*Workings_risks!$F$18)*Workings_risks!$F$13*Workings_risks!N8*$E$28,0)</f>
        <v>110331.50109146554</v>
      </c>
      <c r="O112" s="335">
        <f>IF(O106&lt;&gt;0, O106+SUM(Workings_risks!$F$19*Workings_risks!O28,Workings_risks!O26*Workings_risks!$F$18)*Workings_risks!$F$13*Workings_risks!O8*$E$28,0)</f>
        <v>117941.59396435101</v>
      </c>
      <c r="P112" s="335">
        <f>IF(P106&lt;&gt;0, P106+SUM(Workings_risks!$F$19*Workings_risks!P28,Workings_risks!P26*Workings_risks!$F$18)*Workings_risks!$F$13*Workings_risks!P8*$E$28,0)</f>
        <v>126349.18635812199</v>
      </c>
      <c r="Q112" s="335">
        <f>IF(Q106&lt;&gt;0, Q106+SUM(Workings_risks!$F$19*Workings_risks!Q28,Workings_risks!Q26*Workings_risks!$F$18)*Workings_risks!$F$13*Workings_risks!Q8*$E$28,0)</f>
        <v>131092.12658938745</v>
      </c>
      <c r="R112" s="335">
        <f>IF(R106&lt;&gt;0, R106+SUM(Workings_risks!$F$19*Workings_risks!R28,Workings_risks!R26*Workings_risks!$F$18)*Workings_risks!$F$13*Workings_risks!R8*$E$28,0)</f>
        <v>131784.39660955773</v>
      </c>
      <c r="S112" s="335">
        <f>IF(S106&lt;&gt;0, S106+SUM(Workings_risks!$F$19*Workings_risks!S28,Workings_risks!S26*Workings_risks!$F$18)*Workings_risks!$F$13*Workings_risks!S8*$E$28,0)</f>
        <v>132491.79021000976</v>
      </c>
      <c r="T112" s="335">
        <f>IF(T106&lt;&gt;0, T106+SUM(Workings_risks!$F$19*Workings_risks!T28,Workings_risks!T26*Workings_risks!$F$18)*Workings_risks!$F$13*Workings_risks!T8*$E$28,0)</f>
        <v>133214.09357385355</v>
      </c>
      <c r="U112" s="335">
        <f>IF(U106&lt;&gt;0, U106+SUM(Workings_risks!$F$19*Workings_risks!U28,Workings_risks!U26*Workings_risks!$F$18)*Workings_risks!$F$13*Workings_risks!U8*$E$28,0)</f>
        <v>133951.09689587986</v>
      </c>
      <c r="V112" s="335">
        <f>IF(V106&lt;&gt;0, V106+SUM(Workings_risks!$F$19*Workings_risks!V28,Workings_risks!V26*Workings_risks!$F$18)*Workings_risks!$F$13*Workings_risks!V8*$E$28,0)</f>
        <v>134702.59428891385</v>
      </c>
      <c r="W112" s="335">
        <f>IF(W106&lt;&gt;0, W106+SUM(Workings_risks!$F$19*Workings_risks!W28,Workings_risks!W26*Workings_risks!$F$18)*Workings_risks!$F$13*Workings_risks!W8*$E$28,0)</f>
        <v>135468.3836927785</v>
      </c>
      <c r="X112" s="335">
        <f>IF(X106&lt;&gt;0, X106+SUM(Workings_risks!$F$19*Workings_risks!X28,Workings_risks!X26*Workings_risks!$F$18)*Workings_risks!$F$13*Workings_risks!X8*$E$28,0)</f>
        <v>136248.2667857889</v>
      </c>
      <c r="Y112" s="335">
        <f>IF(Y106&lt;&gt;0, Y106+SUM(Workings_risks!$F$19*Workings_risks!Y28,Workings_risks!Y26*Workings_risks!$F$18)*Workings_risks!$F$13*Workings_risks!Y8*$E$28,0)</f>
        <v>137042.04889868788</v>
      </c>
      <c r="Z112" s="335">
        <f>IF(Z106&lt;&gt;0, Z106+SUM(Workings_risks!$F$19*Workings_risks!Z28,Workings_risks!Z26*Workings_risks!$F$18)*Workings_risks!$F$13*Workings_risks!Z8*$E$28,0)</f>
        <v>137849.53893094815</v>
      </c>
      <c r="AA112" s="335">
        <f>IF(AA106&lt;&gt;0, AA106+SUM(Workings_risks!$F$19*Workings_risks!AA28,Workings_risks!AA26*Workings_risks!$F$18)*Workings_risks!$F$13*Workings_risks!AA8*$E$28,0)</f>
        <v>138670.54926936913</v>
      </c>
      <c r="AB112" s="335">
        <f>IF(AB106&lt;&gt;0, AB106+SUM(Workings_risks!$F$19*Workings_risks!AB28,Workings_risks!AB26*Workings_risks!$F$18)*Workings_risks!$F$13*Workings_risks!AB8*$E$28,0)</f>
        <v>139504.89570888699</v>
      </c>
      <c r="AC112" s="335">
        <f>IF(AC106&lt;&gt;0, AC106+SUM(Workings_risks!$F$19*Workings_risks!AC28,Workings_risks!AC26*Workings_risks!$F$18)*Workings_risks!$F$13*Workings_risks!AC8*$E$28,0)</f>
        <v>140352.39737553758</v>
      </c>
      <c r="AD112" s="335">
        <f>IF(AD106&lt;&gt;0, AD106+SUM(Workings_risks!$F$19*Workings_risks!AD28,Workings_risks!AD26*Workings_risks!$F$18)*Workings_risks!$F$13*Workings_risks!AD8*$E$28,0)</f>
        <v>141212.87665149578</v>
      </c>
      <c r="AE112" s="335">
        <f>IF(AE106&lt;&gt;0, AE106+SUM(Workings_risks!$F$19*Workings_risks!AE28,Workings_risks!AE26*Workings_risks!$F$18)*Workings_risks!$F$13*Workings_risks!AE8*$E$28,0)</f>
        <v>142086.15910213121</v>
      </c>
      <c r="AF112" s="335">
        <f>IF(AF106&lt;&gt;0, AF106+SUM(Workings_risks!$F$19*Workings_risks!AF28,Workings_risks!AF26*Workings_risks!$F$18)*Workings_risks!$F$13*Workings_risks!AF8*$E$28,0)</f>
        <v>142972.07340501781</v>
      </c>
      <c r="AG112" s="335">
        <f>IF(AG106&lt;&gt;0, AG106+SUM(Workings_risks!$F$19*Workings_risks!AG28,Workings_risks!AG26*Workings_risks!$F$18)*Workings_risks!$F$13*Workings_risks!AG8*$E$28,0)</f>
        <v>340454.16961059702</v>
      </c>
    </row>
    <row r="113" spans="1:33" x14ac:dyDescent="0.2">
      <c r="A113" s="1" t="str">
        <f>"sens"&amp;Assumptions!B118</f>
        <v>sens4</v>
      </c>
      <c r="C113" s="301" t="str">
        <f>Assumptions!C118</f>
        <v/>
      </c>
      <c r="D113" s="302">
        <f>Assumptions!G118</f>
        <v>0</v>
      </c>
      <c r="E113" s="302">
        <f>Assumptions!H118</f>
        <v>0</v>
      </c>
      <c r="G113" s="38" t="str">
        <f t="shared" si="21"/>
        <v>Option 2sens4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91741.141475289653</v>
      </c>
      <c r="N113" s="31" cm="1">
        <f t="array" ref="N113">N$106+IF($C113&lt;&gt;0,SUMPRODUCT((N$107:N$108)*TRANSPOSE(($D113:$E113))),0)</f>
        <v>96979.678608254006</v>
      </c>
      <c r="O113" s="31" cm="1">
        <f t="array" ref="O113">O$106+IF($C113&lt;&gt;0,SUMPRODUCT((O$107:O$108)*TRANSPOSE(($D113:$E113))),0)</f>
        <v>105964.62790630134</v>
      </c>
      <c r="P113" s="31" cm="1">
        <f t="array" ref="P113">P$106+IF($C113&lt;&gt;0,SUMPRODUCT((P$107:P$108)*TRANSPOSE(($D113:$E113))),0)</f>
        <v>115768.81934761221</v>
      </c>
      <c r="Q113" s="31" cm="1">
        <f t="array" ref="Q113">Q$106+IF($C113&lt;&gt;0,SUMPRODUCT((Q$107:Q$108)*TRANSPOSE(($D113:$E113))),0)</f>
        <v>122037.85615311512</v>
      </c>
      <c r="R113" s="31" cm="1">
        <f t="array" ref="R113">R$106+IF($C113&lt;&gt;0,SUMPRODUCT((R$107:R$108)*TRANSPOSE(($D113:$E113))),0)</f>
        <v>124347.64814005932</v>
      </c>
      <c r="S113" s="31" cm="1">
        <f t="array" ref="S113">S$106+IF($C113&lt;&gt;0,SUMPRODUCT((S$107:S$108)*TRANSPOSE(($D113:$E113))),0)</f>
        <v>126657.44012700452</v>
      </c>
      <c r="T113" s="31" cm="1">
        <f t="array" ref="T113">T$106+IF($C113&lt;&gt;0,SUMPRODUCT((T$107:T$108)*TRANSPOSE(($D113:$E113))),0)</f>
        <v>128967.23211394883</v>
      </c>
      <c r="U113" s="31" cm="1">
        <f t="array" ref="U113">U$106+IF($C113&lt;&gt;0,SUMPRODUCT((U$107:U$108)*TRANSPOSE(($D113:$E113))),0)</f>
        <v>131277.02410089294</v>
      </c>
      <c r="V113" s="31" cm="1">
        <f t="array" ref="V113">V$106+IF($C113&lt;&gt;0,SUMPRODUCT((V$107:V$108)*TRANSPOSE(($D113:$E113))),0)</f>
        <v>133586.81608783818</v>
      </c>
      <c r="W113" s="31" cm="1">
        <f t="array" ref="W113">W$106+IF($C113&lt;&gt;0,SUMPRODUCT((W$107:W$108)*TRANSPOSE(($D113:$E113))),0)</f>
        <v>135896.60807478245</v>
      </c>
      <c r="X113" s="31" cm="1">
        <f t="array" ref="X113">X$106+IF($C113&lt;&gt;0,SUMPRODUCT((X$107:X$108)*TRANSPOSE(($D113:$E113))),0)</f>
        <v>138206.40006172663</v>
      </c>
      <c r="Y113" s="31" cm="1">
        <f t="array" ref="Y113">Y$106+IF($C113&lt;&gt;0,SUMPRODUCT((Y$107:Y$108)*TRANSPOSE(($D113:$E113))),0)</f>
        <v>140516.19204867183</v>
      </c>
      <c r="Z113" s="31" cm="1">
        <f t="array" ref="Z113">Z$106+IF($C113&lt;&gt;0,SUMPRODUCT((Z$107:Z$108)*TRANSPOSE(($D113:$E113))),0)</f>
        <v>142825.98403561619</v>
      </c>
      <c r="AA113" s="31" cm="1">
        <f t="array" ref="AA113">AA$106+IF($C113&lt;&gt;0,SUMPRODUCT((AA$107:AA$108)*TRANSPOSE(($D113:$E113))),0)</f>
        <v>145135.77602256133</v>
      </c>
      <c r="AB113" s="31" cm="1">
        <f t="array" ref="AB113">AB$106+IF($C113&lt;&gt;0,SUMPRODUCT((AB$107:AB$108)*TRANSPOSE(($D113:$E113))),0)</f>
        <v>147445.56800950546</v>
      </c>
      <c r="AC113" s="31" cm="1">
        <f t="array" ref="AC113">AC$106+IF($C113&lt;&gt;0,SUMPRODUCT((AC$107:AC$108)*TRANSPOSE(($D113:$E113))),0)</f>
        <v>149755.35999644978</v>
      </c>
      <c r="AD113" s="31" cm="1">
        <f t="array" ref="AD113">AD$106+IF($C113&lt;&gt;0,SUMPRODUCT((AD$107:AD$108)*TRANSPOSE(($D113:$E113))),0)</f>
        <v>152065.15198339496</v>
      </c>
      <c r="AE113" s="31" cm="1">
        <f t="array" ref="AE113">AE$106+IF($C113&lt;&gt;0,SUMPRODUCT((AE$107:AE$108)*TRANSPOSE(($D113:$E113))),0)</f>
        <v>154374.9439703392</v>
      </c>
      <c r="AF113" s="31" cm="1">
        <f t="array" ref="AF113">AF$106+IF($C113&lt;&gt;0,SUMPRODUCT((AF$107:AF$108)*TRANSPOSE(($D113:$E113))),0)</f>
        <v>156684.73595728353</v>
      </c>
      <c r="AG113" s="31" cm="1">
        <f t="array" ref="AG113">AG$106+IF($C113&lt;&gt;0,SUMPRODUCT((AG$107:AG$108)*TRANSPOSE(($D113:$E113))),0)</f>
        <v>355578.24627399293</v>
      </c>
    </row>
    <row r="114" spans="1:33" x14ac:dyDescent="0.2">
      <c r="A114" s="1" t="str">
        <f>"sens"&amp;Assumptions!B119</f>
        <v>sens5</v>
      </c>
      <c r="C114" s="301" t="str">
        <f>Assumptions!C119</f>
        <v/>
      </c>
      <c r="D114" s="302">
        <f>Assumptions!G119</f>
        <v>0</v>
      </c>
      <c r="E114" s="302">
        <f>Assumptions!H119</f>
        <v>0</v>
      </c>
      <c r="G114" s="38" t="str">
        <f t="shared" si="21"/>
        <v>Option 2sens5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91741.141475289653</v>
      </c>
      <c r="N114" s="31" cm="1">
        <f t="array" ref="N114">N$106+IF($C114&lt;&gt;0,SUMPRODUCT((N$107:N$108)*TRANSPOSE(($D114:$E114))),0)</f>
        <v>96979.678608254006</v>
      </c>
      <c r="O114" s="31" cm="1">
        <f t="array" ref="O114">O$106+IF($C114&lt;&gt;0,SUMPRODUCT((O$107:O$108)*TRANSPOSE(($D114:$E114))),0)</f>
        <v>105964.62790630134</v>
      </c>
      <c r="P114" s="31" cm="1">
        <f t="array" ref="P114">P$106+IF($C114&lt;&gt;0,SUMPRODUCT((P$107:P$108)*TRANSPOSE(($D114:$E114))),0)</f>
        <v>115768.81934761221</v>
      </c>
      <c r="Q114" s="31" cm="1">
        <f t="array" ref="Q114">Q$106+IF($C114&lt;&gt;0,SUMPRODUCT((Q$107:Q$108)*TRANSPOSE(($D114:$E114))),0)</f>
        <v>122037.85615311512</v>
      </c>
      <c r="R114" s="31" cm="1">
        <f t="array" ref="R114">R$106+IF($C114&lt;&gt;0,SUMPRODUCT((R$107:R$108)*TRANSPOSE(($D114:$E114))),0)</f>
        <v>124347.64814005932</v>
      </c>
      <c r="S114" s="31" cm="1">
        <f t="array" ref="S114">S$106+IF($C114&lt;&gt;0,SUMPRODUCT((S$107:S$108)*TRANSPOSE(($D114:$E114))),0)</f>
        <v>126657.44012700452</v>
      </c>
      <c r="T114" s="31" cm="1">
        <f t="array" ref="T114">T$106+IF($C114&lt;&gt;0,SUMPRODUCT((T$107:T$108)*TRANSPOSE(($D114:$E114))),0)</f>
        <v>128967.23211394883</v>
      </c>
      <c r="U114" s="31" cm="1">
        <f t="array" ref="U114">U$106+IF($C114&lt;&gt;0,SUMPRODUCT((U$107:U$108)*TRANSPOSE(($D114:$E114))),0)</f>
        <v>131277.02410089294</v>
      </c>
      <c r="V114" s="31" cm="1">
        <f t="array" ref="V114">V$106+IF($C114&lt;&gt;0,SUMPRODUCT((V$107:V$108)*TRANSPOSE(($D114:$E114))),0)</f>
        <v>133586.81608783818</v>
      </c>
      <c r="W114" s="31" cm="1">
        <f t="array" ref="W114">W$106+IF($C114&lt;&gt;0,SUMPRODUCT((W$107:W$108)*TRANSPOSE(($D114:$E114))),0)</f>
        <v>135896.60807478245</v>
      </c>
      <c r="X114" s="31" cm="1">
        <f t="array" ref="X114">X$106+IF($C114&lt;&gt;0,SUMPRODUCT((X$107:X$108)*TRANSPOSE(($D114:$E114))),0)</f>
        <v>138206.40006172663</v>
      </c>
      <c r="Y114" s="31" cm="1">
        <f t="array" ref="Y114">Y$106+IF($C114&lt;&gt;0,SUMPRODUCT((Y$107:Y$108)*TRANSPOSE(($D114:$E114))),0)</f>
        <v>140516.19204867183</v>
      </c>
      <c r="Z114" s="31" cm="1">
        <f t="array" ref="Z114">Z$106+IF($C114&lt;&gt;0,SUMPRODUCT((Z$107:Z$108)*TRANSPOSE(($D114:$E114))),0)</f>
        <v>142825.98403561619</v>
      </c>
      <c r="AA114" s="31" cm="1">
        <f t="array" ref="AA114">AA$106+IF($C114&lt;&gt;0,SUMPRODUCT((AA$107:AA$108)*TRANSPOSE(($D114:$E114))),0)</f>
        <v>145135.77602256133</v>
      </c>
      <c r="AB114" s="31" cm="1">
        <f t="array" ref="AB114">AB$106+IF($C114&lt;&gt;0,SUMPRODUCT((AB$107:AB$108)*TRANSPOSE(($D114:$E114))),0)</f>
        <v>147445.56800950546</v>
      </c>
      <c r="AC114" s="31" cm="1">
        <f t="array" ref="AC114">AC$106+IF($C114&lt;&gt;0,SUMPRODUCT((AC$107:AC$108)*TRANSPOSE(($D114:$E114))),0)</f>
        <v>149755.35999644978</v>
      </c>
      <c r="AD114" s="31" cm="1">
        <f t="array" ref="AD114">AD$106+IF($C114&lt;&gt;0,SUMPRODUCT((AD$107:AD$108)*TRANSPOSE(($D114:$E114))),0)</f>
        <v>152065.15198339496</v>
      </c>
      <c r="AE114" s="31" cm="1">
        <f t="array" ref="AE114">AE$106+IF($C114&lt;&gt;0,SUMPRODUCT((AE$107:AE$108)*TRANSPOSE(($D114:$E114))),0)</f>
        <v>154374.9439703392</v>
      </c>
      <c r="AF114" s="31" cm="1">
        <f t="array" ref="AF114">AF$106+IF($C114&lt;&gt;0,SUMPRODUCT((AF$107:AF$108)*TRANSPOSE(($D114:$E114))),0)</f>
        <v>156684.73595728353</v>
      </c>
      <c r="AG114" s="31" cm="1">
        <f t="array" ref="AG114">AG$106+IF($C114&lt;&gt;0,SUMPRODUCT((AG$107:AG$108)*TRANSPOSE(($D114:$E114))),0)</f>
        <v>355578.24627399293</v>
      </c>
    </row>
    <row r="115" spans="1:33" x14ac:dyDescent="0.2">
      <c r="A115" s="1" t="str">
        <f>"sens"&amp;Assumptions!B120</f>
        <v>sens</v>
      </c>
      <c r="C115" s="301">
        <f>Assumptions!C120</f>
        <v>0</v>
      </c>
      <c r="D115" s="302">
        <f>Assumptions!G120</f>
        <v>0</v>
      </c>
      <c r="E115" s="302">
        <f>Assumptions!H120</f>
        <v>0</v>
      </c>
      <c r="G115" s="38" t="str">
        <f t="shared" si="21"/>
        <v>Option 2sens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91741.141475289653</v>
      </c>
      <c r="N115" s="31" cm="1">
        <f t="array" ref="N115">N$106+IF($C115&lt;&gt;0,SUMPRODUCT((N$107:N$108)*TRANSPOSE(($D115:$E115))),0)</f>
        <v>96979.678608254006</v>
      </c>
      <c r="O115" s="31" cm="1">
        <f t="array" ref="O115">O$106+IF($C115&lt;&gt;0,SUMPRODUCT((O$107:O$108)*TRANSPOSE(($D115:$E115))),0)</f>
        <v>105964.62790630134</v>
      </c>
      <c r="P115" s="31" cm="1">
        <f t="array" ref="P115">P$106+IF($C115&lt;&gt;0,SUMPRODUCT((P$107:P$108)*TRANSPOSE(($D115:$E115))),0)</f>
        <v>115768.81934761221</v>
      </c>
      <c r="Q115" s="31" cm="1">
        <f t="array" ref="Q115">Q$106+IF($C115&lt;&gt;0,SUMPRODUCT((Q$107:Q$108)*TRANSPOSE(($D115:$E115))),0)</f>
        <v>122037.85615311512</v>
      </c>
      <c r="R115" s="31" cm="1">
        <f t="array" ref="R115">R$106+IF($C115&lt;&gt;0,SUMPRODUCT((R$107:R$108)*TRANSPOSE(($D115:$E115))),0)</f>
        <v>124347.64814005932</v>
      </c>
      <c r="S115" s="31" cm="1">
        <f t="array" ref="S115">S$106+IF($C115&lt;&gt;0,SUMPRODUCT((S$107:S$108)*TRANSPOSE(($D115:$E115))),0)</f>
        <v>126657.44012700452</v>
      </c>
      <c r="T115" s="31" cm="1">
        <f t="array" ref="T115">T$106+IF($C115&lt;&gt;0,SUMPRODUCT((T$107:T$108)*TRANSPOSE(($D115:$E115))),0)</f>
        <v>128967.23211394883</v>
      </c>
      <c r="U115" s="31" cm="1">
        <f t="array" ref="U115">U$106+IF($C115&lt;&gt;0,SUMPRODUCT((U$107:U$108)*TRANSPOSE(($D115:$E115))),0)</f>
        <v>131277.02410089294</v>
      </c>
      <c r="V115" s="31" cm="1">
        <f t="array" ref="V115">V$106+IF($C115&lt;&gt;0,SUMPRODUCT((V$107:V$108)*TRANSPOSE(($D115:$E115))),0)</f>
        <v>133586.81608783818</v>
      </c>
      <c r="W115" s="31" cm="1">
        <f t="array" ref="W115">W$106+IF($C115&lt;&gt;0,SUMPRODUCT((W$107:W$108)*TRANSPOSE(($D115:$E115))),0)</f>
        <v>135896.60807478245</v>
      </c>
      <c r="X115" s="31" cm="1">
        <f t="array" ref="X115">X$106+IF($C115&lt;&gt;0,SUMPRODUCT((X$107:X$108)*TRANSPOSE(($D115:$E115))),0)</f>
        <v>138206.40006172663</v>
      </c>
      <c r="Y115" s="31" cm="1">
        <f t="array" ref="Y115">Y$106+IF($C115&lt;&gt;0,SUMPRODUCT((Y$107:Y$108)*TRANSPOSE(($D115:$E115))),0)</f>
        <v>140516.19204867183</v>
      </c>
      <c r="Z115" s="31" cm="1">
        <f t="array" ref="Z115">Z$106+IF($C115&lt;&gt;0,SUMPRODUCT((Z$107:Z$108)*TRANSPOSE(($D115:$E115))),0)</f>
        <v>142825.98403561619</v>
      </c>
      <c r="AA115" s="31" cm="1">
        <f t="array" ref="AA115">AA$106+IF($C115&lt;&gt;0,SUMPRODUCT((AA$107:AA$108)*TRANSPOSE(($D115:$E115))),0)</f>
        <v>145135.77602256133</v>
      </c>
      <c r="AB115" s="31" cm="1">
        <f t="array" ref="AB115">AB$106+IF($C115&lt;&gt;0,SUMPRODUCT((AB$107:AB$108)*TRANSPOSE(($D115:$E115))),0)</f>
        <v>147445.56800950546</v>
      </c>
      <c r="AC115" s="31" cm="1">
        <f t="array" ref="AC115">AC$106+IF($C115&lt;&gt;0,SUMPRODUCT((AC$107:AC$108)*TRANSPOSE(($D115:$E115))),0)</f>
        <v>149755.35999644978</v>
      </c>
      <c r="AD115" s="31" cm="1">
        <f t="array" ref="AD115">AD$106+IF($C115&lt;&gt;0,SUMPRODUCT((AD$107:AD$108)*TRANSPOSE(($D115:$E115))),0)</f>
        <v>152065.15198339496</v>
      </c>
      <c r="AE115" s="31" cm="1">
        <f t="array" ref="AE115">AE$106+IF($C115&lt;&gt;0,SUMPRODUCT((AE$107:AE$108)*TRANSPOSE(($D115:$E115))),0)</f>
        <v>154374.9439703392</v>
      </c>
      <c r="AF115" s="31" cm="1">
        <f t="array" ref="AF115">AF$106+IF($C115&lt;&gt;0,SUMPRODUCT((AF$107:AF$108)*TRANSPOSE(($D115:$E115))),0)</f>
        <v>156684.73595728353</v>
      </c>
      <c r="AG115" s="31" cm="1">
        <f t="array" ref="AG115">AG$106+IF($C115&lt;&gt;0,SUMPRODUCT((AG$107:AG$108)*TRANSPOSE(($D115:$E115))),0)</f>
        <v>355578.24627399293</v>
      </c>
    </row>
    <row r="116" spans="1:33" x14ac:dyDescent="0.2">
      <c r="A116" s="1" t="str">
        <f>"sens"&amp;Assumptions!B121</f>
        <v>sens</v>
      </c>
      <c r="C116" s="301">
        <f>Assumptions!C121</f>
        <v>0</v>
      </c>
      <c r="D116" s="302">
        <f>Assumptions!G121</f>
        <v>0</v>
      </c>
      <c r="E116" s="302">
        <f>Assumptions!H121</f>
        <v>0</v>
      </c>
      <c r="G116" s="38" t="str">
        <f t="shared" si="21"/>
        <v>Option 2sens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91741.141475289653</v>
      </c>
      <c r="N116" s="31" cm="1">
        <f t="array" ref="N116">N$106+IF($C116&lt;&gt;0,SUMPRODUCT((N$107:N$108)*TRANSPOSE(($D116:$E116))),0)</f>
        <v>96979.678608254006</v>
      </c>
      <c r="O116" s="31" cm="1">
        <f t="array" ref="O116">O$106+IF($C116&lt;&gt;0,SUMPRODUCT((O$107:O$108)*TRANSPOSE(($D116:$E116))),0)</f>
        <v>105964.62790630134</v>
      </c>
      <c r="P116" s="31" cm="1">
        <f t="array" ref="P116">P$106+IF($C116&lt;&gt;0,SUMPRODUCT((P$107:P$108)*TRANSPOSE(($D116:$E116))),0)</f>
        <v>115768.81934761221</v>
      </c>
      <c r="Q116" s="31" cm="1">
        <f t="array" ref="Q116">Q$106+IF($C116&lt;&gt;0,SUMPRODUCT((Q$107:Q$108)*TRANSPOSE(($D116:$E116))),0)</f>
        <v>122037.85615311512</v>
      </c>
      <c r="R116" s="31" cm="1">
        <f t="array" ref="R116">R$106+IF($C116&lt;&gt;0,SUMPRODUCT((R$107:R$108)*TRANSPOSE(($D116:$E116))),0)</f>
        <v>124347.64814005932</v>
      </c>
      <c r="S116" s="31" cm="1">
        <f t="array" ref="S116">S$106+IF($C116&lt;&gt;0,SUMPRODUCT((S$107:S$108)*TRANSPOSE(($D116:$E116))),0)</f>
        <v>126657.44012700452</v>
      </c>
      <c r="T116" s="31" cm="1">
        <f t="array" ref="T116">T$106+IF($C116&lt;&gt;0,SUMPRODUCT((T$107:T$108)*TRANSPOSE(($D116:$E116))),0)</f>
        <v>128967.23211394883</v>
      </c>
      <c r="U116" s="31" cm="1">
        <f t="array" ref="U116">U$106+IF($C116&lt;&gt;0,SUMPRODUCT((U$107:U$108)*TRANSPOSE(($D116:$E116))),0)</f>
        <v>131277.02410089294</v>
      </c>
      <c r="V116" s="31" cm="1">
        <f t="array" ref="V116">V$106+IF($C116&lt;&gt;0,SUMPRODUCT((V$107:V$108)*TRANSPOSE(($D116:$E116))),0)</f>
        <v>133586.81608783818</v>
      </c>
      <c r="W116" s="31" cm="1">
        <f t="array" ref="W116">W$106+IF($C116&lt;&gt;0,SUMPRODUCT((W$107:W$108)*TRANSPOSE(($D116:$E116))),0)</f>
        <v>135896.60807478245</v>
      </c>
      <c r="X116" s="31" cm="1">
        <f t="array" ref="X116">X$106+IF($C116&lt;&gt;0,SUMPRODUCT((X$107:X$108)*TRANSPOSE(($D116:$E116))),0)</f>
        <v>138206.40006172663</v>
      </c>
      <c r="Y116" s="31" cm="1">
        <f t="array" ref="Y116">Y$106+IF($C116&lt;&gt;0,SUMPRODUCT((Y$107:Y$108)*TRANSPOSE(($D116:$E116))),0)</f>
        <v>140516.19204867183</v>
      </c>
      <c r="Z116" s="31" cm="1">
        <f t="array" ref="Z116">Z$106+IF($C116&lt;&gt;0,SUMPRODUCT((Z$107:Z$108)*TRANSPOSE(($D116:$E116))),0)</f>
        <v>142825.98403561619</v>
      </c>
      <c r="AA116" s="31" cm="1">
        <f t="array" ref="AA116">AA$106+IF($C116&lt;&gt;0,SUMPRODUCT((AA$107:AA$108)*TRANSPOSE(($D116:$E116))),0)</f>
        <v>145135.77602256133</v>
      </c>
      <c r="AB116" s="31" cm="1">
        <f t="array" ref="AB116">AB$106+IF($C116&lt;&gt;0,SUMPRODUCT((AB$107:AB$108)*TRANSPOSE(($D116:$E116))),0)</f>
        <v>147445.56800950546</v>
      </c>
      <c r="AC116" s="31" cm="1">
        <f t="array" ref="AC116">AC$106+IF($C116&lt;&gt;0,SUMPRODUCT((AC$107:AC$108)*TRANSPOSE(($D116:$E116))),0)</f>
        <v>149755.35999644978</v>
      </c>
      <c r="AD116" s="31" cm="1">
        <f t="array" ref="AD116">AD$106+IF($C116&lt;&gt;0,SUMPRODUCT((AD$107:AD$108)*TRANSPOSE(($D116:$E116))),0)</f>
        <v>152065.15198339496</v>
      </c>
      <c r="AE116" s="31" cm="1">
        <f t="array" ref="AE116">AE$106+IF($C116&lt;&gt;0,SUMPRODUCT((AE$107:AE$108)*TRANSPOSE(($D116:$E116))),0)</f>
        <v>154374.9439703392</v>
      </c>
      <c r="AF116" s="31" cm="1">
        <f t="array" ref="AF116">AF$106+IF($C116&lt;&gt;0,SUMPRODUCT((AF$107:AF$108)*TRANSPOSE(($D116:$E116))),0)</f>
        <v>156684.73595728353</v>
      </c>
      <c r="AG116" s="31" cm="1">
        <f t="array" ref="AG116">AG$106+IF($C116&lt;&gt;0,SUMPRODUCT((AG$107:AG$108)*TRANSPOSE(($D116:$E116))),0)</f>
        <v>355578.24627399293</v>
      </c>
    </row>
    <row r="117" spans="1:33" x14ac:dyDescent="0.2">
      <c r="A117" s="1" t="str">
        <f>"sens"&amp;Assumptions!B122</f>
        <v>sens</v>
      </c>
      <c r="C117" s="301">
        <f>Assumptions!C122</f>
        <v>0</v>
      </c>
      <c r="D117" s="302">
        <f>Assumptions!G122</f>
        <v>0</v>
      </c>
      <c r="E117" s="302">
        <f>Assumptions!H122</f>
        <v>0</v>
      </c>
      <c r="G117" s="38" t="str">
        <f t="shared" si="21"/>
        <v>Option 2sens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91741.141475289653</v>
      </c>
      <c r="N117" s="31" cm="1">
        <f t="array" ref="N117">N$106+IF($C117&lt;&gt;0,SUMPRODUCT((N$107:N$108)*TRANSPOSE(($D117:$E117))),0)</f>
        <v>96979.678608254006</v>
      </c>
      <c r="O117" s="31" cm="1">
        <f t="array" ref="O117">O$106+IF($C117&lt;&gt;0,SUMPRODUCT((O$107:O$108)*TRANSPOSE(($D117:$E117))),0)</f>
        <v>105964.62790630134</v>
      </c>
      <c r="P117" s="31" cm="1">
        <f t="array" ref="P117">P$106+IF($C117&lt;&gt;0,SUMPRODUCT((P$107:P$108)*TRANSPOSE(($D117:$E117))),0)</f>
        <v>115768.81934761221</v>
      </c>
      <c r="Q117" s="31" cm="1">
        <f t="array" ref="Q117">Q$106+IF($C117&lt;&gt;0,SUMPRODUCT((Q$107:Q$108)*TRANSPOSE(($D117:$E117))),0)</f>
        <v>122037.85615311512</v>
      </c>
      <c r="R117" s="31" cm="1">
        <f t="array" ref="R117">R$106+IF($C117&lt;&gt;0,SUMPRODUCT((R$107:R$108)*TRANSPOSE(($D117:$E117))),0)</f>
        <v>124347.64814005932</v>
      </c>
      <c r="S117" s="31" cm="1">
        <f t="array" ref="S117">S$106+IF($C117&lt;&gt;0,SUMPRODUCT((S$107:S$108)*TRANSPOSE(($D117:$E117))),0)</f>
        <v>126657.44012700452</v>
      </c>
      <c r="T117" s="31" cm="1">
        <f t="array" ref="T117">T$106+IF($C117&lt;&gt;0,SUMPRODUCT((T$107:T$108)*TRANSPOSE(($D117:$E117))),0)</f>
        <v>128967.23211394883</v>
      </c>
      <c r="U117" s="31" cm="1">
        <f t="array" ref="U117">U$106+IF($C117&lt;&gt;0,SUMPRODUCT((U$107:U$108)*TRANSPOSE(($D117:$E117))),0)</f>
        <v>131277.02410089294</v>
      </c>
      <c r="V117" s="31" cm="1">
        <f t="array" ref="V117">V$106+IF($C117&lt;&gt;0,SUMPRODUCT((V$107:V$108)*TRANSPOSE(($D117:$E117))),0)</f>
        <v>133586.81608783818</v>
      </c>
      <c r="W117" s="31" cm="1">
        <f t="array" ref="W117">W$106+IF($C117&lt;&gt;0,SUMPRODUCT((W$107:W$108)*TRANSPOSE(($D117:$E117))),0)</f>
        <v>135896.60807478245</v>
      </c>
      <c r="X117" s="31" cm="1">
        <f t="array" ref="X117">X$106+IF($C117&lt;&gt;0,SUMPRODUCT((X$107:X$108)*TRANSPOSE(($D117:$E117))),0)</f>
        <v>138206.40006172663</v>
      </c>
      <c r="Y117" s="31" cm="1">
        <f t="array" ref="Y117">Y$106+IF($C117&lt;&gt;0,SUMPRODUCT((Y$107:Y$108)*TRANSPOSE(($D117:$E117))),0)</f>
        <v>140516.19204867183</v>
      </c>
      <c r="Z117" s="31" cm="1">
        <f t="array" ref="Z117">Z$106+IF($C117&lt;&gt;0,SUMPRODUCT((Z$107:Z$108)*TRANSPOSE(($D117:$E117))),0)</f>
        <v>142825.98403561619</v>
      </c>
      <c r="AA117" s="31" cm="1">
        <f t="array" ref="AA117">AA$106+IF($C117&lt;&gt;0,SUMPRODUCT((AA$107:AA$108)*TRANSPOSE(($D117:$E117))),0)</f>
        <v>145135.77602256133</v>
      </c>
      <c r="AB117" s="31" cm="1">
        <f t="array" ref="AB117">AB$106+IF($C117&lt;&gt;0,SUMPRODUCT((AB$107:AB$108)*TRANSPOSE(($D117:$E117))),0)</f>
        <v>147445.56800950546</v>
      </c>
      <c r="AC117" s="31" cm="1">
        <f t="array" ref="AC117">AC$106+IF($C117&lt;&gt;0,SUMPRODUCT((AC$107:AC$108)*TRANSPOSE(($D117:$E117))),0)</f>
        <v>149755.35999644978</v>
      </c>
      <c r="AD117" s="31" cm="1">
        <f t="array" ref="AD117">AD$106+IF($C117&lt;&gt;0,SUMPRODUCT((AD$107:AD$108)*TRANSPOSE(($D117:$E117))),0)</f>
        <v>152065.15198339496</v>
      </c>
      <c r="AE117" s="31" cm="1">
        <f t="array" ref="AE117">AE$106+IF($C117&lt;&gt;0,SUMPRODUCT((AE$107:AE$108)*TRANSPOSE(($D117:$E117))),0)</f>
        <v>154374.9439703392</v>
      </c>
      <c r="AF117" s="31" cm="1">
        <f t="array" ref="AF117">AF$106+IF($C117&lt;&gt;0,SUMPRODUCT((AF$107:AF$108)*TRANSPOSE(($D117:$E117))),0)</f>
        <v>156684.73595728353</v>
      </c>
      <c r="AG117" s="31" cm="1">
        <f t="array" ref="AG117">AG$106+IF($C117&lt;&gt;0,SUMPRODUCT((AG$107:AG$108)*TRANSPOSE(($D117:$E117))),0)</f>
        <v>355578.24627399293</v>
      </c>
    </row>
    <row r="118" spans="1:33" x14ac:dyDescent="0.2">
      <c r="E118" s="244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</row>
    <row r="121" spans="1:33" x14ac:dyDescent="0.2">
      <c r="M121" s="31"/>
      <c r="N121" s="31"/>
      <c r="O121" s="31"/>
    </row>
    <row r="122" spans="1:33" x14ac:dyDescent="0.2">
      <c r="N122" s="249"/>
    </row>
    <row r="129" spans="9:12" x14ac:dyDescent="0.2">
      <c r="I129" s="249"/>
      <c r="J129" s="249"/>
      <c r="K129" s="249"/>
      <c r="L129" s="249"/>
    </row>
    <row r="130" spans="9:12" x14ac:dyDescent="0.2">
      <c r="I130" s="249"/>
      <c r="J130" s="249"/>
      <c r="K130" s="249"/>
      <c r="L130" s="249"/>
    </row>
    <row r="131" spans="9:12" x14ac:dyDescent="0.2">
      <c r="I131" s="249"/>
      <c r="J131" s="249"/>
      <c r="K131" s="249"/>
      <c r="L131" s="249"/>
    </row>
    <row r="132" spans="9:12" x14ac:dyDescent="0.2">
      <c r="I132" s="249"/>
      <c r="J132" s="249"/>
      <c r="K132" s="249"/>
      <c r="L132" s="249"/>
    </row>
    <row r="133" spans="9:12" x14ac:dyDescent="0.2">
      <c r="I133" s="249"/>
      <c r="J133" s="249"/>
      <c r="K133" s="249"/>
      <c r="L133" s="249"/>
    </row>
    <row r="134" spans="9:12" x14ac:dyDescent="0.2">
      <c r="I134" s="249"/>
      <c r="J134" s="249"/>
      <c r="K134" s="249"/>
      <c r="L134" s="249"/>
    </row>
    <row r="135" spans="9:12" x14ac:dyDescent="0.2">
      <c r="I135" s="249"/>
      <c r="J135" s="249"/>
      <c r="K135" s="249"/>
      <c r="L135" s="249"/>
    </row>
    <row r="136" spans="9:12" x14ac:dyDescent="0.2">
      <c r="I136" s="249"/>
      <c r="J136" s="249"/>
      <c r="K136" s="249"/>
      <c r="L136" s="249"/>
    </row>
  </sheetData>
  <conditionalFormatting sqref="E28">
    <cfRule type="expression" dxfId="11" priority="236">
      <formula>AND(SUM($I$27:$AG$27)&gt;0, $E$28=0)</formula>
    </cfRule>
  </conditionalFormatting>
  <conditionalFormatting sqref="E14:E16">
    <cfRule type="expression" dxfId="10" priority="1">
      <formula>AND(SUM($I14:$AB14)&lt;&gt;0, E14=0)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0" id="{4F65EB60-FCE6-4945-964C-D8B8AF8E6CEB}">
            <xm:f>$A$4=Data!$C$8</xm:f>
            <x14:dxf>
              <font>
                <color theme="0" tint="-0.499984740745262"/>
              </font>
            </x14:dxf>
          </x14:cfRule>
          <xm:sqref>A4 C3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8E919-3C6A-4976-AA18-0C14B57A2441}">
  <sheetPr codeName="Sheet5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G29" sqref="G29"/>
      <selection pane="topRight" activeCell="G29" sqref="G29"/>
      <selection pane="bottomLeft" activeCell="G29" sqref="G29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3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Apollo Bay microgrid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4" t="s">
        <v>135</v>
      </c>
      <c r="B3" s="5"/>
      <c r="C3" s="201" t="str">
        <f>INDEX(Assumptions!$E$14:$E$18, MATCH(A3,_xlfn.ANCHORARRAY( Assumptions!$C$14),0))</f>
        <v>Install generator + BESS microgrid</v>
      </c>
    </row>
    <row r="4" spans="1:43" x14ac:dyDescent="0.2">
      <c r="A4" s="202" t="str">
        <f>(INDEX(Data!$D$9:$D$13, MATCH(A3, options,0)))</f>
        <v/>
      </c>
      <c r="B4" s="188"/>
      <c r="C4" s="239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1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3"/>
      <c r="G9" s="18" t="s">
        <v>25</v>
      </c>
      <c r="H9" s="221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5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43" x14ac:dyDescent="0.2">
      <c r="A12" s="3"/>
      <c r="B12" s="3"/>
      <c r="C12" s="3"/>
      <c r="D12" s="3"/>
      <c r="G12" s="206"/>
      <c r="AH12"/>
    </row>
    <row r="13" spans="1:43" x14ac:dyDescent="0.2">
      <c r="C13" s="3" t="s">
        <v>17</v>
      </c>
      <c r="D13"/>
      <c r="E13" s="126" t="s">
        <v>69</v>
      </c>
      <c r="G13" s="20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416</v>
      </c>
      <c r="D14"/>
      <c r="E14" s="149">
        <v>20</v>
      </c>
      <c r="G14" s="208">
        <f>input_dollars</f>
        <v>45291</v>
      </c>
      <c r="H14" s="150"/>
      <c r="I14" s="32">
        <v>0</v>
      </c>
      <c r="J14" s="32">
        <v>0</v>
      </c>
      <c r="K14" s="32">
        <v>0</v>
      </c>
      <c r="L14" s="32">
        <v>2793927.0874999999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417</v>
      </c>
      <c r="D15"/>
      <c r="E15" s="149">
        <v>20</v>
      </c>
      <c r="G15" s="208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3432367.2624999997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/>
      <c r="D16"/>
      <c r="E16" s="149">
        <v>0</v>
      </c>
      <c r="G16" s="208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8">
        <f>input_dollars</f>
        <v>45291</v>
      </c>
      <c r="H17" s="107"/>
      <c r="I17" s="106">
        <f t="shared" ref="I17:Q17" si="0">SUM(I14:I16)</f>
        <v>0</v>
      </c>
      <c r="J17" s="106">
        <f t="shared" si="0"/>
        <v>0</v>
      </c>
      <c r="K17" s="106">
        <f t="shared" si="0"/>
        <v>0</v>
      </c>
      <c r="L17" s="106">
        <f t="shared" si="0"/>
        <v>6226294.3499999996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B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>SUM(AC14:AC16)</f>
        <v>0</v>
      </c>
      <c r="AD17" s="106">
        <f>SUM(AD14:AD16)</f>
        <v>0</v>
      </c>
      <c r="AE17" s="106">
        <f>SUM(AE14:AE16)</f>
        <v>0</v>
      </c>
      <c r="AF17" s="106">
        <f>SUM(AF14:AF16)</f>
        <v>0</v>
      </c>
      <c r="AG17" s="106">
        <f>SUM(AG14:AG16)</f>
        <v>0</v>
      </c>
      <c r="AH17"/>
    </row>
    <row r="18" spans="1:43" x14ac:dyDescent="0.2">
      <c r="C18"/>
      <c r="D18"/>
      <c r="E18"/>
      <c r="G18" s="20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8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180000</v>
      </c>
      <c r="N19" s="32">
        <v>180000</v>
      </c>
      <c r="O19" s="32">
        <v>180000</v>
      </c>
      <c r="P19" s="32">
        <v>180000</v>
      </c>
      <c r="Q19" s="32">
        <v>180000</v>
      </c>
      <c r="R19" s="32">
        <v>180000</v>
      </c>
      <c r="S19" s="32">
        <v>180000</v>
      </c>
      <c r="T19" s="32">
        <v>180000</v>
      </c>
      <c r="U19" s="32">
        <v>180000</v>
      </c>
      <c r="V19" s="32">
        <v>180000</v>
      </c>
      <c r="W19" s="32">
        <v>180000</v>
      </c>
      <c r="X19" s="32">
        <v>180000</v>
      </c>
      <c r="Y19" s="32">
        <v>180000</v>
      </c>
      <c r="Z19" s="32">
        <v>180000</v>
      </c>
      <c r="AA19" s="32">
        <v>180000</v>
      </c>
      <c r="AB19" s="32">
        <v>180000</v>
      </c>
      <c r="AC19" s="32">
        <v>180000</v>
      </c>
      <c r="AD19" s="32">
        <v>180000</v>
      </c>
      <c r="AE19" s="32">
        <v>180000</v>
      </c>
      <c r="AF19" s="32">
        <v>180000</v>
      </c>
      <c r="AG19" s="32">
        <v>180000</v>
      </c>
      <c r="AH19"/>
    </row>
    <row r="20" spans="1:43" x14ac:dyDescent="0.2">
      <c r="G20" s="206"/>
      <c r="AH20"/>
    </row>
    <row r="21" spans="1:43" x14ac:dyDescent="0.2">
      <c r="C21"/>
      <c r="D21"/>
      <c r="E21"/>
      <c r="G21" s="20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154</v>
      </c>
      <c r="B22" s="89"/>
      <c r="C22" s="89"/>
      <c r="D22" s="89"/>
      <c r="E22" s="89"/>
      <c r="F22" s="89"/>
      <c r="G22" s="205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9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155</v>
      </c>
      <c r="D24" s="111"/>
      <c r="E24" s="111"/>
      <c r="F24" s="111"/>
      <c r="G24" s="209"/>
      <c r="H24" s="111"/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0">
        <v>0</v>
      </c>
      <c r="Z24" s="170">
        <v>0</v>
      </c>
      <c r="AA24" s="170">
        <v>0</v>
      </c>
      <c r="AB24" s="170">
        <v>0</v>
      </c>
      <c r="AC24" s="170">
        <v>0</v>
      </c>
      <c r="AD24" s="170">
        <v>0</v>
      </c>
      <c r="AE24" s="170">
        <v>0</v>
      </c>
      <c r="AF24" s="170">
        <v>0</v>
      </c>
      <c r="AG24" s="170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156</v>
      </c>
      <c r="D25" s="209"/>
      <c r="E25" s="111"/>
      <c r="F25" s="111"/>
      <c r="G25" s="209"/>
      <c r="H25" s="111"/>
      <c r="I25" s="170">
        <v>0</v>
      </c>
      <c r="J25" s="170">
        <v>0</v>
      </c>
      <c r="K25" s="170">
        <v>0</v>
      </c>
      <c r="L25" s="170">
        <v>0</v>
      </c>
      <c r="M25" s="170">
        <v>0</v>
      </c>
      <c r="N25" s="170">
        <v>0</v>
      </c>
      <c r="O25" s="170">
        <v>0</v>
      </c>
      <c r="P25" s="170">
        <v>0</v>
      </c>
      <c r="Q25" s="170">
        <v>0</v>
      </c>
      <c r="R25" s="170">
        <v>0</v>
      </c>
      <c r="S25" s="170">
        <v>0</v>
      </c>
      <c r="T25" s="170">
        <v>0</v>
      </c>
      <c r="U25" s="170">
        <v>0</v>
      </c>
      <c r="V25" s="170">
        <v>0</v>
      </c>
      <c r="W25" s="170">
        <v>0</v>
      </c>
      <c r="X25" s="170">
        <v>0</v>
      </c>
      <c r="Y25" s="170">
        <v>0</v>
      </c>
      <c r="Z25" s="170">
        <v>0</v>
      </c>
      <c r="AA25" s="170">
        <v>0</v>
      </c>
      <c r="AB25" s="170">
        <v>0</v>
      </c>
      <c r="AC25" s="170">
        <v>0</v>
      </c>
      <c r="AD25" s="170">
        <v>0</v>
      </c>
      <c r="AE25" s="170">
        <v>0</v>
      </c>
      <c r="AF25" s="170">
        <v>0</v>
      </c>
      <c r="AG25" s="170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9"/>
      <c r="E26" s="111"/>
      <c r="F26" s="111"/>
      <c r="G26" s="209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6"/>
      <c r="E27"/>
      <c r="G27" s="208" t="s">
        <v>40</v>
      </c>
      <c r="H27"/>
      <c r="I27" s="169">
        <f>IF(SUM($H17:H17)&gt;0, 0, 'Option1 (base case)'!I27)</f>
        <v>6.6347470270849405</v>
      </c>
      <c r="J27" s="169">
        <f>IF(SUM($H17:I17)&gt;0, 0, 'Option1 (base case)'!J27)</f>
        <v>6.656893687446134</v>
      </c>
      <c r="K27" s="169">
        <f>IF(SUM($H17:J17)&gt;0, 0, 'Option1 (base case)'!K27)</f>
        <v>6.7304290182046191</v>
      </c>
      <c r="L27" s="169">
        <f>IF(SUM($H17:K17)&gt;0, 0, 'Option1 (base case)'!L27)</f>
        <v>6.7930014945947468</v>
      </c>
      <c r="M27" s="169">
        <f>IF(SUM($H17:L17)&gt;0, 0, 'Option1 (base case)'!M27)</f>
        <v>0</v>
      </c>
      <c r="N27" s="169">
        <f>IF(SUM($H17:M17)&gt;0, 0, 'Option1 (base case)'!N27)</f>
        <v>0</v>
      </c>
      <c r="O27" s="169">
        <f>IF(SUM($H17:N17)&gt;0, 0, 'Option1 (base case)'!O27)</f>
        <v>0</v>
      </c>
      <c r="P27" s="169">
        <f>IF(SUM($H17:O17)&gt;0, 0, 'Option1 (base case)'!P27)</f>
        <v>0</v>
      </c>
      <c r="Q27" s="169">
        <f>IF(SUM($H17:P17)&gt;0, 0, 'Option1 (base case)'!Q27)</f>
        <v>0</v>
      </c>
      <c r="R27" s="169">
        <f>IF(SUM($H17:Q17)&gt;0, 0, 'Option1 (base case)'!R27)</f>
        <v>0</v>
      </c>
      <c r="S27" s="169">
        <f>IF(SUM($H17:R17)&gt;0, 0, 'Option1 (base case)'!S27)</f>
        <v>0</v>
      </c>
      <c r="T27" s="169">
        <f>IF(SUM($H17:S17)&gt;0, 0, 'Option1 (base case)'!T27)</f>
        <v>0</v>
      </c>
      <c r="U27" s="169">
        <f>IF(SUM($H17:T17)&gt;0, 0, 'Option1 (base case)'!U27)</f>
        <v>0</v>
      </c>
      <c r="V27" s="169">
        <f>IF(SUM($H17:U17)&gt;0, 0, 'Option1 (base case)'!V27)</f>
        <v>0</v>
      </c>
      <c r="W27" s="169">
        <f>IF(SUM($H17:V17)&gt;0, 0, 'Option1 (base case)'!W27)</f>
        <v>0</v>
      </c>
      <c r="X27" s="169">
        <f>IF(SUM($H17:W17)&gt;0, 0, 'Option1 (base case)'!X27)</f>
        <v>0</v>
      </c>
      <c r="Y27" s="169">
        <f>IF(SUM($H17:X17)&gt;0, 0, 'Option1 (base case)'!Y27)</f>
        <v>0</v>
      </c>
      <c r="Z27" s="169">
        <f>IF(SUM($H17:Y17)&gt;0, 0, 'Option1 (base case)'!Z27)</f>
        <v>0</v>
      </c>
      <c r="AA27" s="169">
        <f>IF(SUM($H17:Z17)&gt;0, 0, 'Option1 (base case)'!AA27)</f>
        <v>0</v>
      </c>
      <c r="AB27" s="169">
        <f>IF(SUM($H17:AA17)&gt;0, 0, 'Option1 (base case)'!AB27)</f>
        <v>0</v>
      </c>
      <c r="AC27" s="169">
        <f>IF(SUM($H17:AB17)&gt;0, 0, 'Option1 (base case)'!AC27)</f>
        <v>0</v>
      </c>
      <c r="AD27" s="169">
        <f>IF(SUM($H17:AC17)&gt;0, 0, 'Option1 (base case)'!AD27)</f>
        <v>0</v>
      </c>
      <c r="AE27" s="169">
        <f>IF(SUM($H17:AD17)&gt;0, 0, 'Option1 (base case)'!AE27)</f>
        <v>0</v>
      </c>
      <c r="AF27" s="169">
        <f>IF(SUM($H17:AE17)&gt;0, 0, 'Option1 (base case)'!AF27)</f>
        <v>0</v>
      </c>
      <c r="AG27" s="169">
        <f>IF(SUM($H17:AF17)&gt;0, 0, 'Option1 (base case)'!AG27)</f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6" t="s">
        <v>63</v>
      </c>
      <c r="E28" s="113">
        <f>Assumptions!H41*vcr_esc</f>
        <v>44906.183515166558</v>
      </c>
      <c r="F28" s="239" t="str">
        <f>IF(AND(SUM(I27:AG27)&lt;&gt;0, E28=0), "!", "")</f>
        <v/>
      </c>
      <c r="G28" s="208">
        <f>input_dollars</f>
        <v>45291</v>
      </c>
      <c r="H28"/>
      <c r="I28" s="298">
        <f>I27*$E$28</f>
        <v>297941.1675749821</v>
      </c>
      <c r="J28" s="298">
        <f t="shared" ref="J28:AG28" si="2">J27*$E$28</f>
        <v>298935.68956940988</v>
      </c>
      <c r="K28" s="298">
        <f t="shared" si="2"/>
        <v>302237.8806272989</v>
      </c>
      <c r="L28" s="298">
        <f t="shared" si="2"/>
        <v>305047.77173507243</v>
      </c>
      <c r="M28" s="298">
        <f t="shared" si="2"/>
        <v>0</v>
      </c>
      <c r="N28" s="298">
        <f t="shared" si="2"/>
        <v>0</v>
      </c>
      <c r="O28" s="298">
        <f t="shared" si="2"/>
        <v>0</v>
      </c>
      <c r="P28" s="298">
        <f t="shared" si="2"/>
        <v>0</v>
      </c>
      <c r="Q28" s="298">
        <f t="shared" si="2"/>
        <v>0</v>
      </c>
      <c r="R28" s="298">
        <f t="shared" si="2"/>
        <v>0</v>
      </c>
      <c r="S28" s="298">
        <f t="shared" si="2"/>
        <v>0</v>
      </c>
      <c r="T28" s="298">
        <f t="shared" si="2"/>
        <v>0</v>
      </c>
      <c r="U28" s="298">
        <f t="shared" si="2"/>
        <v>0</v>
      </c>
      <c r="V28" s="298">
        <f t="shared" si="2"/>
        <v>0</v>
      </c>
      <c r="W28" s="298">
        <f t="shared" si="2"/>
        <v>0</v>
      </c>
      <c r="X28" s="298">
        <f t="shared" si="2"/>
        <v>0</v>
      </c>
      <c r="Y28" s="298">
        <f t="shared" si="2"/>
        <v>0</v>
      </c>
      <c r="Z28" s="298">
        <f t="shared" si="2"/>
        <v>0</v>
      </c>
      <c r="AA28" s="298">
        <f t="shared" si="2"/>
        <v>0</v>
      </c>
      <c r="AB28" s="298">
        <f t="shared" si="2"/>
        <v>0</v>
      </c>
      <c r="AC28" s="298">
        <f t="shared" si="2"/>
        <v>0</v>
      </c>
      <c r="AD28" s="298">
        <f t="shared" si="2"/>
        <v>0</v>
      </c>
      <c r="AE28" s="298">
        <f t="shared" si="2"/>
        <v>0</v>
      </c>
      <c r="AF28" s="298">
        <f t="shared" si="2"/>
        <v>0</v>
      </c>
      <c r="AG28" s="298">
        <f t="shared" si="2"/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7"/>
      <c r="E29"/>
      <c r="G29" s="20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6" t="s">
        <v>210</v>
      </c>
      <c r="G30" s="208">
        <f>input_dollars</f>
        <v>45291</v>
      </c>
      <c r="H30" s="150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7"/>
      <c r="E31"/>
      <c r="G31" s="208">
        <f>input_dollars</f>
        <v>45291</v>
      </c>
      <c r="H31" s="150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6" t="s">
        <v>210</v>
      </c>
      <c r="E32"/>
      <c r="G32" s="208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5" t="s">
        <v>177</v>
      </c>
      <c r="D33" s="220"/>
      <c r="E33"/>
      <c r="G33" s="208">
        <f>input_dollars</f>
        <v>45291</v>
      </c>
      <c r="H33"/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32">
        <v>0</v>
      </c>
      <c r="S33" s="32">
        <v>0</v>
      </c>
      <c r="T33" s="32">
        <v>0</v>
      </c>
      <c r="U33" s="32">
        <v>0</v>
      </c>
      <c r="V33" s="32">
        <v>0</v>
      </c>
      <c r="W33" s="32">
        <v>0</v>
      </c>
      <c r="X33" s="32">
        <v>0</v>
      </c>
      <c r="Y33" s="32">
        <v>0</v>
      </c>
      <c r="Z33" s="32">
        <v>0</v>
      </c>
      <c r="AA33" s="32">
        <v>0</v>
      </c>
      <c r="AB33" s="32">
        <v>0</v>
      </c>
      <c r="AC33" s="32">
        <v>0</v>
      </c>
      <c r="AD33" s="32">
        <v>0</v>
      </c>
      <c r="AE33" s="32">
        <v>0</v>
      </c>
      <c r="AF33" s="32">
        <v>0</v>
      </c>
      <c r="AG33" s="32"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5" t="s">
        <v>177</v>
      </c>
      <c r="D34" s="207"/>
      <c r="E34"/>
      <c r="G34" s="208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7"/>
      <c r="E35"/>
      <c r="G35" s="20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176</v>
      </c>
      <c r="D36" s="219"/>
      <c r="E36" s="107"/>
      <c r="F36" s="3"/>
      <c r="G36" s="210"/>
      <c r="H36" s="107"/>
      <c r="I36" s="171">
        <f>SUM(I28:I34)</f>
        <v>297941.1675749821</v>
      </c>
      <c r="J36" s="171">
        <f t="shared" ref="J36:AB36" si="3">SUM(J28:J34)</f>
        <v>298935.68956940988</v>
      </c>
      <c r="K36" s="171">
        <f t="shared" si="3"/>
        <v>302237.8806272989</v>
      </c>
      <c r="L36" s="171">
        <f t="shared" si="3"/>
        <v>305047.77173507243</v>
      </c>
      <c r="M36" s="171">
        <f t="shared" si="3"/>
        <v>0</v>
      </c>
      <c r="N36" s="171">
        <f t="shared" si="3"/>
        <v>0</v>
      </c>
      <c r="O36" s="171">
        <f t="shared" si="3"/>
        <v>0</v>
      </c>
      <c r="P36" s="171">
        <f t="shared" si="3"/>
        <v>0</v>
      </c>
      <c r="Q36" s="171">
        <f t="shared" si="3"/>
        <v>0</v>
      </c>
      <c r="R36" s="171">
        <f t="shared" si="3"/>
        <v>0</v>
      </c>
      <c r="S36" s="171">
        <f t="shared" si="3"/>
        <v>0</v>
      </c>
      <c r="T36" s="171">
        <f t="shared" si="3"/>
        <v>0</v>
      </c>
      <c r="U36" s="171">
        <f t="shared" si="3"/>
        <v>0</v>
      </c>
      <c r="V36" s="171">
        <f t="shared" si="3"/>
        <v>0</v>
      </c>
      <c r="W36" s="171">
        <f t="shared" si="3"/>
        <v>0</v>
      </c>
      <c r="X36" s="171">
        <f t="shared" si="3"/>
        <v>0</v>
      </c>
      <c r="Y36" s="171">
        <f t="shared" si="3"/>
        <v>0</v>
      </c>
      <c r="Z36" s="171">
        <f t="shared" si="3"/>
        <v>0</v>
      </c>
      <c r="AA36" s="171">
        <f t="shared" si="3"/>
        <v>0</v>
      </c>
      <c r="AB36" s="171">
        <f t="shared" si="3"/>
        <v>0</v>
      </c>
      <c r="AC36" s="171">
        <f>SUM(AC28:AC34)</f>
        <v>0</v>
      </c>
      <c r="AD36" s="171">
        <f>SUM(AD28:AD34)</f>
        <v>0</v>
      </c>
      <c r="AE36" s="171">
        <f>SUM(AE28:AE34)</f>
        <v>0</v>
      </c>
      <c r="AF36" s="171">
        <f>SUM(AF28:AF34)</f>
        <v>0</v>
      </c>
      <c r="AG36" s="171">
        <f>SUM(AG28:AG34)</f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8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5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8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8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6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  <c r="AH41"/>
    </row>
    <row r="42" spans="1:16372" ht="13.5" x14ac:dyDescent="0.25">
      <c r="C42" s="1" t="s">
        <v>129</v>
      </c>
      <c r="G42" s="206" t="s">
        <v>104</v>
      </c>
      <c r="I42" s="85">
        <f t="shared" ref="I42:AG42" si="4">I41*I7</f>
        <v>0</v>
      </c>
      <c r="J42" s="85">
        <f t="shared" si="4"/>
        <v>0</v>
      </c>
      <c r="K42" s="85">
        <f t="shared" si="4"/>
        <v>0</v>
      </c>
      <c r="L42" s="85">
        <f t="shared" si="4"/>
        <v>0</v>
      </c>
      <c r="M42" s="85">
        <f t="shared" si="4"/>
        <v>0</v>
      </c>
      <c r="N42" s="85">
        <f t="shared" si="4"/>
        <v>0</v>
      </c>
      <c r="O42" s="85">
        <f t="shared" si="4"/>
        <v>0</v>
      </c>
      <c r="P42" s="85">
        <f t="shared" si="4"/>
        <v>0</v>
      </c>
      <c r="Q42" s="85">
        <f t="shared" si="4"/>
        <v>0</v>
      </c>
      <c r="R42" s="85">
        <f t="shared" si="4"/>
        <v>0</v>
      </c>
      <c r="S42" s="85">
        <f t="shared" si="4"/>
        <v>0</v>
      </c>
      <c r="T42" s="85">
        <f t="shared" si="4"/>
        <v>0</v>
      </c>
      <c r="U42" s="85">
        <f t="shared" si="4"/>
        <v>0</v>
      </c>
      <c r="V42" s="85">
        <f t="shared" si="4"/>
        <v>0</v>
      </c>
      <c r="W42" s="85">
        <f t="shared" si="4"/>
        <v>0</v>
      </c>
      <c r="X42" s="85">
        <f t="shared" si="4"/>
        <v>0</v>
      </c>
      <c r="Y42" s="85">
        <f t="shared" si="4"/>
        <v>0</v>
      </c>
      <c r="Z42" s="85">
        <f t="shared" si="4"/>
        <v>0</v>
      </c>
      <c r="AA42" s="85">
        <f t="shared" si="4"/>
        <v>0</v>
      </c>
      <c r="AB42" s="85">
        <f t="shared" si="4"/>
        <v>0</v>
      </c>
      <c r="AC42" s="85">
        <f t="shared" si="4"/>
        <v>0</v>
      </c>
      <c r="AD42" s="85">
        <f t="shared" si="4"/>
        <v>0</v>
      </c>
      <c r="AE42" s="85">
        <f t="shared" si="4"/>
        <v>0</v>
      </c>
      <c r="AF42" s="85">
        <f t="shared" si="4"/>
        <v>0</v>
      </c>
      <c r="AG42" s="85">
        <f t="shared" si="4"/>
        <v>0</v>
      </c>
      <c r="AH42"/>
    </row>
    <row r="43" spans="1:16372" x14ac:dyDescent="0.2">
      <c r="D43"/>
      <c r="E43"/>
      <c r="G43" s="208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7"/>
      <c r="E44"/>
      <c r="G44" s="208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tr">
        <f>'Option1 (base case)'!C45</f>
        <v>Incremental reliability in worst-served areas &gt; 500 mins</v>
      </c>
      <c r="D45" s="206" t="str">
        <f>'Option1 (base case)'!D45</f>
        <v>$/MWh</v>
      </c>
      <c r="E45" s="113">
        <f>'Option1 (base case)'!E45</f>
        <v>22593.816484833442</v>
      </c>
      <c r="G45" s="208" t="s">
        <v>40</v>
      </c>
      <c r="I45" s="328">
        <f>Option2!I45</f>
        <v>0</v>
      </c>
      <c r="J45" s="328">
        <f>Option2!J45</f>
        <v>0</v>
      </c>
      <c r="K45" s="328">
        <f>Option2!K45</f>
        <v>0</v>
      </c>
      <c r="L45" s="328">
        <f>Option2!L45</f>
        <v>0</v>
      </c>
      <c r="M45" s="328">
        <f>Option2!M45</f>
        <v>2.6530873140496798</v>
      </c>
      <c r="N45" s="328">
        <f>Option2!N45</f>
        <v>2.7074762771969105</v>
      </c>
      <c r="O45" s="328">
        <f>Option2!O45</f>
        <v>2.7894522934601946</v>
      </c>
      <c r="P45" s="328">
        <f>Option2!P45</f>
        <v>2.8780284002014946</v>
      </c>
      <c r="Q45" s="328">
        <f>Option2!Q45</f>
        <v>2.9411718294694289</v>
      </c>
      <c r="R45" s="328">
        <f>Option2!R45</f>
        <v>2.9752729614742508</v>
      </c>
      <c r="S45" s="328">
        <f>Option2!S45</f>
        <v>3.0093740934790865</v>
      </c>
      <c r="T45" s="328">
        <f>Option2!T45</f>
        <v>3.0434752254839079</v>
      </c>
      <c r="U45" s="328">
        <f>Option2!U45</f>
        <v>3.0775763574887289</v>
      </c>
      <c r="V45" s="328">
        <f>Option2!V45</f>
        <v>3.1116774894935646</v>
      </c>
      <c r="W45" s="328">
        <f>Option2!W45</f>
        <v>3.1457786214983865</v>
      </c>
      <c r="X45" s="328">
        <f>Option2!X45</f>
        <v>3.179879753503208</v>
      </c>
      <c r="Y45" s="328">
        <f>Option2!Y45</f>
        <v>3.2139808855080432</v>
      </c>
      <c r="Z45" s="328">
        <f>Option2!Z45</f>
        <v>3.2480820175128655</v>
      </c>
      <c r="AA45" s="328">
        <f>Option2!AA45</f>
        <v>3.2821831495177007</v>
      </c>
      <c r="AB45" s="328">
        <f>Option2!AB45</f>
        <v>3.3162842815225222</v>
      </c>
      <c r="AC45" s="328">
        <f>Option2!AC45</f>
        <v>3.3503854135273441</v>
      </c>
      <c r="AD45" s="328">
        <f>Option2!AD45</f>
        <v>3.3844865455321798</v>
      </c>
      <c r="AE45" s="328">
        <f>Option2!AE45</f>
        <v>3.4185876775370008</v>
      </c>
      <c r="AF45" s="328">
        <f>Option2!AF45</f>
        <v>3.452688809541824</v>
      </c>
      <c r="AG45" s="328">
        <f>Option2!AG45</f>
        <v>3.4867899415466583</v>
      </c>
      <c r="AH45"/>
    </row>
    <row r="46" spans="1:16372" x14ac:dyDescent="0.2">
      <c r="C46" s="1" t="str">
        <f>'Option1 (base case)'!C46</f>
        <v>Incremental network resilience (domestic)</v>
      </c>
      <c r="D46" s="206" t="str">
        <f>'Option1 (base case)'!D46</f>
        <v>$/MWh</v>
      </c>
      <c r="E46" s="113">
        <f>'Option1 (base case)'!E46</f>
        <v>25520</v>
      </c>
      <c r="G46" s="208" t="s">
        <v>40</v>
      </c>
      <c r="I46" s="328">
        <f>Option2!I46</f>
        <v>0</v>
      </c>
      <c r="J46" s="328">
        <f>Option2!J46</f>
        <v>0</v>
      </c>
      <c r="K46" s="328">
        <f>Option2!K46</f>
        <v>0</v>
      </c>
      <c r="L46" s="328">
        <f>Option2!L46</f>
        <v>0</v>
      </c>
      <c r="M46" s="328">
        <f>Option2!M46</f>
        <v>4.1798407298528933E-2</v>
      </c>
      <c r="N46" s="328">
        <f>Option2!N46</f>
        <v>4.2219090964689468E-2</v>
      </c>
      <c r="O46" s="328">
        <f>Option2!O46</f>
        <v>4.3058653019788985E-2</v>
      </c>
      <c r="P46" s="328">
        <f>Option2!P46</f>
        <v>4.3983890616628829E-2</v>
      </c>
      <c r="Q46" s="328">
        <f>Option2!Q46</f>
        <v>4.4507621944554487E-2</v>
      </c>
      <c r="R46" s="328">
        <f>Option2!R46</f>
        <v>4.458751011026988E-2</v>
      </c>
      <c r="S46" s="328">
        <f>Option2!S46</f>
        <v>4.4667398275985357E-2</v>
      </c>
      <c r="T46" s="328">
        <f>Option2!T46</f>
        <v>4.4747286441700763E-2</v>
      </c>
      <c r="U46" s="328">
        <f>Option2!U46</f>
        <v>4.4827174607416156E-2</v>
      </c>
      <c r="V46" s="328">
        <f>Option2!V46</f>
        <v>4.490706277313164E-2</v>
      </c>
      <c r="W46" s="328">
        <f>Option2!W46</f>
        <v>4.498695093884704E-2</v>
      </c>
      <c r="X46" s="328">
        <f>Option2!X46</f>
        <v>4.5066839104562446E-2</v>
      </c>
      <c r="Y46" s="328">
        <f>Option2!Y46</f>
        <v>4.5146727270277923E-2</v>
      </c>
      <c r="Z46" s="328">
        <f>Option2!Z46</f>
        <v>4.5226615435993316E-2</v>
      </c>
      <c r="AA46" s="328">
        <f>Option2!AA46</f>
        <v>4.5306503601708792E-2</v>
      </c>
      <c r="AB46" s="328">
        <f>Option2!AB46</f>
        <v>4.5386391767424199E-2</v>
      </c>
      <c r="AC46" s="328">
        <f>Option2!AC46</f>
        <v>4.5466279933139606E-2</v>
      </c>
      <c r="AD46" s="328">
        <f>Option2!AD46</f>
        <v>4.5546168098855061E-2</v>
      </c>
      <c r="AE46" s="328">
        <f>Option2!AE46</f>
        <v>4.5626056264570468E-2</v>
      </c>
      <c r="AF46" s="328">
        <f>Option2!AF46</f>
        <v>4.5705944430285889E-2</v>
      </c>
      <c r="AG46" s="328">
        <f>Option2!AG46</f>
        <v>4.5785832596001344E-2</v>
      </c>
      <c r="AH46"/>
    </row>
    <row r="47" spans="1:16372" x14ac:dyDescent="0.2">
      <c r="C47" s="1" t="str">
        <f>'Option1 (base case)'!C47</f>
        <v>Incremental network resilience (commercial)</v>
      </c>
      <c r="D47" s="206" t="str">
        <f>'Option1 (base case)'!D47</f>
        <v>$/MWh</v>
      </c>
      <c r="E47" s="113">
        <f>'Option1 (base case)'!E47</f>
        <v>52200</v>
      </c>
      <c r="G47" s="208" t="s">
        <v>40</v>
      </c>
      <c r="I47" s="328">
        <f>Option2!I47</f>
        <v>0</v>
      </c>
      <c r="J47" s="328">
        <f>Option2!J47</f>
        <v>0</v>
      </c>
      <c r="K47" s="328">
        <f>Option2!K47</f>
        <v>0</v>
      </c>
      <c r="L47" s="328">
        <f>Option2!L47</f>
        <v>0</v>
      </c>
      <c r="M47" s="328">
        <f>Option2!M47</f>
        <v>3.6620552305009269E-2</v>
      </c>
      <c r="N47" s="328">
        <f>Option2!N47</f>
        <v>3.6992672407216362E-2</v>
      </c>
      <c r="O47" s="328">
        <f>Option2!O47</f>
        <v>3.7731909687024459E-2</v>
      </c>
      <c r="P47" s="328">
        <f>Option2!P47</f>
        <v>3.8546358255682305E-2</v>
      </c>
      <c r="Q47" s="328">
        <f>Option2!Q47</f>
        <v>3.9009044590845109E-2</v>
      </c>
      <c r="R47" s="328">
        <f>Option2!R47</f>
        <v>3.9082758115734882E-2</v>
      </c>
      <c r="S47" s="328">
        <f>Option2!S47</f>
        <v>3.9156471640624732E-2</v>
      </c>
      <c r="T47" s="328">
        <f>Option2!T47</f>
        <v>3.9230185165514513E-2</v>
      </c>
      <c r="U47" s="328">
        <f>Option2!U47</f>
        <v>3.9303898690404279E-2</v>
      </c>
      <c r="V47" s="328">
        <f>Option2!V47</f>
        <v>3.9377612215294129E-2</v>
      </c>
      <c r="W47" s="328">
        <f>Option2!W47</f>
        <v>3.945132574018391E-2</v>
      </c>
      <c r="X47" s="328">
        <f>Option2!X47</f>
        <v>3.9525039265073697E-2</v>
      </c>
      <c r="Y47" s="328">
        <f>Option2!Y47</f>
        <v>3.9598752789963533E-2</v>
      </c>
      <c r="Z47" s="328">
        <f>Option2!Z47</f>
        <v>3.967246631485332E-2</v>
      </c>
      <c r="AA47" s="328">
        <f>Option2!AA47</f>
        <v>3.9746179839743163E-2</v>
      </c>
      <c r="AB47" s="328">
        <f>Option2!AB47</f>
        <v>3.9819893364632944E-2</v>
      </c>
      <c r="AC47" s="328">
        <f>Option2!AC47</f>
        <v>3.9893606889522731E-2</v>
      </c>
      <c r="AD47" s="328">
        <f>Option2!AD47</f>
        <v>3.9967320414412567E-2</v>
      </c>
      <c r="AE47" s="328">
        <f>Option2!AE47</f>
        <v>4.0041033939302355E-2</v>
      </c>
      <c r="AF47" s="328">
        <f>Option2!AF47</f>
        <v>4.0114747464192135E-2</v>
      </c>
      <c r="AG47" s="328">
        <f>Option2!AG47</f>
        <v>4.0188460989081971E-2</v>
      </c>
      <c r="AH47"/>
    </row>
    <row r="48" spans="1:16372" x14ac:dyDescent="0.2">
      <c r="C48" s="1" t="str">
        <f>'Option1 (base case)'!C48</f>
        <v>Incremental network resilience (industrial)</v>
      </c>
      <c r="D48" s="206" t="str">
        <f>'Option1 (base case)'!D48</f>
        <v>$/customer</v>
      </c>
      <c r="E48" s="113">
        <f>'Option1 (base case)'!E48</f>
        <v>74790</v>
      </c>
      <c r="G48" s="208" t="s">
        <v>40</v>
      </c>
      <c r="I48" s="328">
        <f>Option2!I48</f>
        <v>0</v>
      </c>
      <c r="J48" s="328">
        <f>Option2!J48</f>
        <v>0</v>
      </c>
      <c r="K48" s="328">
        <f>Option2!K48</f>
        <v>0</v>
      </c>
      <c r="L48" s="328">
        <f>Option2!L48</f>
        <v>0</v>
      </c>
      <c r="M48" s="328">
        <f>Option2!M48</f>
        <v>4.5042988506798238E-3</v>
      </c>
      <c r="N48" s="328">
        <f>Option2!N48</f>
        <v>4.5500693277257705E-3</v>
      </c>
      <c r="O48" s="328">
        <f>Option2!O48</f>
        <v>4.6409949260642694E-3</v>
      </c>
      <c r="P48" s="328">
        <f>Option2!P48</f>
        <v>4.74117145320096E-3</v>
      </c>
      <c r="Q48" s="328">
        <f>Option2!Q48</f>
        <v>4.7980815049757392E-3</v>
      </c>
      <c r="R48" s="328">
        <f>Option2!R48</f>
        <v>4.8071482099963283E-3</v>
      </c>
      <c r="S48" s="328">
        <f>Option2!S48</f>
        <v>4.816214915016926E-3</v>
      </c>
      <c r="T48" s="328">
        <f>Option2!T48</f>
        <v>4.825281620037516E-3</v>
      </c>
      <c r="U48" s="328">
        <f>Option2!U48</f>
        <v>4.8343483250581042E-3</v>
      </c>
      <c r="V48" s="328">
        <f>Option2!V48</f>
        <v>4.8434150300787028E-3</v>
      </c>
      <c r="W48" s="328">
        <f>Option2!W48</f>
        <v>4.8524817350992927E-3</v>
      </c>
      <c r="X48" s="328">
        <f>Option2!X48</f>
        <v>4.8615484401198826E-3</v>
      </c>
      <c r="Y48" s="328">
        <f>Option2!Y48</f>
        <v>4.8706151451404795E-3</v>
      </c>
      <c r="Z48" s="328">
        <f>Option2!Z48</f>
        <v>4.8796818501610694E-3</v>
      </c>
      <c r="AA48" s="328">
        <f>Option2!AA48</f>
        <v>4.8887485551816672E-3</v>
      </c>
      <c r="AB48" s="328">
        <f>Option2!AB48</f>
        <v>4.8978152602022571E-3</v>
      </c>
      <c r="AC48" s="328">
        <f>Option2!AC48</f>
        <v>4.9068819652228479E-3</v>
      </c>
      <c r="AD48" s="328">
        <f>Option2!AD48</f>
        <v>4.9159486702434448E-3</v>
      </c>
      <c r="AE48" s="328">
        <f>Option2!AE48</f>
        <v>4.9250153752640347E-3</v>
      </c>
      <c r="AF48" s="328">
        <f>Option2!AF48</f>
        <v>4.9340820802846247E-3</v>
      </c>
      <c r="AG48" s="328">
        <f>Option2!AG48</f>
        <v>4.9431487853052207E-3</v>
      </c>
      <c r="AH48"/>
    </row>
    <row r="49" spans="1:43" x14ac:dyDescent="0.2">
      <c r="C49" s="1" t="str">
        <f>'Option1 (base case)'!C49</f>
        <v>Incremental network resilience (agricultural)</v>
      </c>
      <c r="D49" s="206" t="str">
        <f>'Option1 (base case)'!D49</f>
        <v>$/customer min</v>
      </c>
      <c r="E49" s="113">
        <f>'Option1 (base case)'!E49</f>
        <v>44400</v>
      </c>
      <c r="G49" s="208" t="s">
        <v>40</v>
      </c>
      <c r="I49" s="328">
        <f>Option2!I49</f>
        <v>0</v>
      </c>
      <c r="J49" s="328">
        <f>Option2!J49</f>
        <v>0</v>
      </c>
      <c r="K49" s="328">
        <f>Option2!K49</f>
        <v>0</v>
      </c>
      <c r="L49" s="328">
        <f>Option2!L49</f>
        <v>0</v>
      </c>
      <c r="M49" s="328">
        <f>Option2!M49</f>
        <v>3.4917944082517886E-3</v>
      </c>
      <c r="N49" s="328">
        <f>Option2!N49</f>
        <v>3.5272763114536443E-3</v>
      </c>
      <c r="O49" s="328">
        <f>Option2!O49</f>
        <v>3.5977630856154877E-3</v>
      </c>
      <c r="P49" s="328">
        <f>Option2!P49</f>
        <v>3.6754213069924257E-3</v>
      </c>
      <c r="Q49" s="328">
        <f>Option2!Q49</f>
        <v>3.719538761705827E-3</v>
      </c>
      <c r="R49" s="328">
        <f>Option2!R49</f>
        <v>3.7265673961152383E-3</v>
      </c>
      <c r="S49" s="328">
        <f>Option2!S49</f>
        <v>3.7335960305246571E-3</v>
      </c>
      <c r="T49" s="328">
        <f>Option2!T49</f>
        <v>3.7406246649340693E-3</v>
      </c>
      <c r="U49" s="328">
        <f>Option2!U49</f>
        <v>3.7476532993434802E-3</v>
      </c>
      <c r="V49" s="328">
        <f>Option2!V49</f>
        <v>3.7546819337528985E-3</v>
      </c>
      <c r="W49" s="328">
        <f>Option2!W49</f>
        <v>3.7617105681623112E-3</v>
      </c>
      <c r="X49" s="328">
        <f>Option2!X49</f>
        <v>3.7687392025717238E-3</v>
      </c>
      <c r="Y49" s="328">
        <f>Option2!Y49</f>
        <v>3.7757678369811413E-3</v>
      </c>
      <c r="Z49" s="328">
        <f>Option2!Z49</f>
        <v>3.7827964713905539E-3</v>
      </c>
      <c r="AA49" s="328">
        <f>Option2!AA49</f>
        <v>3.7898251057999722E-3</v>
      </c>
      <c r="AB49" s="328">
        <f>Option2!AB49</f>
        <v>3.796853740209384E-3</v>
      </c>
      <c r="AC49" s="328">
        <f>Option2!AC49</f>
        <v>3.8038823746187971E-3</v>
      </c>
      <c r="AD49" s="328">
        <f>Option2!AD49</f>
        <v>3.8109110090282145E-3</v>
      </c>
      <c r="AE49" s="328">
        <f>Option2!AE49</f>
        <v>3.8179396434376272E-3</v>
      </c>
      <c r="AF49" s="328">
        <f>Option2!AF49</f>
        <v>3.8249682778470394E-3</v>
      </c>
      <c r="AG49" s="328">
        <f>Option2!AG49</f>
        <v>3.8319969122564564E-3</v>
      </c>
      <c r="AH49"/>
    </row>
    <row r="50" spans="1:43" x14ac:dyDescent="0.2">
      <c r="C50" s="1" t="str">
        <f>'Option1 (base case)'!C50</f>
        <v>Incremental network resilience (others)</v>
      </c>
      <c r="D50" s="206" t="str">
        <f>'Option1 (base case)'!D50</f>
        <v>$/customer min</v>
      </c>
      <c r="E50" s="113">
        <f>'Option1 (base case)'!E50</f>
        <v>52200</v>
      </c>
      <c r="G50" s="208" t="s">
        <v>40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  <c r="AH50"/>
    </row>
    <row r="51" spans="1:43" x14ac:dyDescent="0.2">
      <c r="C51" s="1" t="s">
        <v>424</v>
      </c>
      <c r="D51" s="206" t="s">
        <v>425</v>
      </c>
      <c r="E51" s="113">
        <v>11000</v>
      </c>
      <c r="G51" s="208" t="s">
        <v>104</v>
      </c>
      <c r="I51" s="32">
        <v>0</v>
      </c>
      <c r="J51" s="32">
        <v>0</v>
      </c>
      <c r="K51" s="32">
        <v>0</v>
      </c>
      <c r="L51" s="32">
        <v>0</v>
      </c>
      <c r="M51" s="32">
        <v>1</v>
      </c>
      <c r="N51" s="32">
        <v>1</v>
      </c>
      <c r="O51" s="32">
        <v>1</v>
      </c>
      <c r="P51" s="32">
        <v>1</v>
      </c>
      <c r="Q51" s="32">
        <v>1</v>
      </c>
      <c r="R51" s="32">
        <v>1</v>
      </c>
      <c r="S51" s="32">
        <v>1</v>
      </c>
      <c r="T51" s="32">
        <v>1</v>
      </c>
      <c r="U51" s="32">
        <v>1</v>
      </c>
      <c r="V51" s="32">
        <v>1</v>
      </c>
      <c r="W51" s="32">
        <v>1</v>
      </c>
      <c r="X51" s="32">
        <v>1</v>
      </c>
      <c r="Y51" s="32">
        <v>1</v>
      </c>
      <c r="Z51" s="32">
        <v>1</v>
      </c>
      <c r="AA51" s="32">
        <v>1</v>
      </c>
      <c r="AB51" s="32">
        <v>1</v>
      </c>
      <c r="AC51" s="32">
        <v>1</v>
      </c>
      <c r="AD51" s="32">
        <v>1</v>
      </c>
      <c r="AE51" s="32">
        <v>1</v>
      </c>
      <c r="AF51" s="32">
        <v>1</v>
      </c>
      <c r="AG51" s="32">
        <v>1</v>
      </c>
      <c r="AH51"/>
    </row>
    <row r="52" spans="1:43" x14ac:dyDescent="0.2">
      <c r="D52" s="206"/>
      <c r="E52" s="112"/>
      <c r="G52" s="208"/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  <c r="AH52"/>
    </row>
    <row r="53" spans="1:43" x14ac:dyDescent="0.2">
      <c r="D53" s="206"/>
      <c r="G53" s="208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/>
    </row>
    <row r="54" spans="1:43" x14ac:dyDescent="0.2">
      <c r="C54" s="1" t="s">
        <v>117</v>
      </c>
      <c r="D54" s="206"/>
      <c r="G54" s="208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  <c r="AH54"/>
    </row>
    <row r="55" spans="1:43" x14ac:dyDescent="0.2">
      <c r="C55" s="1" t="s">
        <v>118</v>
      </c>
      <c r="D55" s="206"/>
      <c r="G55" s="208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  <c r="AH55"/>
    </row>
    <row r="56" spans="1:43" x14ac:dyDescent="0.2">
      <c r="D56" s="206"/>
      <c r="G56" s="206"/>
      <c r="AH56"/>
    </row>
    <row r="57" spans="1:43" x14ac:dyDescent="0.2">
      <c r="C57" s="3" t="s">
        <v>125</v>
      </c>
      <c r="D57" s="219"/>
      <c r="E57" s="107"/>
      <c r="F57" s="3"/>
      <c r="G57" s="211">
        <f>input_dollars</f>
        <v>45291</v>
      </c>
      <c r="H57" s="107"/>
      <c r="I57" s="171" cm="1">
        <f t="array" ref="I57">SUMPRODUCT((I$45:I$52)*($E$45:$E$52))+SUM(I54:I55)+I42</f>
        <v>0</v>
      </c>
      <c r="J57" s="171" cm="1">
        <f t="array" ref="J57">SUMPRODUCT((J$45:J$52)*($E$45:$E$52))+SUM(J54:J55)+J42</f>
        <v>0</v>
      </c>
      <c r="K57" s="171" cm="1">
        <f t="array" ref="K57">SUMPRODUCT((K$45:K$52)*($E$45:$E$52))+SUM(K54:K55)+K42</f>
        <v>0</v>
      </c>
      <c r="L57" s="171" cm="1">
        <f t="array" ref="L57">SUMPRODUCT((L$45:L$52)*($E$45:$E$52))+SUM(L54:L55)+L42</f>
        <v>0</v>
      </c>
      <c r="M57" s="171" cm="1">
        <f t="array" ref="M57">SUMPRODUCT((M$45:M$52)*($E$45:$E$52))+SUM(M54:M55)+M42</f>
        <v>74413.568259226799</v>
      </c>
      <c r="N57" s="171" cm="1">
        <f t="array" ref="N57">SUMPRODUCT((N$45:N$52)*($E$45:$E$52))+SUM(N54:N55)+N42</f>
        <v>75677.581598351768</v>
      </c>
      <c r="O57" s="171" cm="1">
        <f t="array" ref="O57">SUMPRODUCT((O$45:O$52)*($E$45:$E$52))+SUM(O54:O55)+O42</f>
        <v>77599.676413886758</v>
      </c>
      <c r="P57" s="171" cm="1">
        <f t="array" ref="P57">SUMPRODUCT((P$45:P$52)*($E$45:$E$52))+SUM(P54:P55)+P42</f>
        <v>79678.015220789704</v>
      </c>
      <c r="Q57" s="171" cm="1">
        <f t="array" ref="Q57">SUMPRODUCT((Q$45:Q$52)*($E$45:$E$52))+SUM(Q54:Q55)+Q42</f>
        <v>81148.399241838153</v>
      </c>
      <c r="R57" s="171" cm="1">
        <f t="array" ref="R57">SUMPRODUCT((R$45:R$52)*($E$45:$E$52))+SUM(R54:R55)+R42</f>
        <v>81925.750722504745</v>
      </c>
      <c r="S57" s="171" cm="1">
        <f t="array" ref="S57">SUMPRODUCT((S$45:S$52)*($E$45:$E$52))+SUM(S54:S55)+S42</f>
        <v>82703.102203171642</v>
      </c>
      <c r="T57" s="171" cm="1">
        <f t="array" ref="T57">SUMPRODUCT((T$45:T$52)*($E$45:$E$52))+SUM(T54:T55)+T42</f>
        <v>83480.453683838234</v>
      </c>
      <c r="U57" s="171" cm="1">
        <f t="array" ref="U57">SUMPRODUCT((U$45:U$52)*($E$45:$E$52))+SUM(U54:U55)+U42</f>
        <v>84257.805164504811</v>
      </c>
      <c r="V57" s="171" cm="1">
        <f t="array" ref="V57">SUMPRODUCT((V$45:V$52)*($E$45:$E$52))+SUM(V54:V55)+V42</f>
        <v>85035.156645171723</v>
      </c>
      <c r="W57" s="171" cm="1">
        <f t="array" ref="W57">SUMPRODUCT((W$45:W$52)*($E$45:$E$52))+SUM(W54:W55)+W42</f>
        <v>85812.508125838329</v>
      </c>
      <c r="X57" s="171" cm="1">
        <f t="array" ref="X57">SUMPRODUCT((X$45:X$52)*($E$45:$E$52))+SUM(X54:X55)+X42</f>
        <v>86589.859606504906</v>
      </c>
      <c r="Y57" s="171" cm="1">
        <f t="array" ref="Y57">SUMPRODUCT((Y$45:Y$52)*($E$45:$E$52))+SUM(Y54:Y55)+Y42</f>
        <v>87367.211087171818</v>
      </c>
      <c r="Z57" s="171" cm="1">
        <f t="array" ref="Z57">SUMPRODUCT((Z$45:Z$52)*($E$45:$E$52))+SUM(Z54:Z55)+Z42</f>
        <v>88144.562567838439</v>
      </c>
      <c r="AA57" s="171" cm="1">
        <f t="array" ref="AA57">SUMPRODUCT((AA$45:AA$52)*($E$45:$E$52))+SUM(AA54:AA55)+AA42</f>
        <v>88921.914048505336</v>
      </c>
      <c r="AB57" s="171" cm="1">
        <f t="array" ref="AB57">SUMPRODUCT((AB$45:AB$52)*($E$45:$E$52))+SUM(AB54:AB55)+AB42</f>
        <v>89699.265529171927</v>
      </c>
      <c r="AC57" s="171" cm="1">
        <f t="array" ref="AC57">SUMPRODUCT((AC$45:AC$52)*($E$45:$E$52))+SUM(AC54:AC55)+AC42</f>
        <v>90476.617009838534</v>
      </c>
      <c r="AD57" s="171" cm="1">
        <f t="array" ref="AD57">SUMPRODUCT((AD$45:AD$52)*($E$45:$E$52))+SUM(AD54:AD55)+AD42</f>
        <v>91253.968490505446</v>
      </c>
      <c r="AE57" s="171" cm="1">
        <f t="array" ref="AE57">SUMPRODUCT((AE$45:AE$52)*($E$45:$E$52))+SUM(AE54:AE55)+AE42</f>
        <v>92031.319971172008</v>
      </c>
      <c r="AF57" s="171" cm="1">
        <f t="array" ref="AF57">SUMPRODUCT((AF$45:AF$52)*($E$45:$E$52))+SUM(AF54:AF55)+AF42</f>
        <v>92808.671451838643</v>
      </c>
      <c r="AG57" s="171" cm="1">
        <f t="array" ref="AG57">SUMPRODUCT((AG$45:AG$52)*($E$45:$E$52))+SUM(AG54:AG55)+AG42</f>
        <v>93586.022932505526</v>
      </c>
      <c r="AH57"/>
    </row>
    <row r="58" spans="1:43" x14ac:dyDescent="0.2">
      <c r="D58" s="206"/>
      <c r="G58" s="206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/>
    </row>
    <row r="59" spans="1:43" x14ac:dyDescent="0.2">
      <c r="G59" s="206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5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9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2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3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/>
    </row>
    <row r="64" spans="1:43" x14ac:dyDescent="0.2">
      <c r="C64" s="4" t="str">
        <f>'Option1 (base case)'!C64</f>
        <v>Risks mitigated vs base case</v>
      </c>
      <c r="G64" s="211">
        <f>input_dollars</f>
        <v>45291</v>
      </c>
      <c r="I64" s="133">
        <f>(1-INDEX(Data!$C$9:$C$13, MATCH($A$3, options,0)))*('Option1 (base case)'!I36-I36)</f>
        <v>0</v>
      </c>
      <c r="J64" s="133">
        <f>(1-INDEX(Data!$C$9:$C$13, MATCH($A$3, options,0)))*('Option1 (base case)'!J36-J36)</f>
        <v>0</v>
      </c>
      <c r="K64" s="133">
        <f>(1-INDEX(Data!$C$9:$C$13, MATCH($A$3, options,0)))*('Option1 (base case)'!K36-K36)</f>
        <v>0</v>
      </c>
      <c r="L64" s="133">
        <f>(1-INDEX(Data!$C$9:$C$13, MATCH($A$3, options,0)))*('Option1 (base case)'!L36-L36)</f>
        <v>0</v>
      </c>
      <c r="M64" s="133">
        <f>(1-INDEX(Data!$C$9:$C$13, MATCH($A$3, options,0)))*('Option1 (base case)'!M36-M36)</f>
        <v>304911.29154582712</v>
      </c>
      <c r="N64" s="133">
        <f>(1-INDEX(Data!$C$9:$C$13, MATCH($A$3, options,0)))*('Option1 (base case)'!N36-N36)</f>
        <v>308885.8153396665</v>
      </c>
      <c r="O64" s="133">
        <f>(1-INDEX(Data!$C$9:$C$13, MATCH($A$3, options,0)))*('Option1 (base case)'!O36-O36)</f>
        <v>315948.66982217884</v>
      </c>
      <c r="P64" s="133">
        <f>(1-INDEX(Data!$C$9:$C$13, MATCH($A$3, options,0)))*('Option1 (base case)'!P36-P36)</f>
        <v>323674.52245658677</v>
      </c>
      <c r="Q64" s="133">
        <f>(1-INDEX(Data!$C$9:$C$13, MATCH($A$3, options,0)))*('Option1 (base case)'!Q36-Q36)</f>
        <v>328473.17524104123</v>
      </c>
      <c r="R64" s="133">
        <f>(1-INDEX(Data!$C$9:$C$13, MATCH($A$3, options,0)))*('Option1 (base case)'!R36-R36)</f>
        <v>330005.61574731884</v>
      </c>
      <c r="S64" s="133">
        <f>(1-INDEX(Data!$C$9:$C$13, MATCH($A$3, options,0)))*('Option1 (base case)'!S36-S36)</f>
        <v>331538.05625359714</v>
      </c>
      <c r="T64" s="133">
        <f>(1-INDEX(Data!$C$9:$C$13, MATCH($A$3, options,0)))*('Option1 (base case)'!T36-T36)</f>
        <v>333070.49675987486</v>
      </c>
      <c r="U64" s="133">
        <f>(1-INDEX(Data!$C$9:$C$13, MATCH($A$3, options,0)))*('Option1 (base case)'!U36-U36)</f>
        <v>334602.93726615241</v>
      </c>
      <c r="V64" s="133">
        <f>(1-INDEX(Data!$C$9:$C$13, MATCH($A$3, options,0)))*('Option1 (base case)'!V36-V36)</f>
        <v>336135.37777243071</v>
      </c>
      <c r="W64" s="133">
        <f>(1-INDEX(Data!$C$9:$C$13, MATCH($A$3, options,0)))*('Option1 (base case)'!W36-W36)</f>
        <v>337667.81827870838</v>
      </c>
      <c r="X64" s="133">
        <f>(1-INDEX(Data!$C$9:$C$13, MATCH($A$3, options,0)))*('Option1 (base case)'!X36-X36)</f>
        <v>339200.25878498598</v>
      </c>
      <c r="Y64" s="133">
        <f>(1-INDEX(Data!$C$9:$C$13, MATCH($A$3, options,0)))*('Option1 (base case)'!Y36-Y36)</f>
        <v>340732.69929126429</v>
      </c>
      <c r="Z64" s="133">
        <f>(1-INDEX(Data!$C$9:$C$13, MATCH($A$3, options,0)))*('Option1 (base case)'!Z36-Z36)</f>
        <v>342265.13979754201</v>
      </c>
      <c r="AA64" s="133">
        <f>(1-INDEX(Data!$C$9:$C$13, MATCH($A$3, options,0)))*('Option1 (base case)'!AA36-AA36)</f>
        <v>343797.58030382026</v>
      </c>
      <c r="AB64" s="133">
        <f>(1-INDEX(Data!$C$9:$C$13, MATCH($A$3, options,0)))*('Option1 (base case)'!AB36-AB36)</f>
        <v>345330.02081009781</v>
      </c>
      <c r="AC64" s="133">
        <f>(1-INDEX(Data!$C$9:$C$13, MATCH($A$3, options,0)))*('Option1 (base case)'!AC36-AC36)</f>
        <v>346862.46131637553</v>
      </c>
      <c r="AD64" s="133">
        <f>(1-INDEX(Data!$C$9:$C$13, MATCH($A$3, options,0)))*('Option1 (base case)'!AD36-AD36)</f>
        <v>348394.90182265377</v>
      </c>
      <c r="AE64" s="133">
        <f>(1-INDEX(Data!$C$9:$C$13, MATCH($A$3, options,0)))*('Option1 (base case)'!AE36-AE36)</f>
        <v>349927.34232893144</v>
      </c>
      <c r="AF64" s="133">
        <f>(1-INDEX(Data!$C$9:$C$13, MATCH($A$3, options,0)))*('Option1 (base case)'!AF36-AF36)</f>
        <v>351459.78283520916</v>
      </c>
      <c r="AG64" s="133">
        <f>(1-INDEX(Data!$C$9:$C$13, MATCH($A$3, options,0)))*('Option1 (base case)'!AG36-AG36)</f>
        <v>352992.22334148741</v>
      </c>
      <c r="AH64"/>
    </row>
    <row r="65" spans="1:34" x14ac:dyDescent="0.2">
      <c r="G65" s="213"/>
      <c r="AH65"/>
    </row>
    <row r="66" spans="1:34" x14ac:dyDescent="0.2">
      <c r="A66" s="8"/>
      <c r="B66" s="8"/>
      <c r="C66" s="148" t="s">
        <v>30</v>
      </c>
      <c r="D66" s="38"/>
      <c r="F66" s="97"/>
      <c r="G66" s="214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/>
    </row>
    <row r="67" spans="1:34" x14ac:dyDescent="0.2">
      <c r="A67" s="8"/>
      <c r="B67" s="8"/>
      <c r="C67" s="4" t="str">
        <f>C14</f>
        <v>Microgrid (exc BESS)</v>
      </c>
      <c r="D67" s="38"/>
      <c r="F67" s="97"/>
      <c r="G67" s="211">
        <f>input_dollars</f>
        <v>45291</v>
      </c>
      <c r="H67" s="31"/>
      <c r="I67" s="119">
        <f t="shared" ref="I67:AG67" si="5">-I14</f>
        <v>0</v>
      </c>
      <c r="J67" s="119">
        <f t="shared" si="5"/>
        <v>0</v>
      </c>
      <c r="K67" s="119">
        <f t="shared" si="5"/>
        <v>0</v>
      </c>
      <c r="L67" s="119">
        <f t="shared" si="5"/>
        <v>-2793927.0874999999</v>
      </c>
      <c r="M67" s="119">
        <f t="shared" si="5"/>
        <v>0</v>
      </c>
      <c r="N67" s="119">
        <f t="shared" si="5"/>
        <v>0</v>
      </c>
      <c r="O67" s="119">
        <f t="shared" si="5"/>
        <v>0</v>
      </c>
      <c r="P67" s="119">
        <f t="shared" si="5"/>
        <v>0</v>
      </c>
      <c r="Q67" s="119">
        <f t="shared" si="5"/>
        <v>0</v>
      </c>
      <c r="R67" s="119">
        <f t="shared" si="5"/>
        <v>0</v>
      </c>
      <c r="S67" s="119">
        <f t="shared" si="5"/>
        <v>0</v>
      </c>
      <c r="T67" s="119">
        <f t="shared" si="5"/>
        <v>0</v>
      </c>
      <c r="U67" s="119">
        <f t="shared" si="5"/>
        <v>0</v>
      </c>
      <c r="V67" s="119">
        <f t="shared" si="5"/>
        <v>0</v>
      </c>
      <c r="W67" s="119">
        <f t="shared" si="5"/>
        <v>0</v>
      </c>
      <c r="X67" s="119">
        <f t="shared" si="5"/>
        <v>0</v>
      </c>
      <c r="Y67" s="119">
        <f t="shared" si="5"/>
        <v>0</v>
      </c>
      <c r="Z67" s="119">
        <f t="shared" si="5"/>
        <v>0</v>
      </c>
      <c r="AA67" s="119">
        <f t="shared" si="5"/>
        <v>0</v>
      </c>
      <c r="AB67" s="119">
        <f t="shared" si="5"/>
        <v>0</v>
      </c>
      <c r="AC67" s="119">
        <f t="shared" si="5"/>
        <v>0</v>
      </c>
      <c r="AD67" s="119">
        <f t="shared" si="5"/>
        <v>0</v>
      </c>
      <c r="AE67" s="119">
        <f t="shared" si="5"/>
        <v>0</v>
      </c>
      <c r="AF67" s="119">
        <f t="shared" si="5"/>
        <v>0</v>
      </c>
      <c r="AG67" s="119">
        <f t="shared" si="5"/>
        <v>0</v>
      </c>
      <c r="AH67"/>
    </row>
    <row r="68" spans="1:34" x14ac:dyDescent="0.2">
      <c r="A68" s="8"/>
      <c r="B68" s="8"/>
      <c r="C68" s="4" t="str">
        <f>C15</f>
        <v>BESS</v>
      </c>
      <c r="D68" s="38"/>
      <c r="F68" s="97"/>
      <c r="G68" s="211">
        <f>input_dollars</f>
        <v>45291</v>
      </c>
      <c r="H68" s="31"/>
      <c r="I68" s="119">
        <f t="shared" ref="I68:AG68" si="6">-I15</f>
        <v>0</v>
      </c>
      <c r="J68" s="119">
        <f t="shared" si="6"/>
        <v>0</v>
      </c>
      <c r="K68" s="119">
        <f t="shared" si="6"/>
        <v>0</v>
      </c>
      <c r="L68" s="119">
        <f t="shared" si="6"/>
        <v>-3432367.2624999997</v>
      </c>
      <c r="M68" s="119">
        <f t="shared" si="6"/>
        <v>0</v>
      </c>
      <c r="N68" s="119">
        <f t="shared" si="6"/>
        <v>0</v>
      </c>
      <c r="O68" s="119">
        <f t="shared" si="6"/>
        <v>0</v>
      </c>
      <c r="P68" s="119">
        <f t="shared" si="6"/>
        <v>0</v>
      </c>
      <c r="Q68" s="119">
        <f t="shared" si="6"/>
        <v>0</v>
      </c>
      <c r="R68" s="119">
        <f t="shared" si="6"/>
        <v>0</v>
      </c>
      <c r="S68" s="119">
        <f t="shared" si="6"/>
        <v>0</v>
      </c>
      <c r="T68" s="119">
        <f t="shared" si="6"/>
        <v>0</v>
      </c>
      <c r="U68" s="119">
        <f t="shared" si="6"/>
        <v>0</v>
      </c>
      <c r="V68" s="119">
        <f t="shared" si="6"/>
        <v>0</v>
      </c>
      <c r="W68" s="119">
        <f t="shared" si="6"/>
        <v>0</v>
      </c>
      <c r="X68" s="119">
        <f t="shared" si="6"/>
        <v>0</v>
      </c>
      <c r="Y68" s="119">
        <f t="shared" si="6"/>
        <v>0</v>
      </c>
      <c r="Z68" s="119">
        <f t="shared" si="6"/>
        <v>0</v>
      </c>
      <c r="AA68" s="119">
        <f t="shared" si="6"/>
        <v>0</v>
      </c>
      <c r="AB68" s="119">
        <f t="shared" si="6"/>
        <v>0</v>
      </c>
      <c r="AC68" s="119">
        <f t="shared" si="6"/>
        <v>0</v>
      </c>
      <c r="AD68" s="119">
        <f t="shared" si="6"/>
        <v>0</v>
      </c>
      <c r="AE68" s="119">
        <f t="shared" si="6"/>
        <v>0</v>
      </c>
      <c r="AF68" s="119">
        <f t="shared" si="6"/>
        <v>0</v>
      </c>
      <c r="AG68" s="119">
        <f t="shared" si="6"/>
        <v>0</v>
      </c>
      <c r="AH68"/>
    </row>
    <row r="69" spans="1:34" x14ac:dyDescent="0.2">
      <c r="A69" s="8"/>
      <c r="B69" s="8"/>
      <c r="C69" s="4">
        <f>C16</f>
        <v>0</v>
      </c>
      <c r="D69" s="38"/>
      <c r="F69" s="97"/>
      <c r="G69" s="211">
        <f>input_dollars</f>
        <v>45291</v>
      </c>
      <c r="H69" s="31"/>
      <c r="I69" s="119">
        <f t="shared" ref="I69:AG69" si="7">-I16</f>
        <v>0</v>
      </c>
      <c r="J69" s="119">
        <f t="shared" si="7"/>
        <v>0</v>
      </c>
      <c r="K69" s="119">
        <f t="shared" si="7"/>
        <v>0</v>
      </c>
      <c r="L69" s="119">
        <f t="shared" si="7"/>
        <v>0</v>
      </c>
      <c r="M69" s="119">
        <f t="shared" si="7"/>
        <v>0</v>
      </c>
      <c r="N69" s="119">
        <f t="shared" si="7"/>
        <v>0</v>
      </c>
      <c r="O69" s="119">
        <f t="shared" si="7"/>
        <v>0</v>
      </c>
      <c r="P69" s="119">
        <f t="shared" si="7"/>
        <v>0</v>
      </c>
      <c r="Q69" s="119">
        <f t="shared" si="7"/>
        <v>0</v>
      </c>
      <c r="R69" s="119">
        <f t="shared" si="7"/>
        <v>0</v>
      </c>
      <c r="S69" s="119">
        <f t="shared" si="7"/>
        <v>0</v>
      </c>
      <c r="T69" s="119">
        <f t="shared" si="7"/>
        <v>0</v>
      </c>
      <c r="U69" s="119">
        <f t="shared" si="7"/>
        <v>0</v>
      </c>
      <c r="V69" s="119">
        <f t="shared" si="7"/>
        <v>0</v>
      </c>
      <c r="W69" s="119">
        <f t="shared" si="7"/>
        <v>0</v>
      </c>
      <c r="X69" s="119">
        <f t="shared" si="7"/>
        <v>0</v>
      </c>
      <c r="Y69" s="119">
        <f t="shared" si="7"/>
        <v>0</v>
      </c>
      <c r="Z69" s="119">
        <f t="shared" si="7"/>
        <v>0</v>
      </c>
      <c r="AA69" s="119">
        <f t="shared" si="7"/>
        <v>0</v>
      </c>
      <c r="AB69" s="119">
        <f t="shared" si="7"/>
        <v>0</v>
      </c>
      <c r="AC69" s="119">
        <f t="shared" si="7"/>
        <v>0</v>
      </c>
      <c r="AD69" s="119">
        <f t="shared" si="7"/>
        <v>0</v>
      </c>
      <c r="AE69" s="119">
        <f t="shared" si="7"/>
        <v>0</v>
      </c>
      <c r="AF69" s="119">
        <f t="shared" si="7"/>
        <v>0</v>
      </c>
      <c r="AG69" s="119">
        <f t="shared" si="7"/>
        <v>0</v>
      </c>
      <c r="AH69"/>
    </row>
    <row r="70" spans="1:34" x14ac:dyDescent="0.2">
      <c r="A70" s="8"/>
      <c r="B70" s="8"/>
      <c r="C70" s="4"/>
      <c r="D70" s="38"/>
      <c r="F70" s="97"/>
      <c r="G70" s="215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/>
    </row>
    <row r="71" spans="1:34" x14ac:dyDescent="0.2">
      <c r="A71" s="8"/>
      <c r="B71" s="8"/>
      <c r="C71" s="148" t="s">
        <v>160</v>
      </c>
      <c r="D71" s="38"/>
      <c r="F71" s="97"/>
      <c r="G71" s="214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  <c r="AH71"/>
    </row>
    <row r="72" spans="1:34" x14ac:dyDescent="0.2">
      <c r="A72" s="8"/>
      <c r="B72" s="8"/>
      <c r="C72" s="4" t="str">
        <f>C14</f>
        <v>Microgrid (exc BESS)</v>
      </c>
      <c r="D72" s="38"/>
      <c r="F72" s="97"/>
      <c r="G72" s="211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-2793927.0874999999</v>
      </c>
      <c r="M72" s="119" cm="1">
        <f t="array" ref="M72">SUMPRODUCT(($I67:M67))-SUMPRODUCT(($I67:M67)*($I$6:M$6&lt;=(M$6-$E14)))</f>
        <v>-2793927.0874999999</v>
      </c>
      <c r="N72" s="119" cm="1">
        <f t="array" ref="N72">SUMPRODUCT(($I67:N67))-SUMPRODUCT(($I67:N67)*($I$6:N$6&lt;=(N$6-$E14)))</f>
        <v>-2793927.0874999999</v>
      </c>
      <c r="O72" s="119" cm="1">
        <f t="array" ref="O72">SUMPRODUCT(($I67:O67))-SUMPRODUCT(($I67:O67)*($I$6:O$6&lt;=(O$6-$E14)))</f>
        <v>-2793927.0874999999</v>
      </c>
      <c r="P72" s="119" cm="1">
        <f t="array" ref="P72">SUMPRODUCT(($I67:P67))-SUMPRODUCT(($I67:P67)*($I$6:P$6&lt;=(P$6-$E14)))</f>
        <v>-2793927.0874999999</v>
      </c>
      <c r="Q72" s="119" cm="1">
        <f t="array" ref="Q72">SUMPRODUCT(($I67:Q67))-SUMPRODUCT(($I67:Q67)*($I$6:Q$6&lt;=(Q$6-$E14)))</f>
        <v>-2793927.0874999999</v>
      </c>
      <c r="R72" s="119" cm="1">
        <f t="array" ref="R72">SUMPRODUCT(($I67:R67))-SUMPRODUCT(($I67:R67)*($I$6:R$6&lt;=(R$6-$E14)))</f>
        <v>-2793927.0874999999</v>
      </c>
      <c r="S72" s="119" cm="1">
        <f t="array" ref="S72">SUMPRODUCT(($I67:S67))-SUMPRODUCT(($I67:S67)*($I$6:S$6&lt;=(S$6-$E14)))</f>
        <v>-2793927.0874999999</v>
      </c>
      <c r="T72" s="119" cm="1">
        <f t="array" ref="T72">SUMPRODUCT(($I67:T67))-SUMPRODUCT(($I67:T67)*($I$6:T$6&lt;=(T$6-$E14)))</f>
        <v>-2793927.0874999999</v>
      </c>
      <c r="U72" s="119" cm="1">
        <f t="array" ref="U72">SUMPRODUCT(($I67:U67))-SUMPRODUCT(($I67:U67)*($I$6:U$6&lt;=(U$6-$E14)))</f>
        <v>-2793927.0874999999</v>
      </c>
      <c r="V72" s="119" cm="1">
        <f t="array" ref="V72">SUMPRODUCT(($I67:V67))-SUMPRODUCT(($I67:V67)*($I$6:V$6&lt;=(V$6-$E14)))</f>
        <v>-2793927.0874999999</v>
      </c>
      <c r="W72" s="119" cm="1">
        <f t="array" ref="W72">SUMPRODUCT(($I67:W67))-SUMPRODUCT(($I67:W67)*($I$6:W$6&lt;=(W$6-$E14)))</f>
        <v>-2793927.0874999999</v>
      </c>
      <c r="X72" s="119" cm="1">
        <f t="array" ref="X72">SUMPRODUCT(($I67:X67))-SUMPRODUCT(($I67:X67)*($I$6:X$6&lt;=(X$6-$E14)))</f>
        <v>-2793927.0874999999</v>
      </c>
      <c r="Y72" s="119" cm="1">
        <f t="array" ref="Y72">SUMPRODUCT(($I67:Y67))-SUMPRODUCT(($I67:Y67)*($I$6:Y$6&lt;=(Y$6-$E14)))</f>
        <v>-2793927.0874999999</v>
      </c>
      <c r="Z72" s="119" cm="1">
        <f t="array" ref="Z72">SUMPRODUCT(($I67:Z67))-SUMPRODUCT(($I67:Z67)*($I$6:Z$6&lt;=(Z$6-$E14)))</f>
        <v>-2793927.0874999999</v>
      </c>
      <c r="AA72" s="119" cm="1">
        <f t="array" ref="AA72">SUMPRODUCT(($I67:AA67))-SUMPRODUCT(($I67:AA67)*($I$6:AA$6&lt;=(AA$6-$E14)))</f>
        <v>-2793927.0874999999</v>
      </c>
      <c r="AB72" s="119" cm="1">
        <f t="array" ref="AB72">SUMPRODUCT(($I67:AB67))-SUMPRODUCT(($I67:AB67)*($I$6:AB$6&lt;=(AB$6-$E14)))</f>
        <v>-2793927.0874999999</v>
      </c>
      <c r="AC72" s="119" cm="1">
        <f t="array" ref="AC72">SUMPRODUCT(($I67:AC67))-SUMPRODUCT(($I67:AC67)*($I$6:AC$6&lt;=(AC$6-$E14)))</f>
        <v>-2793927.0874999999</v>
      </c>
      <c r="AD72" s="119" cm="1">
        <f t="array" ref="AD72">SUMPRODUCT(($I67:AD67))-SUMPRODUCT(($I67:AD67)*($I$6:AD$6&lt;=(AD$6-$E14)))</f>
        <v>-2793927.0874999999</v>
      </c>
      <c r="AE72" s="119" cm="1">
        <f t="array" ref="AE72">SUMPRODUCT(($I67:AE67))-SUMPRODUCT(($I67:AE67)*($I$6:AE$6&lt;=(AE$6-$E14)))</f>
        <v>-2793927.0874999999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  <c r="AH72"/>
    </row>
    <row r="73" spans="1:34" x14ac:dyDescent="0.2">
      <c r="A73" s="8"/>
      <c r="B73" s="8"/>
      <c r="C73" s="4" t="str">
        <f>C15</f>
        <v>BESS</v>
      </c>
      <c r="D73" s="38"/>
      <c r="F73" s="97"/>
      <c r="G73" s="211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-3432367.2624999997</v>
      </c>
      <c r="M73" s="119" cm="1">
        <f t="array" ref="M73">SUMPRODUCT(($I68:M68))-SUMPRODUCT(($I68:M68)*($I$6:M$6&lt;=(M$6-$E15)))</f>
        <v>-3432367.2624999997</v>
      </c>
      <c r="N73" s="119" cm="1">
        <f t="array" ref="N73">SUMPRODUCT(($I68:N68))-SUMPRODUCT(($I68:N68)*($I$6:N$6&lt;=(N$6-$E15)))</f>
        <v>-3432367.2624999997</v>
      </c>
      <c r="O73" s="119" cm="1">
        <f t="array" ref="O73">SUMPRODUCT(($I68:O68))-SUMPRODUCT(($I68:O68)*($I$6:O$6&lt;=(O$6-$E15)))</f>
        <v>-3432367.2624999997</v>
      </c>
      <c r="P73" s="119" cm="1">
        <f t="array" ref="P73">SUMPRODUCT(($I68:P68))-SUMPRODUCT(($I68:P68)*($I$6:P$6&lt;=(P$6-$E15)))</f>
        <v>-3432367.2624999997</v>
      </c>
      <c r="Q73" s="119" cm="1">
        <f t="array" ref="Q73">SUMPRODUCT(($I68:Q68))-SUMPRODUCT(($I68:Q68)*($I$6:Q$6&lt;=(Q$6-$E15)))</f>
        <v>-3432367.2624999997</v>
      </c>
      <c r="R73" s="119" cm="1">
        <f t="array" ref="R73">SUMPRODUCT(($I68:R68))-SUMPRODUCT(($I68:R68)*($I$6:R$6&lt;=(R$6-$E15)))</f>
        <v>-3432367.2624999997</v>
      </c>
      <c r="S73" s="119" cm="1">
        <f t="array" ref="S73">SUMPRODUCT(($I68:S68))-SUMPRODUCT(($I68:S68)*($I$6:S$6&lt;=(S$6-$E15)))</f>
        <v>-3432367.2624999997</v>
      </c>
      <c r="T73" s="119" cm="1">
        <f t="array" ref="T73">SUMPRODUCT(($I68:T68))-SUMPRODUCT(($I68:T68)*($I$6:T$6&lt;=(T$6-$E15)))</f>
        <v>-3432367.2624999997</v>
      </c>
      <c r="U73" s="119" cm="1">
        <f t="array" ref="U73">SUMPRODUCT(($I68:U68))-SUMPRODUCT(($I68:U68)*($I$6:U$6&lt;=(U$6-$E15)))</f>
        <v>-3432367.2624999997</v>
      </c>
      <c r="V73" s="119" cm="1">
        <f t="array" ref="V73">SUMPRODUCT(($I68:V68))-SUMPRODUCT(($I68:V68)*($I$6:V$6&lt;=(V$6-$E15)))</f>
        <v>-3432367.2624999997</v>
      </c>
      <c r="W73" s="119" cm="1">
        <f t="array" ref="W73">SUMPRODUCT(($I68:W68))-SUMPRODUCT(($I68:W68)*($I$6:W$6&lt;=(W$6-$E15)))</f>
        <v>-3432367.2624999997</v>
      </c>
      <c r="X73" s="119" cm="1">
        <f t="array" ref="X73">SUMPRODUCT(($I68:X68))-SUMPRODUCT(($I68:X68)*($I$6:X$6&lt;=(X$6-$E15)))</f>
        <v>-3432367.2624999997</v>
      </c>
      <c r="Y73" s="119" cm="1">
        <f t="array" ref="Y73">SUMPRODUCT(($I68:Y68))-SUMPRODUCT(($I68:Y68)*($I$6:Y$6&lt;=(Y$6-$E15)))</f>
        <v>-3432367.2624999997</v>
      </c>
      <c r="Z73" s="119" cm="1">
        <f t="array" ref="Z73">SUMPRODUCT(($I68:Z68))-SUMPRODUCT(($I68:Z68)*($I$6:Z$6&lt;=(Z$6-$E15)))</f>
        <v>-3432367.2624999997</v>
      </c>
      <c r="AA73" s="119" cm="1">
        <f t="array" ref="AA73">SUMPRODUCT(($I68:AA68))-SUMPRODUCT(($I68:AA68)*($I$6:AA$6&lt;=(AA$6-$E15)))</f>
        <v>-3432367.2624999997</v>
      </c>
      <c r="AB73" s="119" cm="1">
        <f t="array" ref="AB73">SUMPRODUCT(($I68:AB68))-SUMPRODUCT(($I68:AB68)*($I$6:AB$6&lt;=(AB$6-$E15)))</f>
        <v>-3432367.2624999997</v>
      </c>
      <c r="AC73" s="119" cm="1">
        <f t="array" ref="AC73">SUMPRODUCT(($I68:AC68))-SUMPRODUCT(($I68:AC68)*($I$6:AC$6&lt;=(AC$6-$E15)))</f>
        <v>-3432367.2624999997</v>
      </c>
      <c r="AD73" s="119" cm="1">
        <f t="array" ref="AD73">SUMPRODUCT(($I68:AD68))-SUMPRODUCT(($I68:AD68)*($I$6:AD$6&lt;=(AD$6-$E15)))</f>
        <v>-3432367.2624999997</v>
      </c>
      <c r="AE73" s="119" cm="1">
        <f t="array" ref="AE73">SUMPRODUCT(($I68:AE68))-SUMPRODUCT(($I68:AE68)*($I$6:AE$6&lt;=(AE$6-$E15)))</f>
        <v>-3432367.2624999997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  <c r="AH73"/>
    </row>
    <row r="74" spans="1:34" x14ac:dyDescent="0.2">
      <c r="A74" s="8"/>
      <c r="B74" s="8"/>
      <c r="C74" s="4">
        <f>C16</f>
        <v>0</v>
      </c>
      <c r="D74" s="38"/>
      <c r="F74" s="97"/>
      <c r="G74" s="211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  <c r="AH74"/>
    </row>
    <row r="75" spans="1:34" x14ac:dyDescent="0.2">
      <c r="A75" s="8"/>
      <c r="B75" s="8"/>
      <c r="C75" s="4"/>
      <c r="D75" s="38"/>
      <c r="F75" s="97"/>
      <c r="G75" s="215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  <c r="AH75"/>
    </row>
    <row r="76" spans="1:34" x14ac:dyDescent="0.2">
      <c r="A76" s="8"/>
      <c r="B76" s="8"/>
      <c r="C76" s="148" t="s">
        <v>91</v>
      </c>
      <c r="D76" s="38"/>
      <c r="G76" s="214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  <c r="AH76"/>
    </row>
    <row r="77" spans="1:34" x14ac:dyDescent="0.2">
      <c r="A77" s="8"/>
      <c r="B77" s="8"/>
      <c r="C77" s="4" t="str">
        <f>$C$76&amp;" - "&amp;C14</f>
        <v>Annualised capex - Microgrid (exc BESS)</v>
      </c>
      <c r="D77" s="38"/>
      <c r="G77" s="211">
        <f>input_dollars</f>
        <v>45291</v>
      </c>
      <c r="H77" s="31"/>
      <c r="I77" s="119">
        <f t="shared" ref="I77:AG77" si="8">IF($E14=0,0,-PMT(real_disc, $E14,H72,))</f>
        <v>0</v>
      </c>
      <c r="J77" s="119">
        <f t="shared" si="8"/>
        <v>0</v>
      </c>
      <c r="K77" s="119">
        <f t="shared" si="8"/>
        <v>0</v>
      </c>
      <c r="L77" s="119">
        <f t="shared" si="8"/>
        <v>0</v>
      </c>
      <c r="M77" s="119">
        <f t="shared" si="8"/>
        <v>-196583.71832976426</v>
      </c>
      <c r="N77" s="119">
        <f t="shared" si="8"/>
        <v>-196583.71832976426</v>
      </c>
      <c r="O77" s="119">
        <f t="shared" si="8"/>
        <v>-196583.71832976426</v>
      </c>
      <c r="P77" s="119">
        <f t="shared" si="8"/>
        <v>-196583.71832976426</v>
      </c>
      <c r="Q77" s="119">
        <f t="shared" si="8"/>
        <v>-196583.71832976426</v>
      </c>
      <c r="R77" s="119">
        <f t="shared" si="8"/>
        <v>-196583.71832976426</v>
      </c>
      <c r="S77" s="119">
        <f t="shared" si="8"/>
        <v>-196583.71832976426</v>
      </c>
      <c r="T77" s="119">
        <f t="shared" si="8"/>
        <v>-196583.71832976426</v>
      </c>
      <c r="U77" s="119">
        <f t="shared" si="8"/>
        <v>-196583.71832976426</v>
      </c>
      <c r="V77" s="119">
        <f t="shared" si="8"/>
        <v>-196583.71832976426</v>
      </c>
      <c r="W77" s="119">
        <f t="shared" si="8"/>
        <v>-196583.71832976426</v>
      </c>
      <c r="X77" s="119">
        <f t="shared" si="8"/>
        <v>-196583.71832976426</v>
      </c>
      <c r="Y77" s="119">
        <f t="shared" si="8"/>
        <v>-196583.71832976426</v>
      </c>
      <c r="Z77" s="119">
        <f t="shared" si="8"/>
        <v>-196583.71832976426</v>
      </c>
      <c r="AA77" s="119">
        <f t="shared" si="8"/>
        <v>-196583.71832976426</v>
      </c>
      <c r="AB77" s="119">
        <f t="shared" si="8"/>
        <v>-196583.71832976426</v>
      </c>
      <c r="AC77" s="119">
        <f t="shared" si="8"/>
        <v>-196583.71832976426</v>
      </c>
      <c r="AD77" s="119">
        <f t="shared" si="8"/>
        <v>-196583.71832976426</v>
      </c>
      <c r="AE77" s="119">
        <f t="shared" si="8"/>
        <v>-196583.71832976426</v>
      </c>
      <c r="AF77" s="119">
        <f t="shared" si="8"/>
        <v>-196583.71832976426</v>
      </c>
      <c r="AG77" s="119">
        <f t="shared" si="8"/>
        <v>0</v>
      </c>
      <c r="AH77"/>
    </row>
    <row r="78" spans="1:34" x14ac:dyDescent="0.2">
      <c r="A78" s="8"/>
      <c r="B78" s="8"/>
      <c r="C78" s="4" t="str">
        <f>$C$76&amp;" - "&amp;C15</f>
        <v>Annualised capex - BESS</v>
      </c>
      <c r="D78" s="38"/>
      <c r="G78" s="211">
        <f>input_dollars</f>
        <v>45291</v>
      </c>
      <c r="H78" s="31"/>
      <c r="I78" s="119">
        <f t="shared" ref="I78:AG78" si="9">IF($E15=0,0,-PMT(real_disc, $E15,H73,))</f>
        <v>0</v>
      </c>
      <c r="J78" s="119">
        <f t="shared" si="9"/>
        <v>0</v>
      </c>
      <c r="K78" s="119">
        <f t="shared" si="9"/>
        <v>0</v>
      </c>
      <c r="L78" s="119">
        <f t="shared" si="9"/>
        <v>0</v>
      </c>
      <c r="M78" s="119">
        <f t="shared" si="9"/>
        <v>-241505.0565043079</v>
      </c>
      <c r="N78" s="119">
        <f t="shared" si="9"/>
        <v>-241505.0565043079</v>
      </c>
      <c r="O78" s="119">
        <f t="shared" si="9"/>
        <v>-241505.0565043079</v>
      </c>
      <c r="P78" s="119">
        <f t="shared" si="9"/>
        <v>-241505.0565043079</v>
      </c>
      <c r="Q78" s="119">
        <f t="shared" si="9"/>
        <v>-241505.0565043079</v>
      </c>
      <c r="R78" s="119">
        <f t="shared" si="9"/>
        <v>-241505.0565043079</v>
      </c>
      <c r="S78" s="119">
        <f t="shared" si="9"/>
        <v>-241505.0565043079</v>
      </c>
      <c r="T78" s="119">
        <f t="shared" si="9"/>
        <v>-241505.0565043079</v>
      </c>
      <c r="U78" s="119">
        <f t="shared" si="9"/>
        <v>-241505.0565043079</v>
      </c>
      <c r="V78" s="119">
        <f t="shared" si="9"/>
        <v>-241505.0565043079</v>
      </c>
      <c r="W78" s="119">
        <f t="shared" si="9"/>
        <v>-241505.0565043079</v>
      </c>
      <c r="X78" s="119">
        <f t="shared" si="9"/>
        <v>-241505.0565043079</v>
      </c>
      <c r="Y78" s="119">
        <f t="shared" si="9"/>
        <v>-241505.0565043079</v>
      </c>
      <c r="Z78" s="119">
        <f t="shared" si="9"/>
        <v>-241505.0565043079</v>
      </c>
      <c r="AA78" s="119">
        <f t="shared" si="9"/>
        <v>-241505.0565043079</v>
      </c>
      <c r="AB78" s="119">
        <f t="shared" si="9"/>
        <v>-241505.0565043079</v>
      </c>
      <c r="AC78" s="119">
        <f t="shared" si="9"/>
        <v>-241505.0565043079</v>
      </c>
      <c r="AD78" s="119">
        <f t="shared" si="9"/>
        <v>-241505.0565043079</v>
      </c>
      <c r="AE78" s="119">
        <f t="shared" si="9"/>
        <v>-241505.0565043079</v>
      </c>
      <c r="AF78" s="119">
        <f t="shared" si="9"/>
        <v>-241505.0565043079</v>
      </c>
      <c r="AG78" s="119">
        <f t="shared" si="9"/>
        <v>0</v>
      </c>
      <c r="AH78"/>
    </row>
    <row r="79" spans="1:34" x14ac:dyDescent="0.2">
      <c r="A79" s="8"/>
      <c r="B79" s="8"/>
      <c r="C79" s="4" t="str">
        <f>$C$76&amp;" - "&amp;C16</f>
        <v xml:space="preserve">Annualised capex - </v>
      </c>
      <c r="D79" s="38"/>
      <c r="G79" s="211">
        <f>input_dollars</f>
        <v>45291</v>
      </c>
      <c r="H79" s="31"/>
      <c r="I79" s="119">
        <f t="shared" ref="I79:AG79" si="10">IF($E16=0,0,-PMT(real_disc, $E16,H74,))</f>
        <v>0</v>
      </c>
      <c r="J79" s="119">
        <f t="shared" si="10"/>
        <v>0</v>
      </c>
      <c r="K79" s="119">
        <f t="shared" si="10"/>
        <v>0</v>
      </c>
      <c r="L79" s="119">
        <f t="shared" si="10"/>
        <v>0</v>
      </c>
      <c r="M79" s="119">
        <f t="shared" si="10"/>
        <v>0</v>
      </c>
      <c r="N79" s="119">
        <f t="shared" si="10"/>
        <v>0</v>
      </c>
      <c r="O79" s="119">
        <f t="shared" si="10"/>
        <v>0</v>
      </c>
      <c r="P79" s="119">
        <f t="shared" si="10"/>
        <v>0</v>
      </c>
      <c r="Q79" s="119">
        <f t="shared" si="10"/>
        <v>0</v>
      </c>
      <c r="R79" s="119">
        <f t="shared" si="10"/>
        <v>0</v>
      </c>
      <c r="S79" s="119">
        <f t="shared" si="10"/>
        <v>0</v>
      </c>
      <c r="T79" s="119">
        <f t="shared" si="10"/>
        <v>0</v>
      </c>
      <c r="U79" s="119">
        <f t="shared" si="10"/>
        <v>0</v>
      </c>
      <c r="V79" s="119">
        <f t="shared" si="10"/>
        <v>0</v>
      </c>
      <c r="W79" s="119">
        <f t="shared" si="10"/>
        <v>0</v>
      </c>
      <c r="X79" s="119">
        <f t="shared" si="10"/>
        <v>0</v>
      </c>
      <c r="Y79" s="119">
        <f t="shared" si="10"/>
        <v>0</v>
      </c>
      <c r="Z79" s="119">
        <f t="shared" si="10"/>
        <v>0</v>
      </c>
      <c r="AA79" s="119">
        <f t="shared" si="10"/>
        <v>0</v>
      </c>
      <c r="AB79" s="119">
        <f t="shared" si="10"/>
        <v>0</v>
      </c>
      <c r="AC79" s="119">
        <f t="shared" si="10"/>
        <v>0</v>
      </c>
      <c r="AD79" s="119">
        <f t="shared" si="10"/>
        <v>0</v>
      </c>
      <c r="AE79" s="119">
        <f t="shared" si="10"/>
        <v>0</v>
      </c>
      <c r="AF79" s="119">
        <f t="shared" si="10"/>
        <v>0</v>
      </c>
      <c r="AG79" s="119">
        <f t="shared" si="10"/>
        <v>0</v>
      </c>
      <c r="AH79"/>
    </row>
    <row r="80" spans="1:34" x14ac:dyDescent="0.2">
      <c r="A80" s="8"/>
      <c r="B80" s="8"/>
      <c r="C80" s="173" t="s">
        <v>161</v>
      </c>
      <c r="D80" s="173"/>
      <c r="E80" s="174"/>
      <c r="F80" s="175"/>
      <c r="G80" s="216">
        <f>input_dollars</f>
        <v>45291</v>
      </c>
      <c r="H80" s="176"/>
      <c r="I80" s="177">
        <f>SUM(I77:I79)</f>
        <v>0</v>
      </c>
      <c r="J80" s="177">
        <f t="shared" ref="J80:AB80" si="11">SUM(J77:J79)</f>
        <v>0</v>
      </c>
      <c r="K80" s="177">
        <f t="shared" si="11"/>
        <v>0</v>
      </c>
      <c r="L80" s="177">
        <f t="shared" si="11"/>
        <v>0</v>
      </c>
      <c r="M80" s="177">
        <f t="shared" si="11"/>
        <v>-438088.77483407216</v>
      </c>
      <c r="N80" s="177">
        <f t="shared" si="11"/>
        <v>-438088.77483407216</v>
      </c>
      <c r="O80" s="177">
        <f t="shared" si="11"/>
        <v>-438088.77483407216</v>
      </c>
      <c r="P80" s="177">
        <f t="shared" si="11"/>
        <v>-438088.77483407216</v>
      </c>
      <c r="Q80" s="177">
        <f t="shared" si="11"/>
        <v>-438088.77483407216</v>
      </c>
      <c r="R80" s="177">
        <f t="shared" si="11"/>
        <v>-438088.77483407216</v>
      </c>
      <c r="S80" s="177">
        <f t="shared" si="11"/>
        <v>-438088.77483407216</v>
      </c>
      <c r="T80" s="177">
        <f t="shared" si="11"/>
        <v>-438088.77483407216</v>
      </c>
      <c r="U80" s="177">
        <f t="shared" si="11"/>
        <v>-438088.77483407216</v>
      </c>
      <c r="V80" s="177">
        <f t="shared" si="11"/>
        <v>-438088.77483407216</v>
      </c>
      <c r="W80" s="177">
        <f t="shared" si="11"/>
        <v>-438088.77483407216</v>
      </c>
      <c r="X80" s="177">
        <f t="shared" si="11"/>
        <v>-438088.77483407216</v>
      </c>
      <c r="Y80" s="177">
        <f t="shared" si="11"/>
        <v>-438088.77483407216</v>
      </c>
      <c r="Z80" s="177">
        <f t="shared" si="11"/>
        <v>-438088.77483407216</v>
      </c>
      <c r="AA80" s="177">
        <f t="shared" si="11"/>
        <v>-438088.77483407216</v>
      </c>
      <c r="AB80" s="177">
        <f t="shared" si="11"/>
        <v>-438088.77483407216</v>
      </c>
      <c r="AC80" s="177">
        <f>SUM(AC77:AC79)</f>
        <v>-438088.77483407216</v>
      </c>
      <c r="AD80" s="177">
        <f>SUM(AD77:AD79)</f>
        <v>-438088.77483407216</v>
      </c>
      <c r="AE80" s="177">
        <f>SUM(AE77:AE79)</f>
        <v>-438088.77483407216</v>
      </c>
      <c r="AF80" s="177">
        <f>SUM(AF77:AF79)</f>
        <v>-438088.77483407216</v>
      </c>
      <c r="AG80" s="177">
        <f>SUM(AG77:AG79)</f>
        <v>0</v>
      </c>
      <c r="AH80"/>
    </row>
    <row r="81" spans="1:34" x14ac:dyDescent="0.2">
      <c r="A81" s="8"/>
      <c r="B81" s="8"/>
      <c r="C81" s="75"/>
      <c r="D81" s="38"/>
      <c r="F81"/>
      <c r="G81" s="217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</row>
    <row r="82" spans="1:34" x14ac:dyDescent="0.2">
      <c r="A82" s="8"/>
      <c r="B82" s="8"/>
      <c r="C82" s="4" t="s">
        <v>91</v>
      </c>
      <c r="D82" s="38"/>
      <c r="F82" s="97"/>
      <c r="G82" s="211">
        <f t="shared" ref="G82:G87" si="12">input_dollars</f>
        <v>45291</v>
      </c>
      <c r="H82" s="31"/>
      <c r="I82" s="119">
        <f>I80</f>
        <v>0</v>
      </c>
      <c r="J82" s="119">
        <f t="shared" ref="J82:AB82" si="13">J80</f>
        <v>0</v>
      </c>
      <c r="K82" s="119">
        <f t="shared" si="13"/>
        <v>0</v>
      </c>
      <c r="L82" s="119">
        <f t="shared" si="13"/>
        <v>0</v>
      </c>
      <c r="M82" s="119">
        <f t="shared" si="13"/>
        <v>-438088.77483407216</v>
      </c>
      <c r="N82" s="119">
        <f t="shared" si="13"/>
        <v>-438088.77483407216</v>
      </c>
      <c r="O82" s="119">
        <f t="shared" si="13"/>
        <v>-438088.77483407216</v>
      </c>
      <c r="P82" s="119">
        <f t="shared" si="13"/>
        <v>-438088.77483407216</v>
      </c>
      <c r="Q82" s="119">
        <f t="shared" si="13"/>
        <v>-438088.77483407216</v>
      </c>
      <c r="R82" s="119">
        <f t="shared" si="13"/>
        <v>-438088.77483407216</v>
      </c>
      <c r="S82" s="119">
        <f t="shared" si="13"/>
        <v>-438088.77483407216</v>
      </c>
      <c r="T82" s="119">
        <f t="shared" si="13"/>
        <v>-438088.77483407216</v>
      </c>
      <c r="U82" s="119">
        <f t="shared" si="13"/>
        <v>-438088.77483407216</v>
      </c>
      <c r="V82" s="119">
        <f t="shared" si="13"/>
        <v>-438088.77483407216</v>
      </c>
      <c r="W82" s="119">
        <f t="shared" si="13"/>
        <v>-438088.77483407216</v>
      </c>
      <c r="X82" s="119">
        <f t="shared" si="13"/>
        <v>-438088.77483407216</v>
      </c>
      <c r="Y82" s="119">
        <f t="shared" si="13"/>
        <v>-438088.77483407216</v>
      </c>
      <c r="Z82" s="119">
        <f t="shared" si="13"/>
        <v>-438088.77483407216</v>
      </c>
      <c r="AA82" s="119">
        <f t="shared" si="13"/>
        <v>-438088.77483407216</v>
      </c>
      <c r="AB82" s="119">
        <f t="shared" si="13"/>
        <v>-438088.77483407216</v>
      </c>
      <c r="AC82" s="119">
        <f>AC80</f>
        <v>-438088.77483407216</v>
      </c>
      <c r="AD82" s="119">
        <f>AD80</f>
        <v>-438088.77483407216</v>
      </c>
      <c r="AE82" s="119">
        <f>AE80</f>
        <v>-438088.77483407216</v>
      </c>
      <c r="AF82" s="119">
        <f>AF80</f>
        <v>-438088.77483407216</v>
      </c>
      <c r="AG82" s="119">
        <f>AG80</f>
        <v>0</v>
      </c>
      <c r="AH82"/>
    </row>
    <row r="83" spans="1:34" x14ac:dyDescent="0.2">
      <c r="A83" s="8"/>
      <c r="B83" s="8"/>
      <c r="C83" s="4" t="s">
        <v>31</v>
      </c>
      <c r="D83" s="38"/>
      <c r="F83" s="97"/>
      <c r="G83" s="211">
        <f t="shared" si="12"/>
        <v>45291</v>
      </c>
      <c r="H83" s="31"/>
      <c r="I83" s="31">
        <f t="shared" ref="I83:AG83" si="14">-I19</f>
        <v>0</v>
      </c>
      <c r="J83" s="31">
        <f t="shared" si="14"/>
        <v>0</v>
      </c>
      <c r="K83" s="31">
        <f t="shared" si="14"/>
        <v>0</v>
      </c>
      <c r="L83" s="31">
        <f t="shared" si="14"/>
        <v>0</v>
      </c>
      <c r="M83" s="31">
        <f t="shared" si="14"/>
        <v>-180000</v>
      </c>
      <c r="N83" s="31">
        <f t="shared" si="14"/>
        <v>-180000</v>
      </c>
      <c r="O83" s="31">
        <f t="shared" si="14"/>
        <v>-180000</v>
      </c>
      <c r="P83" s="31">
        <f t="shared" si="14"/>
        <v>-180000</v>
      </c>
      <c r="Q83" s="31">
        <f t="shared" si="14"/>
        <v>-180000</v>
      </c>
      <c r="R83" s="31">
        <f t="shared" si="14"/>
        <v>-180000</v>
      </c>
      <c r="S83" s="31">
        <f t="shared" si="14"/>
        <v>-180000</v>
      </c>
      <c r="T83" s="31">
        <f t="shared" si="14"/>
        <v>-180000</v>
      </c>
      <c r="U83" s="31">
        <f t="shared" si="14"/>
        <v>-180000</v>
      </c>
      <c r="V83" s="31">
        <f t="shared" si="14"/>
        <v>-180000</v>
      </c>
      <c r="W83" s="31">
        <f t="shared" si="14"/>
        <v>-180000</v>
      </c>
      <c r="X83" s="31">
        <f t="shared" si="14"/>
        <v>-180000</v>
      </c>
      <c r="Y83" s="31">
        <f t="shared" si="14"/>
        <v>-180000</v>
      </c>
      <c r="Z83" s="31">
        <f t="shared" si="14"/>
        <v>-180000</v>
      </c>
      <c r="AA83" s="31">
        <f t="shared" si="14"/>
        <v>-180000</v>
      </c>
      <c r="AB83" s="31">
        <f t="shared" si="14"/>
        <v>-180000</v>
      </c>
      <c r="AC83" s="31">
        <f t="shared" si="14"/>
        <v>-180000</v>
      </c>
      <c r="AD83" s="31">
        <f t="shared" si="14"/>
        <v>-180000</v>
      </c>
      <c r="AE83" s="31">
        <f t="shared" si="14"/>
        <v>-180000</v>
      </c>
      <c r="AF83" s="31">
        <f t="shared" si="14"/>
        <v>-180000</v>
      </c>
      <c r="AG83" s="31">
        <f t="shared" si="14"/>
        <v>-180000</v>
      </c>
      <c r="AH83"/>
    </row>
    <row r="84" spans="1:34" x14ac:dyDescent="0.2">
      <c r="A84" s="8"/>
      <c r="B84" s="8"/>
      <c r="C84" s="4" t="s">
        <v>142</v>
      </c>
      <c r="D84" s="38"/>
      <c r="F84" s="97"/>
      <c r="G84" s="211">
        <f t="shared" si="12"/>
        <v>45291</v>
      </c>
      <c r="H84" s="31"/>
      <c r="I84" s="31">
        <f t="shared" ref="I84:AG84" si="15">I64</f>
        <v>0</v>
      </c>
      <c r="J84" s="31">
        <f t="shared" si="15"/>
        <v>0</v>
      </c>
      <c r="K84" s="31">
        <f t="shared" si="15"/>
        <v>0</v>
      </c>
      <c r="L84" s="31">
        <f t="shared" si="15"/>
        <v>0</v>
      </c>
      <c r="M84" s="31">
        <f t="shared" si="15"/>
        <v>304911.29154582712</v>
      </c>
      <c r="N84" s="31">
        <f t="shared" si="15"/>
        <v>308885.8153396665</v>
      </c>
      <c r="O84" s="31">
        <f t="shared" si="15"/>
        <v>315948.66982217884</v>
      </c>
      <c r="P84" s="31">
        <f t="shared" si="15"/>
        <v>323674.52245658677</v>
      </c>
      <c r="Q84" s="31">
        <f t="shared" si="15"/>
        <v>328473.17524104123</v>
      </c>
      <c r="R84" s="31">
        <f t="shared" si="15"/>
        <v>330005.61574731884</v>
      </c>
      <c r="S84" s="31">
        <f t="shared" si="15"/>
        <v>331538.05625359714</v>
      </c>
      <c r="T84" s="31">
        <f t="shared" si="15"/>
        <v>333070.49675987486</v>
      </c>
      <c r="U84" s="31">
        <f t="shared" si="15"/>
        <v>334602.93726615241</v>
      </c>
      <c r="V84" s="31">
        <f t="shared" si="15"/>
        <v>336135.37777243071</v>
      </c>
      <c r="W84" s="31">
        <f t="shared" si="15"/>
        <v>337667.81827870838</v>
      </c>
      <c r="X84" s="31">
        <f t="shared" si="15"/>
        <v>339200.25878498598</v>
      </c>
      <c r="Y84" s="31">
        <f t="shared" si="15"/>
        <v>340732.69929126429</v>
      </c>
      <c r="Z84" s="31">
        <f t="shared" si="15"/>
        <v>342265.13979754201</v>
      </c>
      <c r="AA84" s="31">
        <f t="shared" si="15"/>
        <v>343797.58030382026</v>
      </c>
      <c r="AB84" s="31">
        <f t="shared" si="15"/>
        <v>345330.02081009781</v>
      </c>
      <c r="AC84" s="31">
        <f t="shared" si="15"/>
        <v>346862.46131637553</v>
      </c>
      <c r="AD84" s="31">
        <f t="shared" si="15"/>
        <v>348394.90182265377</v>
      </c>
      <c r="AE84" s="31">
        <f t="shared" si="15"/>
        <v>349927.34232893144</v>
      </c>
      <c r="AF84" s="31">
        <f t="shared" si="15"/>
        <v>351459.78283520916</v>
      </c>
      <c r="AG84" s="31">
        <f t="shared" si="15"/>
        <v>352992.22334148741</v>
      </c>
      <c r="AH84"/>
    </row>
    <row r="85" spans="1:34" x14ac:dyDescent="0.2">
      <c r="A85" s="8"/>
      <c r="B85" s="8"/>
      <c r="C85" s="4" t="s">
        <v>122</v>
      </c>
      <c r="D85" s="38"/>
      <c r="F85" s="97"/>
      <c r="G85" s="211">
        <f t="shared" si="12"/>
        <v>45291</v>
      </c>
      <c r="H85" s="31"/>
      <c r="I85" s="31">
        <f t="shared" ref="I85:AG85" si="16">I57</f>
        <v>0</v>
      </c>
      <c r="J85" s="31">
        <f t="shared" si="16"/>
        <v>0</v>
      </c>
      <c r="K85" s="31">
        <f t="shared" si="16"/>
        <v>0</v>
      </c>
      <c r="L85" s="31">
        <f t="shared" si="16"/>
        <v>0</v>
      </c>
      <c r="M85" s="31">
        <f t="shared" si="16"/>
        <v>74413.568259226799</v>
      </c>
      <c r="N85" s="31">
        <f t="shared" si="16"/>
        <v>75677.581598351768</v>
      </c>
      <c r="O85" s="31">
        <f t="shared" si="16"/>
        <v>77599.676413886758</v>
      </c>
      <c r="P85" s="31">
        <f t="shared" si="16"/>
        <v>79678.015220789704</v>
      </c>
      <c r="Q85" s="31">
        <f t="shared" si="16"/>
        <v>81148.399241838153</v>
      </c>
      <c r="R85" s="31">
        <f t="shared" si="16"/>
        <v>81925.750722504745</v>
      </c>
      <c r="S85" s="31">
        <f t="shared" si="16"/>
        <v>82703.102203171642</v>
      </c>
      <c r="T85" s="31">
        <f t="shared" si="16"/>
        <v>83480.453683838234</v>
      </c>
      <c r="U85" s="31">
        <f t="shared" si="16"/>
        <v>84257.805164504811</v>
      </c>
      <c r="V85" s="31">
        <f t="shared" si="16"/>
        <v>85035.156645171723</v>
      </c>
      <c r="W85" s="31">
        <f t="shared" si="16"/>
        <v>85812.508125838329</v>
      </c>
      <c r="X85" s="31">
        <f t="shared" si="16"/>
        <v>86589.859606504906</v>
      </c>
      <c r="Y85" s="31">
        <f t="shared" si="16"/>
        <v>87367.211087171818</v>
      </c>
      <c r="Z85" s="31">
        <f t="shared" si="16"/>
        <v>88144.562567838439</v>
      </c>
      <c r="AA85" s="31">
        <f t="shared" si="16"/>
        <v>88921.914048505336</v>
      </c>
      <c r="AB85" s="31">
        <f t="shared" si="16"/>
        <v>89699.265529171927</v>
      </c>
      <c r="AC85" s="31">
        <f t="shared" si="16"/>
        <v>90476.617009838534</v>
      </c>
      <c r="AD85" s="31">
        <f t="shared" si="16"/>
        <v>91253.968490505446</v>
      </c>
      <c r="AE85" s="31">
        <f t="shared" si="16"/>
        <v>92031.319971172008</v>
      </c>
      <c r="AF85" s="31">
        <f t="shared" si="16"/>
        <v>92808.671451838643</v>
      </c>
      <c r="AG85" s="31">
        <f t="shared" si="16"/>
        <v>93586.022932505526</v>
      </c>
      <c r="AH85"/>
    </row>
    <row r="86" spans="1:34" x14ac:dyDescent="0.2">
      <c r="A86" s="8"/>
      <c r="B86" s="8"/>
      <c r="C86" s="4"/>
      <c r="D86" s="38"/>
      <c r="F86" s="31"/>
      <c r="G86" s="21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/>
    </row>
    <row r="87" spans="1:34" x14ac:dyDescent="0.2">
      <c r="A87" s="8"/>
      <c r="B87" s="8"/>
      <c r="C87" s="178" t="s">
        <v>192</v>
      </c>
      <c r="D87" s="179"/>
      <c r="E87" s="174"/>
      <c r="F87" s="180"/>
      <c r="G87" s="216">
        <f t="shared" si="12"/>
        <v>45291</v>
      </c>
      <c r="H87" s="180"/>
      <c r="I87" s="180">
        <f t="shared" ref="I87:AB87" si="17">SUM(I82:I86)</f>
        <v>0</v>
      </c>
      <c r="J87" s="180">
        <f t="shared" si="17"/>
        <v>0</v>
      </c>
      <c r="K87" s="180">
        <f t="shared" si="17"/>
        <v>0</v>
      </c>
      <c r="L87" s="180">
        <f t="shared" si="17"/>
        <v>0</v>
      </c>
      <c r="M87" s="180">
        <f t="shared" si="17"/>
        <v>-238763.9150290183</v>
      </c>
      <c r="N87" s="180">
        <f t="shared" si="17"/>
        <v>-233525.37789605395</v>
      </c>
      <c r="O87" s="180">
        <f t="shared" si="17"/>
        <v>-224540.42859800661</v>
      </c>
      <c r="P87" s="180">
        <f t="shared" si="17"/>
        <v>-214736.23715669574</v>
      </c>
      <c r="Q87" s="180">
        <f t="shared" si="17"/>
        <v>-208467.20035119285</v>
      </c>
      <c r="R87" s="180">
        <f t="shared" si="17"/>
        <v>-206157.40836424864</v>
      </c>
      <c r="S87" s="180">
        <f t="shared" si="17"/>
        <v>-203847.61637730344</v>
      </c>
      <c r="T87" s="180">
        <f t="shared" si="17"/>
        <v>-201537.82439035911</v>
      </c>
      <c r="U87" s="180">
        <f t="shared" si="17"/>
        <v>-199228.03240341501</v>
      </c>
      <c r="V87" s="180">
        <f t="shared" si="17"/>
        <v>-196918.24041646978</v>
      </c>
      <c r="W87" s="180">
        <f t="shared" si="17"/>
        <v>-194608.44842952551</v>
      </c>
      <c r="X87" s="180">
        <f t="shared" si="17"/>
        <v>-192298.65644258133</v>
      </c>
      <c r="Y87" s="180">
        <f t="shared" si="17"/>
        <v>-189988.86445563613</v>
      </c>
      <c r="Z87" s="180">
        <f t="shared" si="17"/>
        <v>-187679.07246869177</v>
      </c>
      <c r="AA87" s="180">
        <f t="shared" si="17"/>
        <v>-185369.28048174662</v>
      </c>
      <c r="AB87" s="180">
        <f t="shared" si="17"/>
        <v>-183059.4884948025</v>
      </c>
      <c r="AC87" s="180">
        <f>SUM(AC82:AC86)</f>
        <v>-180749.69650785817</v>
      </c>
      <c r="AD87" s="180">
        <f>SUM(AD82:AD86)</f>
        <v>-178439.904520913</v>
      </c>
      <c r="AE87" s="180">
        <f>SUM(AE82:AE86)</f>
        <v>-176130.11253396876</v>
      </c>
      <c r="AF87" s="180">
        <f>SUM(AF82:AF86)</f>
        <v>-173820.32054702443</v>
      </c>
      <c r="AG87" s="180">
        <f>SUM(AG82:AG86)</f>
        <v>266578.24627399293</v>
      </c>
      <c r="AH87"/>
    </row>
    <row r="88" spans="1:34" x14ac:dyDescent="0.2">
      <c r="A88" s="8"/>
      <c r="B88" s="8"/>
      <c r="C88" s="75"/>
      <c r="D88" s="139"/>
      <c r="E88" s="64"/>
      <c r="F88" s="142"/>
      <c r="G88" s="21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  <c r="AH88"/>
    </row>
    <row r="89" spans="1:34" x14ac:dyDescent="0.2">
      <c r="A89" s="8"/>
      <c r="B89" s="8"/>
      <c r="C89" s="75"/>
      <c r="D89" s="139"/>
      <c r="E89" s="64"/>
      <c r="F89" s="142"/>
      <c r="G89" s="21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  <c r="AH89"/>
    </row>
    <row r="90" spans="1:34" x14ac:dyDescent="0.2">
      <c r="A90" s="8"/>
      <c r="B90" s="8"/>
      <c r="C90" s="231" t="s">
        <v>202</v>
      </c>
      <c r="D90" s="82"/>
      <c r="E90" s="232"/>
      <c r="F90" s="233"/>
      <c r="G90" s="234" cm="1">
        <f t="array" ref="G90">IF(SUM($I17:$AG17)=0,0,(INDEX(I$6:AG$6,MATCH(TRUE,INDEX($I17:$AG17&lt;&gt;0,),0))))</f>
        <v>4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/>
    </row>
    <row r="91" spans="1:34" x14ac:dyDescent="0.2">
      <c r="C91" s="82"/>
      <c r="D91" s="235"/>
      <c r="E91" s="232"/>
      <c r="F91" s="232"/>
      <c r="G91" s="234"/>
    </row>
    <row r="92" spans="1:34" x14ac:dyDescent="0.2">
      <c r="C92" s="236" t="s">
        <v>197</v>
      </c>
      <c r="D92" s="237"/>
      <c r="E92" s="237"/>
      <c r="F92" s="237"/>
      <c r="G92" s="238">
        <f>IF(_xlfn.MINIFS($G$90:$G$91, $G$90:$G$91, "&gt;"&amp;0)=0, $A$4, _xlfn.MINIFS($G$90:$G$91, $G$90:$G$91, "&gt;"&amp;0))</f>
        <v>4</v>
      </c>
    </row>
    <row r="94" spans="1:34" x14ac:dyDescent="0.2">
      <c r="G94" s="12"/>
    </row>
    <row r="102" spans="1:43" ht="15" x14ac:dyDescent="0.2">
      <c r="A102" s="89" t="s">
        <v>218</v>
      </c>
      <c r="B102" s="89"/>
      <c r="C102" s="89"/>
      <c r="D102" s="89"/>
      <c r="E102" s="89"/>
      <c r="F102" s="89"/>
      <c r="G102" s="205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3"/>
      <c r="J104" s="243"/>
      <c r="K104" s="243"/>
      <c r="L104" s="243"/>
      <c r="M104" s="243"/>
      <c r="N104" s="243"/>
      <c r="O104" s="243"/>
      <c r="P104" s="243"/>
      <c r="Q104" s="243"/>
      <c r="R104" s="243"/>
      <c r="S104" s="243"/>
      <c r="T104" s="243"/>
      <c r="U104" s="243"/>
      <c r="V104" s="243"/>
      <c r="W104" s="243"/>
      <c r="X104" s="243"/>
      <c r="Y104" s="243"/>
      <c r="Z104" s="243"/>
    </row>
    <row r="105" spans="1:43" x14ac:dyDescent="0.2">
      <c r="I105" s="243"/>
      <c r="J105" s="243"/>
      <c r="K105" s="243"/>
      <c r="L105" s="243"/>
      <c r="M105" s="243"/>
      <c r="N105" s="243"/>
      <c r="O105" s="243"/>
      <c r="P105" s="243"/>
      <c r="Q105" s="243"/>
      <c r="R105" s="243"/>
      <c r="S105" s="243"/>
      <c r="T105" s="243"/>
      <c r="U105" s="243"/>
      <c r="V105" s="243"/>
      <c r="W105" s="243"/>
      <c r="X105" s="243"/>
      <c r="Y105" s="243"/>
      <c r="Z105" s="243"/>
    </row>
    <row r="106" spans="1:43" x14ac:dyDescent="0.2">
      <c r="A106" s="1" t="s">
        <v>119</v>
      </c>
      <c r="C106" s="1" t="s">
        <v>192</v>
      </c>
      <c r="D106"/>
      <c r="E106"/>
      <c r="F106"/>
      <c r="G106" s="38" t="str">
        <f>PROPER($A$3)&amp;A106</f>
        <v>Option 3NPV</v>
      </c>
      <c r="I106" s="31">
        <f>I87</f>
        <v>0</v>
      </c>
      <c r="J106" s="31">
        <f t="shared" ref="J106:AG106" si="18">J87</f>
        <v>0</v>
      </c>
      <c r="K106" s="31">
        <f t="shared" si="18"/>
        <v>0</v>
      </c>
      <c r="L106" s="31">
        <f t="shared" si="18"/>
        <v>0</v>
      </c>
      <c r="M106" s="31">
        <f t="shared" si="18"/>
        <v>-238763.9150290183</v>
      </c>
      <c r="N106" s="31">
        <f t="shared" si="18"/>
        <v>-233525.37789605395</v>
      </c>
      <c r="O106" s="31">
        <f t="shared" si="18"/>
        <v>-224540.42859800661</v>
      </c>
      <c r="P106" s="31">
        <f t="shared" si="18"/>
        <v>-214736.23715669574</v>
      </c>
      <c r="Q106" s="31">
        <f t="shared" si="18"/>
        <v>-208467.20035119285</v>
      </c>
      <c r="R106" s="31">
        <f t="shared" si="18"/>
        <v>-206157.40836424864</v>
      </c>
      <c r="S106" s="31">
        <f t="shared" si="18"/>
        <v>-203847.61637730344</v>
      </c>
      <c r="T106" s="31">
        <f t="shared" si="18"/>
        <v>-201537.82439035911</v>
      </c>
      <c r="U106" s="31">
        <f t="shared" si="18"/>
        <v>-199228.03240341501</v>
      </c>
      <c r="V106" s="31">
        <f t="shared" si="18"/>
        <v>-196918.24041646978</v>
      </c>
      <c r="W106" s="31">
        <f t="shared" si="18"/>
        <v>-194608.44842952551</v>
      </c>
      <c r="X106" s="31">
        <f t="shared" si="18"/>
        <v>-192298.65644258133</v>
      </c>
      <c r="Y106" s="31">
        <f t="shared" si="18"/>
        <v>-189988.86445563613</v>
      </c>
      <c r="Z106" s="31">
        <f t="shared" si="18"/>
        <v>-187679.07246869177</v>
      </c>
      <c r="AA106" s="31">
        <f t="shared" si="18"/>
        <v>-185369.28048174662</v>
      </c>
      <c r="AB106" s="31">
        <f t="shared" si="18"/>
        <v>-183059.4884948025</v>
      </c>
      <c r="AC106" s="31">
        <f t="shared" si="18"/>
        <v>-180749.69650785817</v>
      </c>
      <c r="AD106" s="31">
        <f t="shared" si="18"/>
        <v>-178439.904520913</v>
      </c>
      <c r="AE106" s="31">
        <f t="shared" si="18"/>
        <v>-176130.11253396876</v>
      </c>
      <c r="AF106" s="31">
        <f t="shared" si="18"/>
        <v>-173820.32054702443</v>
      </c>
      <c r="AG106" s="31">
        <f t="shared" si="18"/>
        <v>266578.24627399293</v>
      </c>
    </row>
    <row r="107" spans="1:43" x14ac:dyDescent="0.2">
      <c r="C107" s="1" t="s">
        <v>161</v>
      </c>
      <c r="D107"/>
      <c r="E107"/>
      <c r="F107"/>
      <c r="G107"/>
      <c r="I107" s="31">
        <f>I82</f>
        <v>0</v>
      </c>
      <c r="J107" s="31">
        <f t="shared" ref="J107:AG107" si="19">J82</f>
        <v>0</v>
      </c>
      <c r="K107" s="31">
        <f t="shared" si="19"/>
        <v>0</v>
      </c>
      <c r="L107" s="31">
        <f t="shared" si="19"/>
        <v>0</v>
      </c>
      <c r="M107" s="31">
        <f t="shared" si="19"/>
        <v>-438088.77483407216</v>
      </c>
      <c r="N107" s="31">
        <f t="shared" si="19"/>
        <v>-438088.77483407216</v>
      </c>
      <c r="O107" s="31">
        <f t="shared" si="19"/>
        <v>-438088.77483407216</v>
      </c>
      <c r="P107" s="31">
        <f t="shared" si="19"/>
        <v>-438088.77483407216</v>
      </c>
      <c r="Q107" s="31">
        <f t="shared" si="19"/>
        <v>-438088.77483407216</v>
      </c>
      <c r="R107" s="31">
        <f t="shared" si="19"/>
        <v>-438088.77483407216</v>
      </c>
      <c r="S107" s="31">
        <f t="shared" si="19"/>
        <v>-438088.77483407216</v>
      </c>
      <c r="T107" s="31">
        <f t="shared" si="19"/>
        <v>-438088.77483407216</v>
      </c>
      <c r="U107" s="31">
        <f t="shared" si="19"/>
        <v>-438088.77483407216</v>
      </c>
      <c r="V107" s="31">
        <f t="shared" si="19"/>
        <v>-438088.77483407216</v>
      </c>
      <c r="W107" s="31">
        <f t="shared" si="19"/>
        <v>-438088.77483407216</v>
      </c>
      <c r="X107" s="31">
        <f t="shared" si="19"/>
        <v>-438088.77483407216</v>
      </c>
      <c r="Y107" s="31">
        <f t="shared" si="19"/>
        <v>-438088.77483407216</v>
      </c>
      <c r="Z107" s="31">
        <f t="shared" si="19"/>
        <v>-438088.77483407216</v>
      </c>
      <c r="AA107" s="31">
        <f t="shared" si="19"/>
        <v>-438088.77483407216</v>
      </c>
      <c r="AB107" s="31">
        <f t="shared" si="19"/>
        <v>-438088.77483407216</v>
      </c>
      <c r="AC107" s="31">
        <f t="shared" si="19"/>
        <v>-438088.77483407216</v>
      </c>
      <c r="AD107" s="31">
        <f t="shared" si="19"/>
        <v>-438088.77483407216</v>
      </c>
      <c r="AE107" s="31">
        <f t="shared" si="19"/>
        <v>-438088.77483407216</v>
      </c>
      <c r="AF107" s="31">
        <f t="shared" si="19"/>
        <v>-438088.77483407216</v>
      </c>
      <c r="AG107" s="31">
        <f t="shared" si="19"/>
        <v>0</v>
      </c>
    </row>
    <row r="108" spans="1:43" x14ac:dyDescent="0.2">
      <c r="C108" s="1" t="s">
        <v>243</v>
      </c>
      <c r="D108"/>
      <c r="E108"/>
      <c r="F108"/>
      <c r="G108"/>
      <c r="I108" s="31">
        <f>SUM(I84:I85)</f>
        <v>0</v>
      </c>
      <c r="J108" s="31">
        <f t="shared" ref="J108:AG108" si="20">SUM(J84:J85)</f>
        <v>0</v>
      </c>
      <c r="K108" s="31">
        <f t="shared" si="20"/>
        <v>0</v>
      </c>
      <c r="L108" s="31">
        <f t="shared" si="20"/>
        <v>0</v>
      </c>
      <c r="M108" s="31">
        <f t="shared" si="20"/>
        <v>379324.85980505391</v>
      </c>
      <c r="N108" s="31">
        <f t="shared" si="20"/>
        <v>384563.39693801827</v>
      </c>
      <c r="O108" s="31">
        <f t="shared" si="20"/>
        <v>393548.34623606561</v>
      </c>
      <c r="P108" s="31">
        <f t="shared" si="20"/>
        <v>403352.53767737647</v>
      </c>
      <c r="Q108" s="31">
        <f t="shared" si="20"/>
        <v>409621.57448287937</v>
      </c>
      <c r="R108" s="31">
        <f t="shared" si="20"/>
        <v>411931.36646982358</v>
      </c>
      <c r="S108" s="31">
        <f t="shared" si="20"/>
        <v>414241.15845676878</v>
      </c>
      <c r="T108" s="31">
        <f t="shared" si="20"/>
        <v>416550.95044371311</v>
      </c>
      <c r="U108" s="31">
        <f t="shared" si="20"/>
        <v>418860.74243065721</v>
      </c>
      <c r="V108" s="31">
        <f t="shared" si="20"/>
        <v>421170.53441760247</v>
      </c>
      <c r="W108" s="31">
        <f t="shared" si="20"/>
        <v>423480.32640454674</v>
      </c>
      <c r="X108" s="31">
        <f t="shared" si="20"/>
        <v>425790.11839149089</v>
      </c>
      <c r="Y108" s="31">
        <f t="shared" si="20"/>
        <v>428099.91037843609</v>
      </c>
      <c r="Z108" s="31">
        <f t="shared" si="20"/>
        <v>430409.70236538048</v>
      </c>
      <c r="AA108" s="31">
        <f t="shared" si="20"/>
        <v>432719.49435232556</v>
      </c>
      <c r="AB108" s="31">
        <f t="shared" si="20"/>
        <v>435029.28633926972</v>
      </c>
      <c r="AC108" s="31">
        <f t="shared" si="20"/>
        <v>437339.07832621405</v>
      </c>
      <c r="AD108" s="31">
        <f t="shared" si="20"/>
        <v>439648.87031315919</v>
      </c>
      <c r="AE108" s="31">
        <f t="shared" si="20"/>
        <v>441958.66230010346</v>
      </c>
      <c r="AF108" s="31">
        <f t="shared" si="20"/>
        <v>444268.45428704779</v>
      </c>
      <c r="AG108" s="31">
        <f t="shared" si="20"/>
        <v>446578.24627399293</v>
      </c>
    </row>
    <row r="109" spans="1:43" x14ac:dyDescent="0.2">
      <c r="D109" s="302" t="str">
        <f>Assumptions!G114</f>
        <v>Capex</v>
      </c>
      <c r="E109" s="302" t="str">
        <f>Assumptions!H114</f>
        <v>Total benefits</v>
      </c>
      <c r="I109" s="243"/>
      <c r="J109" s="243"/>
      <c r="K109" s="243"/>
      <c r="L109" s="243"/>
      <c r="M109" s="243"/>
      <c r="N109" s="243"/>
      <c r="O109" s="243"/>
      <c r="P109" s="243"/>
      <c r="Q109" s="243"/>
      <c r="R109" s="243"/>
      <c r="S109" s="243"/>
      <c r="T109" s="243"/>
      <c r="U109" s="243"/>
      <c r="V109" s="243"/>
      <c r="W109" s="243"/>
      <c r="X109" s="243"/>
      <c r="Y109" s="243"/>
      <c r="Z109" s="243"/>
    </row>
    <row r="110" spans="1:43" x14ac:dyDescent="0.2">
      <c r="A110" s="1" t="str">
        <f>"sens"&amp;Assumptions!B115</f>
        <v>sens1</v>
      </c>
      <c r="C110" s="301" t="str">
        <f>Assumptions!C115</f>
        <v>Capex 10% higher</v>
      </c>
      <c r="D110" s="302">
        <f>Assumptions!G115</f>
        <v>0.1</v>
      </c>
      <c r="E110" s="302">
        <f>Assumptions!H115</f>
        <v>0</v>
      </c>
      <c r="G110" s="38" t="str">
        <f>PROPER($A$3)&amp;A110</f>
        <v>Option 3sens1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-282572.79251242551</v>
      </c>
      <c r="N110" s="31" cm="1">
        <f t="array" ref="N110">N$106+IF($C110&lt;&gt;0,SUMPRODUCT((N$107:N$108)*TRANSPOSE(($D110:$E110))),0)</f>
        <v>-277334.25537946116</v>
      </c>
      <c r="O110" s="31" cm="1">
        <f t="array" ref="O110">O$106+IF($C110&lt;&gt;0,SUMPRODUCT((O$107:O$108)*TRANSPOSE(($D110:$E110))),0)</f>
        <v>-268349.30608141382</v>
      </c>
      <c r="P110" s="31" cm="1">
        <f t="array" ref="P110">P$106+IF($C110&lt;&gt;0,SUMPRODUCT((P$107:P$108)*TRANSPOSE(($D110:$E110))),0)</f>
        <v>-258545.11464010295</v>
      </c>
      <c r="Q110" s="31" cm="1">
        <f t="array" ref="Q110">Q$106+IF($C110&lt;&gt;0,SUMPRODUCT((Q$107:Q$108)*TRANSPOSE(($D110:$E110))),0)</f>
        <v>-252276.07783460006</v>
      </c>
      <c r="R110" s="31" cm="1">
        <f t="array" ref="R110">R$106+IF($C110&lt;&gt;0,SUMPRODUCT((R$107:R$108)*TRANSPOSE(($D110:$E110))),0)</f>
        <v>-249966.28584765585</v>
      </c>
      <c r="S110" s="31" cm="1">
        <f t="array" ref="S110">S$106+IF($C110&lt;&gt;0,SUMPRODUCT((S$107:S$108)*TRANSPOSE(($D110:$E110))),0)</f>
        <v>-247656.49386071065</v>
      </c>
      <c r="T110" s="31" cm="1">
        <f t="array" ref="T110">T$106+IF($C110&lt;&gt;0,SUMPRODUCT((T$107:T$108)*TRANSPOSE(($D110:$E110))),0)</f>
        <v>-245346.70187376632</v>
      </c>
      <c r="U110" s="31" cm="1">
        <f t="array" ref="U110">U$106+IF($C110&lt;&gt;0,SUMPRODUCT((U$107:U$108)*TRANSPOSE(($D110:$E110))),0)</f>
        <v>-243036.90988682222</v>
      </c>
      <c r="V110" s="31" cm="1">
        <f t="array" ref="V110">V$106+IF($C110&lt;&gt;0,SUMPRODUCT((V$107:V$108)*TRANSPOSE(($D110:$E110))),0)</f>
        <v>-240727.11789987699</v>
      </c>
      <c r="W110" s="31" cm="1">
        <f t="array" ref="W110">W$106+IF($C110&lt;&gt;0,SUMPRODUCT((W$107:W$108)*TRANSPOSE(($D110:$E110))),0)</f>
        <v>-238417.32591293272</v>
      </c>
      <c r="X110" s="31" cm="1">
        <f t="array" ref="X110">X$106+IF($C110&lt;&gt;0,SUMPRODUCT((X$107:X$108)*TRANSPOSE(($D110:$E110))),0)</f>
        <v>-236107.53392598854</v>
      </c>
      <c r="Y110" s="31" cm="1">
        <f t="array" ref="Y110">Y$106+IF($C110&lt;&gt;0,SUMPRODUCT((Y$107:Y$108)*TRANSPOSE(($D110:$E110))),0)</f>
        <v>-233797.74193904334</v>
      </c>
      <c r="Z110" s="31" cm="1">
        <f t="array" ref="Z110">Z$106+IF($C110&lt;&gt;0,SUMPRODUCT((Z$107:Z$108)*TRANSPOSE(($D110:$E110))),0)</f>
        <v>-231487.94995209898</v>
      </c>
      <c r="AA110" s="31" cm="1">
        <f t="array" ref="AA110">AA$106+IF($C110&lt;&gt;0,SUMPRODUCT((AA$107:AA$108)*TRANSPOSE(($D110:$E110))),0)</f>
        <v>-229178.15796515383</v>
      </c>
      <c r="AB110" s="31" cm="1">
        <f t="array" ref="AB110">AB$106+IF($C110&lt;&gt;0,SUMPRODUCT((AB$107:AB$108)*TRANSPOSE(($D110:$E110))),0)</f>
        <v>-226868.36597820971</v>
      </c>
      <c r="AC110" s="31" cm="1">
        <f t="array" ref="AC110">AC$106+IF($C110&lt;&gt;0,SUMPRODUCT((AC$107:AC$108)*TRANSPOSE(($D110:$E110))),0)</f>
        <v>-224558.57399126538</v>
      </c>
      <c r="AD110" s="31" cm="1">
        <f t="array" ref="AD110">AD$106+IF($C110&lt;&gt;0,SUMPRODUCT((AD$107:AD$108)*TRANSPOSE(($D110:$E110))),0)</f>
        <v>-222248.78200432021</v>
      </c>
      <c r="AE110" s="31" cm="1">
        <f t="array" ref="AE110">AE$106+IF($C110&lt;&gt;0,SUMPRODUCT((AE$107:AE$108)*TRANSPOSE(($D110:$E110))),0)</f>
        <v>-219938.99001737597</v>
      </c>
      <c r="AF110" s="31" cm="1">
        <f t="array" ref="AF110">AF$106+IF($C110&lt;&gt;0,SUMPRODUCT((AF$107:AF$108)*TRANSPOSE(($D110:$E110))),0)</f>
        <v>-217629.19803043164</v>
      </c>
      <c r="AG110" s="31" cm="1">
        <f t="array" ref="AG110">AG$106+IF($C110&lt;&gt;0,SUMPRODUCT((AG$107:AG$108)*TRANSPOSE(($D110:$E110))),0)</f>
        <v>266578.24627399293</v>
      </c>
    </row>
    <row r="111" spans="1:43" x14ac:dyDescent="0.2">
      <c r="A111" s="1" t="str">
        <f>"sens"&amp;Assumptions!B116</f>
        <v>sens2</v>
      </c>
      <c r="C111" s="301" t="str">
        <f>Assumptions!C116</f>
        <v>Capex 10% lower</v>
      </c>
      <c r="D111" s="302">
        <f>Assumptions!G116</f>
        <v>-0.1</v>
      </c>
      <c r="E111" s="302">
        <f>Assumptions!H116</f>
        <v>0</v>
      </c>
      <c r="G111" s="38" t="str">
        <f t="shared" ref="G111:G117" si="21">PROPER($A$3)&amp;A111</f>
        <v>Option 3sens2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-194955.03754561109</v>
      </c>
      <c r="N111" s="31" cm="1">
        <f t="array" ref="N111">N$106+IF($C111&lt;&gt;0,SUMPRODUCT((N$107:N$108)*TRANSPOSE(($D111:$E111))),0)</f>
        <v>-189716.50041264674</v>
      </c>
      <c r="O111" s="31" cm="1">
        <f t="array" ref="O111">O$106+IF($C111&lt;&gt;0,SUMPRODUCT((O$107:O$108)*TRANSPOSE(($D111:$E111))),0)</f>
        <v>-180731.5511145994</v>
      </c>
      <c r="P111" s="31" cm="1">
        <f t="array" ref="P111">P$106+IF($C111&lt;&gt;0,SUMPRODUCT((P$107:P$108)*TRANSPOSE(($D111:$E111))),0)</f>
        <v>-170927.35967328853</v>
      </c>
      <c r="Q111" s="31" cm="1">
        <f t="array" ref="Q111">Q$106+IF($C111&lt;&gt;0,SUMPRODUCT((Q$107:Q$108)*TRANSPOSE(($D111:$E111))),0)</f>
        <v>-164658.32286778564</v>
      </c>
      <c r="R111" s="31" cm="1">
        <f t="array" ref="R111">R$106+IF($C111&lt;&gt;0,SUMPRODUCT((R$107:R$108)*TRANSPOSE(($D111:$E111))),0)</f>
        <v>-162348.53088084143</v>
      </c>
      <c r="S111" s="31" cm="1">
        <f t="array" ref="S111">S$106+IF($C111&lt;&gt;0,SUMPRODUCT((S$107:S$108)*TRANSPOSE(($D111:$E111))),0)</f>
        <v>-160038.73889389622</v>
      </c>
      <c r="T111" s="31" cm="1">
        <f t="array" ref="T111">T$106+IF($C111&lt;&gt;0,SUMPRODUCT((T$107:T$108)*TRANSPOSE(($D111:$E111))),0)</f>
        <v>-157728.9469069519</v>
      </c>
      <c r="U111" s="31" cm="1">
        <f t="array" ref="U111">U$106+IF($C111&lt;&gt;0,SUMPRODUCT((U$107:U$108)*TRANSPOSE(($D111:$E111))),0)</f>
        <v>-155419.1549200078</v>
      </c>
      <c r="V111" s="31" cm="1">
        <f t="array" ref="V111">V$106+IF($C111&lt;&gt;0,SUMPRODUCT((V$107:V$108)*TRANSPOSE(($D111:$E111))),0)</f>
        <v>-153109.36293306257</v>
      </c>
      <c r="W111" s="31" cm="1">
        <f t="array" ref="W111">W$106+IF($C111&lt;&gt;0,SUMPRODUCT((W$107:W$108)*TRANSPOSE(($D111:$E111))),0)</f>
        <v>-150799.5709461183</v>
      </c>
      <c r="X111" s="31" cm="1">
        <f t="array" ref="X111">X$106+IF($C111&lt;&gt;0,SUMPRODUCT((X$107:X$108)*TRANSPOSE(($D111:$E111))),0)</f>
        <v>-148489.77895917412</v>
      </c>
      <c r="Y111" s="31" cm="1">
        <f t="array" ref="Y111">Y$106+IF($C111&lt;&gt;0,SUMPRODUCT((Y$107:Y$108)*TRANSPOSE(($D111:$E111))),0)</f>
        <v>-146179.98697222891</v>
      </c>
      <c r="Z111" s="31" cm="1">
        <f t="array" ref="Z111">Z$106+IF($C111&lt;&gt;0,SUMPRODUCT((Z$107:Z$108)*TRANSPOSE(($D111:$E111))),0)</f>
        <v>-143870.19498528456</v>
      </c>
      <c r="AA111" s="31" cm="1">
        <f t="array" ref="AA111">AA$106+IF($C111&lt;&gt;0,SUMPRODUCT((AA$107:AA$108)*TRANSPOSE(($D111:$E111))),0)</f>
        <v>-141560.40299833941</v>
      </c>
      <c r="AB111" s="31" cm="1">
        <f t="array" ref="AB111">AB$106+IF($C111&lt;&gt;0,SUMPRODUCT((AB$107:AB$108)*TRANSPOSE(($D111:$E111))),0)</f>
        <v>-139250.61101139529</v>
      </c>
      <c r="AC111" s="31" cm="1">
        <f t="array" ref="AC111">AC$106+IF($C111&lt;&gt;0,SUMPRODUCT((AC$107:AC$108)*TRANSPOSE(($D111:$E111))),0)</f>
        <v>-136940.81902445096</v>
      </c>
      <c r="AD111" s="31" cm="1">
        <f t="array" ref="AD111">AD$106+IF($C111&lt;&gt;0,SUMPRODUCT((AD$107:AD$108)*TRANSPOSE(($D111:$E111))),0)</f>
        <v>-134631.02703750579</v>
      </c>
      <c r="AE111" s="31" cm="1">
        <f t="array" ref="AE111">AE$106+IF($C111&lt;&gt;0,SUMPRODUCT((AE$107:AE$108)*TRANSPOSE(($D111:$E111))),0)</f>
        <v>-132321.23505056155</v>
      </c>
      <c r="AF111" s="31" cm="1">
        <f t="array" ref="AF111">AF$106+IF($C111&lt;&gt;0,SUMPRODUCT((AF$107:AF$108)*TRANSPOSE(($D111:$E111))),0)</f>
        <v>-130011.44306361722</v>
      </c>
      <c r="AG111" s="31" cm="1">
        <f t="array" ref="AG111">AG$106+IF($C111&lt;&gt;0,SUMPRODUCT((AG$107:AG$108)*TRANSPOSE(($D111:$E111))),0)</f>
        <v>266578.24627399293</v>
      </c>
    </row>
    <row r="112" spans="1:43" x14ac:dyDescent="0.2">
      <c r="A112" s="1" t="str">
        <f>"sens"&amp;Assumptions!B117</f>
        <v>sens3</v>
      </c>
      <c r="C112" s="301" t="str">
        <f>Assumptions!C117</f>
        <v>Increasing wind escalation</v>
      </c>
      <c r="D112" s="302">
        <f>Assumptions!G117</f>
        <v>0</v>
      </c>
      <c r="E112" s="302">
        <f>Assumptions!H117/20</f>
        <v>7.4999999999999997E-3</v>
      </c>
      <c r="G112" s="38" t="str">
        <f t="shared" si="21"/>
        <v>Option 3sens3</v>
      </c>
      <c r="I112" s="335">
        <f>IF(I106&lt;&gt;0, I106+SUM(Workings_risks!$F$19*Workings_risks!I28,Workings_risks!I26*Workings_risks!$F$18)*Workings_risks!$F$13*Workings_risks!I8*$E$28,0)</f>
        <v>0</v>
      </c>
      <c r="J112" s="335">
        <f>IF(J106&lt;&gt;0, J106+SUM(Workings_risks!$F$19*Workings_risks!J28,Workings_risks!J26*Workings_risks!$F$18)*Workings_risks!$F$13*Workings_risks!J8*$E$28,0)</f>
        <v>0</v>
      </c>
      <c r="K112" s="335">
        <f>IF(K106&lt;&gt;0, K106+SUM(Workings_risks!$F$19*Workings_risks!K28,Workings_risks!K26*Workings_risks!$F$18)*Workings_risks!$F$13*Workings_risks!K8*$E$28,0)</f>
        <v>0</v>
      </c>
      <c r="L112" s="335">
        <f>IF(L106&lt;&gt;0, L106+SUM(Workings_risks!$F$19*Workings_risks!L28,Workings_risks!L26*Workings_risks!$F$18)*Workings_risks!$F$13*Workings_risks!L8*$E$28,0)</f>
        <v>0</v>
      </c>
      <c r="M112" s="335">
        <f>IF(M106&lt;&gt;0, M106+SUM(Workings_risks!$F$19*Workings_risks!M28,Workings_risks!M26*Workings_risks!$F$18)*Workings_risks!$F$13*Workings_risks!M8*$E$28,0)</f>
        <v>-223931.86376416712</v>
      </c>
      <c r="N112" s="335">
        <f>IF(N106&lt;&gt;0, N106+SUM(Workings_risks!$F$19*Workings_risks!N28,Workings_risks!N26*Workings_risks!$F$18)*Workings_risks!$F$13*Workings_risks!N8*$E$28,0)</f>
        <v>-220173.55541284243</v>
      </c>
      <c r="O112" s="335">
        <f>IF(O106&lt;&gt;0, O106+SUM(Workings_risks!$F$19*Workings_risks!O28,Workings_risks!O26*Workings_risks!$F$18)*Workings_risks!$F$13*Workings_risks!O8*$E$28,0)</f>
        <v>-212563.46253995693</v>
      </c>
      <c r="P112" s="335">
        <f>IF(P106&lt;&gt;0, P106+SUM(Workings_risks!$F$19*Workings_risks!P28,Workings_risks!P26*Workings_risks!$F$18)*Workings_risks!$F$13*Workings_risks!P8*$E$28,0)</f>
        <v>-204155.87014618597</v>
      </c>
      <c r="Q112" s="335">
        <f>IF(Q106&lt;&gt;0, Q106+SUM(Workings_risks!$F$19*Workings_risks!Q28,Workings_risks!Q26*Workings_risks!$F$18)*Workings_risks!$F$13*Workings_risks!Q8*$E$28,0)</f>
        <v>-199412.9299149205</v>
      </c>
      <c r="R112" s="335">
        <f>IF(R106&lt;&gt;0, R106+SUM(Workings_risks!$F$19*Workings_risks!R28,Workings_risks!R26*Workings_risks!$F$18)*Workings_risks!$F$13*Workings_risks!R8*$E$28,0)</f>
        <v>-198720.65989475022</v>
      </c>
      <c r="S112" s="335">
        <f>IF(S106&lt;&gt;0, S106+SUM(Workings_risks!$F$19*Workings_risks!S28,Workings_risks!S26*Workings_risks!$F$18)*Workings_risks!$F$13*Workings_risks!S8*$E$28,0)</f>
        <v>-198013.2662942982</v>
      </c>
      <c r="T112" s="335">
        <f>IF(T106&lt;&gt;0, T106+SUM(Workings_risks!$F$19*Workings_risks!T28,Workings_risks!T26*Workings_risks!$F$18)*Workings_risks!$F$13*Workings_risks!T8*$E$28,0)</f>
        <v>-197290.96293045438</v>
      </c>
      <c r="U112" s="335">
        <f>IF(U106&lt;&gt;0, U106+SUM(Workings_risks!$F$19*Workings_risks!U28,Workings_risks!U26*Workings_risks!$F$18)*Workings_risks!$F$13*Workings_risks!U8*$E$28,0)</f>
        <v>-196553.95960842809</v>
      </c>
      <c r="V112" s="335">
        <f>IF(V106&lt;&gt;0, V106+SUM(Workings_risks!$F$19*Workings_risks!V28,Workings_risks!V26*Workings_risks!$F$18)*Workings_risks!$F$13*Workings_risks!V8*$E$28,0)</f>
        <v>-195802.4622153941</v>
      </c>
      <c r="W112" s="335">
        <f>IF(W106&lt;&gt;0, W106+SUM(Workings_risks!$F$19*Workings_risks!W28,Workings_risks!W26*Workings_risks!$F$18)*Workings_risks!$F$13*Workings_risks!W8*$E$28,0)</f>
        <v>-195036.67281152945</v>
      </c>
      <c r="X112" s="335">
        <f>IF(X106&lt;&gt;0, X106+SUM(Workings_risks!$F$19*Workings_risks!X28,Workings_risks!X26*Workings_risks!$F$18)*Workings_risks!$F$13*Workings_risks!X8*$E$28,0)</f>
        <v>-194256.78971851905</v>
      </c>
      <c r="Y112" s="335">
        <f>IF(Y106&lt;&gt;0, Y106+SUM(Workings_risks!$F$19*Workings_risks!Y28,Workings_risks!Y26*Workings_risks!$F$18)*Workings_risks!$F$13*Workings_risks!Y8*$E$28,0)</f>
        <v>-193463.00760562008</v>
      </c>
      <c r="Z112" s="335">
        <f>IF(Z106&lt;&gt;0, Z106+SUM(Workings_risks!$F$19*Workings_risks!Z28,Workings_risks!Z26*Workings_risks!$F$18)*Workings_risks!$F$13*Workings_risks!Z8*$E$28,0)</f>
        <v>-192655.5175733598</v>
      </c>
      <c r="AA112" s="335">
        <f>IF(AA106&lt;&gt;0, AA106+SUM(Workings_risks!$F$19*Workings_risks!AA28,Workings_risks!AA26*Workings_risks!$F$18)*Workings_risks!$F$13*Workings_risks!AA8*$E$28,0)</f>
        <v>-191834.50723493882</v>
      </c>
      <c r="AB112" s="335">
        <f>IF(AB106&lt;&gt;0, AB106+SUM(Workings_risks!$F$19*Workings_risks!AB28,Workings_risks!AB26*Workings_risks!$F$18)*Workings_risks!$F$13*Workings_risks!AB8*$E$28,0)</f>
        <v>-191000.16079542096</v>
      </c>
      <c r="AC112" s="335">
        <f>IF(AC106&lt;&gt;0, AC106+SUM(Workings_risks!$F$19*Workings_risks!AC28,Workings_risks!AC26*Workings_risks!$F$18)*Workings_risks!$F$13*Workings_risks!AC8*$E$28,0)</f>
        <v>-190152.65912877038</v>
      </c>
      <c r="AD112" s="335">
        <f>IF(AD106&lt;&gt;0, AD106+SUM(Workings_risks!$F$19*Workings_risks!AD28,Workings_risks!AD26*Workings_risks!$F$18)*Workings_risks!$F$13*Workings_risks!AD8*$E$28,0)</f>
        <v>-189292.17985281217</v>
      </c>
      <c r="AE112" s="335">
        <f>IF(AE106&lt;&gt;0, AE106+SUM(Workings_risks!$F$19*Workings_risks!AE28,Workings_risks!AE26*Workings_risks!$F$18)*Workings_risks!$F$13*Workings_risks!AE8*$E$28,0)</f>
        <v>-188418.89740217675</v>
      </c>
      <c r="AF112" s="335">
        <f>IF(AF106&lt;&gt;0, AF106+SUM(Workings_risks!$F$19*Workings_risks!AF28,Workings_risks!AF26*Workings_risks!$F$18)*Workings_risks!$F$13*Workings_risks!AF8*$E$28,0)</f>
        <v>-187532.98309929014</v>
      </c>
      <c r="AG112" s="335">
        <f>IF(AG106&lt;&gt;0, AG106+SUM(Workings_risks!$F$19*Workings_risks!AG28,Workings_risks!AG26*Workings_risks!$F$18)*Workings_risks!$F$13*Workings_risks!AG8*$E$28,0)</f>
        <v>251454.16961059699</v>
      </c>
    </row>
    <row r="113" spans="1:33" x14ac:dyDescent="0.2">
      <c r="A113" s="1" t="str">
        <f>"sens"&amp;Assumptions!B118</f>
        <v>sens4</v>
      </c>
      <c r="C113" s="301" t="str">
        <f>Assumptions!C118</f>
        <v/>
      </c>
      <c r="D113" s="302">
        <f>Assumptions!G118</f>
        <v>0</v>
      </c>
      <c r="E113" s="302">
        <f>Assumptions!H118</f>
        <v>0</v>
      </c>
      <c r="G113" s="38" t="str">
        <f t="shared" si="21"/>
        <v>Option 3sens4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-238763.9150290183</v>
      </c>
      <c r="N113" s="31" cm="1">
        <f t="array" ref="N113">N$106+IF($C113&lt;&gt;0,SUMPRODUCT((N$107:N$108)*TRANSPOSE(($D113:$E113))),0)</f>
        <v>-233525.37789605395</v>
      </c>
      <c r="O113" s="31" cm="1">
        <f t="array" ref="O113">O$106+IF($C113&lt;&gt;0,SUMPRODUCT((O$107:O$108)*TRANSPOSE(($D113:$E113))),0)</f>
        <v>-224540.42859800661</v>
      </c>
      <c r="P113" s="31" cm="1">
        <f t="array" ref="P113">P$106+IF($C113&lt;&gt;0,SUMPRODUCT((P$107:P$108)*TRANSPOSE(($D113:$E113))),0)</f>
        <v>-214736.23715669574</v>
      </c>
      <c r="Q113" s="31" cm="1">
        <f t="array" ref="Q113">Q$106+IF($C113&lt;&gt;0,SUMPRODUCT((Q$107:Q$108)*TRANSPOSE(($D113:$E113))),0)</f>
        <v>-208467.20035119285</v>
      </c>
      <c r="R113" s="31" cm="1">
        <f t="array" ref="R113">R$106+IF($C113&lt;&gt;0,SUMPRODUCT((R$107:R$108)*TRANSPOSE(($D113:$E113))),0)</f>
        <v>-206157.40836424864</v>
      </c>
      <c r="S113" s="31" cm="1">
        <f t="array" ref="S113">S$106+IF($C113&lt;&gt;0,SUMPRODUCT((S$107:S$108)*TRANSPOSE(($D113:$E113))),0)</f>
        <v>-203847.61637730344</v>
      </c>
      <c r="T113" s="31" cm="1">
        <f t="array" ref="T113">T$106+IF($C113&lt;&gt;0,SUMPRODUCT((T$107:T$108)*TRANSPOSE(($D113:$E113))),0)</f>
        <v>-201537.82439035911</v>
      </c>
      <c r="U113" s="31" cm="1">
        <f t="array" ref="U113">U$106+IF($C113&lt;&gt;0,SUMPRODUCT((U$107:U$108)*TRANSPOSE(($D113:$E113))),0)</f>
        <v>-199228.03240341501</v>
      </c>
      <c r="V113" s="31" cm="1">
        <f t="array" ref="V113">V$106+IF($C113&lt;&gt;0,SUMPRODUCT((V$107:V$108)*TRANSPOSE(($D113:$E113))),0)</f>
        <v>-196918.24041646978</v>
      </c>
      <c r="W113" s="31" cm="1">
        <f t="array" ref="W113">W$106+IF($C113&lt;&gt;0,SUMPRODUCT((W$107:W$108)*TRANSPOSE(($D113:$E113))),0)</f>
        <v>-194608.44842952551</v>
      </c>
      <c r="X113" s="31" cm="1">
        <f t="array" ref="X113">X$106+IF($C113&lt;&gt;0,SUMPRODUCT((X$107:X$108)*TRANSPOSE(($D113:$E113))),0)</f>
        <v>-192298.65644258133</v>
      </c>
      <c r="Y113" s="31" cm="1">
        <f t="array" ref="Y113">Y$106+IF($C113&lt;&gt;0,SUMPRODUCT((Y$107:Y$108)*TRANSPOSE(($D113:$E113))),0)</f>
        <v>-189988.86445563613</v>
      </c>
      <c r="Z113" s="31" cm="1">
        <f t="array" ref="Z113">Z$106+IF($C113&lt;&gt;0,SUMPRODUCT((Z$107:Z$108)*TRANSPOSE(($D113:$E113))),0)</f>
        <v>-187679.07246869177</v>
      </c>
      <c r="AA113" s="31" cm="1">
        <f t="array" ref="AA113">AA$106+IF($C113&lt;&gt;0,SUMPRODUCT((AA$107:AA$108)*TRANSPOSE(($D113:$E113))),0)</f>
        <v>-185369.28048174662</v>
      </c>
      <c r="AB113" s="31" cm="1">
        <f t="array" ref="AB113">AB$106+IF($C113&lt;&gt;0,SUMPRODUCT((AB$107:AB$108)*TRANSPOSE(($D113:$E113))),0)</f>
        <v>-183059.4884948025</v>
      </c>
      <c r="AC113" s="31" cm="1">
        <f t="array" ref="AC113">AC$106+IF($C113&lt;&gt;0,SUMPRODUCT((AC$107:AC$108)*TRANSPOSE(($D113:$E113))),0)</f>
        <v>-180749.69650785817</v>
      </c>
      <c r="AD113" s="31" cm="1">
        <f t="array" ref="AD113">AD$106+IF($C113&lt;&gt;0,SUMPRODUCT((AD$107:AD$108)*TRANSPOSE(($D113:$E113))),0)</f>
        <v>-178439.904520913</v>
      </c>
      <c r="AE113" s="31" cm="1">
        <f t="array" ref="AE113">AE$106+IF($C113&lt;&gt;0,SUMPRODUCT((AE$107:AE$108)*TRANSPOSE(($D113:$E113))),0)</f>
        <v>-176130.11253396876</v>
      </c>
      <c r="AF113" s="31" cm="1">
        <f t="array" ref="AF113">AF$106+IF($C113&lt;&gt;0,SUMPRODUCT((AF$107:AF$108)*TRANSPOSE(($D113:$E113))),0)</f>
        <v>-173820.32054702443</v>
      </c>
      <c r="AG113" s="31" cm="1">
        <f t="array" ref="AG113">AG$106+IF($C113&lt;&gt;0,SUMPRODUCT((AG$107:AG$108)*TRANSPOSE(($D113:$E113))),0)</f>
        <v>266578.24627399293</v>
      </c>
    </row>
    <row r="114" spans="1:33" x14ac:dyDescent="0.2">
      <c r="A114" s="1" t="str">
        <f>"sens"&amp;Assumptions!B119</f>
        <v>sens5</v>
      </c>
      <c r="C114" s="301" t="str">
        <f>Assumptions!C119</f>
        <v/>
      </c>
      <c r="D114" s="302">
        <f>Assumptions!G119</f>
        <v>0</v>
      </c>
      <c r="E114" s="302">
        <f>Assumptions!H119</f>
        <v>0</v>
      </c>
      <c r="G114" s="38" t="str">
        <f t="shared" si="21"/>
        <v>Option 3sens5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-238763.9150290183</v>
      </c>
      <c r="N114" s="31" cm="1">
        <f t="array" ref="N114">N$106+IF($C114&lt;&gt;0,SUMPRODUCT((N$107:N$108)*TRANSPOSE(($D114:$E114))),0)</f>
        <v>-233525.37789605395</v>
      </c>
      <c r="O114" s="31" cm="1">
        <f t="array" ref="O114">O$106+IF($C114&lt;&gt;0,SUMPRODUCT((O$107:O$108)*TRANSPOSE(($D114:$E114))),0)</f>
        <v>-224540.42859800661</v>
      </c>
      <c r="P114" s="31" cm="1">
        <f t="array" ref="P114">P$106+IF($C114&lt;&gt;0,SUMPRODUCT((P$107:P$108)*TRANSPOSE(($D114:$E114))),0)</f>
        <v>-214736.23715669574</v>
      </c>
      <c r="Q114" s="31" cm="1">
        <f t="array" ref="Q114">Q$106+IF($C114&lt;&gt;0,SUMPRODUCT((Q$107:Q$108)*TRANSPOSE(($D114:$E114))),0)</f>
        <v>-208467.20035119285</v>
      </c>
      <c r="R114" s="31" cm="1">
        <f t="array" ref="R114">R$106+IF($C114&lt;&gt;0,SUMPRODUCT((R$107:R$108)*TRANSPOSE(($D114:$E114))),0)</f>
        <v>-206157.40836424864</v>
      </c>
      <c r="S114" s="31" cm="1">
        <f t="array" ref="S114">S$106+IF($C114&lt;&gt;0,SUMPRODUCT((S$107:S$108)*TRANSPOSE(($D114:$E114))),0)</f>
        <v>-203847.61637730344</v>
      </c>
      <c r="T114" s="31" cm="1">
        <f t="array" ref="T114">T$106+IF($C114&lt;&gt;0,SUMPRODUCT((T$107:T$108)*TRANSPOSE(($D114:$E114))),0)</f>
        <v>-201537.82439035911</v>
      </c>
      <c r="U114" s="31" cm="1">
        <f t="array" ref="U114">U$106+IF($C114&lt;&gt;0,SUMPRODUCT((U$107:U$108)*TRANSPOSE(($D114:$E114))),0)</f>
        <v>-199228.03240341501</v>
      </c>
      <c r="V114" s="31" cm="1">
        <f t="array" ref="V114">V$106+IF($C114&lt;&gt;0,SUMPRODUCT((V$107:V$108)*TRANSPOSE(($D114:$E114))),0)</f>
        <v>-196918.24041646978</v>
      </c>
      <c r="W114" s="31" cm="1">
        <f t="array" ref="W114">W$106+IF($C114&lt;&gt;0,SUMPRODUCT((W$107:W$108)*TRANSPOSE(($D114:$E114))),0)</f>
        <v>-194608.44842952551</v>
      </c>
      <c r="X114" s="31" cm="1">
        <f t="array" ref="X114">X$106+IF($C114&lt;&gt;0,SUMPRODUCT((X$107:X$108)*TRANSPOSE(($D114:$E114))),0)</f>
        <v>-192298.65644258133</v>
      </c>
      <c r="Y114" s="31" cm="1">
        <f t="array" ref="Y114">Y$106+IF($C114&lt;&gt;0,SUMPRODUCT((Y$107:Y$108)*TRANSPOSE(($D114:$E114))),0)</f>
        <v>-189988.86445563613</v>
      </c>
      <c r="Z114" s="31" cm="1">
        <f t="array" ref="Z114">Z$106+IF($C114&lt;&gt;0,SUMPRODUCT((Z$107:Z$108)*TRANSPOSE(($D114:$E114))),0)</f>
        <v>-187679.07246869177</v>
      </c>
      <c r="AA114" s="31" cm="1">
        <f t="array" ref="AA114">AA$106+IF($C114&lt;&gt;0,SUMPRODUCT((AA$107:AA$108)*TRANSPOSE(($D114:$E114))),0)</f>
        <v>-185369.28048174662</v>
      </c>
      <c r="AB114" s="31" cm="1">
        <f t="array" ref="AB114">AB$106+IF($C114&lt;&gt;0,SUMPRODUCT((AB$107:AB$108)*TRANSPOSE(($D114:$E114))),0)</f>
        <v>-183059.4884948025</v>
      </c>
      <c r="AC114" s="31" cm="1">
        <f t="array" ref="AC114">AC$106+IF($C114&lt;&gt;0,SUMPRODUCT((AC$107:AC$108)*TRANSPOSE(($D114:$E114))),0)</f>
        <v>-180749.69650785817</v>
      </c>
      <c r="AD114" s="31" cm="1">
        <f t="array" ref="AD114">AD$106+IF($C114&lt;&gt;0,SUMPRODUCT((AD$107:AD$108)*TRANSPOSE(($D114:$E114))),0)</f>
        <v>-178439.904520913</v>
      </c>
      <c r="AE114" s="31" cm="1">
        <f t="array" ref="AE114">AE$106+IF($C114&lt;&gt;0,SUMPRODUCT((AE$107:AE$108)*TRANSPOSE(($D114:$E114))),0)</f>
        <v>-176130.11253396876</v>
      </c>
      <c r="AF114" s="31" cm="1">
        <f t="array" ref="AF114">AF$106+IF($C114&lt;&gt;0,SUMPRODUCT((AF$107:AF$108)*TRANSPOSE(($D114:$E114))),0)</f>
        <v>-173820.32054702443</v>
      </c>
      <c r="AG114" s="31" cm="1">
        <f t="array" ref="AG114">AG$106+IF($C114&lt;&gt;0,SUMPRODUCT((AG$107:AG$108)*TRANSPOSE(($D114:$E114))),0)</f>
        <v>266578.24627399293</v>
      </c>
    </row>
    <row r="115" spans="1:33" x14ac:dyDescent="0.2">
      <c r="A115" s="1" t="str">
        <f>"sens"&amp;Assumptions!B120</f>
        <v>sens</v>
      </c>
      <c r="C115" s="301">
        <f>Assumptions!C120</f>
        <v>0</v>
      </c>
      <c r="D115" s="302">
        <f>Assumptions!G120</f>
        <v>0</v>
      </c>
      <c r="E115" s="302">
        <f>Assumptions!H120</f>
        <v>0</v>
      </c>
      <c r="G115" s="38" t="str">
        <f t="shared" si="21"/>
        <v>Option 3sens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-238763.9150290183</v>
      </c>
      <c r="N115" s="31" cm="1">
        <f t="array" ref="N115">N$106+IF($C115&lt;&gt;0,SUMPRODUCT((N$107:N$108)*TRANSPOSE(($D115:$E115))),0)</f>
        <v>-233525.37789605395</v>
      </c>
      <c r="O115" s="31" cm="1">
        <f t="array" ref="O115">O$106+IF($C115&lt;&gt;0,SUMPRODUCT((O$107:O$108)*TRANSPOSE(($D115:$E115))),0)</f>
        <v>-224540.42859800661</v>
      </c>
      <c r="P115" s="31" cm="1">
        <f t="array" ref="P115">P$106+IF($C115&lt;&gt;0,SUMPRODUCT((P$107:P$108)*TRANSPOSE(($D115:$E115))),0)</f>
        <v>-214736.23715669574</v>
      </c>
      <c r="Q115" s="31" cm="1">
        <f t="array" ref="Q115">Q$106+IF($C115&lt;&gt;0,SUMPRODUCT((Q$107:Q$108)*TRANSPOSE(($D115:$E115))),0)</f>
        <v>-208467.20035119285</v>
      </c>
      <c r="R115" s="31" cm="1">
        <f t="array" ref="R115">R$106+IF($C115&lt;&gt;0,SUMPRODUCT((R$107:R$108)*TRANSPOSE(($D115:$E115))),0)</f>
        <v>-206157.40836424864</v>
      </c>
      <c r="S115" s="31" cm="1">
        <f t="array" ref="S115">S$106+IF($C115&lt;&gt;0,SUMPRODUCT((S$107:S$108)*TRANSPOSE(($D115:$E115))),0)</f>
        <v>-203847.61637730344</v>
      </c>
      <c r="T115" s="31" cm="1">
        <f t="array" ref="T115">T$106+IF($C115&lt;&gt;0,SUMPRODUCT((T$107:T$108)*TRANSPOSE(($D115:$E115))),0)</f>
        <v>-201537.82439035911</v>
      </c>
      <c r="U115" s="31" cm="1">
        <f t="array" ref="U115">U$106+IF($C115&lt;&gt;0,SUMPRODUCT((U$107:U$108)*TRANSPOSE(($D115:$E115))),0)</f>
        <v>-199228.03240341501</v>
      </c>
      <c r="V115" s="31" cm="1">
        <f t="array" ref="V115">V$106+IF($C115&lt;&gt;0,SUMPRODUCT((V$107:V$108)*TRANSPOSE(($D115:$E115))),0)</f>
        <v>-196918.24041646978</v>
      </c>
      <c r="W115" s="31" cm="1">
        <f t="array" ref="W115">W$106+IF($C115&lt;&gt;0,SUMPRODUCT((W$107:W$108)*TRANSPOSE(($D115:$E115))),0)</f>
        <v>-194608.44842952551</v>
      </c>
      <c r="X115" s="31" cm="1">
        <f t="array" ref="X115">X$106+IF($C115&lt;&gt;0,SUMPRODUCT((X$107:X$108)*TRANSPOSE(($D115:$E115))),0)</f>
        <v>-192298.65644258133</v>
      </c>
      <c r="Y115" s="31" cm="1">
        <f t="array" ref="Y115">Y$106+IF($C115&lt;&gt;0,SUMPRODUCT((Y$107:Y$108)*TRANSPOSE(($D115:$E115))),0)</f>
        <v>-189988.86445563613</v>
      </c>
      <c r="Z115" s="31" cm="1">
        <f t="array" ref="Z115">Z$106+IF($C115&lt;&gt;0,SUMPRODUCT((Z$107:Z$108)*TRANSPOSE(($D115:$E115))),0)</f>
        <v>-187679.07246869177</v>
      </c>
      <c r="AA115" s="31" cm="1">
        <f t="array" ref="AA115">AA$106+IF($C115&lt;&gt;0,SUMPRODUCT((AA$107:AA$108)*TRANSPOSE(($D115:$E115))),0)</f>
        <v>-185369.28048174662</v>
      </c>
      <c r="AB115" s="31" cm="1">
        <f t="array" ref="AB115">AB$106+IF($C115&lt;&gt;0,SUMPRODUCT((AB$107:AB$108)*TRANSPOSE(($D115:$E115))),0)</f>
        <v>-183059.4884948025</v>
      </c>
      <c r="AC115" s="31" cm="1">
        <f t="array" ref="AC115">AC$106+IF($C115&lt;&gt;0,SUMPRODUCT((AC$107:AC$108)*TRANSPOSE(($D115:$E115))),0)</f>
        <v>-180749.69650785817</v>
      </c>
      <c r="AD115" s="31" cm="1">
        <f t="array" ref="AD115">AD$106+IF($C115&lt;&gt;0,SUMPRODUCT((AD$107:AD$108)*TRANSPOSE(($D115:$E115))),0)</f>
        <v>-178439.904520913</v>
      </c>
      <c r="AE115" s="31" cm="1">
        <f t="array" ref="AE115">AE$106+IF($C115&lt;&gt;0,SUMPRODUCT((AE$107:AE$108)*TRANSPOSE(($D115:$E115))),0)</f>
        <v>-176130.11253396876</v>
      </c>
      <c r="AF115" s="31" cm="1">
        <f t="array" ref="AF115">AF$106+IF($C115&lt;&gt;0,SUMPRODUCT((AF$107:AF$108)*TRANSPOSE(($D115:$E115))),0)</f>
        <v>-173820.32054702443</v>
      </c>
      <c r="AG115" s="31" cm="1">
        <f t="array" ref="AG115">AG$106+IF($C115&lt;&gt;0,SUMPRODUCT((AG$107:AG$108)*TRANSPOSE(($D115:$E115))),0)</f>
        <v>266578.24627399293</v>
      </c>
    </row>
    <row r="116" spans="1:33" x14ac:dyDescent="0.2">
      <c r="A116" s="1" t="str">
        <f>"sens"&amp;Assumptions!B121</f>
        <v>sens</v>
      </c>
      <c r="C116" s="301">
        <f>Assumptions!C121</f>
        <v>0</v>
      </c>
      <c r="D116" s="302">
        <f>Assumptions!G121</f>
        <v>0</v>
      </c>
      <c r="E116" s="302">
        <f>Assumptions!H121</f>
        <v>0</v>
      </c>
      <c r="G116" s="38" t="str">
        <f t="shared" si="21"/>
        <v>Option 3sens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-238763.9150290183</v>
      </c>
      <c r="N116" s="31" cm="1">
        <f t="array" ref="N116">N$106+IF($C116&lt;&gt;0,SUMPRODUCT((N$107:N$108)*TRANSPOSE(($D116:$E116))),0)</f>
        <v>-233525.37789605395</v>
      </c>
      <c r="O116" s="31" cm="1">
        <f t="array" ref="O116">O$106+IF($C116&lt;&gt;0,SUMPRODUCT((O$107:O$108)*TRANSPOSE(($D116:$E116))),0)</f>
        <v>-224540.42859800661</v>
      </c>
      <c r="P116" s="31" cm="1">
        <f t="array" ref="P116">P$106+IF($C116&lt;&gt;0,SUMPRODUCT((P$107:P$108)*TRANSPOSE(($D116:$E116))),0)</f>
        <v>-214736.23715669574</v>
      </c>
      <c r="Q116" s="31" cm="1">
        <f t="array" ref="Q116">Q$106+IF($C116&lt;&gt;0,SUMPRODUCT((Q$107:Q$108)*TRANSPOSE(($D116:$E116))),0)</f>
        <v>-208467.20035119285</v>
      </c>
      <c r="R116" s="31" cm="1">
        <f t="array" ref="R116">R$106+IF($C116&lt;&gt;0,SUMPRODUCT((R$107:R$108)*TRANSPOSE(($D116:$E116))),0)</f>
        <v>-206157.40836424864</v>
      </c>
      <c r="S116" s="31" cm="1">
        <f t="array" ref="S116">S$106+IF($C116&lt;&gt;0,SUMPRODUCT((S$107:S$108)*TRANSPOSE(($D116:$E116))),0)</f>
        <v>-203847.61637730344</v>
      </c>
      <c r="T116" s="31" cm="1">
        <f t="array" ref="T116">T$106+IF($C116&lt;&gt;0,SUMPRODUCT((T$107:T$108)*TRANSPOSE(($D116:$E116))),0)</f>
        <v>-201537.82439035911</v>
      </c>
      <c r="U116" s="31" cm="1">
        <f t="array" ref="U116">U$106+IF($C116&lt;&gt;0,SUMPRODUCT((U$107:U$108)*TRANSPOSE(($D116:$E116))),0)</f>
        <v>-199228.03240341501</v>
      </c>
      <c r="V116" s="31" cm="1">
        <f t="array" ref="V116">V$106+IF($C116&lt;&gt;0,SUMPRODUCT((V$107:V$108)*TRANSPOSE(($D116:$E116))),0)</f>
        <v>-196918.24041646978</v>
      </c>
      <c r="W116" s="31" cm="1">
        <f t="array" ref="W116">W$106+IF($C116&lt;&gt;0,SUMPRODUCT((W$107:W$108)*TRANSPOSE(($D116:$E116))),0)</f>
        <v>-194608.44842952551</v>
      </c>
      <c r="X116" s="31" cm="1">
        <f t="array" ref="X116">X$106+IF($C116&lt;&gt;0,SUMPRODUCT((X$107:X$108)*TRANSPOSE(($D116:$E116))),0)</f>
        <v>-192298.65644258133</v>
      </c>
      <c r="Y116" s="31" cm="1">
        <f t="array" ref="Y116">Y$106+IF($C116&lt;&gt;0,SUMPRODUCT((Y$107:Y$108)*TRANSPOSE(($D116:$E116))),0)</f>
        <v>-189988.86445563613</v>
      </c>
      <c r="Z116" s="31" cm="1">
        <f t="array" ref="Z116">Z$106+IF($C116&lt;&gt;0,SUMPRODUCT((Z$107:Z$108)*TRANSPOSE(($D116:$E116))),0)</f>
        <v>-187679.07246869177</v>
      </c>
      <c r="AA116" s="31" cm="1">
        <f t="array" ref="AA116">AA$106+IF($C116&lt;&gt;0,SUMPRODUCT((AA$107:AA$108)*TRANSPOSE(($D116:$E116))),0)</f>
        <v>-185369.28048174662</v>
      </c>
      <c r="AB116" s="31" cm="1">
        <f t="array" ref="AB116">AB$106+IF($C116&lt;&gt;0,SUMPRODUCT((AB$107:AB$108)*TRANSPOSE(($D116:$E116))),0)</f>
        <v>-183059.4884948025</v>
      </c>
      <c r="AC116" s="31" cm="1">
        <f t="array" ref="AC116">AC$106+IF($C116&lt;&gt;0,SUMPRODUCT((AC$107:AC$108)*TRANSPOSE(($D116:$E116))),0)</f>
        <v>-180749.69650785817</v>
      </c>
      <c r="AD116" s="31" cm="1">
        <f t="array" ref="AD116">AD$106+IF($C116&lt;&gt;0,SUMPRODUCT((AD$107:AD$108)*TRANSPOSE(($D116:$E116))),0)</f>
        <v>-178439.904520913</v>
      </c>
      <c r="AE116" s="31" cm="1">
        <f t="array" ref="AE116">AE$106+IF($C116&lt;&gt;0,SUMPRODUCT((AE$107:AE$108)*TRANSPOSE(($D116:$E116))),0)</f>
        <v>-176130.11253396876</v>
      </c>
      <c r="AF116" s="31" cm="1">
        <f t="array" ref="AF116">AF$106+IF($C116&lt;&gt;0,SUMPRODUCT((AF$107:AF$108)*TRANSPOSE(($D116:$E116))),0)</f>
        <v>-173820.32054702443</v>
      </c>
      <c r="AG116" s="31" cm="1">
        <f t="array" ref="AG116">AG$106+IF($C116&lt;&gt;0,SUMPRODUCT((AG$107:AG$108)*TRANSPOSE(($D116:$E116))),0)</f>
        <v>266578.24627399293</v>
      </c>
    </row>
    <row r="117" spans="1:33" x14ac:dyDescent="0.2">
      <c r="A117" s="1" t="str">
        <f>"sens"&amp;Assumptions!B122</f>
        <v>sens</v>
      </c>
      <c r="C117" s="301">
        <f>Assumptions!C122</f>
        <v>0</v>
      </c>
      <c r="D117" s="302">
        <f>Assumptions!G122</f>
        <v>0</v>
      </c>
      <c r="E117" s="302">
        <f>Assumptions!H122</f>
        <v>0</v>
      </c>
      <c r="G117" s="38" t="str">
        <f t="shared" si="21"/>
        <v>Option 3sens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-238763.9150290183</v>
      </c>
      <c r="N117" s="31" cm="1">
        <f t="array" ref="N117">N$106+IF($C117&lt;&gt;0,SUMPRODUCT((N$107:N$108)*TRANSPOSE(($D117:$E117))),0)</f>
        <v>-233525.37789605395</v>
      </c>
      <c r="O117" s="31" cm="1">
        <f t="array" ref="O117">O$106+IF($C117&lt;&gt;0,SUMPRODUCT((O$107:O$108)*TRANSPOSE(($D117:$E117))),0)</f>
        <v>-224540.42859800661</v>
      </c>
      <c r="P117" s="31" cm="1">
        <f t="array" ref="P117">P$106+IF($C117&lt;&gt;0,SUMPRODUCT((P$107:P$108)*TRANSPOSE(($D117:$E117))),0)</f>
        <v>-214736.23715669574</v>
      </c>
      <c r="Q117" s="31" cm="1">
        <f t="array" ref="Q117">Q$106+IF($C117&lt;&gt;0,SUMPRODUCT((Q$107:Q$108)*TRANSPOSE(($D117:$E117))),0)</f>
        <v>-208467.20035119285</v>
      </c>
      <c r="R117" s="31" cm="1">
        <f t="array" ref="R117">R$106+IF($C117&lt;&gt;0,SUMPRODUCT((R$107:R$108)*TRANSPOSE(($D117:$E117))),0)</f>
        <v>-206157.40836424864</v>
      </c>
      <c r="S117" s="31" cm="1">
        <f t="array" ref="S117">S$106+IF($C117&lt;&gt;0,SUMPRODUCT((S$107:S$108)*TRANSPOSE(($D117:$E117))),0)</f>
        <v>-203847.61637730344</v>
      </c>
      <c r="T117" s="31" cm="1">
        <f t="array" ref="T117">T$106+IF($C117&lt;&gt;0,SUMPRODUCT((T$107:T$108)*TRANSPOSE(($D117:$E117))),0)</f>
        <v>-201537.82439035911</v>
      </c>
      <c r="U117" s="31" cm="1">
        <f t="array" ref="U117">U$106+IF($C117&lt;&gt;0,SUMPRODUCT((U$107:U$108)*TRANSPOSE(($D117:$E117))),0)</f>
        <v>-199228.03240341501</v>
      </c>
      <c r="V117" s="31" cm="1">
        <f t="array" ref="V117">V$106+IF($C117&lt;&gt;0,SUMPRODUCT((V$107:V$108)*TRANSPOSE(($D117:$E117))),0)</f>
        <v>-196918.24041646978</v>
      </c>
      <c r="W117" s="31" cm="1">
        <f t="array" ref="W117">W$106+IF($C117&lt;&gt;0,SUMPRODUCT((W$107:W$108)*TRANSPOSE(($D117:$E117))),0)</f>
        <v>-194608.44842952551</v>
      </c>
      <c r="X117" s="31" cm="1">
        <f t="array" ref="X117">X$106+IF($C117&lt;&gt;0,SUMPRODUCT((X$107:X$108)*TRANSPOSE(($D117:$E117))),0)</f>
        <v>-192298.65644258133</v>
      </c>
      <c r="Y117" s="31" cm="1">
        <f t="array" ref="Y117">Y$106+IF($C117&lt;&gt;0,SUMPRODUCT((Y$107:Y$108)*TRANSPOSE(($D117:$E117))),0)</f>
        <v>-189988.86445563613</v>
      </c>
      <c r="Z117" s="31" cm="1">
        <f t="array" ref="Z117">Z$106+IF($C117&lt;&gt;0,SUMPRODUCT((Z$107:Z$108)*TRANSPOSE(($D117:$E117))),0)</f>
        <v>-187679.07246869177</v>
      </c>
      <c r="AA117" s="31" cm="1">
        <f t="array" ref="AA117">AA$106+IF($C117&lt;&gt;0,SUMPRODUCT((AA$107:AA$108)*TRANSPOSE(($D117:$E117))),0)</f>
        <v>-185369.28048174662</v>
      </c>
      <c r="AB117" s="31" cm="1">
        <f t="array" ref="AB117">AB$106+IF($C117&lt;&gt;0,SUMPRODUCT((AB$107:AB$108)*TRANSPOSE(($D117:$E117))),0)</f>
        <v>-183059.4884948025</v>
      </c>
      <c r="AC117" s="31" cm="1">
        <f t="array" ref="AC117">AC$106+IF($C117&lt;&gt;0,SUMPRODUCT((AC$107:AC$108)*TRANSPOSE(($D117:$E117))),0)</f>
        <v>-180749.69650785817</v>
      </c>
      <c r="AD117" s="31" cm="1">
        <f t="array" ref="AD117">AD$106+IF($C117&lt;&gt;0,SUMPRODUCT((AD$107:AD$108)*TRANSPOSE(($D117:$E117))),0)</f>
        <v>-178439.904520913</v>
      </c>
      <c r="AE117" s="31" cm="1">
        <f t="array" ref="AE117">AE$106+IF($C117&lt;&gt;0,SUMPRODUCT((AE$107:AE$108)*TRANSPOSE(($D117:$E117))),0)</f>
        <v>-176130.11253396876</v>
      </c>
      <c r="AF117" s="31" cm="1">
        <f t="array" ref="AF117">AF$106+IF($C117&lt;&gt;0,SUMPRODUCT((AF$107:AF$108)*TRANSPOSE(($D117:$E117))),0)</f>
        <v>-173820.32054702443</v>
      </c>
      <c r="AG117" s="31" cm="1">
        <f t="array" ref="AG117">AG$106+IF($C117&lt;&gt;0,SUMPRODUCT((AG$107:AG$108)*TRANSPOSE(($D117:$E117))),0)</f>
        <v>266578.24627399293</v>
      </c>
    </row>
  </sheetData>
  <conditionalFormatting sqref="E28">
    <cfRule type="expression" dxfId="8" priority="4">
      <formula>AND(SUM($I$27:$AG$27)&gt;0, $E$28=0)</formula>
    </cfRule>
  </conditionalFormatting>
  <conditionalFormatting sqref="E14:E16">
    <cfRule type="expression" dxfId="7" priority="1">
      <formula>AND(SUM($I14:$AB14)&lt;&gt;0, E14=0)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13" id="{1712F874-B643-4BE5-934F-196C6E7538A2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28DE2-E846-427B-B371-240E3FF764AB}">
  <sheetPr codeName="Sheet6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G29" sqref="G29"/>
      <selection pane="topRight" activeCell="G29" sqref="G29"/>
      <selection pane="bottomLeft" activeCell="G29" sqref="G29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32.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Apollo Bay microgrid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4" t="s">
        <v>134</v>
      </c>
      <c r="B3" s="5"/>
      <c r="C3" s="201">
        <f>INDEX(Assumptions!$E$14:$E$18, MATCH(A3,_xlfn.ANCHORARRAY( Assumptions!$C$14),0))</f>
        <v>0</v>
      </c>
    </row>
    <row r="4" spans="1:43" x14ac:dyDescent="0.2">
      <c r="A4" s="202" t="str">
        <f>(INDEX(Data!$D$9:$D$13, MATCH(A3, options,0)))</f>
        <v>Not used</v>
      </c>
      <c r="B4" s="188"/>
      <c r="C4" s="239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1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3"/>
      <c r="G9" s="18" t="s">
        <v>25</v>
      </c>
      <c r="H9" s="221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5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/>
      <c r="AI11"/>
      <c r="AJ11"/>
      <c r="AK11"/>
      <c r="AL11"/>
      <c r="AM11"/>
    </row>
    <row r="12" spans="1:43" x14ac:dyDescent="0.2">
      <c r="A12" s="3"/>
      <c r="B12" s="3"/>
      <c r="C12" s="3"/>
      <c r="D12" s="3"/>
      <c r="G12" s="206"/>
      <c r="AH12"/>
      <c r="AI12"/>
      <c r="AJ12"/>
      <c r="AK12"/>
      <c r="AL12"/>
      <c r="AM12"/>
    </row>
    <row r="13" spans="1:43" x14ac:dyDescent="0.2">
      <c r="C13" s="3" t="s">
        <v>17</v>
      </c>
      <c r="D13"/>
      <c r="E13" s="126" t="s">
        <v>69</v>
      </c>
      <c r="G13" s="20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57</v>
      </c>
      <c r="D14"/>
      <c r="E14" s="149">
        <v>0</v>
      </c>
      <c r="G14" s="208">
        <f>input_dollars</f>
        <v>45291</v>
      </c>
      <c r="H14" s="150"/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57</v>
      </c>
      <c r="D15"/>
      <c r="E15" s="149">
        <v>0</v>
      </c>
      <c r="G15" s="208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 t="s">
        <v>57</v>
      </c>
      <c r="D16"/>
      <c r="E16" s="149">
        <v>0</v>
      </c>
      <c r="G16" s="208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8">
        <f>input_dollars</f>
        <v>45291</v>
      </c>
      <c r="H17" s="107"/>
      <c r="I17" s="106">
        <f t="shared" ref="I17:Q17" si="0">SUM(I14:I16)</f>
        <v>0</v>
      </c>
      <c r="J17" s="106">
        <f t="shared" si="0"/>
        <v>0</v>
      </c>
      <c r="K17" s="106">
        <f t="shared" si="0"/>
        <v>0</v>
      </c>
      <c r="L17" s="106">
        <f t="shared" si="0"/>
        <v>0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  <c r="AH17"/>
      <c r="AI17"/>
      <c r="AJ17"/>
      <c r="AK17"/>
      <c r="AL17"/>
      <c r="AM17"/>
    </row>
    <row r="18" spans="1:43" x14ac:dyDescent="0.2">
      <c r="C18"/>
      <c r="D18"/>
      <c r="E18"/>
      <c r="G18" s="20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8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137">
        <v>0</v>
      </c>
      <c r="T19" s="137">
        <v>0</v>
      </c>
      <c r="U19" s="137">
        <v>0</v>
      </c>
      <c r="V19" s="137">
        <v>0</v>
      </c>
      <c r="W19" s="137">
        <v>0</v>
      </c>
      <c r="X19" s="137">
        <v>0</v>
      </c>
      <c r="Y19" s="137">
        <v>0</v>
      </c>
      <c r="Z19" s="137">
        <v>0</v>
      </c>
      <c r="AA19" s="137">
        <v>0</v>
      </c>
      <c r="AB19" s="137">
        <v>0</v>
      </c>
      <c r="AC19" s="137">
        <v>0</v>
      </c>
      <c r="AD19" s="137">
        <v>0</v>
      </c>
      <c r="AE19" s="137">
        <v>0</v>
      </c>
      <c r="AF19" s="137">
        <v>0</v>
      </c>
      <c r="AG19" s="137">
        <v>0</v>
      </c>
      <c r="AH19"/>
      <c r="AI19"/>
      <c r="AJ19"/>
      <c r="AK19"/>
      <c r="AL19"/>
      <c r="AM19"/>
    </row>
    <row r="20" spans="1:43" x14ac:dyDescent="0.2">
      <c r="G20" s="206"/>
      <c r="AH20"/>
      <c r="AI20"/>
      <c r="AJ20"/>
      <c r="AK20"/>
      <c r="AL20"/>
      <c r="AM20"/>
    </row>
    <row r="21" spans="1:43" x14ac:dyDescent="0.2">
      <c r="C21"/>
      <c r="D21"/>
      <c r="E21"/>
      <c r="G21" s="20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154</v>
      </c>
      <c r="B22" s="89"/>
      <c r="C22" s="89"/>
      <c r="D22" s="89"/>
      <c r="E22" s="89"/>
      <c r="F22" s="89"/>
      <c r="G22" s="205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9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155</v>
      </c>
      <c r="D24" s="111"/>
      <c r="E24" s="111"/>
      <c r="F24" s="111"/>
      <c r="G24" s="209"/>
      <c r="H24" s="111"/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69">
        <v>0</v>
      </c>
      <c r="R24" s="169">
        <v>0</v>
      </c>
      <c r="S24" s="169">
        <v>0</v>
      </c>
      <c r="T24" s="169">
        <v>0</v>
      </c>
      <c r="U24" s="170">
        <v>0</v>
      </c>
      <c r="V24" s="170">
        <v>0</v>
      </c>
      <c r="W24" s="170">
        <v>0</v>
      </c>
      <c r="X24" s="170">
        <v>0</v>
      </c>
      <c r="Y24" s="170">
        <v>0</v>
      </c>
      <c r="Z24" s="170">
        <v>0</v>
      </c>
      <c r="AA24" s="170">
        <v>0</v>
      </c>
      <c r="AB24" s="170">
        <v>0</v>
      </c>
      <c r="AC24" s="170">
        <v>0</v>
      </c>
      <c r="AD24" s="170">
        <v>0</v>
      </c>
      <c r="AE24" s="170">
        <v>0</v>
      </c>
      <c r="AF24" s="170">
        <v>0</v>
      </c>
      <c r="AG24" s="170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156</v>
      </c>
      <c r="D25" s="209"/>
      <c r="E25" s="111"/>
      <c r="F25" s="111"/>
      <c r="G25" s="209"/>
      <c r="H25" s="111"/>
      <c r="I25" s="170">
        <v>0</v>
      </c>
      <c r="J25" s="170">
        <v>0</v>
      </c>
      <c r="K25" s="170">
        <v>0</v>
      </c>
      <c r="L25" s="170">
        <v>0</v>
      </c>
      <c r="M25" s="170">
        <v>0</v>
      </c>
      <c r="N25" s="169">
        <v>0</v>
      </c>
      <c r="O25" s="169">
        <v>0</v>
      </c>
      <c r="P25" s="169">
        <v>0</v>
      </c>
      <c r="Q25" s="169">
        <v>0</v>
      </c>
      <c r="R25" s="169">
        <v>0</v>
      </c>
      <c r="S25" s="169">
        <v>0</v>
      </c>
      <c r="T25" s="169">
        <v>0</v>
      </c>
      <c r="U25" s="170">
        <v>0</v>
      </c>
      <c r="V25" s="170">
        <v>0</v>
      </c>
      <c r="W25" s="170">
        <v>0</v>
      </c>
      <c r="X25" s="170">
        <v>0</v>
      </c>
      <c r="Y25" s="170">
        <v>0</v>
      </c>
      <c r="Z25" s="170">
        <v>0</v>
      </c>
      <c r="AA25" s="170">
        <v>0</v>
      </c>
      <c r="AB25" s="170">
        <v>0</v>
      </c>
      <c r="AC25" s="170">
        <v>0</v>
      </c>
      <c r="AD25" s="170">
        <v>0</v>
      </c>
      <c r="AE25" s="170">
        <v>0</v>
      </c>
      <c r="AF25" s="170">
        <v>0</v>
      </c>
      <c r="AG25" s="170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9"/>
      <c r="E26" s="111"/>
      <c r="F26" s="111"/>
      <c r="G26" s="209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6"/>
      <c r="E27"/>
      <c r="G27" s="208" t="s">
        <v>40</v>
      </c>
      <c r="H27"/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69">
        <v>0</v>
      </c>
      <c r="Z27" s="169">
        <v>0</v>
      </c>
      <c r="AA27" s="169">
        <v>0</v>
      </c>
      <c r="AB27" s="169">
        <v>0</v>
      </c>
      <c r="AC27" s="169">
        <v>0</v>
      </c>
      <c r="AD27" s="169">
        <v>0</v>
      </c>
      <c r="AE27" s="169">
        <v>0</v>
      </c>
      <c r="AF27" s="169">
        <v>0</v>
      </c>
      <c r="AG27" s="169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6" t="s">
        <v>63</v>
      </c>
      <c r="E28" s="113">
        <f>Assumptions!H41*vcr_esc</f>
        <v>44906.183515166558</v>
      </c>
      <c r="F28" s="239" t="str">
        <f>IF(AND(SUM(I27:AG27)&lt;&gt;0, E28=0), "!", "")</f>
        <v/>
      </c>
      <c r="G28" s="208">
        <f>input_dollars</f>
        <v>45291</v>
      </c>
      <c r="H28"/>
      <c r="I28" s="298">
        <f>I27*$E$28</f>
        <v>0</v>
      </c>
      <c r="J28" s="298">
        <f t="shared" ref="J28:AG28" si="2">J27*$E$28</f>
        <v>0</v>
      </c>
      <c r="K28" s="298">
        <f t="shared" si="2"/>
        <v>0</v>
      </c>
      <c r="L28" s="298">
        <f t="shared" si="2"/>
        <v>0</v>
      </c>
      <c r="M28" s="298">
        <f t="shared" si="2"/>
        <v>0</v>
      </c>
      <c r="N28" s="298">
        <f t="shared" si="2"/>
        <v>0</v>
      </c>
      <c r="O28" s="298">
        <f t="shared" si="2"/>
        <v>0</v>
      </c>
      <c r="P28" s="298">
        <f t="shared" si="2"/>
        <v>0</v>
      </c>
      <c r="Q28" s="298">
        <f t="shared" si="2"/>
        <v>0</v>
      </c>
      <c r="R28" s="298">
        <f t="shared" si="2"/>
        <v>0</v>
      </c>
      <c r="S28" s="298">
        <f t="shared" si="2"/>
        <v>0</v>
      </c>
      <c r="T28" s="298">
        <f t="shared" si="2"/>
        <v>0</v>
      </c>
      <c r="U28" s="298">
        <f t="shared" si="2"/>
        <v>0</v>
      </c>
      <c r="V28" s="298">
        <f t="shared" si="2"/>
        <v>0</v>
      </c>
      <c r="W28" s="298">
        <f t="shared" si="2"/>
        <v>0</v>
      </c>
      <c r="X28" s="298">
        <f t="shared" si="2"/>
        <v>0</v>
      </c>
      <c r="Y28" s="298">
        <f t="shared" si="2"/>
        <v>0</v>
      </c>
      <c r="Z28" s="298">
        <f t="shared" si="2"/>
        <v>0</v>
      </c>
      <c r="AA28" s="298">
        <f t="shared" si="2"/>
        <v>0</v>
      </c>
      <c r="AB28" s="298">
        <f t="shared" si="2"/>
        <v>0</v>
      </c>
      <c r="AC28" s="298">
        <f t="shared" si="2"/>
        <v>0</v>
      </c>
      <c r="AD28" s="298">
        <f t="shared" si="2"/>
        <v>0</v>
      </c>
      <c r="AE28" s="298">
        <f t="shared" si="2"/>
        <v>0</v>
      </c>
      <c r="AF28" s="298">
        <f t="shared" si="2"/>
        <v>0</v>
      </c>
      <c r="AG28" s="298">
        <f t="shared" si="2"/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7"/>
      <c r="E29"/>
      <c r="G29" s="20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6" t="s">
        <v>210</v>
      </c>
      <c r="G30" s="208">
        <f>input_dollars</f>
        <v>45291</v>
      </c>
      <c r="H30" s="150"/>
      <c r="I30" s="171" cm="1">
        <f t="array" ref="I30">SUMPRODUCT((Assumptions!$H$74:$H$75)*(Assumptions!$G$74:$G$75)*(Assumptions!$I$74:$I$75)*(I$24:I$25))</f>
        <v>0</v>
      </c>
      <c r="J30" s="171" cm="1">
        <f t="array" ref="J30">SUMPRODUCT((Assumptions!$H$74:$H$75)*(Assumptions!$G$74:$G$75)*(Assumptions!$I$74:$I$75)*(J$24:J$25))</f>
        <v>0</v>
      </c>
      <c r="K30" s="171" cm="1">
        <f t="array" ref="K30">SUMPRODUCT((Assumptions!$H$74:$H$75)*(Assumptions!$G$74:$G$75)*(Assumptions!$I$74:$I$75)*(K$24:K$25))</f>
        <v>0</v>
      </c>
      <c r="L30" s="171" cm="1">
        <f t="array" ref="L30">SUMPRODUCT((Assumptions!$H$74:$H$75)*(Assumptions!$G$74:$G$75)*(Assumptions!$I$74:$I$75)*(L$24:L$25))</f>
        <v>0</v>
      </c>
      <c r="M30" s="171" cm="1">
        <f t="array" ref="M30">SUMPRODUCT((Assumptions!$H$74:$H$75)*(Assumptions!$G$74:$G$75)*(Assumptions!$I$74:$I$75)*(M$24:M$25))</f>
        <v>0</v>
      </c>
      <c r="N30" s="171" cm="1">
        <f t="array" ref="N30">SUMPRODUCT((Assumptions!$H$74:$H$75)*(Assumptions!$G$74:$G$75)*(Assumptions!$I$74:$I$75)*(N$24:N$25))</f>
        <v>0</v>
      </c>
      <c r="O30" s="171" cm="1">
        <f t="array" ref="O30">SUMPRODUCT((Assumptions!$H$74:$H$75)*(Assumptions!$G$74:$G$75)*(Assumptions!$I$74:$I$75)*(O$24:O$25))</f>
        <v>0</v>
      </c>
      <c r="P30" s="171" cm="1">
        <f t="array" ref="P30">SUMPRODUCT((Assumptions!$H$74:$H$75)*(Assumptions!$G$74:$G$75)*(Assumptions!$I$74:$I$75)*(P$24:P$25))</f>
        <v>0</v>
      </c>
      <c r="Q30" s="171" cm="1">
        <f t="array" ref="Q30">SUMPRODUCT((Assumptions!$H$74:$H$75)*(Assumptions!$G$74:$G$75)*(Assumptions!$I$74:$I$75)*(Q$24:Q$25))</f>
        <v>0</v>
      </c>
      <c r="R30" s="171" cm="1">
        <f t="array" ref="R30">SUMPRODUCT((Assumptions!$H$74:$H$75)*(Assumptions!$G$74:$G$75)*(Assumptions!$I$74:$I$75)*(R$24:R$25))</f>
        <v>0</v>
      </c>
      <c r="S30" s="171" cm="1">
        <f t="array" ref="S30">SUMPRODUCT((Assumptions!$H$74:$H$75)*(Assumptions!$G$74:$G$75)*(Assumptions!$I$74:$I$75)*(S$24:S$25))</f>
        <v>0</v>
      </c>
      <c r="T30" s="171" cm="1">
        <f t="array" ref="T30">SUMPRODUCT((Assumptions!$H$74:$H$75)*(Assumptions!$G$74:$G$75)*(Assumptions!$I$74:$I$75)*(T$24:T$25))</f>
        <v>0</v>
      </c>
      <c r="U30" s="171" cm="1">
        <f t="array" ref="U30">SUMPRODUCT((Assumptions!$H$74:$H$75)*(Assumptions!$G$74:$G$75)*(Assumptions!$I$74:$I$75)*(U$24:U$25))</f>
        <v>0</v>
      </c>
      <c r="V30" s="171" cm="1">
        <f t="array" ref="V30">SUMPRODUCT((Assumptions!$H$74:$H$75)*(Assumptions!$G$74:$G$75)*(Assumptions!$I$74:$I$75)*(V$24:V$25))</f>
        <v>0</v>
      </c>
      <c r="W30" s="171" cm="1">
        <f t="array" ref="W30">SUMPRODUCT((Assumptions!$H$74:$H$75)*(Assumptions!$G$74:$G$75)*(Assumptions!$I$74:$I$75)*(W$24:W$25))</f>
        <v>0</v>
      </c>
      <c r="X30" s="171" cm="1">
        <f t="array" ref="X30">SUMPRODUCT((Assumptions!$H$74:$H$75)*(Assumptions!$G$74:$G$75)*(Assumptions!$I$74:$I$75)*(X$24:X$25))</f>
        <v>0</v>
      </c>
      <c r="Y30" s="171" cm="1">
        <f t="array" ref="Y30">SUMPRODUCT((Assumptions!$H$74:$H$75)*(Assumptions!$G$74:$G$75)*(Assumptions!$I$74:$I$75)*(Y$24:Y$25))</f>
        <v>0</v>
      </c>
      <c r="Z30" s="171" cm="1">
        <f t="array" ref="Z30">SUMPRODUCT((Assumptions!$H$74:$H$75)*(Assumptions!$G$74:$G$75)*(Assumptions!$I$74:$I$75)*(Z$24:Z$25))</f>
        <v>0</v>
      </c>
      <c r="AA30" s="171" cm="1">
        <f t="array" ref="AA30">SUMPRODUCT((Assumptions!$H$74:$H$75)*(Assumptions!$G$74:$G$75)*(Assumptions!$I$74:$I$75)*(AA$24:AA$25))</f>
        <v>0</v>
      </c>
      <c r="AB30" s="171" cm="1">
        <f t="array" ref="AB30">SUMPRODUCT((Assumptions!$H$74:$H$75)*(Assumptions!$G$74:$G$75)*(Assumptions!$I$74:$I$75)*(AB$24:AB$25))</f>
        <v>0</v>
      </c>
      <c r="AC30" s="171" cm="1">
        <f t="array" ref="AC30">SUMPRODUCT((Assumptions!$H$74:$H$75)*(Assumptions!$G$74:$G$75)*(Assumptions!$I$74:$I$75)*(AC$24:AC$25))</f>
        <v>0</v>
      </c>
      <c r="AD30" s="171" cm="1">
        <f t="array" ref="AD30">SUMPRODUCT((Assumptions!$H$74:$H$75)*(Assumptions!$G$74:$G$75)*(Assumptions!$I$74:$I$75)*(AD$24:AD$25))</f>
        <v>0</v>
      </c>
      <c r="AE30" s="171" cm="1">
        <f t="array" ref="AE30">SUMPRODUCT((Assumptions!$H$74:$H$75)*(Assumptions!$G$74:$G$75)*(Assumptions!$I$74:$I$75)*(AE$24:AE$25))</f>
        <v>0</v>
      </c>
      <c r="AF30" s="171" cm="1">
        <f t="array" ref="AF30">SUMPRODUCT((Assumptions!$H$74:$H$75)*(Assumptions!$G$74:$G$75)*(Assumptions!$I$74:$I$75)*(AF$24:AF$25))</f>
        <v>0</v>
      </c>
      <c r="AG30" s="171" cm="1">
        <f t="array" ref="AG30">SUMPRODUCT((Assumptions!$H$74:$H$75)*(Assumptions!$G$74:$G$75)*(Assumptions!$I$74:$I$75)*(AG$24:AG$25))</f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7"/>
      <c r="E31"/>
      <c r="G31" s="208">
        <f>input_dollars</f>
        <v>45291</v>
      </c>
      <c r="H31" s="150"/>
      <c r="I31" s="171" cm="1">
        <f t="array" ref="I31">(1+Assumptions!$G$85)*SUMPRODUCT((Assumptions!$G$82:$G$83)*(I$24:I$25))</f>
        <v>0</v>
      </c>
      <c r="J31" s="171" cm="1">
        <f t="array" ref="J31">(1+Assumptions!$G$85)*SUMPRODUCT((Assumptions!$G$82:$G$83)*(J$24:J$25))</f>
        <v>0</v>
      </c>
      <c r="K31" s="171" cm="1">
        <f t="array" ref="K31">(1+Assumptions!$G$85)*SUMPRODUCT((Assumptions!$G$82:$G$83)*(K$24:K$25))</f>
        <v>0</v>
      </c>
      <c r="L31" s="171" cm="1">
        <f t="array" ref="L31">(1+Assumptions!$G$85)*SUMPRODUCT((Assumptions!$G$82:$G$83)*(L$24:L$25))</f>
        <v>0</v>
      </c>
      <c r="M31" s="171" cm="1">
        <f t="array" ref="M31">(1+Assumptions!$G$85)*SUMPRODUCT((Assumptions!$G$82:$G$83)*(M$24:M$25))</f>
        <v>0</v>
      </c>
      <c r="N31" s="171" cm="1">
        <f t="array" ref="N31">(1+Assumptions!$G$85)*SUMPRODUCT((Assumptions!$G$82:$G$83)*(N$24:N$25))</f>
        <v>0</v>
      </c>
      <c r="O31" s="171" cm="1">
        <f t="array" ref="O31">(1+Assumptions!$G$85)*SUMPRODUCT((Assumptions!$G$82:$G$83)*(O$24:O$25))</f>
        <v>0</v>
      </c>
      <c r="P31" s="171" cm="1">
        <f t="array" ref="P31">(1+Assumptions!$G$85)*SUMPRODUCT((Assumptions!$G$82:$G$83)*(P$24:P$25))</f>
        <v>0</v>
      </c>
      <c r="Q31" s="171" cm="1">
        <f t="array" ref="Q31">(1+Assumptions!$G$85)*SUMPRODUCT((Assumptions!$G$82:$G$83)*(Q$24:Q$25))</f>
        <v>0</v>
      </c>
      <c r="R31" s="171" cm="1">
        <f t="array" ref="R31">(1+Assumptions!$G$85)*SUMPRODUCT((Assumptions!$G$82:$G$83)*(R$24:R$25))</f>
        <v>0</v>
      </c>
      <c r="S31" s="171" cm="1">
        <f t="array" ref="S31">(1+Assumptions!$G$85)*SUMPRODUCT((Assumptions!$G$82:$G$83)*(S$24:S$25))</f>
        <v>0</v>
      </c>
      <c r="T31" s="171" cm="1">
        <f t="array" ref="T31">(1+Assumptions!$G$85)*SUMPRODUCT((Assumptions!$G$82:$G$83)*(T$24:T$25))</f>
        <v>0</v>
      </c>
      <c r="U31" s="171" cm="1">
        <f t="array" ref="U31">(1+Assumptions!$G$85)*SUMPRODUCT((Assumptions!$G$82:$G$83)*(U$24:U$25))</f>
        <v>0</v>
      </c>
      <c r="V31" s="171" cm="1">
        <f t="array" ref="V31">(1+Assumptions!$G$85)*SUMPRODUCT((Assumptions!$G$82:$G$83)*(V$24:V$25))</f>
        <v>0</v>
      </c>
      <c r="W31" s="171" cm="1">
        <f t="array" ref="W31">(1+Assumptions!$G$85)*SUMPRODUCT((Assumptions!$G$82:$G$83)*(W$24:W$25))</f>
        <v>0</v>
      </c>
      <c r="X31" s="171" cm="1">
        <f t="array" ref="X31">(1+Assumptions!$G$85)*SUMPRODUCT((Assumptions!$G$82:$G$83)*(X$24:X$25))</f>
        <v>0</v>
      </c>
      <c r="Y31" s="171" cm="1">
        <f t="array" ref="Y31">(1+Assumptions!$G$85)*SUMPRODUCT((Assumptions!$G$82:$G$83)*(Y$24:Y$25))</f>
        <v>0</v>
      </c>
      <c r="Z31" s="171" cm="1">
        <f t="array" ref="Z31">(1+Assumptions!$G$85)*SUMPRODUCT((Assumptions!$G$82:$G$83)*(Z$24:Z$25))</f>
        <v>0</v>
      </c>
      <c r="AA31" s="171" cm="1">
        <f t="array" ref="AA31">(1+Assumptions!$G$85)*SUMPRODUCT((Assumptions!$G$82:$G$83)*(AA$24:AA$25))</f>
        <v>0</v>
      </c>
      <c r="AB31" s="171" cm="1">
        <f t="array" ref="AB31">(1+Assumptions!$G$85)*SUMPRODUCT((Assumptions!$G$82:$G$83)*(AB$24:AB$25))</f>
        <v>0</v>
      </c>
      <c r="AC31" s="171" cm="1">
        <f t="array" ref="AC31">(1+Assumptions!$G$85)*SUMPRODUCT((Assumptions!$G$82:$G$83)*(AC$24:AC$25))</f>
        <v>0</v>
      </c>
      <c r="AD31" s="171" cm="1">
        <f t="array" ref="AD31">(1+Assumptions!$G$85)*SUMPRODUCT((Assumptions!$G$82:$G$83)*(AD$24:AD$25))</f>
        <v>0</v>
      </c>
      <c r="AE31" s="171" cm="1">
        <f t="array" ref="AE31">(1+Assumptions!$G$85)*SUMPRODUCT((Assumptions!$G$82:$G$83)*(AE$24:AE$25))</f>
        <v>0</v>
      </c>
      <c r="AF31" s="171" cm="1">
        <f t="array" ref="AF31">(1+Assumptions!$G$85)*SUMPRODUCT((Assumptions!$G$82:$G$83)*(AF$24:AF$25))</f>
        <v>0</v>
      </c>
      <c r="AG31" s="171" cm="1">
        <f t="array" ref="AG31">(1+Assumptions!$G$85)*SUMPRODUCT((Assumptions!$G$82:$G$83)*(AG$24:AG$25))</f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6" t="s">
        <v>210</v>
      </c>
      <c r="E32"/>
      <c r="G32" s="208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137">
        <v>0</v>
      </c>
      <c r="S32" s="137">
        <v>0</v>
      </c>
      <c r="T32" s="137">
        <v>0</v>
      </c>
      <c r="U32" s="137">
        <v>0</v>
      </c>
      <c r="V32" s="137">
        <v>0</v>
      </c>
      <c r="W32" s="137">
        <v>0</v>
      </c>
      <c r="X32" s="137">
        <v>0</v>
      </c>
      <c r="Y32" s="137">
        <v>0</v>
      </c>
      <c r="Z32" s="137">
        <v>0</v>
      </c>
      <c r="AA32" s="137">
        <v>0</v>
      </c>
      <c r="AB32" s="137">
        <v>0</v>
      </c>
      <c r="AC32" s="137">
        <v>0</v>
      </c>
      <c r="AD32" s="137">
        <v>0</v>
      </c>
      <c r="AE32" s="137">
        <v>0</v>
      </c>
      <c r="AF32" s="137">
        <v>0</v>
      </c>
      <c r="AG32" s="137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5" t="s">
        <v>177</v>
      </c>
      <c r="D33" s="220"/>
      <c r="E33"/>
      <c r="G33" s="208">
        <f>input_dollars</f>
        <v>45291</v>
      </c>
      <c r="H33"/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137">
        <v>0</v>
      </c>
      <c r="S33" s="137">
        <v>0</v>
      </c>
      <c r="T33" s="137">
        <v>0</v>
      </c>
      <c r="U33" s="137">
        <v>0</v>
      </c>
      <c r="V33" s="137">
        <v>0</v>
      </c>
      <c r="W33" s="137">
        <v>0</v>
      </c>
      <c r="X33" s="137">
        <v>0</v>
      </c>
      <c r="Y33" s="137">
        <v>0</v>
      </c>
      <c r="Z33" s="137">
        <v>0</v>
      </c>
      <c r="AA33" s="137">
        <v>0</v>
      </c>
      <c r="AB33" s="137">
        <v>0</v>
      </c>
      <c r="AC33" s="137">
        <v>0</v>
      </c>
      <c r="AD33" s="137">
        <v>0</v>
      </c>
      <c r="AE33" s="137">
        <v>0</v>
      </c>
      <c r="AF33" s="137">
        <v>0</v>
      </c>
      <c r="AG33" s="137"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5" t="s">
        <v>177</v>
      </c>
      <c r="D34" s="207"/>
      <c r="E34"/>
      <c r="G34" s="208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7"/>
      <c r="E35"/>
      <c r="G35" s="20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176</v>
      </c>
      <c r="D36" s="219"/>
      <c r="E36" s="107"/>
      <c r="F36" s="3"/>
      <c r="G36" s="210"/>
      <c r="H36" s="107"/>
      <c r="I36" s="171">
        <f>SUM(I28:I34)</f>
        <v>0</v>
      </c>
      <c r="J36" s="171">
        <f t="shared" ref="J36:AG36" si="3">SUM(J28:J34)</f>
        <v>0</v>
      </c>
      <c r="K36" s="171">
        <f t="shared" si="3"/>
        <v>0</v>
      </c>
      <c r="L36" s="171">
        <f t="shared" si="3"/>
        <v>0</v>
      </c>
      <c r="M36" s="171">
        <f t="shared" si="3"/>
        <v>0</v>
      </c>
      <c r="N36" s="171">
        <f t="shared" si="3"/>
        <v>0</v>
      </c>
      <c r="O36" s="171">
        <f t="shared" si="3"/>
        <v>0</v>
      </c>
      <c r="P36" s="171">
        <f t="shared" si="3"/>
        <v>0</v>
      </c>
      <c r="Q36" s="171">
        <f t="shared" si="3"/>
        <v>0</v>
      </c>
      <c r="R36" s="171">
        <f t="shared" si="3"/>
        <v>0</v>
      </c>
      <c r="S36" s="171">
        <f t="shared" si="3"/>
        <v>0</v>
      </c>
      <c r="T36" s="171">
        <f t="shared" si="3"/>
        <v>0</v>
      </c>
      <c r="U36" s="171">
        <f t="shared" si="3"/>
        <v>0</v>
      </c>
      <c r="V36" s="171">
        <f t="shared" si="3"/>
        <v>0</v>
      </c>
      <c r="W36" s="171">
        <f t="shared" si="3"/>
        <v>0</v>
      </c>
      <c r="X36" s="171">
        <f t="shared" si="3"/>
        <v>0</v>
      </c>
      <c r="Y36" s="171">
        <f t="shared" si="3"/>
        <v>0</v>
      </c>
      <c r="Z36" s="171">
        <f t="shared" si="3"/>
        <v>0</v>
      </c>
      <c r="AA36" s="171">
        <f t="shared" si="3"/>
        <v>0</v>
      </c>
      <c r="AB36" s="171">
        <f t="shared" si="3"/>
        <v>0</v>
      </c>
      <c r="AC36" s="171">
        <f t="shared" si="3"/>
        <v>0</v>
      </c>
      <c r="AD36" s="171">
        <f t="shared" si="3"/>
        <v>0</v>
      </c>
      <c r="AE36" s="171">
        <f t="shared" si="3"/>
        <v>0</v>
      </c>
      <c r="AF36" s="171">
        <f t="shared" si="3"/>
        <v>0</v>
      </c>
      <c r="AG36" s="171">
        <f t="shared" si="3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8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5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8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8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6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6" t="s">
        <v>104</v>
      </c>
      <c r="I42" s="85">
        <f t="shared" ref="I42:AG42" si="4">I41*I7</f>
        <v>0</v>
      </c>
      <c r="J42" s="85">
        <f t="shared" si="4"/>
        <v>0</v>
      </c>
      <c r="K42" s="85">
        <f t="shared" si="4"/>
        <v>0</v>
      </c>
      <c r="L42" s="85">
        <f t="shared" si="4"/>
        <v>0</v>
      </c>
      <c r="M42" s="85">
        <f t="shared" si="4"/>
        <v>0</v>
      </c>
      <c r="N42" s="85">
        <f t="shared" si="4"/>
        <v>0</v>
      </c>
      <c r="O42" s="85">
        <f t="shared" si="4"/>
        <v>0</v>
      </c>
      <c r="P42" s="85">
        <f t="shared" si="4"/>
        <v>0</v>
      </c>
      <c r="Q42" s="85">
        <f t="shared" si="4"/>
        <v>0</v>
      </c>
      <c r="R42" s="85">
        <f t="shared" si="4"/>
        <v>0</v>
      </c>
      <c r="S42" s="85">
        <f t="shared" si="4"/>
        <v>0</v>
      </c>
      <c r="T42" s="85">
        <f t="shared" si="4"/>
        <v>0</v>
      </c>
      <c r="U42" s="85">
        <f t="shared" si="4"/>
        <v>0</v>
      </c>
      <c r="V42" s="85">
        <f t="shared" si="4"/>
        <v>0</v>
      </c>
      <c r="W42" s="85">
        <f t="shared" si="4"/>
        <v>0</v>
      </c>
      <c r="X42" s="85">
        <f t="shared" si="4"/>
        <v>0</v>
      </c>
      <c r="Y42" s="85">
        <f t="shared" si="4"/>
        <v>0</v>
      </c>
      <c r="Z42" s="85">
        <f t="shared" si="4"/>
        <v>0</v>
      </c>
      <c r="AA42" s="85">
        <f t="shared" si="4"/>
        <v>0</v>
      </c>
      <c r="AB42" s="85">
        <f t="shared" si="4"/>
        <v>0</v>
      </c>
      <c r="AC42" s="85">
        <f t="shared" si="4"/>
        <v>0</v>
      </c>
      <c r="AD42" s="85">
        <f t="shared" si="4"/>
        <v>0</v>
      </c>
      <c r="AE42" s="85">
        <f t="shared" si="4"/>
        <v>0</v>
      </c>
      <c r="AF42" s="85">
        <f t="shared" si="4"/>
        <v>0</v>
      </c>
      <c r="AG42" s="85">
        <f t="shared" si="4"/>
        <v>0</v>
      </c>
    </row>
    <row r="43" spans="1:16372" x14ac:dyDescent="0.2">
      <c r="D43"/>
      <c r="E43"/>
      <c r="G43" s="208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7"/>
      <c r="E44"/>
      <c r="G44" s="208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tr">
        <f>'Option1 (base case)'!C45</f>
        <v>Incremental reliability in worst-served areas &gt; 500 mins</v>
      </c>
      <c r="D45" s="206" t="str">
        <f>'Option1 (base case)'!D45</f>
        <v>$/MWh</v>
      </c>
      <c r="E45" s="113">
        <f>'Option1 (base case)'!E45</f>
        <v>22593.816484833442</v>
      </c>
      <c r="G45" s="208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tr">
        <f>'Option1 (base case)'!C46</f>
        <v>Incremental network resilience (domestic)</v>
      </c>
      <c r="D46" s="206" t="str">
        <f>'Option1 (base case)'!D46</f>
        <v>$/MWh</v>
      </c>
      <c r="E46" s="113">
        <f>'Option1 (base case)'!E46</f>
        <v>25520</v>
      </c>
      <c r="G46" s="208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tr">
        <f>'Option1 (base case)'!C47</f>
        <v>Incremental network resilience (commercial)</v>
      </c>
      <c r="D47" s="206" t="str">
        <f>'Option1 (base case)'!D47</f>
        <v>$/MWh</v>
      </c>
      <c r="E47" s="113">
        <f>'Option1 (base case)'!E47</f>
        <v>52200</v>
      </c>
      <c r="G47" s="208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tr">
        <f>'Option1 (base case)'!C48</f>
        <v>Incremental network resilience (industrial)</v>
      </c>
      <c r="D48" s="206" t="str">
        <f>'Option1 (base case)'!D48</f>
        <v>$/customer</v>
      </c>
      <c r="E48" s="113">
        <f>'Option1 (base case)'!E48</f>
        <v>74790</v>
      </c>
      <c r="G48" s="208" t="s">
        <v>40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tr">
        <f>'Option1 (base case)'!C49</f>
        <v>Incremental network resilience (agricultural)</v>
      </c>
      <c r="D49" s="206" t="str">
        <f>'Option1 (base case)'!D49</f>
        <v>$/customer min</v>
      </c>
      <c r="E49" s="113">
        <f>'Option1 (base case)'!E49</f>
        <v>44400</v>
      </c>
      <c r="G49" s="208" t="s">
        <v>40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tr">
        <f>'Option1 (base case)'!C50</f>
        <v>Incremental network resilience (others)</v>
      </c>
      <c r="D50" s="206" t="str">
        <f>'Option1 (base case)'!D50</f>
        <v>$/customer min</v>
      </c>
      <c r="E50" s="113">
        <f>'Option1 (base case)'!E50</f>
        <v>52200</v>
      </c>
      <c r="G50" s="208" t="s">
        <v>40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D51" s="206"/>
      <c r="E51" s="113">
        <f>'Option1 (base case)'!E51</f>
        <v>0</v>
      </c>
      <c r="G51" s="208"/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D52" s="206"/>
      <c r="E52" s="113">
        <f>'Option1 (base case)'!E52</f>
        <v>0</v>
      </c>
      <c r="G52" s="208"/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6"/>
      <c r="G53" s="208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6"/>
      <c r="G54" s="208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6"/>
      <c r="G55" s="208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6"/>
      <c r="G56" s="206"/>
    </row>
    <row r="57" spans="1:43" x14ac:dyDescent="0.2">
      <c r="C57" s="3" t="s">
        <v>125</v>
      </c>
      <c r="D57" s="219"/>
      <c r="E57" s="107"/>
      <c r="F57" s="3"/>
      <c r="G57" s="208">
        <f>input_dollars</f>
        <v>45291</v>
      </c>
      <c r="H57" s="107"/>
      <c r="I57" s="171" cm="1">
        <f t="array" ref="I57">SUMPRODUCT((I$45:I$52)*($E$45:$E$52))+SUM(I54:I55)+I42</f>
        <v>0</v>
      </c>
      <c r="J57" s="171" cm="1">
        <f t="array" ref="J57">SUMPRODUCT((J$45:J$52)*($E$45:$E$52))+SUM(J54:J55)+J42</f>
        <v>0</v>
      </c>
      <c r="K57" s="171" cm="1">
        <f t="array" ref="K57">SUMPRODUCT((K$45:K$52)*($E$45:$E$52))+SUM(K54:K55)+K42</f>
        <v>0</v>
      </c>
      <c r="L57" s="171" cm="1">
        <f t="array" ref="L57">SUMPRODUCT((L$45:L$52)*($E$45:$E$52))+SUM(L54:L55)+L42</f>
        <v>0</v>
      </c>
      <c r="M57" s="171" cm="1">
        <f t="array" ref="M57">SUMPRODUCT((M$45:M$52)*($E$45:$E$52))+SUM(M54:M55)+M42</f>
        <v>0</v>
      </c>
      <c r="N57" s="171" cm="1">
        <f t="array" ref="N57">SUMPRODUCT((N$45:N$52)*($E$45:$E$52))+SUM(N54:N55)+N42</f>
        <v>0</v>
      </c>
      <c r="O57" s="171" cm="1">
        <f t="array" ref="O57">SUMPRODUCT((O$45:O$52)*($E$45:$E$52))+SUM(O54:O55)+O42</f>
        <v>0</v>
      </c>
      <c r="P57" s="171" cm="1">
        <f t="array" ref="P57">SUMPRODUCT((P$45:P$52)*($E$45:$E$52))+SUM(P54:P55)+P42</f>
        <v>0</v>
      </c>
      <c r="Q57" s="171" cm="1">
        <f t="array" ref="Q57">SUMPRODUCT((Q$45:Q$52)*($E$45:$E$52))+SUM(Q54:Q55)+Q42</f>
        <v>0</v>
      </c>
      <c r="R57" s="171" cm="1">
        <f t="array" ref="R57">SUMPRODUCT((R$45:R$52)*($E$45:$E$52))+SUM(R54:R55)+R42</f>
        <v>0</v>
      </c>
      <c r="S57" s="171" cm="1">
        <f t="array" ref="S57">SUMPRODUCT((S$45:S$52)*($E$45:$E$52))+SUM(S54:S55)+S42</f>
        <v>0</v>
      </c>
      <c r="T57" s="171" cm="1">
        <f t="array" ref="T57">SUMPRODUCT((T$45:T$52)*($E$45:$E$52))+SUM(T54:T55)+T42</f>
        <v>0</v>
      </c>
      <c r="U57" s="171" cm="1">
        <f t="array" ref="U57">SUMPRODUCT((U$45:U$52)*($E$45:$E$52))+SUM(U54:U55)+U42</f>
        <v>0</v>
      </c>
      <c r="V57" s="171" cm="1">
        <f t="array" ref="V57">SUMPRODUCT((V$45:V$52)*($E$45:$E$52))+SUM(V54:V55)+V42</f>
        <v>0</v>
      </c>
      <c r="W57" s="171" cm="1">
        <f t="array" ref="W57">SUMPRODUCT((W$45:W$52)*($E$45:$E$52))+SUM(W54:W55)+W42</f>
        <v>0</v>
      </c>
      <c r="X57" s="171" cm="1">
        <f t="array" ref="X57">SUMPRODUCT((X$45:X$52)*($E$45:$E$52))+SUM(X54:X55)+X42</f>
        <v>0</v>
      </c>
      <c r="Y57" s="171" cm="1">
        <f t="array" ref="Y57">SUMPRODUCT((Y$45:Y$52)*($E$45:$E$52))+SUM(Y54:Y55)+Y42</f>
        <v>0</v>
      </c>
      <c r="Z57" s="171" cm="1">
        <f t="array" ref="Z57">SUMPRODUCT((Z$45:Z$52)*($E$45:$E$52))+SUM(Z54:Z55)+Z42</f>
        <v>0</v>
      </c>
      <c r="AA57" s="171" cm="1">
        <f t="array" ref="AA57">SUMPRODUCT((AA$45:AA$52)*($E$45:$E$52))+SUM(AA54:AA55)+AA42</f>
        <v>0</v>
      </c>
      <c r="AB57" s="171" cm="1">
        <f t="array" ref="AB57">SUMPRODUCT((AB$45:AB$52)*($E$45:$E$52))+SUM(AB54:AB55)+AB42</f>
        <v>0</v>
      </c>
      <c r="AC57" s="171" cm="1">
        <f t="array" ref="AC57">SUMPRODUCT((AC$45:AC$52)*($E$45:$E$52))+SUM(AC54:AC55)+AC42</f>
        <v>0</v>
      </c>
      <c r="AD57" s="171" cm="1">
        <f t="array" ref="AD57">SUMPRODUCT((AD$45:AD$52)*($E$45:$E$52))+SUM(AD54:AD55)+AD42</f>
        <v>0</v>
      </c>
      <c r="AE57" s="171" cm="1">
        <f t="array" ref="AE57">SUMPRODUCT((AE$45:AE$52)*($E$45:$E$52))+SUM(AE54:AE55)+AE42</f>
        <v>0</v>
      </c>
      <c r="AF57" s="171" cm="1">
        <f t="array" ref="AF57">SUMPRODUCT((AF$45:AF$52)*($E$45:$E$52))+SUM(AF54:AF55)+AF42</f>
        <v>0</v>
      </c>
      <c r="AG57" s="171" cm="1">
        <f t="array" ref="AG57">SUMPRODUCT((AG$45:AG$52)*($E$45:$E$52))+SUM(AG54:AG55)+AG42</f>
        <v>0</v>
      </c>
    </row>
    <row r="58" spans="1:43" x14ac:dyDescent="0.2">
      <c r="D58" s="206"/>
      <c r="G58" s="206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6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5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9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2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F63" s="2"/>
      <c r="G63" s="213"/>
    </row>
    <row r="64" spans="1:43" x14ac:dyDescent="0.2">
      <c r="C64" s="4" t="str">
        <f>'Option1 (base case)'!C64</f>
        <v>Risks mitigated vs base case</v>
      </c>
      <c r="G64" s="211">
        <f>input_dollars</f>
        <v>45291</v>
      </c>
      <c r="I64" s="133">
        <f>(1-INDEX(Data!$C$9:$C$13, MATCH($A$3, options,0)))*('Option1 (base case)'!I36-I36)</f>
        <v>0</v>
      </c>
      <c r="J64" s="133">
        <f>(1-INDEX(Data!$C$9:$C$13, MATCH($A$3, options,0)))*('Option1 (base case)'!J36-J36)</f>
        <v>0</v>
      </c>
      <c r="K64" s="133">
        <f>(1-INDEX(Data!$C$9:$C$13, MATCH($A$3, options,0)))*('Option1 (base case)'!K36-K36)</f>
        <v>0</v>
      </c>
      <c r="L64" s="133">
        <f>(1-INDEX(Data!$C$9:$C$13, MATCH($A$3, options,0)))*('Option1 (base case)'!L36-L36)</f>
        <v>0</v>
      </c>
      <c r="M64" s="133">
        <f>(1-INDEX(Data!$C$9:$C$13, MATCH($A$3, options,0)))*('Option1 (base case)'!M36-M36)</f>
        <v>0</v>
      </c>
      <c r="N64" s="133">
        <f>(1-INDEX(Data!$C$9:$C$13, MATCH($A$3, options,0)))*('Option1 (base case)'!N36-N36)</f>
        <v>0</v>
      </c>
      <c r="O64" s="133">
        <f>(1-INDEX(Data!$C$9:$C$13, MATCH($A$3, options,0)))*('Option1 (base case)'!O36-O36)</f>
        <v>0</v>
      </c>
      <c r="P64" s="133">
        <f>(1-INDEX(Data!$C$9:$C$13, MATCH($A$3, options,0)))*('Option1 (base case)'!P36-P36)</f>
        <v>0</v>
      </c>
      <c r="Q64" s="133">
        <f>(1-INDEX(Data!$C$9:$C$13, MATCH($A$3, options,0)))*('Option1 (base case)'!Q36-Q36)</f>
        <v>0</v>
      </c>
      <c r="R64" s="133">
        <f>(1-INDEX(Data!$C$9:$C$13, MATCH($A$3, options,0)))*('Option1 (base case)'!R36-R36)</f>
        <v>0</v>
      </c>
      <c r="S64" s="133">
        <f>(1-INDEX(Data!$C$9:$C$13, MATCH($A$3, options,0)))*('Option1 (base case)'!S36-S36)</f>
        <v>0</v>
      </c>
      <c r="T64" s="133">
        <f>(1-INDEX(Data!$C$9:$C$13, MATCH($A$3, options,0)))*('Option1 (base case)'!T36-T36)</f>
        <v>0</v>
      </c>
      <c r="U64" s="133">
        <f>(1-INDEX(Data!$C$9:$C$13, MATCH($A$3, options,0)))*('Option1 (base case)'!U36-U36)</f>
        <v>0</v>
      </c>
      <c r="V64" s="133">
        <f>(1-INDEX(Data!$C$9:$C$13, MATCH($A$3, options,0)))*('Option1 (base case)'!V36-V36)</f>
        <v>0</v>
      </c>
      <c r="W64" s="133">
        <f>(1-INDEX(Data!$C$9:$C$13, MATCH($A$3, options,0)))*('Option1 (base case)'!W36-W36)</f>
        <v>0</v>
      </c>
      <c r="X64" s="133">
        <f>(1-INDEX(Data!$C$9:$C$13, MATCH($A$3, options,0)))*('Option1 (base case)'!X36-X36)</f>
        <v>0</v>
      </c>
      <c r="Y64" s="133">
        <f>(1-INDEX(Data!$C$9:$C$13, MATCH($A$3, options,0)))*('Option1 (base case)'!Y36-Y36)</f>
        <v>0</v>
      </c>
      <c r="Z64" s="133">
        <f>(1-INDEX(Data!$C$9:$C$13, MATCH($A$3, options,0)))*('Option1 (base case)'!Z36-Z36)</f>
        <v>0</v>
      </c>
      <c r="AA64" s="133">
        <f>(1-INDEX(Data!$C$9:$C$13, MATCH($A$3, options,0)))*('Option1 (base case)'!AA36-AA36)</f>
        <v>0</v>
      </c>
      <c r="AB64" s="133">
        <f>(1-INDEX(Data!$C$9:$C$13, MATCH($A$3, options,0)))*('Option1 (base case)'!AB36-AB36)</f>
        <v>0</v>
      </c>
      <c r="AC64" s="133">
        <f>(1-INDEX(Data!$C$9:$C$13, MATCH($A$3, options,0)))*('Option1 (base case)'!AC36-AC36)</f>
        <v>0</v>
      </c>
      <c r="AD64" s="133">
        <f>(1-INDEX(Data!$C$9:$C$13, MATCH($A$3, options,0)))*('Option1 (base case)'!AD36-AD36)</f>
        <v>0</v>
      </c>
      <c r="AE64" s="133">
        <f>(1-INDEX(Data!$C$9:$C$13, MATCH($A$3, options,0)))*('Option1 (base case)'!AE36-AE36)</f>
        <v>0</v>
      </c>
      <c r="AF64" s="133">
        <f>(1-INDEX(Data!$C$9:$C$13, MATCH($A$3, options,0)))*('Option1 (base case)'!AF36-AF36)</f>
        <v>0</v>
      </c>
      <c r="AG64" s="133">
        <f>(1-INDEX(Data!$C$9:$C$13, MATCH($A$3, options,0)))*('Option1 (base case)'!AG36-AG36)</f>
        <v>0</v>
      </c>
    </row>
    <row r="65" spans="1:33" x14ac:dyDescent="0.2">
      <c r="G65" s="213"/>
    </row>
    <row r="66" spans="1:33" x14ac:dyDescent="0.2">
      <c r="A66" s="8"/>
      <c r="B66" s="8"/>
      <c r="C66" s="148" t="s">
        <v>30</v>
      </c>
      <c r="D66" s="38"/>
      <c r="F66" s="97"/>
      <c r="G66" s="214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&lt; Enter description &gt;</v>
      </c>
      <c r="D67" s="38"/>
      <c r="F67" s="97"/>
      <c r="G67" s="211">
        <f>input_dollars</f>
        <v>45291</v>
      </c>
      <c r="H67" s="31"/>
      <c r="I67" s="119">
        <f t="shared" ref="I67:AG67" si="5">-I14</f>
        <v>0</v>
      </c>
      <c r="J67" s="119">
        <f t="shared" si="5"/>
        <v>0</v>
      </c>
      <c r="K67" s="119">
        <f t="shared" si="5"/>
        <v>0</v>
      </c>
      <c r="L67" s="119">
        <f t="shared" si="5"/>
        <v>0</v>
      </c>
      <c r="M67" s="119">
        <f t="shared" si="5"/>
        <v>0</v>
      </c>
      <c r="N67" s="119">
        <f t="shared" si="5"/>
        <v>0</v>
      </c>
      <c r="O67" s="119">
        <f t="shared" si="5"/>
        <v>0</v>
      </c>
      <c r="P67" s="119">
        <f t="shared" si="5"/>
        <v>0</v>
      </c>
      <c r="Q67" s="119">
        <f t="shared" si="5"/>
        <v>0</v>
      </c>
      <c r="R67" s="119">
        <f t="shared" si="5"/>
        <v>0</v>
      </c>
      <c r="S67" s="119">
        <f t="shared" si="5"/>
        <v>0</v>
      </c>
      <c r="T67" s="119">
        <f t="shared" si="5"/>
        <v>0</v>
      </c>
      <c r="U67" s="119">
        <f t="shared" si="5"/>
        <v>0</v>
      </c>
      <c r="V67" s="119">
        <f t="shared" si="5"/>
        <v>0</v>
      </c>
      <c r="W67" s="119">
        <f t="shared" si="5"/>
        <v>0</v>
      </c>
      <c r="X67" s="119">
        <f t="shared" si="5"/>
        <v>0</v>
      </c>
      <c r="Y67" s="119">
        <f t="shared" si="5"/>
        <v>0</v>
      </c>
      <c r="Z67" s="119">
        <f t="shared" si="5"/>
        <v>0</v>
      </c>
      <c r="AA67" s="119">
        <f t="shared" si="5"/>
        <v>0</v>
      </c>
      <c r="AB67" s="119">
        <f t="shared" si="5"/>
        <v>0</v>
      </c>
      <c r="AC67" s="119">
        <f t="shared" si="5"/>
        <v>0</v>
      </c>
      <c r="AD67" s="119">
        <f t="shared" si="5"/>
        <v>0</v>
      </c>
      <c r="AE67" s="119">
        <f t="shared" si="5"/>
        <v>0</v>
      </c>
      <c r="AF67" s="119">
        <f t="shared" si="5"/>
        <v>0</v>
      </c>
      <c r="AG67" s="119">
        <f t="shared" si="5"/>
        <v>0</v>
      </c>
    </row>
    <row r="68" spans="1:33" x14ac:dyDescent="0.2">
      <c r="A68" s="8"/>
      <c r="B68" s="8"/>
      <c r="C68" s="4" t="str">
        <f>C15</f>
        <v>&lt; Enter description &gt;</v>
      </c>
      <c r="D68" s="38"/>
      <c r="F68" s="97"/>
      <c r="G68" s="211">
        <f>input_dollars</f>
        <v>45291</v>
      </c>
      <c r="H68" s="31"/>
      <c r="I68" s="119">
        <f t="shared" ref="I68:AG68" si="6">-I15</f>
        <v>0</v>
      </c>
      <c r="J68" s="119">
        <f t="shared" si="6"/>
        <v>0</v>
      </c>
      <c r="K68" s="119">
        <f t="shared" si="6"/>
        <v>0</v>
      </c>
      <c r="L68" s="119">
        <f t="shared" si="6"/>
        <v>0</v>
      </c>
      <c r="M68" s="119">
        <f t="shared" si="6"/>
        <v>0</v>
      </c>
      <c r="N68" s="119">
        <f t="shared" si="6"/>
        <v>0</v>
      </c>
      <c r="O68" s="119">
        <f t="shared" si="6"/>
        <v>0</v>
      </c>
      <c r="P68" s="119">
        <f t="shared" si="6"/>
        <v>0</v>
      </c>
      <c r="Q68" s="119">
        <f t="shared" si="6"/>
        <v>0</v>
      </c>
      <c r="R68" s="119">
        <f t="shared" si="6"/>
        <v>0</v>
      </c>
      <c r="S68" s="119">
        <f t="shared" si="6"/>
        <v>0</v>
      </c>
      <c r="T68" s="119">
        <f t="shared" si="6"/>
        <v>0</v>
      </c>
      <c r="U68" s="119">
        <f t="shared" si="6"/>
        <v>0</v>
      </c>
      <c r="V68" s="119">
        <f t="shared" si="6"/>
        <v>0</v>
      </c>
      <c r="W68" s="119">
        <f t="shared" si="6"/>
        <v>0</v>
      </c>
      <c r="X68" s="119">
        <f t="shared" si="6"/>
        <v>0</v>
      </c>
      <c r="Y68" s="119">
        <f t="shared" si="6"/>
        <v>0</v>
      </c>
      <c r="Z68" s="119">
        <f t="shared" si="6"/>
        <v>0</v>
      </c>
      <c r="AA68" s="119">
        <f t="shared" si="6"/>
        <v>0</v>
      </c>
      <c r="AB68" s="119">
        <f t="shared" si="6"/>
        <v>0</v>
      </c>
      <c r="AC68" s="119">
        <f t="shared" si="6"/>
        <v>0</v>
      </c>
      <c r="AD68" s="119">
        <f t="shared" si="6"/>
        <v>0</v>
      </c>
      <c r="AE68" s="119">
        <f t="shared" si="6"/>
        <v>0</v>
      </c>
      <c r="AF68" s="119">
        <f t="shared" si="6"/>
        <v>0</v>
      </c>
      <c r="AG68" s="119">
        <f t="shared" si="6"/>
        <v>0</v>
      </c>
    </row>
    <row r="69" spans="1:33" x14ac:dyDescent="0.2">
      <c r="A69" s="8"/>
      <c r="B69" s="8"/>
      <c r="C69" s="4" t="str">
        <f>C16</f>
        <v>&lt; Enter description &gt;</v>
      </c>
      <c r="D69" s="38"/>
      <c r="F69" s="97"/>
      <c r="G69" s="211">
        <f>input_dollars</f>
        <v>45291</v>
      </c>
      <c r="H69" s="31"/>
      <c r="I69" s="119">
        <f t="shared" ref="I69:AG69" si="7">-I16</f>
        <v>0</v>
      </c>
      <c r="J69" s="119">
        <f t="shared" si="7"/>
        <v>0</v>
      </c>
      <c r="K69" s="119">
        <f t="shared" si="7"/>
        <v>0</v>
      </c>
      <c r="L69" s="119">
        <f t="shared" si="7"/>
        <v>0</v>
      </c>
      <c r="M69" s="119">
        <f t="shared" si="7"/>
        <v>0</v>
      </c>
      <c r="N69" s="119">
        <f t="shared" si="7"/>
        <v>0</v>
      </c>
      <c r="O69" s="119">
        <f t="shared" si="7"/>
        <v>0</v>
      </c>
      <c r="P69" s="119">
        <f t="shared" si="7"/>
        <v>0</v>
      </c>
      <c r="Q69" s="119">
        <f t="shared" si="7"/>
        <v>0</v>
      </c>
      <c r="R69" s="119">
        <f t="shared" si="7"/>
        <v>0</v>
      </c>
      <c r="S69" s="119">
        <f t="shared" si="7"/>
        <v>0</v>
      </c>
      <c r="T69" s="119">
        <f t="shared" si="7"/>
        <v>0</v>
      </c>
      <c r="U69" s="119">
        <f t="shared" si="7"/>
        <v>0</v>
      </c>
      <c r="V69" s="119">
        <f t="shared" si="7"/>
        <v>0</v>
      </c>
      <c r="W69" s="119">
        <f t="shared" si="7"/>
        <v>0</v>
      </c>
      <c r="X69" s="119">
        <f t="shared" si="7"/>
        <v>0</v>
      </c>
      <c r="Y69" s="119">
        <f t="shared" si="7"/>
        <v>0</v>
      </c>
      <c r="Z69" s="119">
        <f t="shared" si="7"/>
        <v>0</v>
      </c>
      <c r="AA69" s="119">
        <f t="shared" si="7"/>
        <v>0</v>
      </c>
      <c r="AB69" s="119">
        <f t="shared" si="7"/>
        <v>0</v>
      </c>
      <c r="AC69" s="119">
        <f t="shared" si="7"/>
        <v>0</v>
      </c>
      <c r="AD69" s="119">
        <f t="shared" si="7"/>
        <v>0</v>
      </c>
      <c r="AE69" s="119">
        <f t="shared" si="7"/>
        <v>0</v>
      </c>
      <c r="AF69" s="119">
        <f t="shared" si="7"/>
        <v>0</v>
      </c>
      <c r="AG69" s="119">
        <f t="shared" si="7"/>
        <v>0</v>
      </c>
    </row>
    <row r="70" spans="1:33" x14ac:dyDescent="0.2">
      <c r="A70" s="8"/>
      <c r="B70" s="8"/>
      <c r="C70" s="4"/>
      <c r="D70" s="38"/>
      <c r="F70" s="97"/>
      <c r="G70" s="215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8" t="s">
        <v>160</v>
      </c>
      <c r="D71" s="38"/>
      <c r="F71" s="97"/>
      <c r="G71" s="214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&lt; Enter description &gt;</v>
      </c>
      <c r="D72" s="38"/>
      <c r="F72" s="97"/>
      <c r="G72" s="211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0</v>
      </c>
      <c r="M72" s="119" cm="1">
        <f t="array" ref="M72">SUMPRODUCT(($I67:M67))-SUMPRODUCT(($I67:M67)*($I$6:M$6&lt;=(M$6-$E14)))</f>
        <v>0</v>
      </c>
      <c r="N72" s="119" cm="1">
        <f t="array" ref="N72">SUMPRODUCT(($I67:N67))-SUMPRODUCT(($I67:N67)*($I$6:N$6&lt;=(N$6-$E14)))</f>
        <v>0</v>
      </c>
      <c r="O72" s="119" cm="1">
        <f t="array" ref="O72">SUMPRODUCT(($I67:O67))-SUMPRODUCT(($I67:O67)*($I$6:O$6&lt;=(O$6-$E14)))</f>
        <v>0</v>
      </c>
      <c r="P72" s="119" cm="1">
        <f t="array" ref="P72">SUMPRODUCT(($I67:P67))-SUMPRODUCT(($I67:P67)*($I$6:P$6&lt;=(P$6-$E14)))</f>
        <v>0</v>
      </c>
      <c r="Q72" s="119" cm="1">
        <f t="array" ref="Q72">SUMPRODUCT(($I67:Q67))-SUMPRODUCT(($I67:Q67)*($I$6:Q$6&lt;=(Q$6-$E14)))</f>
        <v>0</v>
      </c>
      <c r="R72" s="119" cm="1">
        <f t="array" ref="R72">SUMPRODUCT(($I67:R67))-SUMPRODUCT(($I67:R67)*($I$6:R$6&lt;=(R$6-$E14)))</f>
        <v>0</v>
      </c>
      <c r="S72" s="119" cm="1">
        <f t="array" ref="S72">SUMPRODUCT(($I67:S67))-SUMPRODUCT(($I67:S67)*($I$6:S$6&lt;=(S$6-$E14)))</f>
        <v>0</v>
      </c>
      <c r="T72" s="119" cm="1">
        <f t="array" ref="T72">SUMPRODUCT(($I67:T67))-SUMPRODUCT(($I67:T67)*($I$6:T$6&lt;=(T$6-$E14)))</f>
        <v>0</v>
      </c>
      <c r="U72" s="119" cm="1">
        <f t="array" ref="U72">SUMPRODUCT(($I67:U67))-SUMPRODUCT(($I67:U67)*($I$6:U$6&lt;=(U$6-$E14)))</f>
        <v>0</v>
      </c>
      <c r="V72" s="119" cm="1">
        <f t="array" ref="V72">SUMPRODUCT(($I67:V67))-SUMPRODUCT(($I67:V67)*($I$6:V$6&lt;=(V$6-$E14)))</f>
        <v>0</v>
      </c>
      <c r="W72" s="119" cm="1">
        <f t="array" ref="W72">SUMPRODUCT(($I67:W67))-SUMPRODUCT(($I67:W67)*($I$6:W$6&lt;=(W$6-$E14)))</f>
        <v>0</v>
      </c>
      <c r="X72" s="119" cm="1">
        <f t="array" ref="X72">SUMPRODUCT(($I67:X67))-SUMPRODUCT(($I67:X67)*($I$6:X$6&lt;=(X$6-$E14)))</f>
        <v>0</v>
      </c>
      <c r="Y72" s="119" cm="1">
        <f t="array" ref="Y72">SUMPRODUCT(($I67:Y67))-SUMPRODUCT(($I67:Y67)*($I$6:Y$6&lt;=(Y$6-$E14)))</f>
        <v>0</v>
      </c>
      <c r="Z72" s="119" cm="1">
        <f t="array" ref="Z72">SUMPRODUCT(($I67:Z67))-SUMPRODUCT(($I67:Z67)*($I$6:Z$6&lt;=(Z$6-$E14)))</f>
        <v>0</v>
      </c>
      <c r="AA72" s="119" cm="1">
        <f t="array" ref="AA72">SUMPRODUCT(($I67:AA67))-SUMPRODUCT(($I67:AA67)*($I$6:AA$6&lt;=(AA$6-$E14)))</f>
        <v>0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 t="str">
        <f>C15</f>
        <v>&lt; Enter description &gt;</v>
      </c>
      <c r="D73" s="38"/>
      <c r="F73" s="97"/>
      <c r="G73" s="211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 t="str">
        <f>C16</f>
        <v>&lt; Enter description &gt;</v>
      </c>
      <c r="D74" s="38"/>
      <c r="F74" s="97"/>
      <c r="G74" s="211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5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8" t="s">
        <v>91</v>
      </c>
      <c r="D76" s="38"/>
      <c r="F76" s="97"/>
      <c r="G76" s="214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&lt; Enter description &gt;</v>
      </c>
      <c r="D77" s="38"/>
      <c r="F77" s="97"/>
      <c r="G77" s="211">
        <f>input_dollars</f>
        <v>45291</v>
      </c>
      <c r="H77" s="31"/>
      <c r="I77" s="119">
        <f t="shared" ref="I77:AG77" si="8">IF($E14=0,0,-PMT(real_disc, $E14,H72,))</f>
        <v>0</v>
      </c>
      <c r="J77" s="119">
        <f t="shared" si="8"/>
        <v>0</v>
      </c>
      <c r="K77" s="119">
        <f t="shared" si="8"/>
        <v>0</v>
      </c>
      <c r="L77" s="119">
        <f t="shared" si="8"/>
        <v>0</v>
      </c>
      <c r="M77" s="119">
        <f t="shared" si="8"/>
        <v>0</v>
      </c>
      <c r="N77" s="119">
        <f t="shared" si="8"/>
        <v>0</v>
      </c>
      <c r="O77" s="119">
        <f t="shared" si="8"/>
        <v>0</v>
      </c>
      <c r="P77" s="119">
        <f t="shared" si="8"/>
        <v>0</v>
      </c>
      <c r="Q77" s="119">
        <f t="shared" si="8"/>
        <v>0</v>
      </c>
      <c r="R77" s="119">
        <f t="shared" si="8"/>
        <v>0</v>
      </c>
      <c r="S77" s="119">
        <f t="shared" si="8"/>
        <v>0</v>
      </c>
      <c r="T77" s="119">
        <f t="shared" si="8"/>
        <v>0</v>
      </c>
      <c r="U77" s="119">
        <f t="shared" si="8"/>
        <v>0</v>
      </c>
      <c r="V77" s="119">
        <f t="shared" si="8"/>
        <v>0</v>
      </c>
      <c r="W77" s="119">
        <f t="shared" si="8"/>
        <v>0</v>
      </c>
      <c r="X77" s="119">
        <f t="shared" si="8"/>
        <v>0</v>
      </c>
      <c r="Y77" s="119">
        <f t="shared" si="8"/>
        <v>0</v>
      </c>
      <c r="Z77" s="119">
        <f t="shared" si="8"/>
        <v>0</v>
      </c>
      <c r="AA77" s="119">
        <f t="shared" si="8"/>
        <v>0</v>
      </c>
      <c r="AB77" s="119">
        <f t="shared" si="8"/>
        <v>0</v>
      </c>
      <c r="AC77" s="119">
        <f t="shared" si="8"/>
        <v>0</v>
      </c>
      <c r="AD77" s="119">
        <f t="shared" si="8"/>
        <v>0</v>
      </c>
      <c r="AE77" s="119">
        <f t="shared" si="8"/>
        <v>0</v>
      </c>
      <c r="AF77" s="119">
        <f t="shared" si="8"/>
        <v>0</v>
      </c>
      <c r="AG77" s="119">
        <f t="shared" si="8"/>
        <v>0</v>
      </c>
    </row>
    <row r="78" spans="1:33" x14ac:dyDescent="0.2">
      <c r="A78" s="8"/>
      <c r="B78" s="8"/>
      <c r="C78" s="4" t="str">
        <f>$C$76&amp;" - "&amp;C15</f>
        <v>Annualised capex - &lt; Enter description &gt;</v>
      </c>
      <c r="D78" s="38"/>
      <c r="F78" s="97"/>
      <c r="G78" s="211">
        <f>input_dollars</f>
        <v>45291</v>
      </c>
      <c r="H78" s="31"/>
      <c r="I78" s="119">
        <f t="shared" ref="I78:AG78" si="9">IF($E15=0,0,-PMT(real_disc, $E15,H73,))</f>
        <v>0</v>
      </c>
      <c r="J78" s="119">
        <f t="shared" si="9"/>
        <v>0</v>
      </c>
      <c r="K78" s="119">
        <f t="shared" si="9"/>
        <v>0</v>
      </c>
      <c r="L78" s="119">
        <f t="shared" si="9"/>
        <v>0</v>
      </c>
      <c r="M78" s="119">
        <f t="shared" si="9"/>
        <v>0</v>
      </c>
      <c r="N78" s="119">
        <f t="shared" si="9"/>
        <v>0</v>
      </c>
      <c r="O78" s="119">
        <f t="shared" si="9"/>
        <v>0</v>
      </c>
      <c r="P78" s="119">
        <f t="shared" si="9"/>
        <v>0</v>
      </c>
      <c r="Q78" s="119">
        <f t="shared" si="9"/>
        <v>0</v>
      </c>
      <c r="R78" s="119">
        <f t="shared" si="9"/>
        <v>0</v>
      </c>
      <c r="S78" s="119">
        <f t="shared" si="9"/>
        <v>0</v>
      </c>
      <c r="T78" s="119">
        <f t="shared" si="9"/>
        <v>0</v>
      </c>
      <c r="U78" s="119">
        <f t="shared" si="9"/>
        <v>0</v>
      </c>
      <c r="V78" s="119">
        <f t="shared" si="9"/>
        <v>0</v>
      </c>
      <c r="W78" s="119">
        <f t="shared" si="9"/>
        <v>0</v>
      </c>
      <c r="X78" s="119">
        <f t="shared" si="9"/>
        <v>0</v>
      </c>
      <c r="Y78" s="119">
        <f t="shared" si="9"/>
        <v>0</v>
      </c>
      <c r="Z78" s="119">
        <f t="shared" si="9"/>
        <v>0</v>
      </c>
      <c r="AA78" s="119">
        <f t="shared" si="9"/>
        <v>0</v>
      </c>
      <c r="AB78" s="119">
        <f t="shared" si="9"/>
        <v>0</v>
      </c>
      <c r="AC78" s="119">
        <f t="shared" si="9"/>
        <v>0</v>
      </c>
      <c r="AD78" s="119">
        <f t="shared" si="9"/>
        <v>0</v>
      </c>
      <c r="AE78" s="119">
        <f t="shared" si="9"/>
        <v>0</v>
      </c>
      <c r="AF78" s="119">
        <f t="shared" si="9"/>
        <v>0</v>
      </c>
      <c r="AG78" s="119">
        <f t="shared" si="9"/>
        <v>0</v>
      </c>
    </row>
    <row r="79" spans="1:33" x14ac:dyDescent="0.2">
      <c r="A79" s="8"/>
      <c r="B79" s="8"/>
      <c r="C79" s="4" t="str">
        <f>$C$76&amp;" - "&amp;C16</f>
        <v>Annualised capex - &lt; Enter description &gt;</v>
      </c>
      <c r="D79" s="38"/>
      <c r="F79" s="97"/>
      <c r="G79" s="211">
        <f>input_dollars</f>
        <v>45291</v>
      </c>
      <c r="H79" s="31"/>
      <c r="I79" s="119">
        <f t="shared" ref="I79:AG79" si="10">IF($E16=0,0,-PMT(real_disc, $E16,H74,))</f>
        <v>0</v>
      </c>
      <c r="J79" s="119">
        <f t="shared" si="10"/>
        <v>0</v>
      </c>
      <c r="K79" s="119">
        <f t="shared" si="10"/>
        <v>0</v>
      </c>
      <c r="L79" s="119">
        <f t="shared" si="10"/>
        <v>0</v>
      </c>
      <c r="M79" s="119">
        <f t="shared" si="10"/>
        <v>0</v>
      </c>
      <c r="N79" s="119">
        <f t="shared" si="10"/>
        <v>0</v>
      </c>
      <c r="O79" s="119">
        <f t="shared" si="10"/>
        <v>0</v>
      </c>
      <c r="P79" s="119">
        <f t="shared" si="10"/>
        <v>0</v>
      </c>
      <c r="Q79" s="119">
        <f t="shared" si="10"/>
        <v>0</v>
      </c>
      <c r="R79" s="119">
        <f t="shared" si="10"/>
        <v>0</v>
      </c>
      <c r="S79" s="119">
        <f t="shared" si="10"/>
        <v>0</v>
      </c>
      <c r="T79" s="119">
        <f t="shared" si="10"/>
        <v>0</v>
      </c>
      <c r="U79" s="119">
        <f t="shared" si="10"/>
        <v>0</v>
      </c>
      <c r="V79" s="119">
        <f t="shared" si="10"/>
        <v>0</v>
      </c>
      <c r="W79" s="119">
        <f t="shared" si="10"/>
        <v>0</v>
      </c>
      <c r="X79" s="119">
        <f t="shared" si="10"/>
        <v>0</v>
      </c>
      <c r="Y79" s="119">
        <f t="shared" si="10"/>
        <v>0</v>
      </c>
      <c r="Z79" s="119">
        <f t="shared" si="10"/>
        <v>0</v>
      </c>
      <c r="AA79" s="119">
        <f t="shared" si="10"/>
        <v>0</v>
      </c>
      <c r="AB79" s="119">
        <f t="shared" si="10"/>
        <v>0</v>
      </c>
      <c r="AC79" s="119">
        <f t="shared" si="10"/>
        <v>0</v>
      </c>
      <c r="AD79" s="119">
        <f t="shared" si="10"/>
        <v>0</v>
      </c>
      <c r="AE79" s="119">
        <f t="shared" si="10"/>
        <v>0</v>
      </c>
      <c r="AF79" s="119">
        <f t="shared" si="10"/>
        <v>0</v>
      </c>
      <c r="AG79" s="119">
        <f t="shared" si="10"/>
        <v>0</v>
      </c>
    </row>
    <row r="80" spans="1:33" x14ac:dyDescent="0.2">
      <c r="A80" s="8"/>
      <c r="B80" s="8"/>
      <c r="C80" s="173" t="s">
        <v>161</v>
      </c>
      <c r="D80" s="173"/>
      <c r="E80" s="174"/>
      <c r="F80" s="175"/>
      <c r="G80" s="216">
        <f>input_dollars</f>
        <v>45291</v>
      </c>
      <c r="H80" s="176"/>
      <c r="I80" s="177">
        <f>SUM(I77:I79)</f>
        <v>0</v>
      </c>
      <c r="J80" s="177">
        <f t="shared" ref="J80:AB80" si="11">SUM(J77:J79)</f>
        <v>0</v>
      </c>
      <c r="K80" s="177">
        <f t="shared" si="11"/>
        <v>0</v>
      </c>
      <c r="L80" s="177">
        <f t="shared" si="11"/>
        <v>0</v>
      </c>
      <c r="M80" s="177">
        <f t="shared" si="11"/>
        <v>0</v>
      </c>
      <c r="N80" s="177">
        <f t="shared" si="11"/>
        <v>0</v>
      </c>
      <c r="O80" s="177">
        <f t="shared" si="11"/>
        <v>0</v>
      </c>
      <c r="P80" s="177">
        <f t="shared" si="11"/>
        <v>0</v>
      </c>
      <c r="Q80" s="177">
        <f t="shared" si="11"/>
        <v>0</v>
      </c>
      <c r="R80" s="177">
        <f t="shared" si="11"/>
        <v>0</v>
      </c>
      <c r="S80" s="177">
        <f t="shared" si="11"/>
        <v>0</v>
      </c>
      <c r="T80" s="177">
        <f t="shared" si="11"/>
        <v>0</v>
      </c>
      <c r="U80" s="177">
        <f t="shared" si="11"/>
        <v>0</v>
      </c>
      <c r="V80" s="177">
        <f t="shared" si="11"/>
        <v>0</v>
      </c>
      <c r="W80" s="177">
        <f t="shared" si="11"/>
        <v>0</v>
      </c>
      <c r="X80" s="177">
        <f t="shared" si="11"/>
        <v>0</v>
      </c>
      <c r="Y80" s="177">
        <f t="shared" si="11"/>
        <v>0</v>
      </c>
      <c r="Z80" s="177">
        <f t="shared" si="11"/>
        <v>0</v>
      </c>
      <c r="AA80" s="177">
        <f t="shared" si="11"/>
        <v>0</v>
      </c>
      <c r="AB80" s="177">
        <f t="shared" si="11"/>
        <v>0</v>
      </c>
      <c r="AC80" s="177">
        <f>SUM(AC77:AC79)</f>
        <v>0</v>
      </c>
      <c r="AD80" s="177">
        <f>SUM(AD77:AD79)</f>
        <v>0</v>
      </c>
      <c r="AE80" s="177">
        <f>SUM(AE77:AE79)</f>
        <v>0</v>
      </c>
      <c r="AF80" s="177">
        <f>SUM(AF77:AF79)</f>
        <v>0</v>
      </c>
      <c r="AG80" s="177">
        <f>SUM(AG77:AG79)</f>
        <v>0</v>
      </c>
    </row>
    <row r="81" spans="1:33" x14ac:dyDescent="0.2">
      <c r="A81" s="8"/>
      <c r="B81" s="8"/>
      <c r="C81" s="75"/>
      <c r="D81" s="38"/>
      <c r="F81"/>
      <c r="G81" s="217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1">
        <f t="shared" ref="G82:G87" si="12">input_dollars</f>
        <v>45291</v>
      </c>
      <c r="H82" s="31"/>
      <c r="I82" s="119">
        <f>I80</f>
        <v>0</v>
      </c>
      <c r="J82" s="119">
        <f t="shared" ref="J82:AB82" si="13">J80</f>
        <v>0</v>
      </c>
      <c r="K82" s="119">
        <f t="shared" si="13"/>
        <v>0</v>
      </c>
      <c r="L82" s="119">
        <f t="shared" si="13"/>
        <v>0</v>
      </c>
      <c r="M82" s="119">
        <f t="shared" si="13"/>
        <v>0</v>
      </c>
      <c r="N82" s="119">
        <f t="shared" si="13"/>
        <v>0</v>
      </c>
      <c r="O82" s="119">
        <f t="shared" si="13"/>
        <v>0</v>
      </c>
      <c r="P82" s="119">
        <f t="shared" si="13"/>
        <v>0</v>
      </c>
      <c r="Q82" s="119">
        <f t="shared" si="13"/>
        <v>0</v>
      </c>
      <c r="R82" s="119">
        <f t="shared" si="13"/>
        <v>0</v>
      </c>
      <c r="S82" s="119">
        <f t="shared" si="13"/>
        <v>0</v>
      </c>
      <c r="T82" s="119">
        <f t="shared" si="13"/>
        <v>0</v>
      </c>
      <c r="U82" s="119">
        <f t="shared" si="13"/>
        <v>0</v>
      </c>
      <c r="V82" s="119">
        <f t="shared" si="13"/>
        <v>0</v>
      </c>
      <c r="W82" s="119">
        <f t="shared" si="13"/>
        <v>0</v>
      </c>
      <c r="X82" s="119">
        <f t="shared" si="13"/>
        <v>0</v>
      </c>
      <c r="Y82" s="119">
        <f t="shared" si="13"/>
        <v>0</v>
      </c>
      <c r="Z82" s="119">
        <f t="shared" si="13"/>
        <v>0</v>
      </c>
      <c r="AA82" s="119">
        <f t="shared" si="13"/>
        <v>0</v>
      </c>
      <c r="AB82" s="119">
        <f t="shared" si="13"/>
        <v>0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1">
        <f t="shared" si="12"/>
        <v>45291</v>
      </c>
      <c r="H83" s="31"/>
      <c r="I83" s="31">
        <f t="shared" ref="I83:AG83" si="14">-I19</f>
        <v>0</v>
      </c>
      <c r="J83" s="31">
        <f t="shared" si="14"/>
        <v>0</v>
      </c>
      <c r="K83" s="31">
        <f t="shared" si="14"/>
        <v>0</v>
      </c>
      <c r="L83" s="31">
        <f t="shared" si="14"/>
        <v>0</v>
      </c>
      <c r="M83" s="31">
        <f t="shared" si="14"/>
        <v>0</v>
      </c>
      <c r="N83" s="31">
        <f t="shared" si="14"/>
        <v>0</v>
      </c>
      <c r="O83" s="31">
        <f t="shared" si="14"/>
        <v>0</v>
      </c>
      <c r="P83" s="31">
        <f t="shared" si="14"/>
        <v>0</v>
      </c>
      <c r="Q83" s="31">
        <f t="shared" si="14"/>
        <v>0</v>
      </c>
      <c r="R83" s="31">
        <f t="shared" si="14"/>
        <v>0</v>
      </c>
      <c r="S83" s="31">
        <f t="shared" si="14"/>
        <v>0</v>
      </c>
      <c r="T83" s="31">
        <f t="shared" si="14"/>
        <v>0</v>
      </c>
      <c r="U83" s="31">
        <f t="shared" si="14"/>
        <v>0</v>
      </c>
      <c r="V83" s="31">
        <f t="shared" si="14"/>
        <v>0</v>
      </c>
      <c r="W83" s="31">
        <f t="shared" si="14"/>
        <v>0</v>
      </c>
      <c r="X83" s="31">
        <f t="shared" si="14"/>
        <v>0</v>
      </c>
      <c r="Y83" s="31">
        <f t="shared" si="14"/>
        <v>0</v>
      </c>
      <c r="Z83" s="31">
        <f t="shared" si="14"/>
        <v>0</v>
      </c>
      <c r="AA83" s="31">
        <f t="shared" si="14"/>
        <v>0</v>
      </c>
      <c r="AB83" s="31">
        <f t="shared" si="14"/>
        <v>0</v>
      </c>
      <c r="AC83" s="31">
        <f t="shared" si="14"/>
        <v>0</v>
      </c>
      <c r="AD83" s="31">
        <f t="shared" si="14"/>
        <v>0</v>
      </c>
      <c r="AE83" s="31">
        <f t="shared" si="14"/>
        <v>0</v>
      </c>
      <c r="AF83" s="31">
        <f t="shared" si="14"/>
        <v>0</v>
      </c>
      <c r="AG83" s="31">
        <f t="shared" si="14"/>
        <v>0</v>
      </c>
    </row>
    <row r="84" spans="1:33" x14ac:dyDescent="0.2">
      <c r="A84" s="8"/>
      <c r="B84" s="8"/>
      <c r="C84" s="4" t="s">
        <v>142</v>
      </c>
      <c r="D84" s="38"/>
      <c r="F84" s="97"/>
      <c r="G84" s="211">
        <f t="shared" si="12"/>
        <v>45291</v>
      </c>
      <c r="H84" s="31"/>
      <c r="I84" s="31">
        <f>I64</f>
        <v>0</v>
      </c>
      <c r="J84" s="31">
        <f t="shared" ref="J84:AB84" si="15">J64</f>
        <v>0</v>
      </c>
      <c r="K84" s="31">
        <f t="shared" si="15"/>
        <v>0</v>
      </c>
      <c r="L84" s="31">
        <f t="shared" si="15"/>
        <v>0</v>
      </c>
      <c r="M84" s="31">
        <f t="shared" si="15"/>
        <v>0</v>
      </c>
      <c r="N84" s="31">
        <f t="shared" si="15"/>
        <v>0</v>
      </c>
      <c r="O84" s="31">
        <f t="shared" si="15"/>
        <v>0</v>
      </c>
      <c r="P84" s="31">
        <f t="shared" si="15"/>
        <v>0</v>
      </c>
      <c r="Q84" s="31">
        <f t="shared" si="15"/>
        <v>0</v>
      </c>
      <c r="R84" s="31">
        <f t="shared" si="15"/>
        <v>0</v>
      </c>
      <c r="S84" s="31">
        <f t="shared" si="15"/>
        <v>0</v>
      </c>
      <c r="T84" s="31">
        <f t="shared" si="15"/>
        <v>0</v>
      </c>
      <c r="U84" s="31">
        <f t="shared" si="15"/>
        <v>0</v>
      </c>
      <c r="V84" s="31">
        <f t="shared" si="15"/>
        <v>0</v>
      </c>
      <c r="W84" s="31">
        <f t="shared" si="15"/>
        <v>0</v>
      </c>
      <c r="X84" s="31">
        <f t="shared" si="15"/>
        <v>0</v>
      </c>
      <c r="Y84" s="31">
        <f t="shared" si="15"/>
        <v>0</v>
      </c>
      <c r="Z84" s="31">
        <f t="shared" si="15"/>
        <v>0</v>
      </c>
      <c r="AA84" s="31">
        <f t="shared" si="15"/>
        <v>0</v>
      </c>
      <c r="AB84" s="31">
        <f t="shared" si="15"/>
        <v>0</v>
      </c>
      <c r="AC84" s="31">
        <f>AC64</f>
        <v>0</v>
      </c>
      <c r="AD84" s="31">
        <f>AD64</f>
        <v>0</v>
      </c>
      <c r="AE84" s="31">
        <f>AE64</f>
        <v>0</v>
      </c>
      <c r="AF84" s="31">
        <f>AF64</f>
        <v>0</v>
      </c>
      <c r="AG84" s="31">
        <f>AG64</f>
        <v>0</v>
      </c>
    </row>
    <row r="85" spans="1:33" x14ac:dyDescent="0.2">
      <c r="A85" s="8"/>
      <c r="B85" s="8"/>
      <c r="C85" s="4" t="s">
        <v>122</v>
      </c>
      <c r="D85" s="38"/>
      <c r="F85" s="97"/>
      <c r="G85" s="211">
        <f t="shared" si="12"/>
        <v>45291</v>
      </c>
      <c r="H85" s="31"/>
      <c r="I85" s="31">
        <f t="shared" ref="I85:AG85" si="16">I57</f>
        <v>0</v>
      </c>
      <c r="J85" s="31">
        <f t="shared" si="16"/>
        <v>0</v>
      </c>
      <c r="K85" s="31">
        <f t="shared" si="16"/>
        <v>0</v>
      </c>
      <c r="L85" s="31">
        <f t="shared" si="16"/>
        <v>0</v>
      </c>
      <c r="M85" s="31">
        <f t="shared" si="16"/>
        <v>0</v>
      </c>
      <c r="N85" s="31">
        <f t="shared" si="16"/>
        <v>0</v>
      </c>
      <c r="O85" s="31">
        <f t="shared" si="16"/>
        <v>0</v>
      </c>
      <c r="P85" s="31">
        <f t="shared" si="16"/>
        <v>0</v>
      </c>
      <c r="Q85" s="31">
        <f t="shared" si="16"/>
        <v>0</v>
      </c>
      <c r="R85" s="31">
        <f t="shared" si="16"/>
        <v>0</v>
      </c>
      <c r="S85" s="31">
        <f t="shared" si="16"/>
        <v>0</v>
      </c>
      <c r="T85" s="31">
        <f t="shared" si="16"/>
        <v>0</v>
      </c>
      <c r="U85" s="31">
        <f t="shared" si="16"/>
        <v>0</v>
      </c>
      <c r="V85" s="31">
        <f t="shared" si="16"/>
        <v>0</v>
      </c>
      <c r="W85" s="31">
        <f t="shared" si="16"/>
        <v>0</v>
      </c>
      <c r="X85" s="31">
        <f t="shared" si="16"/>
        <v>0</v>
      </c>
      <c r="Y85" s="31">
        <f t="shared" si="16"/>
        <v>0</v>
      </c>
      <c r="Z85" s="31">
        <f t="shared" si="16"/>
        <v>0</v>
      </c>
      <c r="AA85" s="31">
        <f t="shared" si="16"/>
        <v>0</v>
      </c>
      <c r="AB85" s="31">
        <f t="shared" si="16"/>
        <v>0</v>
      </c>
      <c r="AC85" s="31">
        <f t="shared" si="16"/>
        <v>0</v>
      </c>
      <c r="AD85" s="31">
        <f t="shared" si="16"/>
        <v>0</v>
      </c>
      <c r="AE85" s="31">
        <f t="shared" si="16"/>
        <v>0</v>
      </c>
      <c r="AF85" s="31">
        <f t="shared" si="16"/>
        <v>0</v>
      </c>
      <c r="AG85" s="31">
        <f t="shared" si="16"/>
        <v>0</v>
      </c>
    </row>
    <row r="86" spans="1:33" x14ac:dyDescent="0.2">
      <c r="A86" s="8"/>
      <c r="B86" s="8"/>
      <c r="C86" s="4"/>
      <c r="D86" s="38"/>
      <c r="F86" s="31"/>
      <c r="G86" s="21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8" t="s">
        <v>192</v>
      </c>
      <c r="D87" s="179"/>
      <c r="E87" s="174"/>
      <c r="F87" s="180"/>
      <c r="G87" s="216">
        <f t="shared" si="12"/>
        <v>45291</v>
      </c>
      <c r="H87" s="180"/>
      <c r="I87" s="180">
        <f t="shared" ref="I87:AB87" si="17">SUM(I82:I86)</f>
        <v>0</v>
      </c>
      <c r="J87" s="180">
        <f t="shared" si="17"/>
        <v>0</v>
      </c>
      <c r="K87" s="180">
        <f t="shared" si="17"/>
        <v>0</v>
      </c>
      <c r="L87" s="180">
        <f t="shared" si="17"/>
        <v>0</v>
      </c>
      <c r="M87" s="180">
        <f t="shared" si="17"/>
        <v>0</v>
      </c>
      <c r="N87" s="180">
        <f t="shared" si="17"/>
        <v>0</v>
      </c>
      <c r="O87" s="180">
        <f t="shared" si="17"/>
        <v>0</v>
      </c>
      <c r="P87" s="180">
        <f t="shared" si="17"/>
        <v>0</v>
      </c>
      <c r="Q87" s="180">
        <f t="shared" si="17"/>
        <v>0</v>
      </c>
      <c r="R87" s="180">
        <f t="shared" si="17"/>
        <v>0</v>
      </c>
      <c r="S87" s="180">
        <f t="shared" si="17"/>
        <v>0</v>
      </c>
      <c r="T87" s="180">
        <f t="shared" si="17"/>
        <v>0</v>
      </c>
      <c r="U87" s="180">
        <f t="shared" si="17"/>
        <v>0</v>
      </c>
      <c r="V87" s="180">
        <f t="shared" si="17"/>
        <v>0</v>
      </c>
      <c r="W87" s="180">
        <f t="shared" si="17"/>
        <v>0</v>
      </c>
      <c r="X87" s="180">
        <f t="shared" si="17"/>
        <v>0</v>
      </c>
      <c r="Y87" s="180">
        <f t="shared" si="17"/>
        <v>0</v>
      </c>
      <c r="Z87" s="180">
        <f t="shared" si="17"/>
        <v>0</v>
      </c>
      <c r="AA87" s="180">
        <f t="shared" si="17"/>
        <v>0</v>
      </c>
      <c r="AB87" s="180">
        <f t="shared" si="17"/>
        <v>0</v>
      </c>
      <c r="AC87" s="180">
        <f>SUM(AC82:AC86)</f>
        <v>0</v>
      </c>
      <c r="AD87" s="180">
        <f>SUM(AD82:AD86)</f>
        <v>0</v>
      </c>
      <c r="AE87" s="180">
        <f>SUM(AE82:AE86)</f>
        <v>0</v>
      </c>
      <c r="AF87" s="180">
        <f>SUM(AF82:AF86)</f>
        <v>0</v>
      </c>
      <c r="AG87" s="180">
        <f>SUM(AG82:AG86)</f>
        <v>0</v>
      </c>
    </row>
    <row r="88" spans="1:33" x14ac:dyDescent="0.2">
      <c r="A88" s="8"/>
      <c r="B88" s="8"/>
      <c r="C88" s="75"/>
      <c r="D88" s="139"/>
      <c r="E88" s="64"/>
      <c r="F88" s="142"/>
      <c r="G88" s="21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9"/>
      <c r="E89" s="64"/>
      <c r="F89" s="142"/>
      <c r="G89" s="21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1" t="s">
        <v>202</v>
      </c>
      <c r="D90" s="82"/>
      <c r="E90" s="232"/>
      <c r="F90" s="233"/>
      <c r="G90" s="234" cm="1">
        <f t="array" ref="G90">IF(SUM($I17:$AG17)=0,0,(INDEX(I$6:AG$6,MATCH(TRUE,INDEX($I17:$AG17&lt;&gt;0,),0))))</f>
        <v>0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82"/>
      <c r="D91" s="235"/>
      <c r="E91" s="232"/>
      <c r="F91" s="232"/>
      <c r="G91" s="234"/>
    </row>
    <row r="92" spans="1:33" x14ac:dyDescent="0.2">
      <c r="C92" s="236" t="s">
        <v>197</v>
      </c>
      <c r="D92" s="237"/>
      <c r="E92" s="237"/>
      <c r="F92" s="237"/>
      <c r="G92" s="238" t="str">
        <f>IF(_xlfn.MINIFS($G$90:$G$91, $G$90:$G$91, "&gt;"&amp;0)=0, $A$4, _xlfn.MINIFS($G$90:$G$91, $G$90:$G$91, "&gt;"&amp;0))</f>
        <v>Not used</v>
      </c>
    </row>
    <row r="94" spans="1:33" x14ac:dyDescent="0.2">
      <c r="G94" s="12"/>
    </row>
    <row r="102" spans="1:43" ht="15" x14ac:dyDescent="0.2">
      <c r="A102" s="89" t="s">
        <v>218</v>
      </c>
      <c r="B102" s="89"/>
      <c r="C102" s="89"/>
      <c r="D102" s="89"/>
      <c r="E102" s="89"/>
      <c r="F102" s="89"/>
      <c r="G102" s="205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3"/>
      <c r="J104" s="243"/>
      <c r="K104" s="243"/>
      <c r="L104" s="243"/>
      <c r="M104" s="243"/>
      <c r="N104" s="243"/>
      <c r="O104" s="243"/>
      <c r="P104" s="243"/>
      <c r="Q104" s="243"/>
      <c r="R104" s="243"/>
      <c r="S104" s="243"/>
      <c r="T104" s="243"/>
      <c r="U104" s="243"/>
      <c r="V104" s="243"/>
      <c r="W104" s="243"/>
      <c r="X104" s="243"/>
      <c r="Y104" s="243"/>
      <c r="Z104" s="243"/>
    </row>
    <row r="105" spans="1:43" x14ac:dyDescent="0.2">
      <c r="I105" s="243"/>
      <c r="J105" s="243"/>
      <c r="K105" s="243"/>
      <c r="L105" s="243"/>
      <c r="M105" s="243"/>
      <c r="N105" s="243"/>
      <c r="O105" s="243"/>
      <c r="P105" s="243"/>
      <c r="Q105" s="243"/>
      <c r="R105" s="243"/>
      <c r="S105" s="243"/>
      <c r="T105" s="243"/>
      <c r="U105" s="243"/>
      <c r="V105" s="243"/>
      <c r="W105" s="243"/>
      <c r="X105" s="243"/>
      <c r="Y105" s="243"/>
      <c r="Z105" s="243"/>
    </row>
    <row r="106" spans="1:43" x14ac:dyDescent="0.2">
      <c r="A106" s="1" t="s">
        <v>119</v>
      </c>
      <c r="C106" s="1" t="s">
        <v>192</v>
      </c>
      <c r="D106"/>
      <c r="E106"/>
      <c r="F106"/>
      <c r="G106" s="38" t="str">
        <f>PROPER($A$3)&amp;A106</f>
        <v>Option 4NPV</v>
      </c>
      <c r="I106" s="31">
        <f>I87</f>
        <v>0</v>
      </c>
      <c r="J106" s="31">
        <f t="shared" ref="J106:AG106" si="18">J87</f>
        <v>0</v>
      </c>
      <c r="K106" s="31">
        <f t="shared" si="18"/>
        <v>0</v>
      </c>
      <c r="L106" s="31">
        <f t="shared" si="18"/>
        <v>0</v>
      </c>
      <c r="M106" s="31">
        <f t="shared" si="18"/>
        <v>0</v>
      </c>
      <c r="N106" s="31">
        <f t="shared" si="18"/>
        <v>0</v>
      </c>
      <c r="O106" s="31">
        <f t="shared" si="18"/>
        <v>0</v>
      </c>
      <c r="P106" s="31">
        <f t="shared" si="18"/>
        <v>0</v>
      </c>
      <c r="Q106" s="31">
        <f t="shared" si="18"/>
        <v>0</v>
      </c>
      <c r="R106" s="31">
        <f t="shared" si="18"/>
        <v>0</v>
      </c>
      <c r="S106" s="31">
        <f t="shared" si="18"/>
        <v>0</v>
      </c>
      <c r="T106" s="31">
        <f t="shared" si="18"/>
        <v>0</v>
      </c>
      <c r="U106" s="31">
        <f t="shared" si="18"/>
        <v>0</v>
      </c>
      <c r="V106" s="31">
        <f t="shared" si="18"/>
        <v>0</v>
      </c>
      <c r="W106" s="31">
        <f t="shared" si="18"/>
        <v>0</v>
      </c>
      <c r="X106" s="31">
        <f t="shared" si="18"/>
        <v>0</v>
      </c>
      <c r="Y106" s="31">
        <f t="shared" si="18"/>
        <v>0</v>
      </c>
      <c r="Z106" s="31">
        <f t="shared" si="18"/>
        <v>0</v>
      </c>
      <c r="AA106" s="31">
        <f t="shared" si="18"/>
        <v>0</v>
      </c>
      <c r="AB106" s="31">
        <f t="shared" si="18"/>
        <v>0</v>
      </c>
      <c r="AC106" s="31">
        <f t="shared" si="18"/>
        <v>0</v>
      </c>
      <c r="AD106" s="31">
        <f t="shared" si="18"/>
        <v>0</v>
      </c>
      <c r="AE106" s="31">
        <f t="shared" si="18"/>
        <v>0</v>
      </c>
      <c r="AF106" s="31">
        <f t="shared" si="18"/>
        <v>0</v>
      </c>
      <c r="AG106" s="31">
        <f t="shared" si="18"/>
        <v>0</v>
      </c>
    </row>
    <row r="107" spans="1:43" x14ac:dyDescent="0.2">
      <c r="C107" s="1" t="s">
        <v>161</v>
      </c>
      <c r="D107"/>
      <c r="E107"/>
      <c r="F107"/>
      <c r="G107"/>
      <c r="I107" s="31">
        <f>I82</f>
        <v>0</v>
      </c>
      <c r="J107" s="31">
        <f t="shared" ref="J107:AG107" si="19">J82</f>
        <v>0</v>
      </c>
      <c r="K107" s="31">
        <f t="shared" si="19"/>
        <v>0</v>
      </c>
      <c r="L107" s="31">
        <f t="shared" si="19"/>
        <v>0</v>
      </c>
      <c r="M107" s="31">
        <f t="shared" si="19"/>
        <v>0</v>
      </c>
      <c r="N107" s="31">
        <f t="shared" si="19"/>
        <v>0</v>
      </c>
      <c r="O107" s="31">
        <f t="shared" si="19"/>
        <v>0</v>
      </c>
      <c r="P107" s="31">
        <f t="shared" si="19"/>
        <v>0</v>
      </c>
      <c r="Q107" s="31">
        <f t="shared" si="19"/>
        <v>0</v>
      </c>
      <c r="R107" s="31">
        <f t="shared" si="19"/>
        <v>0</v>
      </c>
      <c r="S107" s="31">
        <f t="shared" si="19"/>
        <v>0</v>
      </c>
      <c r="T107" s="31">
        <f t="shared" si="19"/>
        <v>0</v>
      </c>
      <c r="U107" s="31">
        <f t="shared" si="19"/>
        <v>0</v>
      </c>
      <c r="V107" s="31">
        <f t="shared" si="19"/>
        <v>0</v>
      </c>
      <c r="W107" s="31">
        <f t="shared" si="19"/>
        <v>0</v>
      </c>
      <c r="X107" s="31">
        <f t="shared" si="19"/>
        <v>0</v>
      </c>
      <c r="Y107" s="31">
        <f t="shared" si="19"/>
        <v>0</v>
      </c>
      <c r="Z107" s="31">
        <f t="shared" si="19"/>
        <v>0</v>
      </c>
      <c r="AA107" s="31">
        <f t="shared" si="19"/>
        <v>0</v>
      </c>
      <c r="AB107" s="31">
        <f t="shared" si="19"/>
        <v>0</v>
      </c>
      <c r="AC107" s="31">
        <f t="shared" si="19"/>
        <v>0</v>
      </c>
      <c r="AD107" s="31">
        <f t="shared" si="19"/>
        <v>0</v>
      </c>
      <c r="AE107" s="31">
        <f t="shared" si="19"/>
        <v>0</v>
      </c>
      <c r="AF107" s="31">
        <f t="shared" si="19"/>
        <v>0</v>
      </c>
      <c r="AG107" s="31">
        <f t="shared" si="19"/>
        <v>0</v>
      </c>
    </row>
    <row r="108" spans="1:43" x14ac:dyDescent="0.2">
      <c r="C108" s="1" t="s">
        <v>243</v>
      </c>
      <c r="D108"/>
      <c r="E108"/>
      <c r="F108"/>
      <c r="G108"/>
      <c r="I108" s="31">
        <f>SUM(I84:I85)</f>
        <v>0</v>
      </c>
      <c r="J108" s="31">
        <f t="shared" ref="J108:AG108" si="20">SUM(J84:J85)</f>
        <v>0</v>
      </c>
      <c r="K108" s="31">
        <f t="shared" si="20"/>
        <v>0</v>
      </c>
      <c r="L108" s="31">
        <f t="shared" si="20"/>
        <v>0</v>
      </c>
      <c r="M108" s="31">
        <f t="shared" si="20"/>
        <v>0</v>
      </c>
      <c r="N108" s="31">
        <f t="shared" si="20"/>
        <v>0</v>
      </c>
      <c r="O108" s="31">
        <f t="shared" si="20"/>
        <v>0</v>
      </c>
      <c r="P108" s="31">
        <f t="shared" si="20"/>
        <v>0</v>
      </c>
      <c r="Q108" s="31">
        <f t="shared" si="20"/>
        <v>0</v>
      </c>
      <c r="R108" s="31">
        <f t="shared" si="20"/>
        <v>0</v>
      </c>
      <c r="S108" s="31">
        <f t="shared" si="20"/>
        <v>0</v>
      </c>
      <c r="T108" s="31">
        <f t="shared" si="20"/>
        <v>0</v>
      </c>
      <c r="U108" s="31">
        <f t="shared" si="20"/>
        <v>0</v>
      </c>
      <c r="V108" s="31">
        <f t="shared" si="20"/>
        <v>0</v>
      </c>
      <c r="W108" s="31">
        <f t="shared" si="20"/>
        <v>0</v>
      </c>
      <c r="X108" s="31">
        <f t="shared" si="20"/>
        <v>0</v>
      </c>
      <c r="Y108" s="31">
        <f t="shared" si="20"/>
        <v>0</v>
      </c>
      <c r="Z108" s="31">
        <f t="shared" si="20"/>
        <v>0</v>
      </c>
      <c r="AA108" s="31">
        <f t="shared" si="20"/>
        <v>0</v>
      </c>
      <c r="AB108" s="31">
        <f t="shared" si="20"/>
        <v>0</v>
      </c>
      <c r="AC108" s="31">
        <f t="shared" si="20"/>
        <v>0</v>
      </c>
      <c r="AD108" s="31">
        <f t="shared" si="20"/>
        <v>0</v>
      </c>
      <c r="AE108" s="31">
        <f t="shared" si="20"/>
        <v>0</v>
      </c>
      <c r="AF108" s="31">
        <f t="shared" si="20"/>
        <v>0</v>
      </c>
      <c r="AG108" s="31">
        <f t="shared" si="20"/>
        <v>0</v>
      </c>
    </row>
    <row r="109" spans="1:43" x14ac:dyDescent="0.2">
      <c r="D109" s="302" t="str">
        <f>Assumptions!G114</f>
        <v>Capex</v>
      </c>
      <c r="E109" s="302" t="str">
        <f>Assumptions!H114</f>
        <v>Total benefits</v>
      </c>
      <c r="I109" s="243"/>
      <c r="J109" s="243"/>
      <c r="K109" s="243"/>
      <c r="L109" s="243"/>
      <c r="M109" s="243"/>
      <c r="N109" s="243"/>
      <c r="O109" s="243"/>
      <c r="P109" s="243"/>
      <c r="Q109" s="243"/>
      <c r="R109" s="243"/>
      <c r="S109" s="243"/>
      <c r="T109" s="243"/>
      <c r="U109" s="243"/>
      <c r="V109" s="243"/>
      <c r="W109" s="243"/>
      <c r="X109" s="243"/>
      <c r="Y109" s="243"/>
      <c r="Z109" s="243"/>
    </row>
    <row r="110" spans="1:43" x14ac:dyDescent="0.2">
      <c r="A110" s="1" t="str">
        <f>"sens"&amp;Assumptions!B115</f>
        <v>sens1</v>
      </c>
      <c r="C110" s="301" t="str">
        <f>Assumptions!C115</f>
        <v>Capex 10% higher</v>
      </c>
      <c r="D110" s="302">
        <f>Assumptions!G115</f>
        <v>0.1</v>
      </c>
      <c r="E110" s="302">
        <f>Assumptions!H115</f>
        <v>0</v>
      </c>
      <c r="G110" s="38" t="str">
        <f>PROPER($A$3)&amp;A110</f>
        <v>Option 4sens1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0</v>
      </c>
      <c r="N110" s="31" cm="1">
        <f t="array" ref="N110">N$106+IF($C110&lt;&gt;0,SUMPRODUCT((N$107:N$108)*TRANSPOSE(($D110:$E110))),0)</f>
        <v>0</v>
      </c>
      <c r="O110" s="31" cm="1">
        <f t="array" ref="O110">O$106+IF($C110&lt;&gt;0,SUMPRODUCT((O$107:O$108)*TRANSPOSE(($D110:$E110))),0)</f>
        <v>0</v>
      </c>
      <c r="P110" s="31" cm="1">
        <f t="array" ref="P110">P$106+IF($C110&lt;&gt;0,SUMPRODUCT((P$107:P$108)*TRANSPOSE(($D110:$E110))),0)</f>
        <v>0</v>
      </c>
      <c r="Q110" s="31" cm="1">
        <f t="array" ref="Q110">Q$106+IF($C110&lt;&gt;0,SUMPRODUCT((Q$107:Q$108)*TRANSPOSE(($D110:$E110))),0)</f>
        <v>0</v>
      </c>
      <c r="R110" s="31" cm="1">
        <f t="array" ref="R110">R$106+IF($C110&lt;&gt;0,SUMPRODUCT((R$107:R$108)*TRANSPOSE(($D110:$E110))),0)</f>
        <v>0</v>
      </c>
      <c r="S110" s="31" cm="1">
        <f t="array" ref="S110">S$106+IF($C110&lt;&gt;0,SUMPRODUCT((S$107:S$108)*TRANSPOSE(($D110:$E110))),0)</f>
        <v>0</v>
      </c>
      <c r="T110" s="31" cm="1">
        <f t="array" ref="T110">T$106+IF($C110&lt;&gt;0,SUMPRODUCT((T$107:T$108)*TRANSPOSE(($D110:$E110))),0)</f>
        <v>0</v>
      </c>
      <c r="U110" s="31" cm="1">
        <f t="array" ref="U110">U$106+IF($C110&lt;&gt;0,SUMPRODUCT((U$107:U$108)*TRANSPOSE(($D110:$E110))),0)</f>
        <v>0</v>
      </c>
      <c r="V110" s="31" cm="1">
        <f t="array" ref="V110">V$106+IF($C110&lt;&gt;0,SUMPRODUCT((V$107:V$108)*TRANSPOSE(($D110:$E110))),0)</f>
        <v>0</v>
      </c>
      <c r="W110" s="31" cm="1">
        <f t="array" ref="W110">W$106+IF($C110&lt;&gt;0,SUMPRODUCT((W$107:W$108)*TRANSPOSE(($D110:$E110))),0)</f>
        <v>0</v>
      </c>
      <c r="X110" s="31" cm="1">
        <f t="array" ref="X110">X$106+IF($C110&lt;&gt;0,SUMPRODUCT((X$107:X$108)*TRANSPOSE(($D110:$E110))),0)</f>
        <v>0</v>
      </c>
      <c r="Y110" s="31" cm="1">
        <f t="array" ref="Y110">Y$106+IF($C110&lt;&gt;0,SUMPRODUCT((Y$107:Y$108)*TRANSPOSE(($D110:$E110))),0)</f>
        <v>0</v>
      </c>
      <c r="Z110" s="31" cm="1">
        <f t="array" ref="Z110">Z$106+IF($C110&lt;&gt;0,SUMPRODUCT((Z$107:Z$108)*TRANSPOSE(($D110:$E110))),0)</f>
        <v>0</v>
      </c>
      <c r="AA110" s="31" cm="1">
        <f t="array" ref="AA110">AA$106+IF($C110&lt;&gt;0,SUMPRODUCT((AA$107:AA$108)*TRANSPOSE(($D110:$E110))),0)</f>
        <v>0</v>
      </c>
      <c r="AB110" s="31" cm="1">
        <f t="array" ref="AB110">AB$106+IF($C110&lt;&gt;0,SUMPRODUCT((AB$107:AB$108)*TRANSPOSE(($D110:$E110))),0)</f>
        <v>0</v>
      </c>
      <c r="AC110" s="31" cm="1">
        <f t="array" ref="AC110">AC$106+IF($C110&lt;&gt;0,SUMPRODUCT((AC$107:AC$108)*TRANSPOSE(($D110:$E110))),0)</f>
        <v>0</v>
      </c>
      <c r="AD110" s="31" cm="1">
        <f t="array" ref="AD110">AD$106+IF($C110&lt;&gt;0,SUMPRODUCT((AD$107:AD$108)*TRANSPOSE(($D110:$E110))),0)</f>
        <v>0</v>
      </c>
      <c r="AE110" s="31" cm="1">
        <f t="array" ref="AE110">AE$106+IF($C110&lt;&gt;0,SUMPRODUCT((AE$107:AE$108)*TRANSPOSE(($D110:$E110))),0)</f>
        <v>0</v>
      </c>
      <c r="AF110" s="31" cm="1">
        <f t="array" ref="AF110">AF$106+IF($C110&lt;&gt;0,SUMPRODUCT((AF$107:AF$108)*TRANSPOSE(($D110:$E110))),0)</f>
        <v>0</v>
      </c>
      <c r="AG110" s="31" cm="1">
        <f t="array" ref="AG110">AG$106+IF($C110&lt;&gt;0,SUMPRODUCT((AG$107:AG$108)*TRANSPOSE(($D110:$E110))),0)</f>
        <v>0</v>
      </c>
    </row>
    <row r="111" spans="1:43" x14ac:dyDescent="0.2">
      <c r="A111" s="1" t="str">
        <f>"sens"&amp;Assumptions!B116</f>
        <v>sens2</v>
      </c>
      <c r="C111" s="301" t="str">
        <f>Assumptions!C116</f>
        <v>Capex 10% lower</v>
      </c>
      <c r="D111" s="302">
        <f>Assumptions!G116</f>
        <v>-0.1</v>
      </c>
      <c r="E111" s="302">
        <f>Assumptions!H116</f>
        <v>0</v>
      </c>
      <c r="G111" s="38" t="str">
        <f t="shared" ref="G111:G117" si="21">PROPER($A$3)&amp;A111</f>
        <v>Option 4sens2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0</v>
      </c>
      <c r="N111" s="31" cm="1">
        <f t="array" ref="N111">N$106+IF($C111&lt;&gt;0,SUMPRODUCT((N$107:N$108)*TRANSPOSE(($D111:$E111))),0)</f>
        <v>0</v>
      </c>
      <c r="O111" s="31" cm="1">
        <f t="array" ref="O111">O$106+IF($C111&lt;&gt;0,SUMPRODUCT((O$107:O$108)*TRANSPOSE(($D111:$E111))),0)</f>
        <v>0</v>
      </c>
      <c r="P111" s="31" cm="1">
        <f t="array" ref="P111">P$106+IF($C111&lt;&gt;0,SUMPRODUCT((P$107:P$108)*TRANSPOSE(($D111:$E111))),0)</f>
        <v>0</v>
      </c>
      <c r="Q111" s="31" cm="1">
        <f t="array" ref="Q111">Q$106+IF($C111&lt;&gt;0,SUMPRODUCT((Q$107:Q$108)*TRANSPOSE(($D111:$E111))),0)</f>
        <v>0</v>
      </c>
      <c r="R111" s="31" cm="1">
        <f t="array" ref="R111">R$106+IF($C111&lt;&gt;0,SUMPRODUCT((R$107:R$108)*TRANSPOSE(($D111:$E111))),0)</f>
        <v>0</v>
      </c>
      <c r="S111" s="31" cm="1">
        <f t="array" ref="S111">S$106+IF($C111&lt;&gt;0,SUMPRODUCT((S$107:S$108)*TRANSPOSE(($D111:$E111))),0)</f>
        <v>0</v>
      </c>
      <c r="T111" s="31" cm="1">
        <f t="array" ref="T111">T$106+IF($C111&lt;&gt;0,SUMPRODUCT((T$107:T$108)*TRANSPOSE(($D111:$E111))),0)</f>
        <v>0</v>
      </c>
      <c r="U111" s="31" cm="1">
        <f t="array" ref="U111">U$106+IF($C111&lt;&gt;0,SUMPRODUCT((U$107:U$108)*TRANSPOSE(($D111:$E111))),0)</f>
        <v>0</v>
      </c>
      <c r="V111" s="31" cm="1">
        <f t="array" ref="V111">V$106+IF($C111&lt;&gt;0,SUMPRODUCT((V$107:V$108)*TRANSPOSE(($D111:$E111))),0)</f>
        <v>0</v>
      </c>
      <c r="W111" s="31" cm="1">
        <f t="array" ref="W111">W$106+IF($C111&lt;&gt;0,SUMPRODUCT((W$107:W$108)*TRANSPOSE(($D111:$E111))),0)</f>
        <v>0</v>
      </c>
      <c r="X111" s="31" cm="1">
        <f t="array" ref="X111">X$106+IF($C111&lt;&gt;0,SUMPRODUCT((X$107:X$108)*TRANSPOSE(($D111:$E111))),0)</f>
        <v>0</v>
      </c>
      <c r="Y111" s="31" cm="1">
        <f t="array" ref="Y111">Y$106+IF($C111&lt;&gt;0,SUMPRODUCT((Y$107:Y$108)*TRANSPOSE(($D111:$E111))),0)</f>
        <v>0</v>
      </c>
      <c r="Z111" s="31" cm="1">
        <f t="array" ref="Z111">Z$106+IF($C111&lt;&gt;0,SUMPRODUCT((Z$107:Z$108)*TRANSPOSE(($D111:$E111))),0)</f>
        <v>0</v>
      </c>
      <c r="AA111" s="31" cm="1">
        <f t="array" ref="AA111">AA$106+IF($C111&lt;&gt;0,SUMPRODUCT((AA$107:AA$108)*TRANSPOSE(($D111:$E111))),0)</f>
        <v>0</v>
      </c>
      <c r="AB111" s="31" cm="1">
        <f t="array" ref="AB111">AB$106+IF($C111&lt;&gt;0,SUMPRODUCT((AB$107:AB$108)*TRANSPOSE(($D111:$E111))),0)</f>
        <v>0</v>
      </c>
      <c r="AC111" s="31" cm="1">
        <f t="array" ref="AC111">AC$106+IF($C111&lt;&gt;0,SUMPRODUCT((AC$107:AC$108)*TRANSPOSE(($D111:$E111))),0)</f>
        <v>0</v>
      </c>
      <c r="AD111" s="31" cm="1">
        <f t="array" ref="AD111">AD$106+IF($C111&lt;&gt;0,SUMPRODUCT((AD$107:AD$108)*TRANSPOSE(($D111:$E111))),0)</f>
        <v>0</v>
      </c>
      <c r="AE111" s="31" cm="1">
        <f t="array" ref="AE111">AE$106+IF($C111&lt;&gt;0,SUMPRODUCT((AE$107:AE$108)*TRANSPOSE(($D111:$E111))),0)</f>
        <v>0</v>
      </c>
      <c r="AF111" s="31" cm="1">
        <f t="array" ref="AF111">AF$106+IF($C111&lt;&gt;0,SUMPRODUCT((AF$107:AF$108)*TRANSPOSE(($D111:$E111))),0)</f>
        <v>0</v>
      </c>
      <c r="AG111" s="31" cm="1">
        <f t="array" ref="AG111">AG$106+IF($C111&lt;&gt;0,SUMPRODUCT((AG$107:AG$108)*TRANSPOSE(($D111:$E111))),0)</f>
        <v>0</v>
      </c>
    </row>
    <row r="112" spans="1:43" x14ac:dyDescent="0.2">
      <c r="A112" s="1" t="str">
        <f>"sens"&amp;Assumptions!B117</f>
        <v>sens3</v>
      </c>
      <c r="C112" s="301" t="str">
        <f>Assumptions!C117</f>
        <v>Increasing wind escalation</v>
      </c>
      <c r="D112" s="302">
        <f>Assumptions!G117</f>
        <v>0</v>
      </c>
      <c r="E112" s="302">
        <f>Assumptions!H117</f>
        <v>0.15</v>
      </c>
      <c r="G112" s="38" t="str">
        <f t="shared" si="21"/>
        <v>Option 4sens3</v>
      </c>
      <c r="I112" s="335">
        <f>IF(I106&lt;&gt;0, I106+SUM(Workings_risks!$F$19*Workings_risks!I27*$E$112/20,Workings_risks!I26*Workings_risks!$F$18)*Workings_risks!$F$13*Workings_risks!I8*$E$28,0)</f>
        <v>0</v>
      </c>
      <c r="J112" s="335">
        <f>IF(J106&lt;&gt;0, J106+SUM(Workings_risks!$F$19*Workings_risks!J27*$E$112/20,Workings_risks!J26*Workings_risks!$F$18)*Workings_risks!$F$13*Workings_risks!J8*$E$28,0)</f>
        <v>0</v>
      </c>
      <c r="K112" s="335">
        <f>IF(K106&lt;&gt;0, K106+SUM(Workings_risks!$F$19*Workings_risks!K27*$E$112/20,Workings_risks!K26*Workings_risks!$F$18)*Workings_risks!$F$13*Workings_risks!K8*$E$28,0)</f>
        <v>0</v>
      </c>
      <c r="L112" s="335">
        <f>IF(L106&lt;&gt;0, L106+SUM(Workings_risks!$F$19*Workings_risks!L27*$E$112/20,Workings_risks!L26*Workings_risks!$F$18)*Workings_risks!$F$13*Workings_risks!L8*$E$28,0)</f>
        <v>0</v>
      </c>
      <c r="M112" s="335">
        <f>IF(M106&lt;&gt;0, M106+SUM(Workings_risks!$F$19*Workings_risks!M27*$E$112/20,Workings_risks!M26*Workings_risks!$F$18)*Workings_risks!$F$13*Workings_risks!M8*$E$28,0)</f>
        <v>0</v>
      </c>
      <c r="N112" s="335">
        <f>IF(N106&lt;&gt;0, N106+SUM(Workings_risks!$F$19*Workings_risks!N27*$E$112/20,Workings_risks!N26*Workings_risks!$F$18)*Workings_risks!$F$13*Workings_risks!N8*$E$28,0)</f>
        <v>0</v>
      </c>
      <c r="O112" s="335">
        <f>IF(O106&lt;&gt;0, O106+SUM(Workings_risks!$F$19*Workings_risks!O27*$E$112/20,Workings_risks!O26*Workings_risks!$F$18)*Workings_risks!$F$13*Workings_risks!O8*$E$28,0)</f>
        <v>0</v>
      </c>
      <c r="P112" s="335">
        <f>IF(P106&lt;&gt;0, P106+SUM(Workings_risks!$F$19*Workings_risks!P27*$E$112/20,Workings_risks!P26*Workings_risks!$F$18)*Workings_risks!$F$13*Workings_risks!P8*$E$28,0)</f>
        <v>0</v>
      </c>
      <c r="Q112" s="335">
        <f>IF(Q106&lt;&gt;0, Q106+SUM(Workings_risks!$F$19*Workings_risks!Q27*$E$112/20,Workings_risks!Q26*Workings_risks!$F$18)*Workings_risks!$F$13*Workings_risks!Q8*$E$28,0)</f>
        <v>0</v>
      </c>
      <c r="R112" s="335">
        <f>IF(R106&lt;&gt;0, R106+SUM(Workings_risks!$F$19*Workings_risks!R27*$E$112/20,Workings_risks!R26*Workings_risks!$F$18)*Workings_risks!$F$13*Workings_risks!R8*$E$28,0)</f>
        <v>0</v>
      </c>
      <c r="S112" s="335">
        <f>IF(S106&lt;&gt;0, S106+SUM(Workings_risks!$F$19*Workings_risks!S27*$E$112/20,Workings_risks!S26*Workings_risks!$F$18)*Workings_risks!$F$13*Workings_risks!S8*$E$28,0)</f>
        <v>0</v>
      </c>
      <c r="T112" s="335">
        <f>IF(T106&lt;&gt;0, T106+SUM(Workings_risks!$F$19*Workings_risks!T27*$E$112/20,Workings_risks!T26*Workings_risks!$F$18)*Workings_risks!$F$13*Workings_risks!T8*$E$28,0)</f>
        <v>0</v>
      </c>
      <c r="U112" s="335">
        <f>IF(U106&lt;&gt;0, U106+SUM(Workings_risks!$F$19*Workings_risks!U27*$E$112/20,Workings_risks!U26*Workings_risks!$F$18)*Workings_risks!$F$13*Workings_risks!U8*$E$28,0)</f>
        <v>0</v>
      </c>
      <c r="V112" s="335">
        <f>IF(V106&lt;&gt;0, V106+SUM(Workings_risks!$F$19*Workings_risks!V27*$E$112/20,Workings_risks!V26*Workings_risks!$F$18)*Workings_risks!$F$13*Workings_risks!V8*$E$28,0)</f>
        <v>0</v>
      </c>
      <c r="W112" s="335">
        <f>IF(W106&lt;&gt;0, W106+SUM(Workings_risks!$F$19*Workings_risks!W27*$E$112/20,Workings_risks!W26*Workings_risks!$F$18)*Workings_risks!$F$13*Workings_risks!W8*$E$28,0)</f>
        <v>0</v>
      </c>
      <c r="X112" s="335">
        <f>IF(X106&lt;&gt;0, X106+SUM(Workings_risks!$F$19*Workings_risks!X27*$E$112/20,Workings_risks!X26*Workings_risks!$F$18)*Workings_risks!$F$13*Workings_risks!X8*$E$28,0)</f>
        <v>0</v>
      </c>
      <c r="Y112" s="335">
        <f>IF(Y106&lt;&gt;0, Y106+SUM(Workings_risks!$F$19*Workings_risks!Y27*$E$112/20,Workings_risks!Y26*Workings_risks!$F$18)*Workings_risks!$F$13*Workings_risks!Y8*$E$28,0)</f>
        <v>0</v>
      </c>
      <c r="Z112" s="335">
        <f>IF(Z106&lt;&gt;0, Z106+SUM(Workings_risks!$F$19*Workings_risks!Z27*$E$112/20,Workings_risks!Z26*Workings_risks!$F$18)*Workings_risks!$F$13*Workings_risks!Z8*$E$28,0)</f>
        <v>0</v>
      </c>
      <c r="AA112" s="335">
        <f>IF(AA106&lt;&gt;0, AA106+SUM(Workings_risks!$F$19*Workings_risks!AA27*$E$112/20,Workings_risks!AA26*Workings_risks!$F$18)*Workings_risks!$F$13*Workings_risks!AA8*$E$28,0)</f>
        <v>0</v>
      </c>
      <c r="AB112" s="335">
        <f>IF(AB106&lt;&gt;0, AB106+SUM(Workings_risks!$F$19*Workings_risks!AB27*$E$112/20,Workings_risks!AB26*Workings_risks!$F$18)*Workings_risks!$F$13*Workings_risks!AB8*$E$28,0)</f>
        <v>0</v>
      </c>
      <c r="AC112" s="335">
        <f>IF(AC106&lt;&gt;0, AC106+SUM(Workings_risks!$F$19*Workings_risks!AC27*$E$112/20,Workings_risks!AC26*Workings_risks!$F$18)*Workings_risks!$F$13*Workings_risks!AC8*$E$28,0)</f>
        <v>0</v>
      </c>
      <c r="AD112" s="335">
        <f>IF(AD106&lt;&gt;0, AD106+SUM(Workings_risks!$F$19*Workings_risks!AD27*$E$112/20,Workings_risks!AD26*Workings_risks!$F$18)*Workings_risks!$F$13*Workings_risks!AD8*$E$28,0)</f>
        <v>0</v>
      </c>
      <c r="AE112" s="335">
        <f>IF(AE106&lt;&gt;0, AE106+SUM(Workings_risks!$F$19*Workings_risks!AE27*$E$112/20,Workings_risks!AE26*Workings_risks!$F$18)*Workings_risks!$F$13*Workings_risks!AE8*$E$28,0)</f>
        <v>0</v>
      </c>
      <c r="AF112" s="335">
        <f>IF(AF106&lt;&gt;0, AF106+SUM(Workings_risks!$F$19*Workings_risks!AF27*$E$112/20,Workings_risks!AF26*Workings_risks!$F$18)*Workings_risks!$F$13*Workings_risks!AF8*$E$28,0)</f>
        <v>0</v>
      </c>
      <c r="AG112" s="335">
        <f>IF(AG106&lt;&gt;0, AG106+SUM(Workings_risks!$F$19*Workings_risks!AG27*$E$112/20,Workings_risks!AG26*Workings_risks!$F$18)*Workings_risks!$F$13*Workings_risks!AG8*$E$28,0)</f>
        <v>0</v>
      </c>
    </row>
    <row r="113" spans="1:33" x14ac:dyDescent="0.2">
      <c r="A113" s="1" t="str">
        <f>"sens"&amp;Assumptions!B118</f>
        <v>sens4</v>
      </c>
      <c r="C113" s="301" t="str">
        <f>Assumptions!C118</f>
        <v/>
      </c>
      <c r="D113" s="302">
        <f>Assumptions!G118</f>
        <v>0</v>
      </c>
      <c r="E113" s="302">
        <f>Assumptions!H118</f>
        <v>0</v>
      </c>
      <c r="G113" s="38" t="str">
        <f t="shared" si="21"/>
        <v>Option 4sens4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0</v>
      </c>
      <c r="N113" s="31" cm="1">
        <f t="array" ref="N113">N$106+IF($C113&lt;&gt;0,SUMPRODUCT((N$107:N$108)*TRANSPOSE(($D113:$E113))),0)</f>
        <v>0</v>
      </c>
      <c r="O113" s="31" cm="1">
        <f t="array" ref="O113">O$106+IF($C113&lt;&gt;0,SUMPRODUCT((O$107:O$108)*TRANSPOSE(($D113:$E113))),0)</f>
        <v>0</v>
      </c>
      <c r="P113" s="31" cm="1">
        <f t="array" ref="P113">P$106+IF($C113&lt;&gt;0,SUMPRODUCT((P$107:P$108)*TRANSPOSE(($D113:$E113))),0)</f>
        <v>0</v>
      </c>
      <c r="Q113" s="31" cm="1">
        <f t="array" ref="Q113">Q$106+IF($C113&lt;&gt;0,SUMPRODUCT((Q$107:Q$108)*TRANSPOSE(($D113:$E113))),0)</f>
        <v>0</v>
      </c>
      <c r="R113" s="31" cm="1">
        <f t="array" ref="R113">R$106+IF($C113&lt;&gt;0,SUMPRODUCT((R$107:R$108)*TRANSPOSE(($D113:$E113))),0)</f>
        <v>0</v>
      </c>
      <c r="S113" s="31" cm="1">
        <f t="array" ref="S113">S$106+IF($C113&lt;&gt;0,SUMPRODUCT((S$107:S$108)*TRANSPOSE(($D113:$E113))),0)</f>
        <v>0</v>
      </c>
      <c r="T113" s="31" cm="1">
        <f t="array" ref="T113">T$106+IF($C113&lt;&gt;0,SUMPRODUCT((T$107:T$108)*TRANSPOSE(($D113:$E113))),0)</f>
        <v>0</v>
      </c>
      <c r="U113" s="31" cm="1">
        <f t="array" ref="U113">U$106+IF($C113&lt;&gt;0,SUMPRODUCT((U$107:U$108)*TRANSPOSE(($D113:$E113))),0)</f>
        <v>0</v>
      </c>
      <c r="V113" s="31" cm="1">
        <f t="array" ref="V113">V$106+IF($C113&lt;&gt;0,SUMPRODUCT((V$107:V$108)*TRANSPOSE(($D113:$E113))),0)</f>
        <v>0</v>
      </c>
      <c r="W113" s="31" cm="1">
        <f t="array" ref="W113">W$106+IF($C113&lt;&gt;0,SUMPRODUCT((W$107:W$108)*TRANSPOSE(($D113:$E113))),0)</f>
        <v>0</v>
      </c>
      <c r="X113" s="31" cm="1">
        <f t="array" ref="X113">X$106+IF($C113&lt;&gt;0,SUMPRODUCT((X$107:X$108)*TRANSPOSE(($D113:$E113))),0)</f>
        <v>0</v>
      </c>
      <c r="Y113" s="31" cm="1">
        <f t="array" ref="Y113">Y$106+IF($C113&lt;&gt;0,SUMPRODUCT((Y$107:Y$108)*TRANSPOSE(($D113:$E113))),0)</f>
        <v>0</v>
      </c>
      <c r="Z113" s="31" cm="1">
        <f t="array" ref="Z113">Z$106+IF($C113&lt;&gt;0,SUMPRODUCT((Z$107:Z$108)*TRANSPOSE(($D113:$E113))),0)</f>
        <v>0</v>
      </c>
      <c r="AA113" s="31" cm="1">
        <f t="array" ref="AA113">AA$106+IF($C113&lt;&gt;0,SUMPRODUCT((AA$107:AA$108)*TRANSPOSE(($D113:$E113))),0)</f>
        <v>0</v>
      </c>
      <c r="AB113" s="31" cm="1">
        <f t="array" ref="AB113">AB$106+IF($C113&lt;&gt;0,SUMPRODUCT((AB$107:AB$108)*TRANSPOSE(($D113:$E113))),0)</f>
        <v>0</v>
      </c>
      <c r="AC113" s="31" cm="1">
        <f t="array" ref="AC113">AC$106+IF($C113&lt;&gt;0,SUMPRODUCT((AC$107:AC$108)*TRANSPOSE(($D113:$E113))),0)</f>
        <v>0</v>
      </c>
      <c r="AD113" s="31" cm="1">
        <f t="array" ref="AD113">AD$106+IF($C113&lt;&gt;0,SUMPRODUCT((AD$107:AD$108)*TRANSPOSE(($D113:$E113))),0)</f>
        <v>0</v>
      </c>
      <c r="AE113" s="31" cm="1">
        <f t="array" ref="AE113">AE$106+IF($C113&lt;&gt;0,SUMPRODUCT((AE$107:AE$108)*TRANSPOSE(($D113:$E113))),0)</f>
        <v>0</v>
      </c>
      <c r="AF113" s="31" cm="1">
        <f t="array" ref="AF113">AF$106+IF($C113&lt;&gt;0,SUMPRODUCT((AF$107:AF$108)*TRANSPOSE(($D113:$E113))),0)</f>
        <v>0</v>
      </c>
      <c r="AG113" s="31" cm="1">
        <f t="array" ref="AG113">AG$106+IF($C113&lt;&gt;0,SUMPRODUCT((AG$107:AG$108)*TRANSPOSE(($D113:$E113))),0)</f>
        <v>0</v>
      </c>
    </row>
    <row r="114" spans="1:33" x14ac:dyDescent="0.2">
      <c r="A114" s="1" t="str">
        <f>"sens"&amp;Assumptions!B119</f>
        <v>sens5</v>
      </c>
      <c r="C114" s="301" t="str">
        <f>Assumptions!C119</f>
        <v/>
      </c>
      <c r="D114" s="302">
        <f>Assumptions!G119</f>
        <v>0</v>
      </c>
      <c r="E114" s="302">
        <f>Assumptions!H119</f>
        <v>0</v>
      </c>
      <c r="G114" s="38" t="str">
        <f t="shared" si="21"/>
        <v>Option 4sens5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0</v>
      </c>
      <c r="N114" s="31" cm="1">
        <f t="array" ref="N114">N$106+IF($C114&lt;&gt;0,SUMPRODUCT((N$107:N$108)*TRANSPOSE(($D114:$E114))),0)</f>
        <v>0</v>
      </c>
      <c r="O114" s="31" cm="1">
        <f t="array" ref="O114">O$106+IF($C114&lt;&gt;0,SUMPRODUCT((O$107:O$108)*TRANSPOSE(($D114:$E114))),0)</f>
        <v>0</v>
      </c>
      <c r="P114" s="31" cm="1">
        <f t="array" ref="P114">P$106+IF($C114&lt;&gt;0,SUMPRODUCT((P$107:P$108)*TRANSPOSE(($D114:$E114))),0)</f>
        <v>0</v>
      </c>
      <c r="Q114" s="31" cm="1">
        <f t="array" ref="Q114">Q$106+IF($C114&lt;&gt;0,SUMPRODUCT((Q$107:Q$108)*TRANSPOSE(($D114:$E114))),0)</f>
        <v>0</v>
      </c>
      <c r="R114" s="31" cm="1">
        <f t="array" ref="R114">R$106+IF($C114&lt;&gt;0,SUMPRODUCT((R$107:R$108)*TRANSPOSE(($D114:$E114))),0)</f>
        <v>0</v>
      </c>
      <c r="S114" s="31" cm="1">
        <f t="array" ref="S114">S$106+IF($C114&lt;&gt;0,SUMPRODUCT((S$107:S$108)*TRANSPOSE(($D114:$E114))),0)</f>
        <v>0</v>
      </c>
      <c r="T114" s="31" cm="1">
        <f t="array" ref="T114">T$106+IF($C114&lt;&gt;0,SUMPRODUCT((T$107:T$108)*TRANSPOSE(($D114:$E114))),0)</f>
        <v>0</v>
      </c>
      <c r="U114" s="31" cm="1">
        <f t="array" ref="U114">U$106+IF($C114&lt;&gt;0,SUMPRODUCT((U$107:U$108)*TRANSPOSE(($D114:$E114))),0)</f>
        <v>0</v>
      </c>
      <c r="V114" s="31" cm="1">
        <f t="array" ref="V114">V$106+IF($C114&lt;&gt;0,SUMPRODUCT((V$107:V$108)*TRANSPOSE(($D114:$E114))),0)</f>
        <v>0</v>
      </c>
      <c r="W114" s="31" cm="1">
        <f t="array" ref="W114">W$106+IF($C114&lt;&gt;0,SUMPRODUCT((W$107:W$108)*TRANSPOSE(($D114:$E114))),0)</f>
        <v>0</v>
      </c>
      <c r="X114" s="31" cm="1">
        <f t="array" ref="X114">X$106+IF($C114&lt;&gt;0,SUMPRODUCT((X$107:X$108)*TRANSPOSE(($D114:$E114))),0)</f>
        <v>0</v>
      </c>
      <c r="Y114" s="31" cm="1">
        <f t="array" ref="Y114">Y$106+IF($C114&lt;&gt;0,SUMPRODUCT((Y$107:Y$108)*TRANSPOSE(($D114:$E114))),0)</f>
        <v>0</v>
      </c>
      <c r="Z114" s="31" cm="1">
        <f t="array" ref="Z114">Z$106+IF($C114&lt;&gt;0,SUMPRODUCT((Z$107:Z$108)*TRANSPOSE(($D114:$E114))),0)</f>
        <v>0</v>
      </c>
      <c r="AA114" s="31" cm="1">
        <f t="array" ref="AA114">AA$106+IF($C114&lt;&gt;0,SUMPRODUCT((AA$107:AA$108)*TRANSPOSE(($D114:$E114))),0)</f>
        <v>0</v>
      </c>
      <c r="AB114" s="31" cm="1">
        <f t="array" ref="AB114">AB$106+IF($C114&lt;&gt;0,SUMPRODUCT((AB$107:AB$108)*TRANSPOSE(($D114:$E114))),0)</f>
        <v>0</v>
      </c>
      <c r="AC114" s="31" cm="1">
        <f t="array" ref="AC114">AC$106+IF($C114&lt;&gt;0,SUMPRODUCT((AC$107:AC$108)*TRANSPOSE(($D114:$E114))),0)</f>
        <v>0</v>
      </c>
      <c r="AD114" s="31" cm="1">
        <f t="array" ref="AD114">AD$106+IF($C114&lt;&gt;0,SUMPRODUCT((AD$107:AD$108)*TRANSPOSE(($D114:$E114))),0)</f>
        <v>0</v>
      </c>
      <c r="AE114" s="31" cm="1">
        <f t="array" ref="AE114">AE$106+IF($C114&lt;&gt;0,SUMPRODUCT((AE$107:AE$108)*TRANSPOSE(($D114:$E114))),0)</f>
        <v>0</v>
      </c>
      <c r="AF114" s="31" cm="1">
        <f t="array" ref="AF114">AF$106+IF($C114&lt;&gt;0,SUMPRODUCT((AF$107:AF$108)*TRANSPOSE(($D114:$E114))),0)</f>
        <v>0</v>
      </c>
      <c r="AG114" s="31" cm="1">
        <f t="array" ref="AG114">AG$106+IF($C114&lt;&gt;0,SUMPRODUCT((AG$107:AG$108)*TRANSPOSE(($D114:$E114))),0)</f>
        <v>0</v>
      </c>
    </row>
    <row r="115" spans="1:33" x14ac:dyDescent="0.2">
      <c r="A115" s="1" t="str">
        <f>"sens"&amp;Assumptions!B120</f>
        <v>sens</v>
      </c>
      <c r="C115" s="301">
        <f>Assumptions!C120</f>
        <v>0</v>
      </c>
      <c r="D115" s="302">
        <f>Assumptions!G120</f>
        <v>0</v>
      </c>
      <c r="E115" s="302">
        <f>Assumptions!H120</f>
        <v>0</v>
      </c>
      <c r="G115" s="38" t="str">
        <f t="shared" si="21"/>
        <v>Option 4sens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0</v>
      </c>
      <c r="N115" s="31" cm="1">
        <f t="array" ref="N115">N$106+IF($C115&lt;&gt;0,SUMPRODUCT((N$107:N$108)*TRANSPOSE(($D115:$E115))),0)</f>
        <v>0</v>
      </c>
      <c r="O115" s="31" cm="1">
        <f t="array" ref="O115">O$106+IF($C115&lt;&gt;0,SUMPRODUCT((O$107:O$108)*TRANSPOSE(($D115:$E115))),0)</f>
        <v>0</v>
      </c>
      <c r="P115" s="31" cm="1">
        <f t="array" ref="P115">P$106+IF($C115&lt;&gt;0,SUMPRODUCT((P$107:P$108)*TRANSPOSE(($D115:$E115))),0)</f>
        <v>0</v>
      </c>
      <c r="Q115" s="31" cm="1">
        <f t="array" ref="Q115">Q$106+IF($C115&lt;&gt;0,SUMPRODUCT((Q$107:Q$108)*TRANSPOSE(($D115:$E115))),0)</f>
        <v>0</v>
      </c>
      <c r="R115" s="31" cm="1">
        <f t="array" ref="R115">R$106+IF($C115&lt;&gt;0,SUMPRODUCT((R$107:R$108)*TRANSPOSE(($D115:$E115))),0)</f>
        <v>0</v>
      </c>
      <c r="S115" s="31" cm="1">
        <f t="array" ref="S115">S$106+IF($C115&lt;&gt;0,SUMPRODUCT((S$107:S$108)*TRANSPOSE(($D115:$E115))),0)</f>
        <v>0</v>
      </c>
      <c r="T115" s="31" cm="1">
        <f t="array" ref="T115">T$106+IF($C115&lt;&gt;0,SUMPRODUCT((T$107:T$108)*TRANSPOSE(($D115:$E115))),0)</f>
        <v>0</v>
      </c>
      <c r="U115" s="31" cm="1">
        <f t="array" ref="U115">U$106+IF($C115&lt;&gt;0,SUMPRODUCT((U$107:U$108)*TRANSPOSE(($D115:$E115))),0)</f>
        <v>0</v>
      </c>
      <c r="V115" s="31" cm="1">
        <f t="array" ref="V115">V$106+IF($C115&lt;&gt;0,SUMPRODUCT((V$107:V$108)*TRANSPOSE(($D115:$E115))),0)</f>
        <v>0</v>
      </c>
      <c r="W115" s="31" cm="1">
        <f t="array" ref="W115">W$106+IF($C115&lt;&gt;0,SUMPRODUCT((W$107:W$108)*TRANSPOSE(($D115:$E115))),0)</f>
        <v>0</v>
      </c>
      <c r="X115" s="31" cm="1">
        <f t="array" ref="X115">X$106+IF($C115&lt;&gt;0,SUMPRODUCT((X$107:X$108)*TRANSPOSE(($D115:$E115))),0)</f>
        <v>0</v>
      </c>
      <c r="Y115" s="31" cm="1">
        <f t="array" ref="Y115">Y$106+IF($C115&lt;&gt;0,SUMPRODUCT((Y$107:Y$108)*TRANSPOSE(($D115:$E115))),0)</f>
        <v>0</v>
      </c>
      <c r="Z115" s="31" cm="1">
        <f t="array" ref="Z115">Z$106+IF($C115&lt;&gt;0,SUMPRODUCT((Z$107:Z$108)*TRANSPOSE(($D115:$E115))),0)</f>
        <v>0</v>
      </c>
      <c r="AA115" s="31" cm="1">
        <f t="array" ref="AA115">AA$106+IF($C115&lt;&gt;0,SUMPRODUCT((AA$107:AA$108)*TRANSPOSE(($D115:$E115))),0)</f>
        <v>0</v>
      </c>
      <c r="AB115" s="31" cm="1">
        <f t="array" ref="AB115">AB$106+IF($C115&lt;&gt;0,SUMPRODUCT((AB$107:AB$108)*TRANSPOSE(($D115:$E115))),0)</f>
        <v>0</v>
      </c>
      <c r="AC115" s="31" cm="1">
        <f t="array" ref="AC115">AC$106+IF($C115&lt;&gt;0,SUMPRODUCT((AC$107:AC$108)*TRANSPOSE(($D115:$E115))),0)</f>
        <v>0</v>
      </c>
      <c r="AD115" s="31" cm="1">
        <f t="array" ref="AD115">AD$106+IF($C115&lt;&gt;0,SUMPRODUCT((AD$107:AD$108)*TRANSPOSE(($D115:$E115))),0)</f>
        <v>0</v>
      </c>
      <c r="AE115" s="31" cm="1">
        <f t="array" ref="AE115">AE$106+IF($C115&lt;&gt;0,SUMPRODUCT((AE$107:AE$108)*TRANSPOSE(($D115:$E115))),0)</f>
        <v>0</v>
      </c>
      <c r="AF115" s="31" cm="1">
        <f t="array" ref="AF115">AF$106+IF($C115&lt;&gt;0,SUMPRODUCT((AF$107:AF$108)*TRANSPOSE(($D115:$E115))),0)</f>
        <v>0</v>
      </c>
      <c r="AG115" s="31" cm="1">
        <f t="array" ref="AG115">AG$106+IF($C115&lt;&gt;0,SUMPRODUCT((AG$107:AG$108)*TRANSPOSE(($D115:$E115))),0)</f>
        <v>0</v>
      </c>
    </row>
    <row r="116" spans="1:33" x14ac:dyDescent="0.2">
      <c r="A116" s="1" t="str">
        <f>"sens"&amp;Assumptions!B121</f>
        <v>sens</v>
      </c>
      <c r="C116" s="301">
        <f>Assumptions!C121</f>
        <v>0</v>
      </c>
      <c r="D116" s="302">
        <f>Assumptions!G121</f>
        <v>0</v>
      </c>
      <c r="E116" s="302">
        <f>Assumptions!H121</f>
        <v>0</v>
      </c>
      <c r="G116" s="38" t="str">
        <f t="shared" si="21"/>
        <v>Option 4sens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0</v>
      </c>
      <c r="N116" s="31" cm="1">
        <f t="array" ref="N116">N$106+IF($C116&lt;&gt;0,SUMPRODUCT((N$107:N$108)*TRANSPOSE(($D116:$E116))),0)</f>
        <v>0</v>
      </c>
      <c r="O116" s="31" cm="1">
        <f t="array" ref="O116">O$106+IF($C116&lt;&gt;0,SUMPRODUCT((O$107:O$108)*TRANSPOSE(($D116:$E116))),0)</f>
        <v>0</v>
      </c>
      <c r="P116" s="31" cm="1">
        <f t="array" ref="P116">P$106+IF($C116&lt;&gt;0,SUMPRODUCT((P$107:P$108)*TRANSPOSE(($D116:$E116))),0)</f>
        <v>0</v>
      </c>
      <c r="Q116" s="31" cm="1">
        <f t="array" ref="Q116">Q$106+IF($C116&lt;&gt;0,SUMPRODUCT((Q$107:Q$108)*TRANSPOSE(($D116:$E116))),0)</f>
        <v>0</v>
      </c>
      <c r="R116" s="31" cm="1">
        <f t="array" ref="R116">R$106+IF($C116&lt;&gt;0,SUMPRODUCT((R$107:R$108)*TRANSPOSE(($D116:$E116))),0)</f>
        <v>0</v>
      </c>
      <c r="S116" s="31" cm="1">
        <f t="array" ref="S116">S$106+IF($C116&lt;&gt;0,SUMPRODUCT((S$107:S$108)*TRANSPOSE(($D116:$E116))),0)</f>
        <v>0</v>
      </c>
      <c r="T116" s="31" cm="1">
        <f t="array" ref="T116">T$106+IF($C116&lt;&gt;0,SUMPRODUCT((T$107:T$108)*TRANSPOSE(($D116:$E116))),0)</f>
        <v>0</v>
      </c>
      <c r="U116" s="31" cm="1">
        <f t="array" ref="U116">U$106+IF($C116&lt;&gt;0,SUMPRODUCT((U$107:U$108)*TRANSPOSE(($D116:$E116))),0)</f>
        <v>0</v>
      </c>
      <c r="V116" s="31" cm="1">
        <f t="array" ref="V116">V$106+IF($C116&lt;&gt;0,SUMPRODUCT((V$107:V$108)*TRANSPOSE(($D116:$E116))),0)</f>
        <v>0</v>
      </c>
      <c r="W116" s="31" cm="1">
        <f t="array" ref="W116">W$106+IF($C116&lt;&gt;0,SUMPRODUCT((W$107:W$108)*TRANSPOSE(($D116:$E116))),0)</f>
        <v>0</v>
      </c>
      <c r="X116" s="31" cm="1">
        <f t="array" ref="X116">X$106+IF($C116&lt;&gt;0,SUMPRODUCT((X$107:X$108)*TRANSPOSE(($D116:$E116))),0)</f>
        <v>0</v>
      </c>
      <c r="Y116" s="31" cm="1">
        <f t="array" ref="Y116">Y$106+IF($C116&lt;&gt;0,SUMPRODUCT((Y$107:Y$108)*TRANSPOSE(($D116:$E116))),0)</f>
        <v>0</v>
      </c>
      <c r="Z116" s="31" cm="1">
        <f t="array" ref="Z116">Z$106+IF($C116&lt;&gt;0,SUMPRODUCT((Z$107:Z$108)*TRANSPOSE(($D116:$E116))),0)</f>
        <v>0</v>
      </c>
      <c r="AA116" s="31" cm="1">
        <f t="array" ref="AA116">AA$106+IF($C116&lt;&gt;0,SUMPRODUCT((AA$107:AA$108)*TRANSPOSE(($D116:$E116))),0)</f>
        <v>0</v>
      </c>
      <c r="AB116" s="31" cm="1">
        <f t="array" ref="AB116">AB$106+IF($C116&lt;&gt;0,SUMPRODUCT((AB$107:AB$108)*TRANSPOSE(($D116:$E116))),0)</f>
        <v>0</v>
      </c>
      <c r="AC116" s="31" cm="1">
        <f t="array" ref="AC116">AC$106+IF($C116&lt;&gt;0,SUMPRODUCT((AC$107:AC$108)*TRANSPOSE(($D116:$E116))),0)</f>
        <v>0</v>
      </c>
      <c r="AD116" s="31" cm="1">
        <f t="array" ref="AD116">AD$106+IF($C116&lt;&gt;0,SUMPRODUCT((AD$107:AD$108)*TRANSPOSE(($D116:$E116))),0)</f>
        <v>0</v>
      </c>
      <c r="AE116" s="31" cm="1">
        <f t="array" ref="AE116">AE$106+IF($C116&lt;&gt;0,SUMPRODUCT((AE$107:AE$108)*TRANSPOSE(($D116:$E116))),0)</f>
        <v>0</v>
      </c>
      <c r="AF116" s="31" cm="1">
        <f t="array" ref="AF116">AF$106+IF($C116&lt;&gt;0,SUMPRODUCT((AF$107:AF$108)*TRANSPOSE(($D116:$E116))),0)</f>
        <v>0</v>
      </c>
      <c r="AG116" s="31" cm="1">
        <f t="array" ref="AG116">AG$106+IF($C116&lt;&gt;0,SUMPRODUCT((AG$107:AG$108)*TRANSPOSE(($D116:$E116))),0)</f>
        <v>0</v>
      </c>
    </row>
    <row r="117" spans="1:33" x14ac:dyDescent="0.2">
      <c r="A117" s="1" t="str">
        <f>"sens"&amp;Assumptions!B122</f>
        <v>sens</v>
      </c>
      <c r="C117" s="301">
        <f>Assumptions!C122</f>
        <v>0</v>
      </c>
      <c r="D117" s="302">
        <f>Assumptions!G122</f>
        <v>0</v>
      </c>
      <c r="E117" s="302">
        <f>Assumptions!H122</f>
        <v>0</v>
      </c>
      <c r="G117" s="38" t="str">
        <f t="shared" si="21"/>
        <v>Option 4sens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0</v>
      </c>
      <c r="N117" s="31" cm="1">
        <f t="array" ref="N117">N$106+IF($C117&lt;&gt;0,SUMPRODUCT((N$107:N$108)*TRANSPOSE(($D117:$E117))),0)</f>
        <v>0</v>
      </c>
      <c r="O117" s="31" cm="1">
        <f t="array" ref="O117">O$106+IF($C117&lt;&gt;0,SUMPRODUCT((O$107:O$108)*TRANSPOSE(($D117:$E117))),0)</f>
        <v>0</v>
      </c>
      <c r="P117" s="31" cm="1">
        <f t="array" ref="P117">P$106+IF($C117&lt;&gt;0,SUMPRODUCT((P$107:P$108)*TRANSPOSE(($D117:$E117))),0)</f>
        <v>0</v>
      </c>
      <c r="Q117" s="31" cm="1">
        <f t="array" ref="Q117">Q$106+IF($C117&lt;&gt;0,SUMPRODUCT((Q$107:Q$108)*TRANSPOSE(($D117:$E117))),0)</f>
        <v>0</v>
      </c>
      <c r="R117" s="31" cm="1">
        <f t="array" ref="R117">R$106+IF($C117&lt;&gt;0,SUMPRODUCT((R$107:R$108)*TRANSPOSE(($D117:$E117))),0)</f>
        <v>0</v>
      </c>
      <c r="S117" s="31" cm="1">
        <f t="array" ref="S117">S$106+IF($C117&lt;&gt;0,SUMPRODUCT((S$107:S$108)*TRANSPOSE(($D117:$E117))),0)</f>
        <v>0</v>
      </c>
      <c r="T117" s="31" cm="1">
        <f t="array" ref="T117">T$106+IF($C117&lt;&gt;0,SUMPRODUCT((T$107:T$108)*TRANSPOSE(($D117:$E117))),0)</f>
        <v>0</v>
      </c>
      <c r="U117" s="31" cm="1">
        <f t="array" ref="U117">U$106+IF($C117&lt;&gt;0,SUMPRODUCT((U$107:U$108)*TRANSPOSE(($D117:$E117))),0)</f>
        <v>0</v>
      </c>
      <c r="V117" s="31" cm="1">
        <f t="array" ref="V117">V$106+IF($C117&lt;&gt;0,SUMPRODUCT((V$107:V$108)*TRANSPOSE(($D117:$E117))),0)</f>
        <v>0</v>
      </c>
      <c r="W117" s="31" cm="1">
        <f t="array" ref="W117">W$106+IF($C117&lt;&gt;0,SUMPRODUCT((W$107:W$108)*TRANSPOSE(($D117:$E117))),0)</f>
        <v>0</v>
      </c>
      <c r="X117" s="31" cm="1">
        <f t="array" ref="X117">X$106+IF($C117&lt;&gt;0,SUMPRODUCT((X$107:X$108)*TRANSPOSE(($D117:$E117))),0)</f>
        <v>0</v>
      </c>
      <c r="Y117" s="31" cm="1">
        <f t="array" ref="Y117">Y$106+IF($C117&lt;&gt;0,SUMPRODUCT((Y$107:Y$108)*TRANSPOSE(($D117:$E117))),0)</f>
        <v>0</v>
      </c>
      <c r="Z117" s="31" cm="1">
        <f t="array" ref="Z117">Z$106+IF($C117&lt;&gt;0,SUMPRODUCT((Z$107:Z$108)*TRANSPOSE(($D117:$E117))),0)</f>
        <v>0</v>
      </c>
      <c r="AA117" s="31" cm="1">
        <f t="array" ref="AA117">AA$106+IF($C117&lt;&gt;0,SUMPRODUCT((AA$107:AA$108)*TRANSPOSE(($D117:$E117))),0)</f>
        <v>0</v>
      </c>
      <c r="AB117" s="31" cm="1">
        <f t="array" ref="AB117">AB$106+IF($C117&lt;&gt;0,SUMPRODUCT((AB$107:AB$108)*TRANSPOSE(($D117:$E117))),0)</f>
        <v>0</v>
      </c>
      <c r="AC117" s="31" cm="1">
        <f t="array" ref="AC117">AC$106+IF($C117&lt;&gt;0,SUMPRODUCT((AC$107:AC$108)*TRANSPOSE(($D117:$E117))),0)</f>
        <v>0</v>
      </c>
      <c r="AD117" s="31" cm="1">
        <f t="array" ref="AD117">AD$106+IF($C117&lt;&gt;0,SUMPRODUCT((AD$107:AD$108)*TRANSPOSE(($D117:$E117))),0)</f>
        <v>0</v>
      </c>
      <c r="AE117" s="31" cm="1">
        <f t="array" ref="AE117">AE$106+IF($C117&lt;&gt;0,SUMPRODUCT((AE$107:AE$108)*TRANSPOSE(($D117:$E117))),0)</f>
        <v>0</v>
      </c>
      <c r="AF117" s="31" cm="1">
        <f t="array" ref="AF117">AF$106+IF($C117&lt;&gt;0,SUMPRODUCT((AF$107:AF$108)*TRANSPOSE(($D117:$E117))),0)</f>
        <v>0</v>
      </c>
      <c r="AG117" s="31" cm="1">
        <f t="array" ref="AG117">AG$106+IF($C117&lt;&gt;0,SUMPRODUCT((AG$107:AG$108)*TRANSPOSE(($D117:$E117))),0)</f>
        <v>0</v>
      </c>
    </row>
  </sheetData>
  <conditionalFormatting sqref="E14:E16">
    <cfRule type="expression" dxfId="5" priority="53">
      <formula>AND(SUM($I14:$AB14)&lt;&gt;0, E14=0)</formula>
    </cfRule>
  </conditionalFormatting>
  <conditionalFormatting sqref="E28">
    <cfRule type="expression" dxfId="4" priority="1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ignoredErrors>
    <ignoredError sqref="I112:AG112" formula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98" id="{17B125C1-0588-4495-B8F7-9B52E25BED85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C94D8-0AAB-45B3-9A29-8CF3F90554FB}">
  <sheetPr codeName="Sheet14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G29" sqref="G29"/>
      <selection pane="topRight" activeCell="G29" sqref="G29"/>
      <selection pane="bottomLeft" activeCell="G29" sqref="G29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2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Apollo Bay microgrid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4" t="s">
        <v>189</v>
      </c>
      <c r="B3" s="5"/>
      <c r="C3" s="201">
        <f>INDEX(Assumptions!$E$14:$E$18, MATCH(A3,_xlfn.ANCHORARRAY( Assumptions!$C$14),0))</f>
        <v>0</v>
      </c>
    </row>
    <row r="4" spans="1:43" x14ac:dyDescent="0.2">
      <c r="A4" s="202" t="str">
        <f>(INDEX(Data!$D$9:$D$13, MATCH(A3, options,0)))</f>
        <v>Not used</v>
      </c>
      <c r="B4" s="188"/>
      <c r="C4" s="239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1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3"/>
      <c r="G9" s="18" t="s">
        <v>25</v>
      </c>
      <c r="H9" s="221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5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43" x14ac:dyDescent="0.2">
      <c r="A12" s="3"/>
      <c r="B12" s="3"/>
      <c r="C12" s="3"/>
      <c r="D12" s="3"/>
      <c r="G12" s="206"/>
      <c r="AH12"/>
      <c r="AI12"/>
      <c r="AJ12"/>
      <c r="AK12"/>
    </row>
    <row r="13" spans="1:43" x14ac:dyDescent="0.2">
      <c r="C13" s="3" t="s">
        <v>17</v>
      </c>
      <c r="D13"/>
      <c r="E13" s="126" t="s">
        <v>69</v>
      </c>
      <c r="G13" s="20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57</v>
      </c>
      <c r="D14"/>
      <c r="E14" s="149">
        <v>0</v>
      </c>
      <c r="G14" s="208">
        <f>input_dollars</f>
        <v>45291</v>
      </c>
      <c r="H14" s="150"/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57</v>
      </c>
      <c r="D15"/>
      <c r="E15" s="149">
        <v>0</v>
      </c>
      <c r="G15" s="208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 t="s">
        <v>57</v>
      </c>
      <c r="D16"/>
      <c r="E16" s="149">
        <v>0</v>
      </c>
      <c r="G16" s="208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8">
        <f>input_dollars</f>
        <v>45291</v>
      </c>
      <c r="H17" s="107"/>
      <c r="I17" s="106">
        <f t="shared" ref="I17:Q17" si="0">SUM(I14:I16)</f>
        <v>0</v>
      </c>
      <c r="J17" s="106">
        <f t="shared" si="0"/>
        <v>0</v>
      </c>
      <c r="K17" s="106">
        <f>SUM(K14:K16)</f>
        <v>0</v>
      </c>
      <c r="L17" s="106">
        <f t="shared" si="0"/>
        <v>0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  <c r="AH17"/>
      <c r="AI17"/>
      <c r="AJ17"/>
      <c r="AK17"/>
    </row>
    <row r="18" spans="1:43" x14ac:dyDescent="0.2">
      <c r="C18"/>
      <c r="D18"/>
      <c r="E18"/>
      <c r="G18" s="20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8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137">
        <v>0</v>
      </c>
      <c r="S19" s="137">
        <v>0</v>
      </c>
      <c r="T19" s="137">
        <v>0</v>
      </c>
      <c r="U19" s="137">
        <v>0</v>
      </c>
      <c r="V19" s="137">
        <v>0</v>
      </c>
      <c r="W19" s="137">
        <v>0</v>
      </c>
      <c r="X19" s="137">
        <v>0</v>
      </c>
      <c r="Y19" s="137">
        <v>0</v>
      </c>
      <c r="Z19" s="137">
        <v>0</v>
      </c>
      <c r="AA19" s="137">
        <v>0</v>
      </c>
      <c r="AB19" s="137">
        <v>0</v>
      </c>
      <c r="AC19" s="137">
        <v>0</v>
      </c>
      <c r="AD19" s="137">
        <v>0</v>
      </c>
      <c r="AE19" s="137">
        <v>0</v>
      </c>
      <c r="AF19" s="137">
        <v>0</v>
      </c>
      <c r="AG19" s="137">
        <v>0</v>
      </c>
      <c r="AH19"/>
      <c r="AI19"/>
      <c r="AJ19"/>
      <c r="AK19"/>
    </row>
    <row r="20" spans="1:43" x14ac:dyDescent="0.2">
      <c r="G20" s="206"/>
      <c r="AH20"/>
      <c r="AI20"/>
      <c r="AJ20"/>
      <c r="AK20"/>
    </row>
    <row r="21" spans="1:43" x14ac:dyDescent="0.2">
      <c r="C21"/>
      <c r="D21"/>
      <c r="E21"/>
      <c r="G21" s="20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154</v>
      </c>
      <c r="B22" s="89"/>
      <c r="C22" s="89"/>
      <c r="D22" s="89"/>
      <c r="E22" s="89"/>
      <c r="F22" s="89"/>
      <c r="G22" s="205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9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155</v>
      </c>
      <c r="D24" s="111"/>
      <c r="E24" s="111"/>
      <c r="F24" s="111"/>
      <c r="G24" s="209"/>
      <c r="H24" s="111"/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0">
        <v>0</v>
      </c>
      <c r="Z24" s="170">
        <v>0</v>
      </c>
      <c r="AA24" s="170">
        <v>0</v>
      </c>
      <c r="AB24" s="170">
        <v>0</v>
      </c>
      <c r="AC24" s="170">
        <v>0</v>
      </c>
      <c r="AD24" s="170">
        <v>0</v>
      </c>
      <c r="AE24" s="170">
        <v>0</v>
      </c>
      <c r="AF24" s="170">
        <v>0</v>
      </c>
      <c r="AG24" s="170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156</v>
      </c>
      <c r="D25" s="209"/>
      <c r="E25" s="111"/>
      <c r="F25" s="111"/>
      <c r="G25" s="209"/>
      <c r="H25" s="111"/>
      <c r="I25" s="170">
        <v>0</v>
      </c>
      <c r="J25" s="170">
        <v>0</v>
      </c>
      <c r="K25" s="170">
        <v>0</v>
      </c>
      <c r="L25" s="170">
        <v>0</v>
      </c>
      <c r="M25" s="170">
        <v>0</v>
      </c>
      <c r="N25" s="170">
        <v>0</v>
      </c>
      <c r="O25" s="170">
        <v>0</v>
      </c>
      <c r="P25" s="170">
        <v>0</v>
      </c>
      <c r="Q25" s="170">
        <v>0</v>
      </c>
      <c r="R25" s="170">
        <v>0</v>
      </c>
      <c r="S25" s="170">
        <v>0</v>
      </c>
      <c r="T25" s="170">
        <v>0</v>
      </c>
      <c r="U25" s="170">
        <v>0</v>
      </c>
      <c r="V25" s="170">
        <v>0</v>
      </c>
      <c r="W25" s="170">
        <v>0</v>
      </c>
      <c r="X25" s="170">
        <v>0</v>
      </c>
      <c r="Y25" s="170">
        <v>0</v>
      </c>
      <c r="Z25" s="170">
        <v>0</v>
      </c>
      <c r="AA25" s="170">
        <v>0</v>
      </c>
      <c r="AB25" s="170">
        <v>0</v>
      </c>
      <c r="AC25" s="170">
        <v>0</v>
      </c>
      <c r="AD25" s="170">
        <v>0</v>
      </c>
      <c r="AE25" s="170">
        <v>0</v>
      </c>
      <c r="AF25" s="170">
        <v>0</v>
      </c>
      <c r="AG25" s="170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9"/>
      <c r="E26" s="111"/>
      <c r="F26" s="111"/>
      <c r="G26" s="209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6"/>
      <c r="E27"/>
      <c r="G27" s="208" t="s">
        <v>40</v>
      </c>
      <c r="H27"/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69">
        <v>0</v>
      </c>
      <c r="Z27" s="169">
        <v>0</v>
      </c>
      <c r="AA27" s="169">
        <v>0</v>
      </c>
      <c r="AB27" s="169">
        <v>0</v>
      </c>
      <c r="AC27" s="169">
        <v>0</v>
      </c>
      <c r="AD27" s="169">
        <v>0</v>
      </c>
      <c r="AE27" s="169">
        <v>0</v>
      </c>
      <c r="AF27" s="169">
        <v>0</v>
      </c>
      <c r="AG27" s="169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6" t="s">
        <v>63</v>
      </c>
      <c r="E28" s="113">
        <f>Assumptions!H41*vcr_esc</f>
        <v>44906.183515166558</v>
      </c>
      <c r="F28" s="239" t="str">
        <f>IF(AND(SUM(I27:AG27)&lt;&gt;0, E28=0), "!", "")</f>
        <v/>
      </c>
      <c r="G28" s="208">
        <f>input_dollars</f>
        <v>45291</v>
      </c>
      <c r="H28"/>
      <c r="I28" s="298">
        <f>I27*$E$28</f>
        <v>0</v>
      </c>
      <c r="J28" s="298">
        <f t="shared" ref="J28:AG28" si="2">J27*$E$28</f>
        <v>0</v>
      </c>
      <c r="K28" s="298">
        <f t="shared" si="2"/>
        <v>0</v>
      </c>
      <c r="L28" s="298">
        <f t="shared" si="2"/>
        <v>0</v>
      </c>
      <c r="M28" s="298">
        <f t="shared" si="2"/>
        <v>0</v>
      </c>
      <c r="N28" s="298">
        <f t="shared" si="2"/>
        <v>0</v>
      </c>
      <c r="O28" s="298">
        <f t="shared" si="2"/>
        <v>0</v>
      </c>
      <c r="P28" s="298">
        <f t="shared" si="2"/>
        <v>0</v>
      </c>
      <c r="Q28" s="298">
        <f t="shared" si="2"/>
        <v>0</v>
      </c>
      <c r="R28" s="298">
        <f t="shared" si="2"/>
        <v>0</v>
      </c>
      <c r="S28" s="298">
        <f t="shared" si="2"/>
        <v>0</v>
      </c>
      <c r="T28" s="298">
        <f t="shared" si="2"/>
        <v>0</v>
      </c>
      <c r="U28" s="298">
        <f t="shared" si="2"/>
        <v>0</v>
      </c>
      <c r="V28" s="298">
        <f t="shared" si="2"/>
        <v>0</v>
      </c>
      <c r="W28" s="298">
        <f t="shared" si="2"/>
        <v>0</v>
      </c>
      <c r="X28" s="298">
        <f t="shared" si="2"/>
        <v>0</v>
      </c>
      <c r="Y28" s="298">
        <f t="shared" si="2"/>
        <v>0</v>
      </c>
      <c r="Z28" s="298">
        <f t="shared" si="2"/>
        <v>0</v>
      </c>
      <c r="AA28" s="298">
        <f t="shared" si="2"/>
        <v>0</v>
      </c>
      <c r="AB28" s="298">
        <f t="shared" si="2"/>
        <v>0</v>
      </c>
      <c r="AC28" s="298">
        <f t="shared" si="2"/>
        <v>0</v>
      </c>
      <c r="AD28" s="298">
        <f t="shared" si="2"/>
        <v>0</v>
      </c>
      <c r="AE28" s="298">
        <f t="shared" si="2"/>
        <v>0</v>
      </c>
      <c r="AF28" s="298">
        <f t="shared" si="2"/>
        <v>0</v>
      </c>
      <c r="AG28" s="298">
        <f t="shared" si="2"/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7"/>
      <c r="E29"/>
      <c r="G29" s="20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6" t="s">
        <v>210</v>
      </c>
      <c r="G30" s="208">
        <f>input_dollars</f>
        <v>45291</v>
      </c>
      <c r="H30" s="150"/>
      <c r="I30" s="171" cm="1">
        <f t="array" ref="I30">SUMPRODUCT((Assumptions!$H$74:$H$75)*(Assumptions!$G$74:$G$75)*(Assumptions!$I$74:$I$75)*(I$24:I$25))</f>
        <v>0</v>
      </c>
      <c r="J30" s="171" cm="1">
        <f t="array" ref="J30">SUMPRODUCT((Assumptions!$H$74:$H$75)*(Assumptions!$G$74:$G$75)*(Assumptions!$I$74:$I$75)*(J$24:J$25))</f>
        <v>0</v>
      </c>
      <c r="K30" s="171" cm="1">
        <f t="array" ref="K30">SUMPRODUCT((Assumptions!$H$74:$H$75)*(Assumptions!$G$74:$G$75)*(Assumptions!$I$74:$I$75)*(K$24:K$25))</f>
        <v>0</v>
      </c>
      <c r="L30" s="171" cm="1">
        <f t="array" ref="L30">SUMPRODUCT((Assumptions!$H$74:$H$75)*(Assumptions!$G$74:$G$75)*(Assumptions!$I$74:$I$75)*(L$24:L$25))</f>
        <v>0</v>
      </c>
      <c r="M30" s="171" cm="1">
        <f t="array" ref="M30">SUMPRODUCT((Assumptions!$H$74:$H$75)*(Assumptions!$G$74:$G$75)*(Assumptions!$I$74:$I$75)*(M$24:M$25))</f>
        <v>0</v>
      </c>
      <c r="N30" s="171" cm="1">
        <f t="array" ref="N30">SUMPRODUCT((Assumptions!$H$74:$H$75)*(Assumptions!$G$74:$G$75)*(Assumptions!$I$74:$I$75)*(N$24:N$25))</f>
        <v>0</v>
      </c>
      <c r="O30" s="171" cm="1">
        <f t="array" ref="O30">SUMPRODUCT((Assumptions!$H$74:$H$75)*(Assumptions!$G$74:$G$75)*(Assumptions!$I$74:$I$75)*(O$24:O$25))</f>
        <v>0</v>
      </c>
      <c r="P30" s="171" cm="1">
        <f t="array" ref="P30">SUMPRODUCT((Assumptions!$H$74:$H$75)*(Assumptions!$G$74:$G$75)*(Assumptions!$I$74:$I$75)*(P$24:P$25))</f>
        <v>0</v>
      </c>
      <c r="Q30" s="171" cm="1">
        <f t="array" ref="Q30">SUMPRODUCT((Assumptions!$H$74:$H$75)*(Assumptions!$G$74:$G$75)*(Assumptions!$I$74:$I$75)*(Q$24:Q$25))</f>
        <v>0</v>
      </c>
      <c r="R30" s="171" cm="1">
        <f t="array" ref="R30">SUMPRODUCT((Assumptions!$H$74:$H$75)*(Assumptions!$G$74:$G$75)*(Assumptions!$I$74:$I$75)*(R$24:R$25))</f>
        <v>0</v>
      </c>
      <c r="S30" s="171" cm="1">
        <f t="array" ref="S30">SUMPRODUCT((Assumptions!$H$74:$H$75)*(Assumptions!$G$74:$G$75)*(Assumptions!$I$74:$I$75)*(S$24:S$25))</f>
        <v>0</v>
      </c>
      <c r="T30" s="171" cm="1">
        <f t="array" ref="T30">SUMPRODUCT((Assumptions!$H$74:$H$75)*(Assumptions!$G$74:$G$75)*(Assumptions!$I$74:$I$75)*(T$24:T$25))</f>
        <v>0</v>
      </c>
      <c r="U30" s="171" cm="1">
        <f t="array" ref="U30">SUMPRODUCT((Assumptions!$H$74:$H$75)*(Assumptions!$G$74:$G$75)*(Assumptions!$I$74:$I$75)*(U$24:U$25))</f>
        <v>0</v>
      </c>
      <c r="V30" s="171" cm="1">
        <f t="array" ref="V30">SUMPRODUCT((Assumptions!$H$74:$H$75)*(Assumptions!$G$74:$G$75)*(Assumptions!$I$74:$I$75)*(V$24:V$25))</f>
        <v>0</v>
      </c>
      <c r="W30" s="171" cm="1">
        <f t="array" ref="W30">SUMPRODUCT((Assumptions!$H$74:$H$75)*(Assumptions!$G$74:$G$75)*(Assumptions!$I$74:$I$75)*(W$24:W$25))</f>
        <v>0</v>
      </c>
      <c r="X30" s="171" cm="1">
        <f t="array" ref="X30">SUMPRODUCT((Assumptions!$H$74:$H$75)*(Assumptions!$G$74:$G$75)*(Assumptions!$I$74:$I$75)*(X$24:X$25))</f>
        <v>0</v>
      </c>
      <c r="Y30" s="171" cm="1">
        <f t="array" ref="Y30">SUMPRODUCT((Assumptions!$H$74:$H$75)*(Assumptions!$G$74:$G$75)*(Assumptions!$I$74:$I$75)*(Y$24:Y$25))</f>
        <v>0</v>
      </c>
      <c r="Z30" s="171" cm="1">
        <f t="array" ref="Z30">SUMPRODUCT((Assumptions!$H$74:$H$75)*(Assumptions!$G$74:$G$75)*(Assumptions!$I$74:$I$75)*(Z$24:Z$25))</f>
        <v>0</v>
      </c>
      <c r="AA30" s="171" cm="1">
        <f t="array" ref="AA30">SUMPRODUCT((Assumptions!$H$74:$H$75)*(Assumptions!$G$74:$G$75)*(Assumptions!$I$74:$I$75)*(AA$24:AA$25))</f>
        <v>0</v>
      </c>
      <c r="AB30" s="171" cm="1">
        <f t="array" ref="AB30">SUMPRODUCT((Assumptions!$H$74:$H$75)*(Assumptions!$G$74:$G$75)*(Assumptions!$I$74:$I$75)*(AB$24:AB$25))</f>
        <v>0</v>
      </c>
      <c r="AC30" s="171" cm="1">
        <f t="array" ref="AC30">SUMPRODUCT((Assumptions!$H$74:$H$75)*(Assumptions!$G$74:$G$75)*(Assumptions!$I$74:$I$75)*(AC$24:AC$25))</f>
        <v>0</v>
      </c>
      <c r="AD30" s="171" cm="1">
        <f t="array" ref="AD30">SUMPRODUCT((Assumptions!$H$74:$H$75)*(Assumptions!$G$74:$G$75)*(Assumptions!$I$74:$I$75)*(AD$24:AD$25))</f>
        <v>0</v>
      </c>
      <c r="AE30" s="171" cm="1">
        <f t="array" ref="AE30">SUMPRODUCT((Assumptions!$H$74:$H$75)*(Assumptions!$G$74:$G$75)*(Assumptions!$I$74:$I$75)*(AE$24:AE$25))</f>
        <v>0</v>
      </c>
      <c r="AF30" s="171" cm="1">
        <f t="array" ref="AF30">SUMPRODUCT((Assumptions!$H$74:$H$75)*(Assumptions!$G$74:$G$75)*(Assumptions!$I$74:$I$75)*(AF$24:AF$25))</f>
        <v>0</v>
      </c>
      <c r="AG30" s="171" cm="1">
        <f t="array" ref="AG30">SUMPRODUCT((Assumptions!$H$74:$H$75)*(Assumptions!$G$74:$G$75)*(Assumptions!$I$74:$I$75)*(AG$24:AG$25))</f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7"/>
      <c r="E31"/>
      <c r="G31" s="208">
        <f>input_dollars</f>
        <v>45291</v>
      </c>
      <c r="H31" s="150"/>
      <c r="I31" s="171" cm="1">
        <f t="array" ref="I31">(1+Assumptions!$G$85)*SUMPRODUCT((Assumptions!$G$82:$G$83)*(I$24:I$25))</f>
        <v>0</v>
      </c>
      <c r="J31" s="171" cm="1">
        <f t="array" ref="J31">(1+Assumptions!$G$85)*SUMPRODUCT((Assumptions!$G$82:$G$83)*(J$24:J$25))</f>
        <v>0</v>
      </c>
      <c r="K31" s="171" cm="1">
        <f t="array" ref="K31">(1+Assumptions!$G$85)*SUMPRODUCT((Assumptions!$G$82:$G$83)*(K$24:K$25))</f>
        <v>0</v>
      </c>
      <c r="L31" s="171" cm="1">
        <f t="array" ref="L31">(1+Assumptions!$G$85)*SUMPRODUCT((Assumptions!$G$82:$G$83)*(L$24:L$25))</f>
        <v>0</v>
      </c>
      <c r="M31" s="171" cm="1">
        <f t="array" ref="M31">(1+Assumptions!$G$85)*SUMPRODUCT((Assumptions!$G$82:$G$83)*(M$24:M$25))</f>
        <v>0</v>
      </c>
      <c r="N31" s="171" cm="1">
        <f t="array" ref="N31">(1+Assumptions!$G$85)*SUMPRODUCT((Assumptions!$G$82:$G$83)*(N$24:N$25))</f>
        <v>0</v>
      </c>
      <c r="O31" s="171" cm="1">
        <f t="array" ref="O31">(1+Assumptions!$G$85)*SUMPRODUCT((Assumptions!$G$82:$G$83)*(O$24:O$25))</f>
        <v>0</v>
      </c>
      <c r="P31" s="171" cm="1">
        <f t="array" ref="P31">(1+Assumptions!$G$85)*SUMPRODUCT((Assumptions!$G$82:$G$83)*(P$24:P$25))</f>
        <v>0</v>
      </c>
      <c r="Q31" s="171" cm="1">
        <f t="array" ref="Q31">(1+Assumptions!$G$85)*SUMPRODUCT((Assumptions!$G$82:$G$83)*(Q$24:Q$25))</f>
        <v>0</v>
      </c>
      <c r="R31" s="171" cm="1">
        <f t="array" ref="R31">(1+Assumptions!$G$85)*SUMPRODUCT((Assumptions!$G$82:$G$83)*(R$24:R$25))</f>
        <v>0</v>
      </c>
      <c r="S31" s="171" cm="1">
        <f t="array" ref="S31">(1+Assumptions!$G$85)*SUMPRODUCT((Assumptions!$G$82:$G$83)*(S$24:S$25))</f>
        <v>0</v>
      </c>
      <c r="T31" s="171" cm="1">
        <f t="array" ref="T31">(1+Assumptions!$G$85)*SUMPRODUCT((Assumptions!$G$82:$G$83)*(T$24:T$25))</f>
        <v>0</v>
      </c>
      <c r="U31" s="171" cm="1">
        <f t="array" ref="U31">(1+Assumptions!$G$85)*SUMPRODUCT((Assumptions!$G$82:$G$83)*(U$24:U$25))</f>
        <v>0</v>
      </c>
      <c r="V31" s="171" cm="1">
        <f t="array" ref="V31">(1+Assumptions!$G$85)*SUMPRODUCT((Assumptions!$G$82:$G$83)*(V$24:V$25))</f>
        <v>0</v>
      </c>
      <c r="W31" s="171" cm="1">
        <f t="array" ref="W31">(1+Assumptions!$G$85)*SUMPRODUCT((Assumptions!$G$82:$G$83)*(W$24:W$25))</f>
        <v>0</v>
      </c>
      <c r="X31" s="171" cm="1">
        <f t="array" ref="X31">(1+Assumptions!$G$85)*SUMPRODUCT((Assumptions!$G$82:$G$83)*(X$24:X$25))</f>
        <v>0</v>
      </c>
      <c r="Y31" s="171" cm="1">
        <f t="array" ref="Y31">(1+Assumptions!$G$85)*SUMPRODUCT((Assumptions!$G$82:$G$83)*(Y$24:Y$25))</f>
        <v>0</v>
      </c>
      <c r="Z31" s="171" cm="1">
        <f t="array" ref="Z31">(1+Assumptions!$G$85)*SUMPRODUCT((Assumptions!$G$82:$G$83)*(Z$24:Z$25))</f>
        <v>0</v>
      </c>
      <c r="AA31" s="171" cm="1">
        <f t="array" ref="AA31">(1+Assumptions!$G$85)*SUMPRODUCT((Assumptions!$G$82:$G$83)*(AA$24:AA$25))</f>
        <v>0</v>
      </c>
      <c r="AB31" s="171" cm="1">
        <f t="array" ref="AB31">(1+Assumptions!$G$85)*SUMPRODUCT((Assumptions!$G$82:$G$83)*(AB$24:AB$25))</f>
        <v>0</v>
      </c>
      <c r="AC31" s="171" cm="1">
        <f t="array" ref="AC31">(1+Assumptions!$G$85)*SUMPRODUCT((Assumptions!$G$82:$G$83)*(AC$24:AC$25))</f>
        <v>0</v>
      </c>
      <c r="AD31" s="171" cm="1">
        <f t="array" ref="AD31">(1+Assumptions!$G$85)*SUMPRODUCT((Assumptions!$G$82:$G$83)*(AD$24:AD$25))</f>
        <v>0</v>
      </c>
      <c r="AE31" s="171" cm="1">
        <f t="array" ref="AE31">(1+Assumptions!$G$85)*SUMPRODUCT((Assumptions!$G$82:$G$83)*(AE$24:AE$25))</f>
        <v>0</v>
      </c>
      <c r="AF31" s="171" cm="1">
        <f t="array" ref="AF31">(1+Assumptions!$G$85)*SUMPRODUCT((Assumptions!$G$82:$G$83)*(AF$24:AF$25))</f>
        <v>0</v>
      </c>
      <c r="AG31" s="171" cm="1">
        <f t="array" ref="AG31">(1+Assumptions!$G$85)*SUMPRODUCT((Assumptions!$G$82:$G$83)*(AG$24:AG$25))</f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6" t="s">
        <v>210</v>
      </c>
      <c r="E32"/>
      <c r="G32" s="208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137">
        <v>0</v>
      </c>
      <c r="S32" s="137">
        <v>0</v>
      </c>
      <c r="T32" s="137">
        <v>0</v>
      </c>
      <c r="U32" s="137">
        <v>0</v>
      </c>
      <c r="V32" s="137">
        <v>0</v>
      </c>
      <c r="W32" s="137">
        <v>0</v>
      </c>
      <c r="X32" s="137">
        <v>0</v>
      </c>
      <c r="Y32" s="137">
        <v>0</v>
      </c>
      <c r="Z32" s="137">
        <v>0</v>
      </c>
      <c r="AA32" s="137">
        <v>0</v>
      </c>
      <c r="AB32" s="137">
        <v>0</v>
      </c>
      <c r="AC32" s="137">
        <v>0</v>
      </c>
      <c r="AD32" s="137">
        <v>0</v>
      </c>
      <c r="AE32" s="137">
        <v>0</v>
      </c>
      <c r="AF32" s="137">
        <v>0</v>
      </c>
      <c r="AG32" s="137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5" t="s">
        <v>177</v>
      </c>
      <c r="D33" s="220"/>
      <c r="E33"/>
      <c r="G33" s="208">
        <f>input_dollars</f>
        <v>45291</v>
      </c>
      <c r="H33"/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137">
        <v>0</v>
      </c>
      <c r="S33" s="137">
        <v>0</v>
      </c>
      <c r="T33" s="137">
        <v>0</v>
      </c>
      <c r="U33" s="137">
        <v>0</v>
      </c>
      <c r="V33" s="137">
        <v>0</v>
      </c>
      <c r="W33" s="137">
        <v>0</v>
      </c>
      <c r="X33" s="137">
        <v>0</v>
      </c>
      <c r="Y33" s="137">
        <v>0</v>
      </c>
      <c r="Z33" s="137">
        <v>0</v>
      </c>
      <c r="AA33" s="137">
        <v>0</v>
      </c>
      <c r="AB33" s="137">
        <v>0</v>
      </c>
      <c r="AC33" s="137">
        <v>0</v>
      </c>
      <c r="AD33" s="137">
        <v>0</v>
      </c>
      <c r="AE33" s="137">
        <v>0</v>
      </c>
      <c r="AF33" s="137">
        <v>0</v>
      </c>
      <c r="AG33" s="137"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5" t="s">
        <v>177</v>
      </c>
      <c r="D34" s="207"/>
      <c r="E34"/>
      <c r="G34" s="208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7"/>
      <c r="E35"/>
      <c r="G35" s="20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176</v>
      </c>
      <c r="D36" s="219"/>
      <c r="E36" s="107"/>
      <c r="F36" s="3"/>
      <c r="G36" s="210"/>
      <c r="H36" s="107"/>
      <c r="I36" s="171">
        <f>SUM(I28:I34)</f>
        <v>0</v>
      </c>
      <c r="J36" s="171">
        <f t="shared" ref="J36:AG36" si="3">SUM(J28:J34)</f>
        <v>0</v>
      </c>
      <c r="K36" s="171">
        <f t="shared" si="3"/>
        <v>0</v>
      </c>
      <c r="L36" s="171">
        <f t="shared" si="3"/>
        <v>0</v>
      </c>
      <c r="M36" s="171">
        <f t="shared" si="3"/>
        <v>0</v>
      </c>
      <c r="N36" s="171">
        <f t="shared" si="3"/>
        <v>0</v>
      </c>
      <c r="O36" s="171">
        <f t="shared" si="3"/>
        <v>0</v>
      </c>
      <c r="P36" s="171">
        <f t="shared" si="3"/>
        <v>0</v>
      </c>
      <c r="Q36" s="171">
        <f t="shared" si="3"/>
        <v>0</v>
      </c>
      <c r="R36" s="171">
        <f t="shared" si="3"/>
        <v>0</v>
      </c>
      <c r="S36" s="171">
        <f t="shared" si="3"/>
        <v>0</v>
      </c>
      <c r="T36" s="171">
        <f t="shared" si="3"/>
        <v>0</v>
      </c>
      <c r="U36" s="171">
        <f t="shared" si="3"/>
        <v>0</v>
      </c>
      <c r="V36" s="171">
        <f t="shared" si="3"/>
        <v>0</v>
      </c>
      <c r="W36" s="171">
        <f t="shared" si="3"/>
        <v>0</v>
      </c>
      <c r="X36" s="171">
        <f t="shared" si="3"/>
        <v>0</v>
      </c>
      <c r="Y36" s="171">
        <f t="shared" si="3"/>
        <v>0</v>
      </c>
      <c r="Z36" s="171">
        <f t="shared" si="3"/>
        <v>0</v>
      </c>
      <c r="AA36" s="171">
        <f t="shared" si="3"/>
        <v>0</v>
      </c>
      <c r="AB36" s="171">
        <f t="shared" si="3"/>
        <v>0</v>
      </c>
      <c r="AC36" s="171">
        <f t="shared" si="3"/>
        <v>0</v>
      </c>
      <c r="AD36" s="171">
        <f t="shared" si="3"/>
        <v>0</v>
      </c>
      <c r="AE36" s="171">
        <f t="shared" si="3"/>
        <v>0</v>
      </c>
      <c r="AF36" s="171">
        <f t="shared" si="3"/>
        <v>0</v>
      </c>
      <c r="AG36" s="171">
        <f t="shared" si="3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8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5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8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8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6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  <c r="AH41"/>
      <c r="AI41"/>
      <c r="AJ41"/>
      <c r="AK41"/>
    </row>
    <row r="42" spans="1:16372" ht="13.5" x14ac:dyDescent="0.25">
      <c r="C42" s="1" t="s">
        <v>129</v>
      </c>
      <c r="G42" s="206" t="s">
        <v>104</v>
      </c>
      <c r="I42" s="85">
        <f t="shared" ref="I42:AG42" si="4">I41*I7</f>
        <v>0</v>
      </c>
      <c r="J42" s="85">
        <f t="shared" si="4"/>
        <v>0</v>
      </c>
      <c r="K42" s="85">
        <f t="shared" si="4"/>
        <v>0</v>
      </c>
      <c r="L42" s="85">
        <f t="shared" si="4"/>
        <v>0</v>
      </c>
      <c r="M42" s="85">
        <f t="shared" si="4"/>
        <v>0</v>
      </c>
      <c r="N42" s="85">
        <f t="shared" si="4"/>
        <v>0</v>
      </c>
      <c r="O42" s="85">
        <f t="shared" si="4"/>
        <v>0</v>
      </c>
      <c r="P42" s="85">
        <f t="shared" si="4"/>
        <v>0</v>
      </c>
      <c r="Q42" s="85">
        <f t="shared" si="4"/>
        <v>0</v>
      </c>
      <c r="R42" s="85">
        <f t="shared" si="4"/>
        <v>0</v>
      </c>
      <c r="S42" s="85">
        <f t="shared" si="4"/>
        <v>0</v>
      </c>
      <c r="T42" s="85">
        <f t="shared" si="4"/>
        <v>0</v>
      </c>
      <c r="U42" s="85">
        <f t="shared" si="4"/>
        <v>0</v>
      </c>
      <c r="V42" s="85">
        <f t="shared" si="4"/>
        <v>0</v>
      </c>
      <c r="W42" s="85">
        <f t="shared" si="4"/>
        <v>0</v>
      </c>
      <c r="X42" s="85">
        <f t="shared" si="4"/>
        <v>0</v>
      </c>
      <c r="Y42" s="85">
        <f t="shared" si="4"/>
        <v>0</v>
      </c>
      <c r="Z42" s="85">
        <f t="shared" si="4"/>
        <v>0</v>
      </c>
      <c r="AA42" s="85">
        <f t="shared" si="4"/>
        <v>0</v>
      </c>
      <c r="AB42" s="85">
        <f t="shared" si="4"/>
        <v>0</v>
      </c>
      <c r="AC42" s="85">
        <f t="shared" si="4"/>
        <v>0</v>
      </c>
      <c r="AD42" s="85">
        <f t="shared" si="4"/>
        <v>0</v>
      </c>
      <c r="AE42" s="85">
        <f t="shared" si="4"/>
        <v>0</v>
      </c>
      <c r="AF42" s="85">
        <f t="shared" si="4"/>
        <v>0</v>
      </c>
      <c r="AG42" s="85">
        <f t="shared" si="4"/>
        <v>0</v>
      </c>
      <c r="AH42"/>
      <c r="AI42"/>
      <c r="AJ42"/>
      <c r="AK42"/>
    </row>
    <row r="43" spans="1:16372" x14ac:dyDescent="0.2">
      <c r="D43"/>
      <c r="E43"/>
      <c r="G43" s="208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7"/>
      <c r="E44"/>
      <c r="G44" s="208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tr">
        <f>'Option1 (base case)'!C45</f>
        <v>Incremental reliability in worst-served areas &gt; 500 mins</v>
      </c>
      <c r="D45" s="206" t="str">
        <f>'Option1 (base case)'!D45</f>
        <v>$/MWh</v>
      </c>
      <c r="E45" s="113">
        <f>'Option1 (base case)'!E45</f>
        <v>22593.816484833442</v>
      </c>
      <c r="G45" s="208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tr">
        <f>'Option1 (base case)'!C46</f>
        <v>Incremental network resilience (domestic)</v>
      </c>
      <c r="D46" s="206" t="str">
        <f>'Option1 (base case)'!D46</f>
        <v>$/MWh</v>
      </c>
      <c r="E46" s="113">
        <f>'Option1 (base case)'!E46</f>
        <v>25520</v>
      </c>
      <c r="G46" s="208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tr">
        <f>'Option1 (base case)'!C47</f>
        <v>Incremental network resilience (commercial)</v>
      </c>
      <c r="D47" s="206" t="str">
        <f>'Option1 (base case)'!D47</f>
        <v>$/MWh</v>
      </c>
      <c r="E47" s="113">
        <f>'Option1 (base case)'!E47</f>
        <v>52200</v>
      </c>
      <c r="G47" s="208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tr">
        <f>'Option1 (base case)'!C48</f>
        <v>Incremental network resilience (industrial)</v>
      </c>
      <c r="D48" s="206" t="str">
        <f>'Option1 (base case)'!D48</f>
        <v>$/customer</v>
      </c>
      <c r="E48" s="113">
        <f>'Option1 (base case)'!E48</f>
        <v>74790</v>
      </c>
      <c r="G48" s="208" t="s">
        <v>40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tr">
        <f>'Option1 (base case)'!C49</f>
        <v>Incremental network resilience (agricultural)</v>
      </c>
      <c r="D49" s="206" t="str">
        <f>'Option1 (base case)'!D49</f>
        <v>$/customer min</v>
      </c>
      <c r="E49" s="113">
        <f>'Option1 (base case)'!E49</f>
        <v>44400</v>
      </c>
      <c r="G49" s="208" t="s">
        <v>40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tr">
        <f>'Option1 (base case)'!C50</f>
        <v>Incremental network resilience (others)</v>
      </c>
      <c r="D50" s="206" t="str">
        <f>'Option1 (base case)'!D50</f>
        <v>$/customer min</v>
      </c>
      <c r="E50" s="113">
        <f>'Option1 (base case)'!E50</f>
        <v>52200</v>
      </c>
      <c r="G50" s="208" t="s">
        <v>40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D51" s="206"/>
      <c r="E51" s="112"/>
      <c r="G51" s="208"/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D52" s="206"/>
      <c r="E52" s="112"/>
      <c r="G52" s="208"/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6"/>
      <c r="G53" s="208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6"/>
      <c r="G54" s="208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6"/>
      <c r="G55" s="208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6"/>
      <c r="G56" s="206"/>
    </row>
    <row r="57" spans="1:43" x14ac:dyDescent="0.2">
      <c r="C57" s="3" t="s">
        <v>125</v>
      </c>
      <c r="D57" s="219"/>
      <c r="E57" s="107"/>
      <c r="F57" s="3"/>
      <c r="G57" s="211">
        <f>input_dollars</f>
        <v>45291</v>
      </c>
      <c r="H57" s="107"/>
      <c r="I57" s="171" cm="1">
        <f t="array" ref="I57">SUMPRODUCT((I$45:I$52)*($E$45:$E$52))+SUM(I54:I55)+I42</f>
        <v>0</v>
      </c>
      <c r="J57" s="171" cm="1">
        <f t="array" ref="J57">SUMPRODUCT((J$45:J$52)*($E$45:$E$52))+SUM(J54:J55)+J42</f>
        <v>0</v>
      </c>
      <c r="K57" s="171" cm="1">
        <f t="array" ref="K57">SUMPRODUCT((K$45:K$52)*($E$45:$E$52))+SUM(K54:K55)+K42</f>
        <v>0</v>
      </c>
      <c r="L57" s="171" cm="1">
        <f t="array" ref="L57">SUMPRODUCT((L$45:L$52)*($E$45:$E$52))+SUM(L54:L55)+L42</f>
        <v>0</v>
      </c>
      <c r="M57" s="171" cm="1">
        <f t="array" ref="M57">SUMPRODUCT((M$45:M$52)*($E$45:$E$52))+SUM(M54:M55)+M42</f>
        <v>0</v>
      </c>
      <c r="N57" s="171" cm="1">
        <f t="array" ref="N57">SUMPRODUCT((N$45:N$52)*($E$45:$E$52))+SUM(N54:N55)+N42</f>
        <v>0</v>
      </c>
      <c r="O57" s="171" cm="1">
        <f t="array" ref="O57">SUMPRODUCT((O$45:O$52)*($E$45:$E$52))+SUM(O54:O55)+O42</f>
        <v>0</v>
      </c>
      <c r="P57" s="171" cm="1">
        <f t="array" ref="P57">SUMPRODUCT((P$45:P$52)*($E$45:$E$52))+SUM(P54:P55)+P42</f>
        <v>0</v>
      </c>
      <c r="Q57" s="171" cm="1">
        <f t="array" ref="Q57">SUMPRODUCT((Q$45:Q$52)*($E$45:$E$52))+SUM(Q54:Q55)+Q42</f>
        <v>0</v>
      </c>
      <c r="R57" s="171" cm="1">
        <f t="array" ref="R57">SUMPRODUCT((R$45:R$52)*($E$45:$E$52))+SUM(R54:R55)+R42</f>
        <v>0</v>
      </c>
      <c r="S57" s="171" cm="1">
        <f t="array" ref="S57">SUMPRODUCT((S$45:S$52)*($E$45:$E$52))+SUM(S54:S55)+S42</f>
        <v>0</v>
      </c>
      <c r="T57" s="171" cm="1">
        <f t="array" ref="T57">SUMPRODUCT((T$45:T$52)*($E$45:$E$52))+SUM(T54:T55)+T42</f>
        <v>0</v>
      </c>
      <c r="U57" s="171" cm="1">
        <f t="array" ref="U57">SUMPRODUCT((U$45:U$52)*($E$45:$E$52))+SUM(U54:U55)+U42</f>
        <v>0</v>
      </c>
      <c r="V57" s="171" cm="1">
        <f t="array" ref="V57">SUMPRODUCT((V$45:V$52)*($E$45:$E$52))+SUM(V54:V55)+V42</f>
        <v>0</v>
      </c>
      <c r="W57" s="171" cm="1">
        <f t="array" ref="W57">SUMPRODUCT((W$45:W$52)*($E$45:$E$52))+SUM(W54:W55)+W42</f>
        <v>0</v>
      </c>
      <c r="X57" s="171" cm="1">
        <f t="array" ref="X57">SUMPRODUCT((X$45:X$52)*($E$45:$E$52))+SUM(X54:X55)+X42</f>
        <v>0</v>
      </c>
      <c r="Y57" s="171" cm="1">
        <f t="array" ref="Y57">SUMPRODUCT((Y$45:Y$52)*($E$45:$E$52))+SUM(Y54:Y55)+Y42</f>
        <v>0</v>
      </c>
      <c r="Z57" s="171" cm="1">
        <f t="array" ref="Z57">SUMPRODUCT((Z$45:Z$52)*($E$45:$E$52))+SUM(Z54:Z55)+Z42</f>
        <v>0</v>
      </c>
      <c r="AA57" s="171" cm="1">
        <f t="array" ref="AA57">SUMPRODUCT((AA$45:AA$52)*($E$45:$E$52))+SUM(AA54:AA55)+AA42</f>
        <v>0</v>
      </c>
      <c r="AB57" s="171" cm="1">
        <f t="array" ref="AB57">SUMPRODUCT((AB$45:AB$52)*($E$45:$E$52))+SUM(AB54:AB55)+AB42</f>
        <v>0</v>
      </c>
      <c r="AC57" s="171" cm="1">
        <f t="array" ref="AC57">SUMPRODUCT((AC$45:AC$52)*($E$45:$E$52))+SUM(AC54:AC55)+AC42</f>
        <v>0</v>
      </c>
      <c r="AD57" s="171" cm="1">
        <f t="array" ref="AD57">SUMPRODUCT((AD$45:AD$52)*($E$45:$E$52))+SUM(AD54:AD55)+AD42</f>
        <v>0</v>
      </c>
      <c r="AE57" s="171" cm="1">
        <f t="array" ref="AE57">SUMPRODUCT((AE$45:AE$52)*($E$45:$E$52))+SUM(AE54:AE55)+AE42</f>
        <v>0</v>
      </c>
      <c r="AF57" s="171" cm="1">
        <f t="array" ref="AF57">SUMPRODUCT((AF$45:AF$52)*($E$45:$E$52))+SUM(AF54:AF55)+AF42</f>
        <v>0</v>
      </c>
      <c r="AG57" s="171" cm="1">
        <f t="array" ref="AG57">SUMPRODUCT((AG$45:AG$52)*($E$45:$E$52))+SUM(AG54:AG55)+AG42</f>
        <v>0</v>
      </c>
    </row>
    <row r="58" spans="1:43" x14ac:dyDescent="0.2">
      <c r="D58" s="206"/>
      <c r="G58" s="206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6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5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9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2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F63" s="2"/>
      <c r="G63" s="213"/>
    </row>
    <row r="64" spans="1:43" x14ac:dyDescent="0.2">
      <c r="C64" s="4" t="str">
        <f>'Option1 (base case)'!C64</f>
        <v>Risks mitigated vs base case</v>
      </c>
      <c r="G64" s="211">
        <f>input_dollars</f>
        <v>45291</v>
      </c>
      <c r="I64" s="133">
        <f>(1-INDEX(Data!$C$9:$C$13, MATCH($A$3, options,0)))*('Option1 (base case)'!I36-I36)</f>
        <v>0</v>
      </c>
      <c r="J64" s="133">
        <f>(1-INDEX(Data!$C$9:$C$13, MATCH($A$3, options,0)))*('Option1 (base case)'!J36-J36)</f>
        <v>0</v>
      </c>
      <c r="K64" s="133">
        <f>(1-INDEX(Data!$C$9:$C$13, MATCH($A$3, options,0)))*('Option1 (base case)'!K36-K36)</f>
        <v>0</v>
      </c>
      <c r="L64" s="133">
        <f>(1-INDEX(Data!$C$9:$C$13, MATCH($A$3, options,0)))*('Option1 (base case)'!L36-L36)</f>
        <v>0</v>
      </c>
      <c r="M64" s="133">
        <f>(1-INDEX(Data!$C$9:$C$13, MATCH($A$3, options,0)))*('Option1 (base case)'!M36-M36)</f>
        <v>0</v>
      </c>
      <c r="N64" s="133">
        <f>(1-INDEX(Data!$C$9:$C$13, MATCH($A$3, options,0)))*('Option1 (base case)'!N36-N36)</f>
        <v>0</v>
      </c>
      <c r="O64" s="133">
        <f>(1-INDEX(Data!$C$9:$C$13, MATCH($A$3, options,0)))*('Option1 (base case)'!O36-O36)</f>
        <v>0</v>
      </c>
      <c r="P64" s="133">
        <f>(1-INDEX(Data!$C$9:$C$13, MATCH($A$3, options,0)))*('Option1 (base case)'!P36-P36)</f>
        <v>0</v>
      </c>
      <c r="Q64" s="133">
        <f>(1-INDEX(Data!$C$9:$C$13, MATCH($A$3, options,0)))*('Option1 (base case)'!Q36-Q36)</f>
        <v>0</v>
      </c>
      <c r="R64" s="133">
        <f>(1-INDEX(Data!$C$9:$C$13, MATCH($A$3, options,0)))*('Option1 (base case)'!R36-R36)</f>
        <v>0</v>
      </c>
      <c r="S64" s="133">
        <f>(1-INDEX(Data!$C$9:$C$13, MATCH($A$3, options,0)))*('Option1 (base case)'!S36-S36)</f>
        <v>0</v>
      </c>
      <c r="T64" s="133">
        <f>(1-INDEX(Data!$C$9:$C$13, MATCH($A$3, options,0)))*('Option1 (base case)'!T36-T36)</f>
        <v>0</v>
      </c>
      <c r="U64" s="133">
        <f>(1-INDEX(Data!$C$9:$C$13, MATCH($A$3, options,0)))*('Option1 (base case)'!U36-U36)</f>
        <v>0</v>
      </c>
      <c r="V64" s="133">
        <f>(1-INDEX(Data!$C$9:$C$13, MATCH($A$3, options,0)))*('Option1 (base case)'!V36-V36)</f>
        <v>0</v>
      </c>
      <c r="W64" s="133">
        <f>(1-INDEX(Data!$C$9:$C$13, MATCH($A$3, options,0)))*('Option1 (base case)'!W36-W36)</f>
        <v>0</v>
      </c>
      <c r="X64" s="133">
        <f>(1-INDEX(Data!$C$9:$C$13, MATCH($A$3, options,0)))*('Option1 (base case)'!X36-X36)</f>
        <v>0</v>
      </c>
      <c r="Y64" s="133">
        <f>(1-INDEX(Data!$C$9:$C$13, MATCH($A$3, options,0)))*('Option1 (base case)'!Y36-Y36)</f>
        <v>0</v>
      </c>
      <c r="Z64" s="133">
        <f>(1-INDEX(Data!$C$9:$C$13, MATCH($A$3, options,0)))*('Option1 (base case)'!Z36-Z36)</f>
        <v>0</v>
      </c>
      <c r="AA64" s="133">
        <f>(1-INDEX(Data!$C$9:$C$13, MATCH($A$3, options,0)))*('Option1 (base case)'!AA36-AA36)</f>
        <v>0</v>
      </c>
      <c r="AB64" s="133">
        <f>(1-INDEX(Data!$C$9:$C$13, MATCH($A$3, options,0)))*('Option1 (base case)'!AB36-AB36)</f>
        <v>0</v>
      </c>
      <c r="AC64" s="133">
        <f>(1-INDEX(Data!$C$9:$C$13, MATCH($A$3, options,0)))*('Option1 (base case)'!AC36-AC36)</f>
        <v>0</v>
      </c>
      <c r="AD64" s="133">
        <f>(1-INDEX(Data!$C$9:$C$13, MATCH($A$3, options,0)))*('Option1 (base case)'!AD36-AD36)</f>
        <v>0</v>
      </c>
      <c r="AE64" s="133">
        <f>(1-INDEX(Data!$C$9:$C$13, MATCH($A$3, options,0)))*('Option1 (base case)'!AE36-AE36)</f>
        <v>0</v>
      </c>
      <c r="AF64" s="133">
        <f>(1-INDEX(Data!$C$9:$C$13, MATCH($A$3, options,0)))*('Option1 (base case)'!AF36-AF36)</f>
        <v>0</v>
      </c>
      <c r="AG64" s="133">
        <f>(1-INDEX(Data!$C$9:$C$13, MATCH($A$3, options,0)))*('Option1 (base case)'!AG36-AG36)</f>
        <v>0</v>
      </c>
    </row>
    <row r="65" spans="1:33" x14ac:dyDescent="0.2">
      <c r="G65" s="213"/>
    </row>
    <row r="66" spans="1:33" x14ac:dyDescent="0.2">
      <c r="A66" s="8"/>
      <c r="B66" s="8"/>
      <c r="C66" s="148" t="s">
        <v>30</v>
      </c>
      <c r="D66" s="38"/>
      <c r="F66" s="97"/>
      <c r="G66" s="214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&lt; Enter description &gt;</v>
      </c>
      <c r="D67" s="38"/>
      <c r="F67" s="97"/>
      <c r="G67" s="211">
        <f>input_dollars</f>
        <v>45291</v>
      </c>
      <c r="H67" s="31"/>
      <c r="I67" s="119">
        <f t="shared" ref="I67:AG67" si="5">-I14</f>
        <v>0</v>
      </c>
      <c r="J67" s="119">
        <f t="shared" si="5"/>
        <v>0</v>
      </c>
      <c r="K67" s="119">
        <f t="shared" si="5"/>
        <v>0</v>
      </c>
      <c r="L67" s="119">
        <f t="shared" si="5"/>
        <v>0</v>
      </c>
      <c r="M67" s="119">
        <f t="shared" si="5"/>
        <v>0</v>
      </c>
      <c r="N67" s="119">
        <f t="shared" si="5"/>
        <v>0</v>
      </c>
      <c r="O67" s="119">
        <f t="shared" si="5"/>
        <v>0</v>
      </c>
      <c r="P67" s="119">
        <f t="shared" si="5"/>
        <v>0</v>
      </c>
      <c r="Q67" s="119">
        <f t="shared" si="5"/>
        <v>0</v>
      </c>
      <c r="R67" s="119">
        <f t="shared" si="5"/>
        <v>0</v>
      </c>
      <c r="S67" s="119">
        <f t="shared" si="5"/>
        <v>0</v>
      </c>
      <c r="T67" s="119">
        <f t="shared" si="5"/>
        <v>0</v>
      </c>
      <c r="U67" s="119">
        <f t="shared" si="5"/>
        <v>0</v>
      </c>
      <c r="V67" s="119">
        <f t="shared" si="5"/>
        <v>0</v>
      </c>
      <c r="W67" s="119">
        <f t="shared" si="5"/>
        <v>0</v>
      </c>
      <c r="X67" s="119">
        <f t="shared" si="5"/>
        <v>0</v>
      </c>
      <c r="Y67" s="119">
        <f t="shared" si="5"/>
        <v>0</v>
      </c>
      <c r="Z67" s="119">
        <f t="shared" si="5"/>
        <v>0</v>
      </c>
      <c r="AA67" s="119">
        <f t="shared" si="5"/>
        <v>0</v>
      </c>
      <c r="AB67" s="119">
        <f t="shared" si="5"/>
        <v>0</v>
      </c>
      <c r="AC67" s="119">
        <f t="shared" si="5"/>
        <v>0</v>
      </c>
      <c r="AD67" s="119">
        <f t="shared" si="5"/>
        <v>0</v>
      </c>
      <c r="AE67" s="119">
        <f t="shared" si="5"/>
        <v>0</v>
      </c>
      <c r="AF67" s="119">
        <f t="shared" si="5"/>
        <v>0</v>
      </c>
      <c r="AG67" s="119">
        <f t="shared" si="5"/>
        <v>0</v>
      </c>
    </row>
    <row r="68" spans="1:33" x14ac:dyDescent="0.2">
      <c r="A68" s="8"/>
      <c r="B68" s="8"/>
      <c r="C68" s="4" t="str">
        <f>C15</f>
        <v>&lt; Enter description &gt;</v>
      </c>
      <c r="D68" s="38"/>
      <c r="F68" s="97"/>
      <c r="G68" s="211">
        <f>input_dollars</f>
        <v>45291</v>
      </c>
      <c r="H68" s="31"/>
      <c r="I68" s="119">
        <f t="shared" ref="I68:AG68" si="6">-I15</f>
        <v>0</v>
      </c>
      <c r="J68" s="119">
        <f t="shared" si="6"/>
        <v>0</v>
      </c>
      <c r="K68" s="119">
        <f t="shared" si="6"/>
        <v>0</v>
      </c>
      <c r="L68" s="119">
        <f t="shared" si="6"/>
        <v>0</v>
      </c>
      <c r="M68" s="119">
        <f t="shared" si="6"/>
        <v>0</v>
      </c>
      <c r="N68" s="119">
        <f t="shared" si="6"/>
        <v>0</v>
      </c>
      <c r="O68" s="119">
        <f t="shared" si="6"/>
        <v>0</v>
      </c>
      <c r="P68" s="119">
        <f t="shared" si="6"/>
        <v>0</v>
      </c>
      <c r="Q68" s="119">
        <f t="shared" si="6"/>
        <v>0</v>
      </c>
      <c r="R68" s="119">
        <f t="shared" si="6"/>
        <v>0</v>
      </c>
      <c r="S68" s="119">
        <f t="shared" si="6"/>
        <v>0</v>
      </c>
      <c r="T68" s="119">
        <f t="shared" si="6"/>
        <v>0</v>
      </c>
      <c r="U68" s="119">
        <f t="shared" si="6"/>
        <v>0</v>
      </c>
      <c r="V68" s="119">
        <f t="shared" si="6"/>
        <v>0</v>
      </c>
      <c r="W68" s="119">
        <f t="shared" si="6"/>
        <v>0</v>
      </c>
      <c r="X68" s="119">
        <f t="shared" si="6"/>
        <v>0</v>
      </c>
      <c r="Y68" s="119">
        <f t="shared" si="6"/>
        <v>0</v>
      </c>
      <c r="Z68" s="119">
        <f t="shared" si="6"/>
        <v>0</v>
      </c>
      <c r="AA68" s="119">
        <f t="shared" si="6"/>
        <v>0</v>
      </c>
      <c r="AB68" s="119">
        <f t="shared" si="6"/>
        <v>0</v>
      </c>
      <c r="AC68" s="119">
        <f t="shared" si="6"/>
        <v>0</v>
      </c>
      <c r="AD68" s="119">
        <f t="shared" si="6"/>
        <v>0</v>
      </c>
      <c r="AE68" s="119">
        <f t="shared" si="6"/>
        <v>0</v>
      </c>
      <c r="AF68" s="119">
        <f t="shared" si="6"/>
        <v>0</v>
      </c>
      <c r="AG68" s="119">
        <f t="shared" si="6"/>
        <v>0</v>
      </c>
    </row>
    <row r="69" spans="1:33" x14ac:dyDescent="0.2">
      <c r="A69" s="8"/>
      <c r="B69" s="8"/>
      <c r="C69" s="4" t="str">
        <f>C16</f>
        <v>&lt; Enter description &gt;</v>
      </c>
      <c r="D69" s="38"/>
      <c r="F69" s="97"/>
      <c r="G69" s="211">
        <f>input_dollars</f>
        <v>45291</v>
      </c>
      <c r="H69" s="31"/>
      <c r="I69" s="119">
        <f t="shared" ref="I69:AG69" si="7">-I16</f>
        <v>0</v>
      </c>
      <c r="J69" s="119">
        <f t="shared" si="7"/>
        <v>0</v>
      </c>
      <c r="K69" s="119">
        <f t="shared" si="7"/>
        <v>0</v>
      </c>
      <c r="L69" s="119">
        <f t="shared" si="7"/>
        <v>0</v>
      </c>
      <c r="M69" s="119">
        <f t="shared" si="7"/>
        <v>0</v>
      </c>
      <c r="N69" s="119">
        <f t="shared" si="7"/>
        <v>0</v>
      </c>
      <c r="O69" s="119">
        <f t="shared" si="7"/>
        <v>0</v>
      </c>
      <c r="P69" s="119">
        <f t="shared" si="7"/>
        <v>0</v>
      </c>
      <c r="Q69" s="119">
        <f t="shared" si="7"/>
        <v>0</v>
      </c>
      <c r="R69" s="119">
        <f t="shared" si="7"/>
        <v>0</v>
      </c>
      <c r="S69" s="119">
        <f t="shared" si="7"/>
        <v>0</v>
      </c>
      <c r="T69" s="119">
        <f t="shared" si="7"/>
        <v>0</v>
      </c>
      <c r="U69" s="119">
        <f t="shared" si="7"/>
        <v>0</v>
      </c>
      <c r="V69" s="119">
        <f t="shared" si="7"/>
        <v>0</v>
      </c>
      <c r="W69" s="119">
        <f t="shared" si="7"/>
        <v>0</v>
      </c>
      <c r="X69" s="119">
        <f t="shared" si="7"/>
        <v>0</v>
      </c>
      <c r="Y69" s="119">
        <f t="shared" si="7"/>
        <v>0</v>
      </c>
      <c r="Z69" s="119">
        <f t="shared" si="7"/>
        <v>0</v>
      </c>
      <c r="AA69" s="119">
        <f t="shared" si="7"/>
        <v>0</v>
      </c>
      <c r="AB69" s="119">
        <f t="shared" si="7"/>
        <v>0</v>
      </c>
      <c r="AC69" s="119">
        <f t="shared" si="7"/>
        <v>0</v>
      </c>
      <c r="AD69" s="119">
        <f t="shared" si="7"/>
        <v>0</v>
      </c>
      <c r="AE69" s="119">
        <f t="shared" si="7"/>
        <v>0</v>
      </c>
      <c r="AF69" s="119">
        <f t="shared" si="7"/>
        <v>0</v>
      </c>
      <c r="AG69" s="119">
        <f t="shared" si="7"/>
        <v>0</v>
      </c>
    </row>
    <row r="70" spans="1:33" x14ac:dyDescent="0.2">
      <c r="A70" s="8"/>
      <c r="B70" s="8"/>
      <c r="C70" s="4"/>
      <c r="D70" s="38"/>
      <c r="F70" s="97"/>
      <c r="G70" s="215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8" t="s">
        <v>160</v>
      </c>
      <c r="D71" s="38"/>
      <c r="F71" s="97"/>
      <c r="G71" s="214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&lt; Enter description &gt;</v>
      </c>
      <c r="D72" s="38"/>
      <c r="F72" s="97"/>
      <c r="G72" s="211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0</v>
      </c>
      <c r="M72" s="119" cm="1">
        <f t="array" ref="M72">SUMPRODUCT(($I67:M67))-SUMPRODUCT(($I67:M67)*($I$6:M$6&lt;=(M$6-$E14)))</f>
        <v>0</v>
      </c>
      <c r="N72" s="119" cm="1">
        <f t="array" ref="N72">SUMPRODUCT(($I67:N67))-SUMPRODUCT(($I67:N67)*($I$6:N$6&lt;=(N$6-$E14)))</f>
        <v>0</v>
      </c>
      <c r="O72" s="119" cm="1">
        <f t="array" ref="O72">SUMPRODUCT(($I67:O67))-SUMPRODUCT(($I67:O67)*($I$6:O$6&lt;=(O$6-$E14)))</f>
        <v>0</v>
      </c>
      <c r="P72" s="119" cm="1">
        <f t="array" ref="P72">SUMPRODUCT(($I67:P67))-SUMPRODUCT(($I67:P67)*($I$6:P$6&lt;=(P$6-$E14)))</f>
        <v>0</v>
      </c>
      <c r="Q72" s="119" cm="1">
        <f t="array" ref="Q72">SUMPRODUCT(($I67:Q67))-SUMPRODUCT(($I67:Q67)*($I$6:Q$6&lt;=(Q$6-$E14)))</f>
        <v>0</v>
      </c>
      <c r="R72" s="119" cm="1">
        <f t="array" ref="R72">SUMPRODUCT(($I67:R67))-SUMPRODUCT(($I67:R67)*($I$6:R$6&lt;=(R$6-$E14)))</f>
        <v>0</v>
      </c>
      <c r="S72" s="119" cm="1">
        <f t="array" ref="S72">SUMPRODUCT(($I67:S67))-SUMPRODUCT(($I67:S67)*($I$6:S$6&lt;=(S$6-$E14)))</f>
        <v>0</v>
      </c>
      <c r="T72" s="119" cm="1">
        <f t="array" ref="T72">SUMPRODUCT(($I67:T67))-SUMPRODUCT(($I67:T67)*($I$6:T$6&lt;=(T$6-$E14)))</f>
        <v>0</v>
      </c>
      <c r="U72" s="119" cm="1">
        <f t="array" ref="U72">SUMPRODUCT(($I67:U67))-SUMPRODUCT(($I67:U67)*($I$6:U$6&lt;=(U$6-$E14)))</f>
        <v>0</v>
      </c>
      <c r="V72" s="119" cm="1">
        <f t="array" ref="V72">SUMPRODUCT(($I67:V67))-SUMPRODUCT(($I67:V67)*($I$6:V$6&lt;=(V$6-$E14)))</f>
        <v>0</v>
      </c>
      <c r="W72" s="119" cm="1">
        <f t="array" ref="W72">SUMPRODUCT(($I67:W67))-SUMPRODUCT(($I67:W67)*($I$6:W$6&lt;=(W$6-$E14)))</f>
        <v>0</v>
      </c>
      <c r="X72" s="119" cm="1">
        <f t="array" ref="X72">SUMPRODUCT(($I67:X67))-SUMPRODUCT(($I67:X67)*($I$6:X$6&lt;=(X$6-$E14)))</f>
        <v>0</v>
      </c>
      <c r="Y72" s="119" cm="1">
        <f t="array" ref="Y72">SUMPRODUCT(($I67:Y67))-SUMPRODUCT(($I67:Y67)*($I$6:Y$6&lt;=(Y$6-$E14)))</f>
        <v>0</v>
      </c>
      <c r="Z72" s="119" cm="1">
        <f t="array" ref="Z72">SUMPRODUCT(($I67:Z67))-SUMPRODUCT(($I67:Z67)*($I$6:Z$6&lt;=(Z$6-$E14)))</f>
        <v>0</v>
      </c>
      <c r="AA72" s="119" cm="1">
        <f t="array" ref="AA72">SUMPRODUCT(($I67:AA67))-SUMPRODUCT(($I67:AA67)*($I$6:AA$6&lt;=(AA$6-$E14)))</f>
        <v>0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 t="str">
        <f>C15</f>
        <v>&lt; Enter description &gt;</v>
      </c>
      <c r="D73" s="38"/>
      <c r="F73" s="97"/>
      <c r="G73" s="211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 t="str">
        <f>C16</f>
        <v>&lt; Enter description &gt;</v>
      </c>
      <c r="D74" s="38"/>
      <c r="F74" s="97"/>
      <c r="G74" s="211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5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8" t="s">
        <v>91</v>
      </c>
      <c r="D76" s="38"/>
      <c r="F76" s="97"/>
      <c r="G76" s="214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&lt; Enter description &gt;</v>
      </c>
      <c r="D77" s="38"/>
      <c r="F77" s="97"/>
      <c r="G77" s="211">
        <f>input_dollars</f>
        <v>45291</v>
      </c>
      <c r="H77" s="31"/>
      <c r="I77" s="119">
        <f t="shared" ref="I77:AG77" si="8">IF($E14=0,0,-PMT(real_disc, $E14,H72,))</f>
        <v>0</v>
      </c>
      <c r="J77" s="119">
        <f t="shared" si="8"/>
        <v>0</v>
      </c>
      <c r="K77" s="119">
        <f t="shared" si="8"/>
        <v>0</v>
      </c>
      <c r="L77" s="119">
        <f t="shared" si="8"/>
        <v>0</v>
      </c>
      <c r="M77" s="119">
        <f t="shared" si="8"/>
        <v>0</v>
      </c>
      <c r="N77" s="119">
        <f t="shared" si="8"/>
        <v>0</v>
      </c>
      <c r="O77" s="119">
        <f t="shared" si="8"/>
        <v>0</v>
      </c>
      <c r="P77" s="119">
        <f t="shared" si="8"/>
        <v>0</v>
      </c>
      <c r="Q77" s="119">
        <f t="shared" si="8"/>
        <v>0</v>
      </c>
      <c r="R77" s="119">
        <f t="shared" si="8"/>
        <v>0</v>
      </c>
      <c r="S77" s="119">
        <f t="shared" si="8"/>
        <v>0</v>
      </c>
      <c r="T77" s="119">
        <f t="shared" si="8"/>
        <v>0</v>
      </c>
      <c r="U77" s="119">
        <f t="shared" si="8"/>
        <v>0</v>
      </c>
      <c r="V77" s="119">
        <f t="shared" si="8"/>
        <v>0</v>
      </c>
      <c r="W77" s="119">
        <f t="shared" si="8"/>
        <v>0</v>
      </c>
      <c r="X77" s="119">
        <f t="shared" si="8"/>
        <v>0</v>
      </c>
      <c r="Y77" s="119">
        <f t="shared" si="8"/>
        <v>0</v>
      </c>
      <c r="Z77" s="119">
        <f t="shared" si="8"/>
        <v>0</v>
      </c>
      <c r="AA77" s="119">
        <f t="shared" si="8"/>
        <v>0</v>
      </c>
      <c r="AB77" s="119">
        <f t="shared" si="8"/>
        <v>0</v>
      </c>
      <c r="AC77" s="119">
        <f t="shared" si="8"/>
        <v>0</v>
      </c>
      <c r="AD77" s="119">
        <f t="shared" si="8"/>
        <v>0</v>
      </c>
      <c r="AE77" s="119">
        <f t="shared" si="8"/>
        <v>0</v>
      </c>
      <c r="AF77" s="119">
        <f t="shared" si="8"/>
        <v>0</v>
      </c>
      <c r="AG77" s="119">
        <f t="shared" si="8"/>
        <v>0</v>
      </c>
    </row>
    <row r="78" spans="1:33" x14ac:dyDescent="0.2">
      <c r="A78" s="8"/>
      <c r="B78" s="8"/>
      <c r="C78" s="4" t="str">
        <f>$C$76&amp;" - "&amp;C15</f>
        <v>Annualised capex - &lt; Enter description &gt;</v>
      </c>
      <c r="D78" s="38"/>
      <c r="F78" s="97"/>
      <c r="G78" s="211">
        <f>input_dollars</f>
        <v>45291</v>
      </c>
      <c r="H78" s="31"/>
      <c r="I78" s="119">
        <f t="shared" ref="I78:AG78" si="9">IF($E15=0,0,-PMT(real_disc, $E15,H73,))</f>
        <v>0</v>
      </c>
      <c r="J78" s="119">
        <f t="shared" si="9"/>
        <v>0</v>
      </c>
      <c r="K78" s="119">
        <f t="shared" si="9"/>
        <v>0</v>
      </c>
      <c r="L78" s="119">
        <f t="shared" si="9"/>
        <v>0</v>
      </c>
      <c r="M78" s="119">
        <f t="shared" si="9"/>
        <v>0</v>
      </c>
      <c r="N78" s="119">
        <f t="shared" si="9"/>
        <v>0</v>
      </c>
      <c r="O78" s="119">
        <f t="shared" si="9"/>
        <v>0</v>
      </c>
      <c r="P78" s="119">
        <f t="shared" si="9"/>
        <v>0</v>
      </c>
      <c r="Q78" s="119">
        <f t="shared" si="9"/>
        <v>0</v>
      </c>
      <c r="R78" s="119">
        <f t="shared" si="9"/>
        <v>0</v>
      </c>
      <c r="S78" s="119">
        <f t="shared" si="9"/>
        <v>0</v>
      </c>
      <c r="T78" s="119">
        <f t="shared" si="9"/>
        <v>0</v>
      </c>
      <c r="U78" s="119">
        <f t="shared" si="9"/>
        <v>0</v>
      </c>
      <c r="V78" s="119">
        <f t="shared" si="9"/>
        <v>0</v>
      </c>
      <c r="W78" s="119">
        <f t="shared" si="9"/>
        <v>0</v>
      </c>
      <c r="X78" s="119">
        <f t="shared" si="9"/>
        <v>0</v>
      </c>
      <c r="Y78" s="119">
        <f t="shared" si="9"/>
        <v>0</v>
      </c>
      <c r="Z78" s="119">
        <f t="shared" si="9"/>
        <v>0</v>
      </c>
      <c r="AA78" s="119">
        <f t="shared" si="9"/>
        <v>0</v>
      </c>
      <c r="AB78" s="119">
        <f t="shared" si="9"/>
        <v>0</v>
      </c>
      <c r="AC78" s="119">
        <f t="shared" si="9"/>
        <v>0</v>
      </c>
      <c r="AD78" s="119">
        <f t="shared" si="9"/>
        <v>0</v>
      </c>
      <c r="AE78" s="119">
        <f t="shared" si="9"/>
        <v>0</v>
      </c>
      <c r="AF78" s="119">
        <f t="shared" si="9"/>
        <v>0</v>
      </c>
      <c r="AG78" s="119">
        <f t="shared" si="9"/>
        <v>0</v>
      </c>
    </row>
    <row r="79" spans="1:33" x14ac:dyDescent="0.2">
      <c r="A79" s="8"/>
      <c r="B79" s="8"/>
      <c r="C79" s="4" t="str">
        <f>$C$76&amp;" - "&amp;C16</f>
        <v>Annualised capex - &lt; Enter description &gt;</v>
      </c>
      <c r="D79" s="38"/>
      <c r="F79" s="97"/>
      <c r="G79" s="211">
        <f>input_dollars</f>
        <v>45291</v>
      </c>
      <c r="H79" s="31"/>
      <c r="I79" s="119">
        <f t="shared" ref="I79:AG79" si="10">IF($E16=0,0,-PMT(real_disc, $E16,H74,))</f>
        <v>0</v>
      </c>
      <c r="J79" s="119">
        <f t="shared" si="10"/>
        <v>0</v>
      </c>
      <c r="K79" s="119">
        <f t="shared" si="10"/>
        <v>0</v>
      </c>
      <c r="L79" s="119">
        <f t="shared" si="10"/>
        <v>0</v>
      </c>
      <c r="M79" s="119">
        <f t="shared" si="10"/>
        <v>0</v>
      </c>
      <c r="N79" s="119">
        <f t="shared" si="10"/>
        <v>0</v>
      </c>
      <c r="O79" s="119">
        <f t="shared" si="10"/>
        <v>0</v>
      </c>
      <c r="P79" s="119">
        <f t="shared" si="10"/>
        <v>0</v>
      </c>
      <c r="Q79" s="119">
        <f t="shared" si="10"/>
        <v>0</v>
      </c>
      <c r="R79" s="119">
        <f t="shared" si="10"/>
        <v>0</v>
      </c>
      <c r="S79" s="119">
        <f t="shared" si="10"/>
        <v>0</v>
      </c>
      <c r="T79" s="119">
        <f t="shared" si="10"/>
        <v>0</v>
      </c>
      <c r="U79" s="119">
        <f t="shared" si="10"/>
        <v>0</v>
      </c>
      <c r="V79" s="119">
        <f t="shared" si="10"/>
        <v>0</v>
      </c>
      <c r="W79" s="119">
        <f t="shared" si="10"/>
        <v>0</v>
      </c>
      <c r="X79" s="119">
        <f t="shared" si="10"/>
        <v>0</v>
      </c>
      <c r="Y79" s="119">
        <f t="shared" si="10"/>
        <v>0</v>
      </c>
      <c r="Z79" s="119">
        <f t="shared" si="10"/>
        <v>0</v>
      </c>
      <c r="AA79" s="119">
        <f t="shared" si="10"/>
        <v>0</v>
      </c>
      <c r="AB79" s="119">
        <f t="shared" si="10"/>
        <v>0</v>
      </c>
      <c r="AC79" s="119">
        <f t="shared" si="10"/>
        <v>0</v>
      </c>
      <c r="AD79" s="119">
        <f t="shared" si="10"/>
        <v>0</v>
      </c>
      <c r="AE79" s="119">
        <f t="shared" si="10"/>
        <v>0</v>
      </c>
      <c r="AF79" s="119">
        <f t="shared" si="10"/>
        <v>0</v>
      </c>
      <c r="AG79" s="119">
        <f t="shared" si="10"/>
        <v>0</v>
      </c>
    </row>
    <row r="80" spans="1:33" x14ac:dyDescent="0.2">
      <c r="A80" s="8"/>
      <c r="B80" s="8"/>
      <c r="C80" s="173" t="s">
        <v>161</v>
      </c>
      <c r="D80" s="173"/>
      <c r="E80" s="174"/>
      <c r="F80" s="175"/>
      <c r="G80" s="216">
        <f>input_dollars</f>
        <v>45291</v>
      </c>
      <c r="H80" s="176"/>
      <c r="I80" s="177">
        <f>SUM(I77:I79)</f>
        <v>0</v>
      </c>
      <c r="J80" s="177">
        <f t="shared" ref="J80:AB80" si="11">SUM(J77:J79)</f>
        <v>0</v>
      </c>
      <c r="K80" s="177">
        <f t="shared" si="11"/>
        <v>0</v>
      </c>
      <c r="L80" s="177">
        <f t="shared" si="11"/>
        <v>0</v>
      </c>
      <c r="M80" s="177">
        <f t="shared" si="11"/>
        <v>0</v>
      </c>
      <c r="N80" s="177">
        <f t="shared" si="11"/>
        <v>0</v>
      </c>
      <c r="O80" s="177">
        <f t="shared" si="11"/>
        <v>0</v>
      </c>
      <c r="P80" s="177">
        <f t="shared" si="11"/>
        <v>0</v>
      </c>
      <c r="Q80" s="177">
        <f t="shared" si="11"/>
        <v>0</v>
      </c>
      <c r="R80" s="177">
        <f t="shared" si="11"/>
        <v>0</v>
      </c>
      <c r="S80" s="177">
        <f t="shared" si="11"/>
        <v>0</v>
      </c>
      <c r="T80" s="177">
        <f t="shared" si="11"/>
        <v>0</v>
      </c>
      <c r="U80" s="177">
        <f t="shared" si="11"/>
        <v>0</v>
      </c>
      <c r="V80" s="177">
        <f t="shared" si="11"/>
        <v>0</v>
      </c>
      <c r="W80" s="177">
        <f t="shared" si="11"/>
        <v>0</v>
      </c>
      <c r="X80" s="177">
        <f t="shared" si="11"/>
        <v>0</v>
      </c>
      <c r="Y80" s="177">
        <f t="shared" si="11"/>
        <v>0</v>
      </c>
      <c r="Z80" s="177">
        <f t="shared" si="11"/>
        <v>0</v>
      </c>
      <c r="AA80" s="177">
        <f t="shared" si="11"/>
        <v>0</v>
      </c>
      <c r="AB80" s="177">
        <f t="shared" si="11"/>
        <v>0</v>
      </c>
      <c r="AC80" s="177">
        <f>SUM(AC77:AC79)</f>
        <v>0</v>
      </c>
      <c r="AD80" s="177">
        <f>SUM(AD77:AD79)</f>
        <v>0</v>
      </c>
      <c r="AE80" s="177">
        <f>SUM(AE77:AE79)</f>
        <v>0</v>
      </c>
      <c r="AF80" s="177">
        <f>SUM(AF77:AF79)</f>
        <v>0</v>
      </c>
      <c r="AG80" s="177">
        <f>SUM(AG77:AG79)</f>
        <v>0</v>
      </c>
    </row>
    <row r="81" spans="1:33" x14ac:dyDescent="0.2">
      <c r="A81" s="8"/>
      <c r="B81" s="8"/>
      <c r="C81" s="75"/>
      <c r="D81" s="38"/>
      <c r="F81"/>
      <c r="G81" s="217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1">
        <f t="shared" ref="G82:G87" si="12">input_dollars</f>
        <v>45291</v>
      </c>
      <c r="H82" s="31"/>
      <c r="I82" s="119">
        <f>I80</f>
        <v>0</v>
      </c>
      <c r="J82" s="119">
        <f t="shared" ref="J82:AB82" si="13">J80</f>
        <v>0</v>
      </c>
      <c r="K82" s="119">
        <f t="shared" si="13"/>
        <v>0</v>
      </c>
      <c r="L82" s="119">
        <f t="shared" si="13"/>
        <v>0</v>
      </c>
      <c r="M82" s="119">
        <f t="shared" si="13"/>
        <v>0</v>
      </c>
      <c r="N82" s="119">
        <f t="shared" si="13"/>
        <v>0</v>
      </c>
      <c r="O82" s="119">
        <f t="shared" si="13"/>
        <v>0</v>
      </c>
      <c r="P82" s="119">
        <f t="shared" si="13"/>
        <v>0</v>
      </c>
      <c r="Q82" s="119">
        <f t="shared" si="13"/>
        <v>0</v>
      </c>
      <c r="R82" s="119">
        <f t="shared" si="13"/>
        <v>0</v>
      </c>
      <c r="S82" s="119">
        <f t="shared" si="13"/>
        <v>0</v>
      </c>
      <c r="T82" s="119">
        <f t="shared" si="13"/>
        <v>0</v>
      </c>
      <c r="U82" s="119">
        <f t="shared" si="13"/>
        <v>0</v>
      </c>
      <c r="V82" s="119">
        <f t="shared" si="13"/>
        <v>0</v>
      </c>
      <c r="W82" s="119">
        <f t="shared" si="13"/>
        <v>0</v>
      </c>
      <c r="X82" s="119">
        <f t="shared" si="13"/>
        <v>0</v>
      </c>
      <c r="Y82" s="119">
        <f t="shared" si="13"/>
        <v>0</v>
      </c>
      <c r="Z82" s="119">
        <f t="shared" si="13"/>
        <v>0</v>
      </c>
      <c r="AA82" s="119">
        <f t="shared" si="13"/>
        <v>0</v>
      </c>
      <c r="AB82" s="119">
        <f t="shared" si="13"/>
        <v>0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1">
        <f t="shared" si="12"/>
        <v>45291</v>
      </c>
      <c r="H83" s="31"/>
      <c r="I83" s="31">
        <f t="shared" ref="I83:AG83" si="14">-I19</f>
        <v>0</v>
      </c>
      <c r="J83" s="31">
        <f t="shared" si="14"/>
        <v>0</v>
      </c>
      <c r="K83" s="31">
        <f t="shared" si="14"/>
        <v>0</v>
      </c>
      <c r="L83" s="31">
        <f t="shared" si="14"/>
        <v>0</v>
      </c>
      <c r="M83" s="31">
        <f t="shared" si="14"/>
        <v>0</v>
      </c>
      <c r="N83" s="31">
        <f t="shared" si="14"/>
        <v>0</v>
      </c>
      <c r="O83" s="31">
        <f t="shared" si="14"/>
        <v>0</v>
      </c>
      <c r="P83" s="31">
        <f t="shared" si="14"/>
        <v>0</v>
      </c>
      <c r="Q83" s="31">
        <f t="shared" si="14"/>
        <v>0</v>
      </c>
      <c r="R83" s="31">
        <f t="shared" si="14"/>
        <v>0</v>
      </c>
      <c r="S83" s="31">
        <f t="shared" si="14"/>
        <v>0</v>
      </c>
      <c r="T83" s="31">
        <f t="shared" si="14"/>
        <v>0</v>
      </c>
      <c r="U83" s="31">
        <f t="shared" si="14"/>
        <v>0</v>
      </c>
      <c r="V83" s="31">
        <f t="shared" si="14"/>
        <v>0</v>
      </c>
      <c r="W83" s="31">
        <f t="shared" si="14"/>
        <v>0</v>
      </c>
      <c r="X83" s="31">
        <f t="shared" si="14"/>
        <v>0</v>
      </c>
      <c r="Y83" s="31">
        <f t="shared" si="14"/>
        <v>0</v>
      </c>
      <c r="Z83" s="31">
        <f t="shared" si="14"/>
        <v>0</v>
      </c>
      <c r="AA83" s="31">
        <f t="shared" si="14"/>
        <v>0</v>
      </c>
      <c r="AB83" s="31">
        <f t="shared" si="14"/>
        <v>0</v>
      </c>
      <c r="AC83" s="31">
        <f t="shared" si="14"/>
        <v>0</v>
      </c>
      <c r="AD83" s="31">
        <f t="shared" si="14"/>
        <v>0</v>
      </c>
      <c r="AE83" s="31">
        <f t="shared" si="14"/>
        <v>0</v>
      </c>
      <c r="AF83" s="31">
        <f t="shared" si="14"/>
        <v>0</v>
      </c>
      <c r="AG83" s="31">
        <f t="shared" si="14"/>
        <v>0</v>
      </c>
    </row>
    <row r="84" spans="1:33" x14ac:dyDescent="0.2">
      <c r="A84" s="8"/>
      <c r="B84" s="8"/>
      <c r="C84" s="4" t="s">
        <v>142</v>
      </c>
      <c r="D84" s="38"/>
      <c r="F84" s="97"/>
      <c r="G84" s="211">
        <f t="shared" si="12"/>
        <v>45291</v>
      </c>
      <c r="H84" s="31"/>
      <c r="I84" s="31">
        <f>I64</f>
        <v>0</v>
      </c>
      <c r="J84" s="31">
        <f t="shared" ref="J84:AB84" si="15">J64</f>
        <v>0</v>
      </c>
      <c r="K84" s="31">
        <f t="shared" si="15"/>
        <v>0</v>
      </c>
      <c r="L84" s="31">
        <f t="shared" si="15"/>
        <v>0</v>
      </c>
      <c r="M84" s="31">
        <f t="shared" si="15"/>
        <v>0</v>
      </c>
      <c r="N84" s="31">
        <f t="shared" si="15"/>
        <v>0</v>
      </c>
      <c r="O84" s="31">
        <f t="shared" si="15"/>
        <v>0</v>
      </c>
      <c r="P84" s="31">
        <f t="shared" si="15"/>
        <v>0</v>
      </c>
      <c r="Q84" s="31">
        <f t="shared" si="15"/>
        <v>0</v>
      </c>
      <c r="R84" s="31">
        <f t="shared" si="15"/>
        <v>0</v>
      </c>
      <c r="S84" s="31">
        <f t="shared" si="15"/>
        <v>0</v>
      </c>
      <c r="T84" s="31">
        <f t="shared" si="15"/>
        <v>0</v>
      </c>
      <c r="U84" s="31">
        <f t="shared" si="15"/>
        <v>0</v>
      </c>
      <c r="V84" s="31">
        <f t="shared" si="15"/>
        <v>0</v>
      </c>
      <c r="W84" s="31">
        <f t="shared" si="15"/>
        <v>0</v>
      </c>
      <c r="X84" s="31">
        <f t="shared" si="15"/>
        <v>0</v>
      </c>
      <c r="Y84" s="31">
        <f t="shared" si="15"/>
        <v>0</v>
      </c>
      <c r="Z84" s="31">
        <f t="shared" si="15"/>
        <v>0</v>
      </c>
      <c r="AA84" s="31">
        <f t="shared" si="15"/>
        <v>0</v>
      </c>
      <c r="AB84" s="31">
        <f t="shared" si="15"/>
        <v>0</v>
      </c>
      <c r="AC84" s="31">
        <f>AC64</f>
        <v>0</v>
      </c>
      <c r="AD84" s="31">
        <f>AD64</f>
        <v>0</v>
      </c>
      <c r="AE84" s="31">
        <f>AE64</f>
        <v>0</v>
      </c>
      <c r="AF84" s="31">
        <f>AF64</f>
        <v>0</v>
      </c>
      <c r="AG84" s="31">
        <f>AG64</f>
        <v>0</v>
      </c>
    </row>
    <row r="85" spans="1:33" x14ac:dyDescent="0.2">
      <c r="A85" s="8"/>
      <c r="B85" s="8"/>
      <c r="C85" s="4" t="s">
        <v>122</v>
      </c>
      <c r="D85" s="38"/>
      <c r="F85" s="97"/>
      <c r="G85" s="211">
        <f t="shared" si="12"/>
        <v>45291</v>
      </c>
      <c r="H85" s="31"/>
      <c r="I85" s="31">
        <f t="shared" ref="I85:AG85" si="16">I57</f>
        <v>0</v>
      </c>
      <c r="J85" s="31">
        <f t="shared" si="16"/>
        <v>0</v>
      </c>
      <c r="K85" s="31">
        <f t="shared" si="16"/>
        <v>0</v>
      </c>
      <c r="L85" s="31">
        <f t="shared" si="16"/>
        <v>0</v>
      </c>
      <c r="M85" s="31">
        <f t="shared" si="16"/>
        <v>0</v>
      </c>
      <c r="N85" s="31">
        <f t="shared" si="16"/>
        <v>0</v>
      </c>
      <c r="O85" s="31">
        <f t="shared" si="16"/>
        <v>0</v>
      </c>
      <c r="P85" s="31">
        <f t="shared" si="16"/>
        <v>0</v>
      </c>
      <c r="Q85" s="31">
        <f t="shared" si="16"/>
        <v>0</v>
      </c>
      <c r="R85" s="31">
        <f t="shared" si="16"/>
        <v>0</v>
      </c>
      <c r="S85" s="31">
        <f t="shared" si="16"/>
        <v>0</v>
      </c>
      <c r="T85" s="31">
        <f t="shared" si="16"/>
        <v>0</v>
      </c>
      <c r="U85" s="31">
        <f t="shared" si="16"/>
        <v>0</v>
      </c>
      <c r="V85" s="31">
        <f t="shared" si="16"/>
        <v>0</v>
      </c>
      <c r="W85" s="31">
        <f t="shared" si="16"/>
        <v>0</v>
      </c>
      <c r="X85" s="31">
        <f t="shared" si="16"/>
        <v>0</v>
      </c>
      <c r="Y85" s="31">
        <f t="shared" si="16"/>
        <v>0</v>
      </c>
      <c r="Z85" s="31">
        <f t="shared" si="16"/>
        <v>0</v>
      </c>
      <c r="AA85" s="31">
        <f t="shared" si="16"/>
        <v>0</v>
      </c>
      <c r="AB85" s="31">
        <f t="shared" si="16"/>
        <v>0</v>
      </c>
      <c r="AC85" s="31">
        <f t="shared" si="16"/>
        <v>0</v>
      </c>
      <c r="AD85" s="31">
        <f t="shared" si="16"/>
        <v>0</v>
      </c>
      <c r="AE85" s="31">
        <f t="shared" si="16"/>
        <v>0</v>
      </c>
      <c r="AF85" s="31">
        <f t="shared" si="16"/>
        <v>0</v>
      </c>
      <c r="AG85" s="31">
        <f t="shared" si="16"/>
        <v>0</v>
      </c>
    </row>
    <row r="86" spans="1:33" x14ac:dyDescent="0.2">
      <c r="A86" s="8"/>
      <c r="B86" s="8"/>
      <c r="C86" s="4"/>
      <c r="D86" s="38"/>
      <c r="F86" s="31"/>
      <c r="G86" s="21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8" t="s">
        <v>192</v>
      </c>
      <c r="D87" s="179"/>
      <c r="E87" s="174"/>
      <c r="F87" s="180"/>
      <c r="G87" s="216">
        <f t="shared" si="12"/>
        <v>45291</v>
      </c>
      <c r="H87" s="180"/>
      <c r="I87" s="180">
        <f t="shared" ref="I87:AB87" si="17">SUM(I82:I86)</f>
        <v>0</v>
      </c>
      <c r="J87" s="180">
        <f t="shared" si="17"/>
        <v>0</v>
      </c>
      <c r="K87" s="180">
        <f t="shared" si="17"/>
        <v>0</v>
      </c>
      <c r="L87" s="180">
        <f t="shared" si="17"/>
        <v>0</v>
      </c>
      <c r="M87" s="180">
        <f t="shared" si="17"/>
        <v>0</v>
      </c>
      <c r="N87" s="180">
        <f t="shared" si="17"/>
        <v>0</v>
      </c>
      <c r="O87" s="180">
        <f t="shared" si="17"/>
        <v>0</v>
      </c>
      <c r="P87" s="180">
        <f t="shared" si="17"/>
        <v>0</v>
      </c>
      <c r="Q87" s="180">
        <f t="shared" si="17"/>
        <v>0</v>
      </c>
      <c r="R87" s="180">
        <f t="shared" si="17"/>
        <v>0</v>
      </c>
      <c r="S87" s="180">
        <f t="shared" si="17"/>
        <v>0</v>
      </c>
      <c r="T87" s="180">
        <f t="shared" si="17"/>
        <v>0</v>
      </c>
      <c r="U87" s="180">
        <f t="shared" si="17"/>
        <v>0</v>
      </c>
      <c r="V87" s="180">
        <f t="shared" si="17"/>
        <v>0</v>
      </c>
      <c r="W87" s="180">
        <f t="shared" si="17"/>
        <v>0</v>
      </c>
      <c r="X87" s="180">
        <f t="shared" si="17"/>
        <v>0</v>
      </c>
      <c r="Y87" s="180">
        <f t="shared" si="17"/>
        <v>0</v>
      </c>
      <c r="Z87" s="180">
        <f t="shared" si="17"/>
        <v>0</v>
      </c>
      <c r="AA87" s="180">
        <f t="shared" si="17"/>
        <v>0</v>
      </c>
      <c r="AB87" s="180">
        <f t="shared" si="17"/>
        <v>0</v>
      </c>
      <c r="AC87" s="180">
        <f>SUM(AC82:AC86)</f>
        <v>0</v>
      </c>
      <c r="AD87" s="180">
        <f>SUM(AD82:AD86)</f>
        <v>0</v>
      </c>
      <c r="AE87" s="180">
        <f>SUM(AE82:AE86)</f>
        <v>0</v>
      </c>
      <c r="AF87" s="180">
        <f>SUM(AF82:AF86)</f>
        <v>0</v>
      </c>
      <c r="AG87" s="180">
        <f>SUM(AG82:AG86)</f>
        <v>0</v>
      </c>
    </row>
    <row r="88" spans="1:33" x14ac:dyDescent="0.2">
      <c r="A88" s="8"/>
      <c r="B88" s="8"/>
      <c r="C88" s="75"/>
      <c r="D88" s="139"/>
      <c r="E88" s="64"/>
      <c r="F88" s="142"/>
      <c r="G88" s="21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9"/>
      <c r="E89" s="64"/>
      <c r="F89" s="142"/>
      <c r="G89" s="21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1" t="s">
        <v>202</v>
      </c>
      <c r="D90" s="82"/>
      <c r="E90" s="232"/>
      <c r="F90" s="233"/>
      <c r="G90" s="234" cm="1">
        <f t="array" ref="G90">IF(SUM($I17:$AG17)=0,0,(INDEX(I$6:AG$6,MATCH(TRUE,INDEX($I17:$AG17&lt;&gt;0,),0))))</f>
        <v>0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82"/>
      <c r="D91" s="235"/>
      <c r="E91" s="232"/>
      <c r="F91" s="232"/>
      <c r="G91" s="234"/>
    </row>
    <row r="92" spans="1:33" x14ac:dyDescent="0.2">
      <c r="C92" s="236" t="s">
        <v>197</v>
      </c>
      <c r="D92" s="237"/>
      <c r="E92" s="237"/>
      <c r="F92" s="237"/>
      <c r="G92" s="238" t="str">
        <f>IF(_xlfn.MINIFS($G$90:$G$91, $G$90:$G$91, "&gt;"&amp;0)=0, $A$4, _xlfn.MINIFS($G$90:$G$91, $G$90:$G$91, "&gt;"&amp;0))</f>
        <v>Not used</v>
      </c>
    </row>
    <row r="94" spans="1:33" x14ac:dyDescent="0.2">
      <c r="G94" s="12"/>
    </row>
    <row r="102" spans="1:43" ht="15" x14ac:dyDescent="0.2">
      <c r="A102" s="89" t="s">
        <v>218</v>
      </c>
      <c r="B102" s="89"/>
      <c r="C102" s="89"/>
      <c r="D102" s="89"/>
      <c r="E102" s="89"/>
      <c r="F102" s="89"/>
      <c r="G102" s="205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3"/>
      <c r="J104" s="243"/>
      <c r="K104" s="243"/>
      <c r="L104" s="243"/>
      <c r="M104" s="243"/>
      <c r="N104" s="243"/>
      <c r="O104" s="243"/>
      <c r="P104" s="243"/>
      <c r="Q104" s="243"/>
      <c r="R104" s="243"/>
      <c r="S104" s="243"/>
      <c r="T104" s="243"/>
      <c r="U104" s="243"/>
      <c r="V104" s="243"/>
      <c r="W104" s="243"/>
      <c r="X104" s="243"/>
      <c r="Y104" s="243"/>
      <c r="Z104" s="243"/>
    </row>
    <row r="105" spans="1:43" x14ac:dyDescent="0.2">
      <c r="I105" s="243"/>
      <c r="J105" s="243"/>
      <c r="K105" s="243"/>
      <c r="L105" s="243"/>
      <c r="M105" s="243"/>
      <c r="N105" s="243"/>
      <c r="O105" s="243"/>
      <c r="P105" s="243"/>
      <c r="Q105" s="243"/>
      <c r="R105" s="243"/>
      <c r="S105" s="243"/>
      <c r="T105" s="243"/>
      <c r="U105" s="243"/>
      <c r="V105" s="243"/>
      <c r="W105" s="243"/>
      <c r="X105" s="243"/>
      <c r="Y105" s="243"/>
      <c r="Z105" s="243"/>
    </row>
    <row r="106" spans="1:43" x14ac:dyDescent="0.2">
      <c r="A106" s="1" t="s">
        <v>119</v>
      </c>
      <c r="C106" s="1" t="s">
        <v>192</v>
      </c>
      <c r="D106"/>
      <c r="E106"/>
      <c r="F106"/>
      <c r="G106" s="38" t="str">
        <f>PROPER($A$3)&amp;A106</f>
        <v>Option 5NPV</v>
      </c>
      <c r="I106" s="31">
        <f>I87</f>
        <v>0</v>
      </c>
      <c r="J106" s="31">
        <f t="shared" ref="J106:AG106" si="18">J87</f>
        <v>0</v>
      </c>
      <c r="K106" s="31">
        <f t="shared" si="18"/>
        <v>0</v>
      </c>
      <c r="L106" s="31">
        <f t="shared" si="18"/>
        <v>0</v>
      </c>
      <c r="M106" s="31">
        <f t="shared" si="18"/>
        <v>0</v>
      </c>
      <c r="N106" s="31">
        <f t="shared" si="18"/>
        <v>0</v>
      </c>
      <c r="O106" s="31">
        <f t="shared" si="18"/>
        <v>0</v>
      </c>
      <c r="P106" s="31">
        <f t="shared" si="18"/>
        <v>0</v>
      </c>
      <c r="Q106" s="31">
        <f t="shared" si="18"/>
        <v>0</v>
      </c>
      <c r="R106" s="31">
        <f t="shared" si="18"/>
        <v>0</v>
      </c>
      <c r="S106" s="31">
        <f t="shared" si="18"/>
        <v>0</v>
      </c>
      <c r="T106" s="31">
        <f t="shared" si="18"/>
        <v>0</v>
      </c>
      <c r="U106" s="31">
        <f t="shared" si="18"/>
        <v>0</v>
      </c>
      <c r="V106" s="31">
        <f t="shared" si="18"/>
        <v>0</v>
      </c>
      <c r="W106" s="31">
        <f t="shared" si="18"/>
        <v>0</v>
      </c>
      <c r="X106" s="31">
        <f t="shared" si="18"/>
        <v>0</v>
      </c>
      <c r="Y106" s="31">
        <f t="shared" si="18"/>
        <v>0</v>
      </c>
      <c r="Z106" s="31">
        <f t="shared" si="18"/>
        <v>0</v>
      </c>
      <c r="AA106" s="31">
        <f t="shared" si="18"/>
        <v>0</v>
      </c>
      <c r="AB106" s="31">
        <f t="shared" si="18"/>
        <v>0</v>
      </c>
      <c r="AC106" s="31">
        <f t="shared" si="18"/>
        <v>0</v>
      </c>
      <c r="AD106" s="31">
        <f t="shared" si="18"/>
        <v>0</v>
      </c>
      <c r="AE106" s="31">
        <f t="shared" si="18"/>
        <v>0</v>
      </c>
      <c r="AF106" s="31">
        <f t="shared" si="18"/>
        <v>0</v>
      </c>
      <c r="AG106" s="31">
        <f t="shared" si="18"/>
        <v>0</v>
      </c>
    </row>
    <row r="107" spans="1:43" x14ac:dyDescent="0.2">
      <c r="C107" s="1" t="s">
        <v>161</v>
      </c>
      <c r="D107"/>
      <c r="E107"/>
      <c r="F107"/>
      <c r="G107"/>
      <c r="I107" s="31">
        <f>I82</f>
        <v>0</v>
      </c>
      <c r="J107" s="31">
        <f t="shared" ref="J107:AG107" si="19">J82</f>
        <v>0</v>
      </c>
      <c r="K107" s="31">
        <f t="shared" si="19"/>
        <v>0</v>
      </c>
      <c r="L107" s="31">
        <f t="shared" si="19"/>
        <v>0</v>
      </c>
      <c r="M107" s="31">
        <f t="shared" si="19"/>
        <v>0</v>
      </c>
      <c r="N107" s="31">
        <f t="shared" si="19"/>
        <v>0</v>
      </c>
      <c r="O107" s="31">
        <f t="shared" si="19"/>
        <v>0</v>
      </c>
      <c r="P107" s="31">
        <f t="shared" si="19"/>
        <v>0</v>
      </c>
      <c r="Q107" s="31">
        <f t="shared" si="19"/>
        <v>0</v>
      </c>
      <c r="R107" s="31">
        <f t="shared" si="19"/>
        <v>0</v>
      </c>
      <c r="S107" s="31">
        <f t="shared" si="19"/>
        <v>0</v>
      </c>
      <c r="T107" s="31">
        <f t="shared" si="19"/>
        <v>0</v>
      </c>
      <c r="U107" s="31">
        <f t="shared" si="19"/>
        <v>0</v>
      </c>
      <c r="V107" s="31">
        <f t="shared" si="19"/>
        <v>0</v>
      </c>
      <c r="W107" s="31">
        <f t="shared" si="19"/>
        <v>0</v>
      </c>
      <c r="X107" s="31">
        <f t="shared" si="19"/>
        <v>0</v>
      </c>
      <c r="Y107" s="31">
        <f t="shared" si="19"/>
        <v>0</v>
      </c>
      <c r="Z107" s="31">
        <f t="shared" si="19"/>
        <v>0</v>
      </c>
      <c r="AA107" s="31">
        <f t="shared" si="19"/>
        <v>0</v>
      </c>
      <c r="AB107" s="31">
        <f t="shared" si="19"/>
        <v>0</v>
      </c>
      <c r="AC107" s="31">
        <f t="shared" si="19"/>
        <v>0</v>
      </c>
      <c r="AD107" s="31">
        <f t="shared" si="19"/>
        <v>0</v>
      </c>
      <c r="AE107" s="31">
        <f t="shared" si="19"/>
        <v>0</v>
      </c>
      <c r="AF107" s="31">
        <f t="shared" si="19"/>
        <v>0</v>
      </c>
      <c r="AG107" s="31">
        <f t="shared" si="19"/>
        <v>0</v>
      </c>
    </row>
    <row r="108" spans="1:43" x14ac:dyDescent="0.2">
      <c r="C108" s="1" t="s">
        <v>243</v>
      </c>
      <c r="D108"/>
      <c r="E108"/>
      <c r="F108"/>
      <c r="G108"/>
      <c r="I108" s="31">
        <f>SUM(I84:I85)</f>
        <v>0</v>
      </c>
      <c r="J108" s="31">
        <f t="shared" ref="J108:AG108" si="20">SUM(J84:J85)</f>
        <v>0</v>
      </c>
      <c r="K108" s="31">
        <f t="shared" si="20"/>
        <v>0</v>
      </c>
      <c r="L108" s="31">
        <f t="shared" si="20"/>
        <v>0</v>
      </c>
      <c r="M108" s="31">
        <f t="shared" si="20"/>
        <v>0</v>
      </c>
      <c r="N108" s="31">
        <f t="shared" si="20"/>
        <v>0</v>
      </c>
      <c r="O108" s="31">
        <f t="shared" si="20"/>
        <v>0</v>
      </c>
      <c r="P108" s="31">
        <f t="shared" si="20"/>
        <v>0</v>
      </c>
      <c r="Q108" s="31">
        <f t="shared" si="20"/>
        <v>0</v>
      </c>
      <c r="R108" s="31">
        <f t="shared" si="20"/>
        <v>0</v>
      </c>
      <c r="S108" s="31">
        <f t="shared" si="20"/>
        <v>0</v>
      </c>
      <c r="T108" s="31">
        <f t="shared" si="20"/>
        <v>0</v>
      </c>
      <c r="U108" s="31">
        <f t="shared" si="20"/>
        <v>0</v>
      </c>
      <c r="V108" s="31">
        <f t="shared" si="20"/>
        <v>0</v>
      </c>
      <c r="W108" s="31">
        <f t="shared" si="20"/>
        <v>0</v>
      </c>
      <c r="X108" s="31">
        <f t="shared" si="20"/>
        <v>0</v>
      </c>
      <c r="Y108" s="31">
        <f t="shared" si="20"/>
        <v>0</v>
      </c>
      <c r="Z108" s="31">
        <f t="shared" si="20"/>
        <v>0</v>
      </c>
      <c r="AA108" s="31">
        <f t="shared" si="20"/>
        <v>0</v>
      </c>
      <c r="AB108" s="31">
        <f t="shared" si="20"/>
        <v>0</v>
      </c>
      <c r="AC108" s="31">
        <f t="shared" si="20"/>
        <v>0</v>
      </c>
      <c r="AD108" s="31">
        <f t="shared" si="20"/>
        <v>0</v>
      </c>
      <c r="AE108" s="31">
        <f t="shared" si="20"/>
        <v>0</v>
      </c>
      <c r="AF108" s="31">
        <f t="shared" si="20"/>
        <v>0</v>
      </c>
      <c r="AG108" s="31">
        <f t="shared" si="20"/>
        <v>0</v>
      </c>
    </row>
    <row r="109" spans="1:43" x14ac:dyDescent="0.2">
      <c r="D109" s="302" t="str">
        <f>Assumptions!G114</f>
        <v>Capex</v>
      </c>
      <c r="E109" s="302" t="str">
        <f>Assumptions!H114</f>
        <v>Total benefits</v>
      </c>
      <c r="I109" s="243"/>
      <c r="J109" s="243"/>
      <c r="K109" s="243"/>
      <c r="L109" s="243"/>
      <c r="M109" s="243"/>
      <c r="N109" s="243"/>
      <c r="O109" s="243"/>
      <c r="P109" s="243"/>
      <c r="Q109" s="243"/>
      <c r="R109" s="243"/>
      <c r="S109" s="243"/>
      <c r="T109" s="243"/>
      <c r="U109" s="243"/>
      <c r="V109" s="243"/>
      <c r="W109" s="243"/>
      <c r="X109" s="243"/>
      <c r="Y109" s="243"/>
      <c r="Z109" s="243"/>
    </row>
    <row r="110" spans="1:43" x14ac:dyDescent="0.2">
      <c r="A110" s="1" t="str">
        <f>"sens"&amp;Assumptions!B115</f>
        <v>sens1</v>
      </c>
      <c r="C110" s="301" t="str">
        <f>Assumptions!C115</f>
        <v>Capex 10% higher</v>
      </c>
      <c r="D110" s="302">
        <f>Assumptions!G115</f>
        <v>0.1</v>
      </c>
      <c r="E110" s="302">
        <f>Assumptions!H115</f>
        <v>0</v>
      </c>
      <c r="G110" s="38" t="str">
        <f>PROPER($A$3)&amp;A110</f>
        <v>Option 5sens1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0</v>
      </c>
      <c r="N110" s="31" cm="1">
        <f t="array" ref="N110">N$106+IF($C110&lt;&gt;0,SUMPRODUCT((N$107:N$108)*TRANSPOSE(($D110:$E110))),0)</f>
        <v>0</v>
      </c>
      <c r="O110" s="31" cm="1">
        <f t="array" ref="O110">O$106+IF($C110&lt;&gt;0,SUMPRODUCT((O$107:O$108)*TRANSPOSE(($D110:$E110))),0)</f>
        <v>0</v>
      </c>
      <c r="P110" s="31" cm="1">
        <f t="array" ref="P110">P$106+IF($C110&lt;&gt;0,SUMPRODUCT((P$107:P$108)*TRANSPOSE(($D110:$E110))),0)</f>
        <v>0</v>
      </c>
      <c r="Q110" s="31" cm="1">
        <f t="array" ref="Q110">Q$106+IF($C110&lt;&gt;0,SUMPRODUCT((Q$107:Q$108)*TRANSPOSE(($D110:$E110))),0)</f>
        <v>0</v>
      </c>
      <c r="R110" s="31" cm="1">
        <f t="array" ref="R110">R$106+IF($C110&lt;&gt;0,SUMPRODUCT((R$107:R$108)*TRANSPOSE(($D110:$E110))),0)</f>
        <v>0</v>
      </c>
      <c r="S110" s="31" cm="1">
        <f t="array" ref="S110">S$106+IF($C110&lt;&gt;0,SUMPRODUCT((S$107:S$108)*TRANSPOSE(($D110:$E110))),0)</f>
        <v>0</v>
      </c>
      <c r="T110" s="31" cm="1">
        <f t="array" ref="T110">T$106+IF($C110&lt;&gt;0,SUMPRODUCT((T$107:T$108)*TRANSPOSE(($D110:$E110))),0)</f>
        <v>0</v>
      </c>
      <c r="U110" s="31" cm="1">
        <f t="array" ref="U110">U$106+IF($C110&lt;&gt;0,SUMPRODUCT((U$107:U$108)*TRANSPOSE(($D110:$E110))),0)</f>
        <v>0</v>
      </c>
      <c r="V110" s="31" cm="1">
        <f t="array" ref="V110">V$106+IF($C110&lt;&gt;0,SUMPRODUCT((V$107:V$108)*TRANSPOSE(($D110:$E110))),0)</f>
        <v>0</v>
      </c>
      <c r="W110" s="31" cm="1">
        <f t="array" ref="W110">W$106+IF($C110&lt;&gt;0,SUMPRODUCT((W$107:W$108)*TRANSPOSE(($D110:$E110))),0)</f>
        <v>0</v>
      </c>
      <c r="X110" s="31" cm="1">
        <f t="array" ref="X110">X$106+IF($C110&lt;&gt;0,SUMPRODUCT((X$107:X$108)*TRANSPOSE(($D110:$E110))),0)</f>
        <v>0</v>
      </c>
      <c r="Y110" s="31" cm="1">
        <f t="array" ref="Y110">Y$106+IF($C110&lt;&gt;0,SUMPRODUCT((Y$107:Y$108)*TRANSPOSE(($D110:$E110))),0)</f>
        <v>0</v>
      </c>
      <c r="Z110" s="31" cm="1">
        <f t="array" ref="Z110">Z$106+IF($C110&lt;&gt;0,SUMPRODUCT((Z$107:Z$108)*TRANSPOSE(($D110:$E110))),0)</f>
        <v>0</v>
      </c>
      <c r="AA110" s="31" cm="1">
        <f t="array" ref="AA110">AA$106+IF($C110&lt;&gt;0,SUMPRODUCT((AA$107:AA$108)*TRANSPOSE(($D110:$E110))),0)</f>
        <v>0</v>
      </c>
      <c r="AB110" s="31" cm="1">
        <f t="array" ref="AB110">AB$106+IF($C110&lt;&gt;0,SUMPRODUCT((AB$107:AB$108)*TRANSPOSE(($D110:$E110))),0)</f>
        <v>0</v>
      </c>
      <c r="AC110" s="31" cm="1">
        <f t="array" ref="AC110">AC$106+IF($C110&lt;&gt;0,SUMPRODUCT((AC$107:AC$108)*TRANSPOSE(($D110:$E110))),0)</f>
        <v>0</v>
      </c>
      <c r="AD110" s="31" cm="1">
        <f t="array" ref="AD110">AD$106+IF($C110&lt;&gt;0,SUMPRODUCT((AD$107:AD$108)*TRANSPOSE(($D110:$E110))),0)</f>
        <v>0</v>
      </c>
      <c r="AE110" s="31" cm="1">
        <f t="array" ref="AE110">AE$106+IF($C110&lt;&gt;0,SUMPRODUCT((AE$107:AE$108)*TRANSPOSE(($D110:$E110))),0)</f>
        <v>0</v>
      </c>
      <c r="AF110" s="31" cm="1">
        <f t="array" ref="AF110">AF$106+IF($C110&lt;&gt;0,SUMPRODUCT((AF$107:AF$108)*TRANSPOSE(($D110:$E110))),0)</f>
        <v>0</v>
      </c>
      <c r="AG110" s="31" cm="1">
        <f t="array" ref="AG110">AG$106+IF($C110&lt;&gt;0,SUMPRODUCT((AG$107:AG$108)*TRANSPOSE(($D110:$E110))),0)</f>
        <v>0</v>
      </c>
    </row>
    <row r="111" spans="1:43" x14ac:dyDescent="0.2">
      <c r="A111" s="1" t="str">
        <f>"sens"&amp;Assumptions!B116</f>
        <v>sens2</v>
      </c>
      <c r="C111" s="301" t="str">
        <f>Assumptions!C116</f>
        <v>Capex 10% lower</v>
      </c>
      <c r="D111" s="302">
        <f>Assumptions!G116</f>
        <v>-0.1</v>
      </c>
      <c r="E111" s="302">
        <f>Assumptions!H116</f>
        <v>0</v>
      </c>
      <c r="G111" s="38" t="str">
        <f t="shared" ref="G111:G117" si="21">PROPER($A$3)&amp;A111</f>
        <v>Option 5sens2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0</v>
      </c>
      <c r="N111" s="31" cm="1">
        <f t="array" ref="N111">N$106+IF($C111&lt;&gt;0,SUMPRODUCT((N$107:N$108)*TRANSPOSE(($D111:$E111))),0)</f>
        <v>0</v>
      </c>
      <c r="O111" s="31" cm="1">
        <f t="array" ref="O111">O$106+IF($C111&lt;&gt;0,SUMPRODUCT((O$107:O$108)*TRANSPOSE(($D111:$E111))),0)</f>
        <v>0</v>
      </c>
      <c r="P111" s="31" cm="1">
        <f t="array" ref="P111">P$106+IF($C111&lt;&gt;0,SUMPRODUCT((P$107:P$108)*TRANSPOSE(($D111:$E111))),0)</f>
        <v>0</v>
      </c>
      <c r="Q111" s="31" cm="1">
        <f t="array" ref="Q111">Q$106+IF($C111&lt;&gt;0,SUMPRODUCT((Q$107:Q$108)*TRANSPOSE(($D111:$E111))),0)</f>
        <v>0</v>
      </c>
      <c r="R111" s="31" cm="1">
        <f t="array" ref="R111">R$106+IF($C111&lt;&gt;0,SUMPRODUCT((R$107:R$108)*TRANSPOSE(($D111:$E111))),0)</f>
        <v>0</v>
      </c>
      <c r="S111" s="31" cm="1">
        <f t="array" ref="S111">S$106+IF($C111&lt;&gt;0,SUMPRODUCT((S$107:S$108)*TRANSPOSE(($D111:$E111))),0)</f>
        <v>0</v>
      </c>
      <c r="T111" s="31" cm="1">
        <f t="array" ref="T111">T$106+IF($C111&lt;&gt;0,SUMPRODUCT((T$107:T$108)*TRANSPOSE(($D111:$E111))),0)</f>
        <v>0</v>
      </c>
      <c r="U111" s="31" cm="1">
        <f t="array" ref="U111">U$106+IF($C111&lt;&gt;0,SUMPRODUCT((U$107:U$108)*TRANSPOSE(($D111:$E111))),0)</f>
        <v>0</v>
      </c>
      <c r="V111" s="31" cm="1">
        <f t="array" ref="V111">V$106+IF($C111&lt;&gt;0,SUMPRODUCT((V$107:V$108)*TRANSPOSE(($D111:$E111))),0)</f>
        <v>0</v>
      </c>
      <c r="W111" s="31" cm="1">
        <f t="array" ref="W111">W$106+IF($C111&lt;&gt;0,SUMPRODUCT((W$107:W$108)*TRANSPOSE(($D111:$E111))),0)</f>
        <v>0</v>
      </c>
      <c r="X111" s="31" cm="1">
        <f t="array" ref="X111">X$106+IF($C111&lt;&gt;0,SUMPRODUCT((X$107:X$108)*TRANSPOSE(($D111:$E111))),0)</f>
        <v>0</v>
      </c>
      <c r="Y111" s="31" cm="1">
        <f t="array" ref="Y111">Y$106+IF($C111&lt;&gt;0,SUMPRODUCT((Y$107:Y$108)*TRANSPOSE(($D111:$E111))),0)</f>
        <v>0</v>
      </c>
      <c r="Z111" s="31" cm="1">
        <f t="array" ref="Z111">Z$106+IF($C111&lt;&gt;0,SUMPRODUCT((Z$107:Z$108)*TRANSPOSE(($D111:$E111))),0)</f>
        <v>0</v>
      </c>
      <c r="AA111" s="31" cm="1">
        <f t="array" ref="AA111">AA$106+IF($C111&lt;&gt;0,SUMPRODUCT((AA$107:AA$108)*TRANSPOSE(($D111:$E111))),0)</f>
        <v>0</v>
      </c>
      <c r="AB111" s="31" cm="1">
        <f t="array" ref="AB111">AB$106+IF($C111&lt;&gt;0,SUMPRODUCT((AB$107:AB$108)*TRANSPOSE(($D111:$E111))),0)</f>
        <v>0</v>
      </c>
      <c r="AC111" s="31" cm="1">
        <f t="array" ref="AC111">AC$106+IF($C111&lt;&gt;0,SUMPRODUCT((AC$107:AC$108)*TRANSPOSE(($D111:$E111))),0)</f>
        <v>0</v>
      </c>
      <c r="AD111" s="31" cm="1">
        <f t="array" ref="AD111">AD$106+IF($C111&lt;&gt;0,SUMPRODUCT((AD$107:AD$108)*TRANSPOSE(($D111:$E111))),0)</f>
        <v>0</v>
      </c>
      <c r="AE111" s="31" cm="1">
        <f t="array" ref="AE111">AE$106+IF($C111&lt;&gt;0,SUMPRODUCT((AE$107:AE$108)*TRANSPOSE(($D111:$E111))),0)</f>
        <v>0</v>
      </c>
      <c r="AF111" s="31" cm="1">
        <f t="array" ref="AF111">AF$106+IF($C111&lt;&gt;0,SUMPRODUCT((AF$107:AF$108)*TRANSPOSE(($D111:$E111))),0)</f>
        <v>0</v>
      </c>
      <c r="AG111" s="31" cm="1">
        <f t="array" ref="AG111">AG$106+IF($C111&lt;&gt;0,SUMPRODUCT((AG$107:AG$108)*TRANSPOSE(($D111:$E111))),0)</f>
        <v>0</v>
      </c>
    </row>
    <row r="112" spans="1:43" x14ac:dyDescent="0.2">
      <c r="A112" s="1" t="str">
        <f>"sens"&amp;Assumptions!B117</f>
        <v>sens3</v>
      </c>
      <c r="C112" s="301" t="str">
        <f>Assumptions!C117</f>
        <v>Increasing wind escalation</v>
      </c>
      <c r="D112" s="302">
        <f>Assumptions!G117</f>
        <v>0</v>
      </c>
      <c r="E112" s="302">
        <f>Assumptions!H117</f>
        <v>0.15</v>
      </c>
      <c r="G112" s="38" t="str">
        <f t="shared" si="21"/>
        <v>Option 5sens3</v>
      </c>
      <c r="I112" s="335">
        <f>IF(I106&lt;&gt;0, I106+SUM(Workings_risks!$F$19*Workings_risks!I27*$E$112/20,Workings_risks!I26*Workings_risks!$F$18)*Workings_risks!$F$13*Workings_risks!I8*$E$28,0)</f>
        <v>0</v>
      </c>
      <c r="J112" s="335">
        <f>IF(J106&lt;&gt;0, J106+SUM(Workings_risks!$F$19*Workings_risks!J27*$E$112/20,Workings_risks!J26*Workings_risks!$F$18)*Workings_risks!$F$13*Workings_risks!J8*$E$28,0)</f>
        <v>0</v>
      </c>
      <c r="K112" s="335">
        <f>IF(K106&lt;&gt;0, K106+SUM(Workings_risks!$F$19*Workings_risks!K27*$E$112/20,Workings_risks!K26*Workings_risks!$F$18)*Workings_risks!$F$13*Workings_risks!K8*$E$28,0)</f>
        <v>0</v>
      </c>
      <c r="L112" s="335">
        <f>IF(L106&lt;&gt;0, L106+SUM(Workings_risks!$F$19*Workings_risks!L27*$E$112/20,Workings_risks!L26*Workings_risks!$F$18)*Workings_risks!$F$13*Workings_risks!L8*$E$28,0)</f>
        <v>0</v>
      </c>
      <c r="M112" s="335">
        <f>IF(M106&lt;&gt;0, M106+SUM(Workings_risks!$F$19*Workings_risks!M27*$E$112/20,Workings_risks!M26*Workings_risks!$F$18)*Workings_risks!$F$13*Workings_risks!M8*$E$28,0)</f>
        <v>0</v>
      </c>
      <c r="N112" s="335">
        <f>IF(N106&lt;&gt;0, N106+SUM(Workings_risks!$F$19*Workings_risks!N27*$E$112/20,Workings_risks!N26*Workings_risks!$F$18)*Workings_risks!$F$13*Workings_risks!N8*$E$28,0)</f>
        <v>0</v>
      </c>
      <c r="O112" s="335">
        <f>IF(O106&lt;&gt;0, O106+SUM(Workings_risks!$F$19*Workings_risks!O27*$E$112/20,Workings_risks!O26*Workings_risks!$F$18)*Workings_risks!$F$13*Workings_risks!O8*$E$28,0)</f>
        <v>0</v>
      </c>
      <c r="P112" s="335">
        <f>IF(P106&lt;&gt;0, P106+SUM(Workings_risks!$F$19*Workings_risks!P27*$E$112/20,Workings_risks!P26*Workings_risks!$F$18)*Workings_risks!$F$13*Workings_risks!P8*$E$28,0)</f>
        <v>0</v>
      </c>
      <c r="Q112" s="335">
        <f>IF(Q106&lt;&gt;0, Q106+SUM(Workings_risks!$F$19*Workings_risks!Q27*$E$112/20,Workings_risks!Q26*Workings_risks!$F$18)*Workings_risks!$F$13*Workings_risks!Q8*$E$28,0)</f>
        <v>0</v>
      </c>
      <c r="R112" s="335">
        <f>IF(R106&lt;&gt;0, R106+SUM(Workings_risks!$F$19*Workings_risks!R27*$E$112/20,Workings_risks!R26*Workings_risks!$F$18)*Workings_risks!$F$13*Workings_risks!R8*$E$28,0)</f>
        <v>0</v>
      </c>
      <c r="S112" s="335">
        <f>IF(S106&lt;&gt;0, S106+SUM(Workings_risks!$F$19*Workings_risks!S27*$E$112/20,Workings_risks!S26*Workings_risks!$F$18)*Workings_risks!$F$13*Workings_risks!S8*$E$28,0)</f>
        <v>0</v>
      </c>
      <c r="T112" s="335">
        <f>IF(T106&lt;&gt;0, T106+SUM(Workings_risks!$F$19*Workings_risks!T27*$E$112/20,Workings_risks!T26*Workings_risks!$F$18)*Workings_risks!$F$13*Workings_risks!T8*$E$28,0)</f>
        <v>0</v>
      </c>
      <c r="U112" s="335">
        <f>IF(U106&lt;&gt;0, U106+SUM(Workings_risks!$F$19*Workings_risks!U27*$E$112/20,Workings_risks!U26*Workings_risks!$F$18)*Workings_risks!$F$13*Workings_risks!U8*$E$28,0)</f>
        <v>0</v>
      </c>
      <c r="V112" s="335">
        <f>IF(V106&lt;&gt;0, V106+SUM(Workings_risks!$F$19*Workings_risks!V27*$E$112/20,Workings_risks!V26*Workings_risks!$F$18)*Workings_risks!$F$13*Workings_risks!V8*$E$28,0)</f>
        <v>0</v>
      </c>
      <c r="W112" s="335">
        <f>IF(W106&lt;&gt;0, W106+SUM(Workings_risks!$F$19*Workings_risks!W27*$E$112/20,Workings_risks!W26*Workings_risks!$F$18)*Workings_risks!$F$13*Workings_risks!W8*$E$28,0)</f>
        <v>0</v>
      </c>
      <c r="X112" s="335">
        <f>IF(X106&lt;&gt;0, X106+SUM(Workings_risks!$F$19*Workings_risks!X27*$E$112/20,Workings_risks!X26*Workings_risks!$F$18)*Workings_risks!$F$13*Workings_risks!X8*$E$28,0)</f>
        <v>0</v>
      </c>
      <c r="Y112" s="335">
        <f>IF(Y106&lt;&gt;0, Y106+SUM(Workings_risks!$F$19*Workings_risks!Y27*$E$112/20,Workings_risks!Y26*Workings_risks!$F$18)*Workings_risks!$F$13*Workings_risks!Y8*$E$28,0)</f>
        <v>0</v>
      </c>
      <c r="Z112" s="335">
        <f>IF(Z106&lt;&gt;0, Z106+SUM(Workings_risks!$F$19*Workings_risks!Z27*$E$112/20,Workings_risks!Z26*Workings_risks!$F$18)*Workings_risks!$F$13*Workings_risks!Z8*$E$28,0)</f>
        <v>0</v>
      </c>
      <c r="AA112" s="335">
        <f>IF(AA106&lt;&gt;0, AA106+SUM(Workings_risks!$F$19*Workings_risks!AA27*$E$112/20,Workings_risks!AA26*Workings_risks!$F$18)*Workings_risks!$F$13*Workings_risks!AA8*$E$28,0)</f>
        <v>0</v>
      </c>
      <c r="AB112" s="335">
        <f>IF(AB106&lt;&gt;0, AB106+SUM(Workings_risks!$F$19*Workings_risks!AB27*$E$112/20,Workings_risks!AB26*Workings_risks!$F$18)*Workings_risks!$F$13*Workings_risks!AB8*$E$28,0)</f>
        <v>0</v>
      </c>
      <c r="AC112" s="335">
        <f>IF(AC106&lt;&gt;0, AC106+SUM(Workings_risks!$F$19*Workings_risks!AC27*$E$112/20,Workings_risks!AC26*Workings_risks!$F$18)*Workings_risks!$F$13*Workings_risks!AC8*$E$28,0)</f>
        <v>0</v>
      </c>
      <c r="AD112" s="335">
        <f>IF(AD106&lt;&gt;0, AD106+SUM(Workings_risks!$F$19*Workings_risks!AD27*$E$112/20,Workings_risks!AD26*Workings_risks!$F$18)*Workings_risks!$F$13*Workings_risks!AD8*$E$28,0)</f>
        <v>0</v>
      </c>
      <c r="AE112" s="335">
        <f>IF(AE106&lt;&gt;0, AE106+SUM(Workings_risks!$F$19*Workings_risks!AE27*$E$112/20,Workings_risks!AE26*Workings_risks!$F$18)*Workings_risks!$F$13*Workings_risks!AE8*$E$28,0)</f>
        <v>0</v>
      </c>
      <c r="AF112" s="335">
        <f>IF(AF106&lt;&gt;0, AF106+SUM(Workings_risks!$F$19*Workings_risks!AF27*$E$112/20,Workings_risks!AF26*Workings_risks!$F$18)*Workings_risks!$F$13*Workings_risks!AF8*$E$28,0)</f>
        <v>0</v>
      </c>
      <c r="AG112" s="335">
        <f>IF(AG106&lt;&gt;0, AG106+SUM(Workings_risks!$F$19*Workings_risks!AG27*$E$112/20,Workings_risks!AG26*Workings_risks!$F$18)*Workings_risks!$F$13*Workings_risks!AG8*$E$28,0)</f>
        <v>0</v>
      </c>
    </row>
    <row r="113" spans="1:33" x14ac:dyDescent="0.2">
      <c r="A113" s="1" t="str">
        <f>"sens"&amp;Assumptions!B118</f>
        <v>sens4</v>
      </c>
      <c r="C113" s="301" t="str">
        <f>Assumptions!C118</f>
        <v/>
      </c>
      <c r="D113" s="302">
        <f>Assumptions!G118</f>
        <v>0</v>
      </c>
      <c r="E113" s="302">
        <f>Assumptions!H118</f>
        <v>0</v>
      </c>
      <c r="G113" s="38" t="str">
        <f t="shared" si="21"/>
        <v>Option 5sens4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0</v>
      </c>
      <c r="N113" s="31" cm="1">
        <f t="array" ref="N113">N$106+IF($C113&lt;&gt;0,SUMPRODUCT((N$107:N$108)*TRANSPOSE(($D113:$E113))),0)</f>
        <v>0</v>
      </c>
      <c r="O113" s="31" cm="1">
        <f t="array" ref="O113">O$106+IF($C113&lt;&gt;0,SUMPRODUCT((O$107:O$108)*TRANSPOSE(($D113:$E113))),0)</f>
        <v>0</v>
      </c>
      <c r="P113" s="31" cm="1">
        <f t="array" ref="P113">P$106+IF($C113&lt;&gt;0,SUMPRODUCT((P$107:P$108)*TRANSPOSE(($D113:$E113))),0)</f>
        <v>0</v>
      </c>
      <c r="Q113" s="31" cm="1">
        <f t="array" ref="Q113">Q$106+IF($C113&lt;&gt;0,SUMPRODUCT((Q$107:Q$108)*TRANSPOSE(($D113:$E113))),0)</f>
        <v>0</v>
      </c>
      <c r="R113" s="31" cm="1">
        <f t="array" ref="R113">R$106+IF($C113&lt;&gt;0,SUMPRODUCT((R$107:R$108)*TRANSPOSE(($D113:$E113))),0)</f>
        <v>0</v>
      </c>
      <c r="S113" s="31" cm="1">
        <f t="array" ref="S113">S$106+IF($C113&lt;&gt;0,SUMPRODUCT((S$107:S$108)*TRANSPOSE(($D113:$E113))),0)</f>
        <v>0</v>
      </c>
      <c r="T113" s="31" cm="1">
        <f t="array" ref="T113">T$106+IF($C113&lt;&gt;0,SUMPRODUCT((T$107:T$108)*TRANSPOSE(($D113:$E113))),0)</f>
        <v>0</v>
      </c>
      <c r="U113" s="31" cm="1">
        <f t="array" ref="U113">U$106+IF($C113&lt;&gt;0,SUMPRODUCT((U$107:U$108)*TRANSPOSE(($D113:$E113))),0)</f>
        <v>0</v>
      </c>
      <c r="V113" s="31" cm="1">
        <f t="array" ref="V113">V$106+IF($C113&lt;&gt;0,SUMPRODUCT((V$107:V$108)*TRANSPOSE(($D113:$E113))),0)</f>
        <v>0</v>
      </c>
      <c r="W113" s="31" cm="1">
        <f t="array" ref="W113">W$106+IF($C113&lt;&gt;0,SUMPRODUCT((W$107:W$108)*TRANSPOSE(($D113:$E113))),0)</f>
        <v>0</v>
      </c>
      <c r="X113" s="31" cm="1">
        <f t="array" ref="X113">X$106+IF($C113&lt;&gt;0,SUMPRODUCT((X$107:X$108)*TRANSPOSE(($D113:$E113))),0)</f>
        <v>0</v>
      </c>
      <c r="Y113" s="31" cm="1">
        <f t="array" ref="Y113">Y$106+IF($C113&lt;&gt;0,SUMPRODUCT((Y$107:Y$108)*TRANSPOSE(($D113:$E113))),0)</f>
        <v>0</v>
      </c>
      <c r="Z113" s="31" cm="1">
        <f t="array" ref="Z113">Z$106+IF($C113&lt;&gt;0,SUMPRODUCT((Z$107:Z$108)*TRANSPOSE(($D113:$E113))),0)</f>
        <v>0</v>
      </c>
      <c r="AA113" s="31" cm="1">
        <f t="array" ref="AA113">AA$106+IF($C113&lt;&gt;0,SUMPRODUCT((AA$107:AA$108)*TRANSPOSE(($D113:$E113))),0)</f>
        <v>0</v>
      </c>
      <c r="AB113" s="31" cm="1">
        <f t="array" ref="AB113">AB$106+IF($C113&lt;&gt;0,SUMPRODUCT((AB$107:AB$108)*TRANSPOSE(($D113:$E113))),0)</f>
        <v>0</v>
      </c>
      <c r="AC113" s="31" cm="1">
        <f t="array" ref="AC113">AC$106+IF($C113&lt;&gt;0,SUMPRODUCT((AC$107:AC$108)*TRANSPOSE(($D113:$E113))),0)</f>
        <v>0</v>
      </c>
      <c r="AD113" s="31" cm="1">
        <f t="array" ref="AD113">AD$106+IF($C113&lt;&gt;0,SUMPRODUCT((AD$107:AD$108)*TRANSPOSE(($D113:$E113))),0)</f>
        <v>0</v>
      </c>
      <c r="AE113" s="31" cm="1">
        <f t="array" ref="AE113">AE$106+IF($C113&lt;&gt;0,SUMPRODUCT((AE$107:AE$108)*TRANSPOSE(($D113:$E113))),0)</f>
        <v>0</v>
      </c>
      <c r="AF113" s="31" cm="1">
        <f t="array" ref="AF113">AF$106+IF($C113&lt;&gt;0,SUMPRODUCT((AF$107:AF$108)*TRANSPOSE(($D113:$E113))),0)</f>
        <v>0</v>
      </c>
      <c r="AG113" s="31" cm="1">
        <f t="array" ref="AG113">AG$106+IF($C113&lt;&gt;0,SUMPRODUCT((AG$107:AG$108)*TRANSPOSE(($D113:$E113))),0)</f>
        <v>0</v>
      </c>
    </row>
    <row r="114" spans="1:33" x14ac:dyDescent="0.2">
      <c r="A114" s="1" t="str">
        <f>"sens"&amp;Assumptions!B119</f>
        <v>sens5</v>
      </c>
      <c r="C114" s="301" t="str">
        <f>Assumptions!C119</f>
        <v/>
      </c>
      <c r="D114" s="302">
        <f>Assumptions!G119</f>
        <v>0</v>
      </c>
      <c r="E114" s="302">
        <f>Assumptions!H119</f>
        <v>0</v>
      </c>
      <c r="G114" s="38" t="str">
        <f t="shared" si="21"/>
        <v>Option 5sens5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0</v>
      </c>
      <c r="N114" s="31" cm="1">
        <f t="array" ref="N114">N$106+IF($C114&lt;&gt;0,SUMPRODUCT((N$107:N$108)*TRANSPOSE(($D114:$E114))),0)</f>
        <v>0</v>
      </c>
      <c r="O114" s="31" cm="1">
        <f t="array" ref="O114">O$106+IF($C114&lt;&gt;0,SUMPRODUCT((O$107:O$108)*TRANSPOSE(($D114:$E114))),0)</f>
        <v>0</v>
      </c>
      <c r="P114" s="31" cm="1">
        <f t="array" ref="P114">P$106+IF($C114&lt;&gt;0,SUMPRODUCT((P$107:P$108)*TRANSPOSE(($D114:$E114))),0)</f>
        <v>0</v>
      </c>
      <c r="Q114" s="31" cm="1">
        <f t="array" ref="Q114">Q$106+IF($C114&lt;&gt;0,SUMPRODUCT((Q$107:Q$108)*TRANSPOSE(($D114:$E114))),0)</f>
        <v>0</v>
      </c>
      <c r="R114" s="31" cm="1">
        <f t="array" ref="R114">R$106+IF($C114&lt;&gt;0,SUMPRODUCT((R$107:R$108)*TRANSPOSE(($D114:$E114))),0)</f>
        <v>0</v>
      </c>
      <c r="S114" s="31" cm="1">
        <f t="array" ref="S114">S$106+IF($C114&lt;&gt;0,SUMPRODUCT((S$107:S$108)*TRANSPOSE(($D114:$E114))),0)</f>
        <v>0</v>
      </c>
      <c r="T114" s="31" cm="1">
        <f t="array" ref="T114">T$106+IF($C114&lt;&gt;0,SUMPRODUCT((T$107:T$108)*TRANSPOSE(($D114:$E114))),0)</f>
        <v>0</v>
      </c>
      <c r="U114" s="31" cm="1">
        <f t="array" ref="U114">U$106+IF($C114&lt;&gt;0,SUMPRODUCT((U$107:U$108)*TRANSPOSE(($D114:$E114))),0)</f>
        <v>0</v>
      </c>
      <c r="V114" s="31" cm="1">
        <f t="array" ref="V114">V$106+IF($C114&lt;&gt;0,SUMPRODUCT((V$107:V$108)*TRANSPOSE(($D114:$E114))),0)</f>
        <v>0</v>
      </c>
      <c r="W114" s="31" cm="1">
        <f t="array" ref="W114">W$106+IF($C114&lt;&gt;0,SUMPRODUCT((W$107:W$108)*TRANSPOSE(($D114:$E114))),0)</f>
        <v>0</v>
      </c>
      <c r="X114" s="31" cm="1">
        <f t="array" ref="X114">X$106+IF($C114&lt;&gt;0,SUMPRODUCT((X$107:X$108)*TRANSPOSE(($D114:$E114))),0)</f>
        <v>0</v>
      </c>
      <c r="Y114" s="31" cm="1">
        <f t="array" ref="Y114">Y$106+IF($C114&lt;&gt;0,SUMPRODUCT((Y$107:Y$108)*TRANSPOSE(($D114:$E114))),0)</f>
        <v>0</v>
      </c>
      <c r="Z114" s="31" cm="1">
        <f t="array" ref="Z114">Z$106+IF($C114&lt;&gt;0,SUMPRODUCT((Z$107:Z$108)*TRANSPOSE(($D114:$E114))),0)</f>
        <v>0</v>
      </c>
      <c r="AA114" s="31" cm="1">
        <f t="array" ref="AA114">AA$106+IF($C114&lt;&gt;0,SUMPRODUCT((AA$107:AA$108)*TRANSPOSE(($D114:$E114))),0)</f>
        <v>0</v>
      </c>
      <c r="AB114" s="31" cm="1">
        <f t="array" ref="AB114">AB$106+IF($C114&lt;&gt;0,SUMPRODUCT((AB$107:AB$108)*TRANSPOSE(($D114:$E114))),0)</f>
        <v>0</v>
      </c>
      <c r="AC114" s="31" cm="1">
        <f t="array" ref="AC114">AC$106+IF($C114&lt;&gt;0,SUMPRODUCT((AC$107:AC$108)*TRANSPOSE(($D114:$E114))),0)</f>
        <v>0</v>
      </c>
      <c r="AD114" s="31" cm="1">
        <f t="array" ref="AD114">AD$106+IF($C114&lt;&gt;0,SUMPRODUCT((AD$107:AD$108)*TRANSPOSE(($D114:$E114))),0)</f>
        <v>0</v>
      </c>
      <c r="AE114" s="31" cm="1">
        <f t="array" ref="AE114">AE$106+IF($C114&lt;&gt;0,SUMPRODUCT((AE$107:AE$108)*TRANSPOSE(($D114:$E114))),0)</f>
        <v>0</v>
      </c>
      <c r="AF114" s="31" cm="1">
        <f t="array" ref="AF114">AF$106+IF($C114&lt;&gt;0,SUMPRODUCT((AF$107:AF$108)*TRANSPOSE(($D114:$E114))),0)</f>
        <v>0</v>
      </c>
      <c r="AG114" s="31" cm="1">
        <f t="array" ref="AG114">AG$106+IF($C114&lt;&gt;0,SUMPRODUCT((AG$107:AG$108)*TRANSPOSE(($D114:$E114))),0)</f>
        <v>0</v>
      </c>
    </row>
    <row r="115" spans="1:33" x14ac:dyDescent="0.2">
      <c r="A115" s="1" t="str">
        <f>"sens"&amp;Assumptions!B120</f>
        <v>sens</v>
      </c>
      <c r="C115" s="301">
        <f>Assumptions!C120</f>
        <v>0</v>
      </c>
      <c r="D115" s="302">
        <f>Assumptions!G120</f>
        <v>0</v>
      </c>
      <c r="E115" s="302">
        <f>Assumptions!H120</f>
        <v>0</v>
      </c>
      <c r="G115" s="38" t="str">
        <f t="shared" si="21"/>
        <v>Option 5sens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0</v>
      </c>
      <c r="N115" s="31" cm="1">
        <f t="array" ref="N115">N$106+IF($C115&lt;&gt;0,SUMPRODUCT((N$107:N$108)*TRANSPOSE(($D115:$E115))),0)</f>
        <v>0</v>
      </c>
      <c r="O115" s="31" cm="1">
        <f t="array" ref="O115">O$106+IF($C115&lt;&gt;0,SUMPRODUCT((O$107:O$108)*TRANSPOSE(($D115:$E115))),0)</f>
        <v>0</v>
      </c>
      <c r="P115" s="31" cm="1">
        <f t="array" ref="P115">P$106+IF($C115&lt;&gt;0,SUMPRODUCT((P$107:P$108)*TRANSPOSE(($D115:$E115))),0)</f>
        <v>0</v>
      </c>
      <c r="Q115" s="31" cm="1">
        <f t="array" ref="Q115">Q$106+IF($C115&lt;&gt;0,SUMPRODUCT((Q$107:Q$108)*TRANSPOSE(($D115:$E115))),0)</f>
        <v>0</v>
      </c>
      <c r="R115" s="31" cm="1">
        <f t="array" ref="R115">R$106+IF($C115&lt;&gt;0,SUMPRODUCT((R$107:R$108)*TRANSPOSE(($D115:$E115))),0)</f>
        <v>0</v>
      </c>
      <c r="S115" s="31" cm="1">
        <f t="array" ref="S115">S$106+IF($C115&lt;&gt;0,SUMPRODUCT((S$107:S$108)*TRANSPOSE(($D115:$E115))),0)</f>
        <v>0</v>
      </c>
      <c r="T115" s="31" cm="1">
        <f t="array" ref="T115">T$106+IF($C115&lt;&gt;0,SUMPRODUCT((T$107:T$108)*TRANSPOSE(($D115:$E115))),0)</f>
        <v>0</v>
      </c>
      <c r="U115" s="31" cm="1">
        <f t="array" ref="U115">U$106+IF($C115&lt;&gt;0,SUMPRODUCT((U$107:U$108)*TRANSPOSE(($D115:$E115))),0)</f>
        <v>0</v>
      </c>
      <c r="V115" s="31" cm="1">
        <f t="array" ref="V115">V$106+IF($C115&lt;&gt;0,SUMPRODUCT((V$107:V$108)*TRANSPOSE(($D115:$E115))),0)</f>
        <v>0</v>
      </c>
      <c r="W115" s="31" cm="1">
        <f t="array" ref="W115">W$106+IF($C115&lt;&gt;0,SUMPRODUCT((W$107:W$108)*TRANSPOSE(($D115:$E115))),0)</f>
        <v>0</v>
      </c>
      <c r="X115" s="31" cm="1">
        <f t="array" ref="X115">X$106+IF($C115&lt;&gt;0,SUMPRODUCT((X$107:X$108)*TRANSPOSE(($D115:$E115))),0)</f>
        <v>0</v>
      </c>
      <c r="Y115" s="31" cm="1">
        <f t="array" ref="Y115">Y$106+IF($C115&lt;&gt;0,SUMPRODUCT((Y$107:Y$108)*TRANSPOSE(($D115:$E115))),0)</f>
        <v>0</v>
      </c>
      <c r="Z115" s="31" cm="1">
        <f t="array" ref="Z115">Z$106+IF($C115&lt;&gt;0,SUMPRODUCT((Z$107:Z$108)*TRANSPOSE(($D115:$E115))),0)</f>
        <v>0</v>
      </c>
      <c r="AA115" s="31" cm="1">
        <f t="array" ref="AA115">AA$106+IF($C115&lt;&gt;0,SUMPRODUCT((AA$107:AA$108)*TRANSPOSE(($D115:$E115))),0)</f>
        <v>0</v>
      </c>
      <c r="AB115" s="31" cm="1">
        <f t="array" ref="AB115">AB$106+IF($C115&lt;&gt;0,SUMPRODUCT((AB$107:AB$108)*TRANSPOSE(($D115:$E115))),0)</f>
        <v>0</v>
      </c>
      <c r="AC115" s="31" cm="1">
        <f t="array" ref="AC115">AC$106+IF($C115&lt;&gt;0,SUMPRODUCT((AC$107:AC$108)*TRANSPOSE(($D115:$E115))),0)</f>
        <v>0</v>
      </c>
      <c r="AD115" s="31" cm="1">
        <f t="array" ref="AD115">AD$106+IF($C115&lt;&gt;0,SUMPRODUCT((AD$107:AD$108)*TRANSPOSE(($D115:$E115))),0)</f>
        <v>0</v>
      </c>
      <c r="AE115" s="31" cm="1">
        <f t="array" ref="AE115">AE$106+IF($C115&lt;&gt;0,SUMPRODUCT((AE$107:AE$108)*TRANSPOSE(($D115:$E115))),0)</f>
        <v>0</v>
      </c>
      <c r="AF115" s="31" cm="1">
        <f t="array" ref="AF115">AF$106+IF($C115&lt;&gt;0,SUMPRODUCT((AF$107:AF$108)*TRANSPOSE(($D115:$E115))),0)</f>
        <v>0</v>
      </c>
      <c r="AG115" s="31" cm="1">
        <f t="array" ref="AG115">AG$106+IF($C115&lt;&gt;0,SUMPRODUCT((AG$107:AG$108)*TRANSPOSE(($D115:$E115))),0)</f>
        <v>0</v>
      </c>
    </row>
    <row r="116" spans="1:33" x14ac:dyDescent="0.2">
      <c r="A116" s="1" t="str">
        <f>"sens"&amp;Assumptions!B121</f>
        <v>sens</v>
      </c>
      <c r="C116" s="301">
        <f>Assumptions!C121</f>
        <v>0</v>
      </c>
      <c r="D116" s="302">
        <f>Assumptions!G121</f>
        <v>0</v>
      </c>
      <c r="E116" s="302">
        <f>Assumptions!H121</f>
        <v>0</v>
      </c>
      <c r="G116" s="38" t="str">
        <f t="shared" si="21"/>
        <v>Option 5sens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0</v>
      </c>
      <c r="N116" s="31" cm="1">
        <f t="array" ref="N116">N$106+IF($C116&lt;&gt;0,SUMPRODUCT((N$107:N$108)*TRANSPOSE(($D116:$E116))),0)</f>
        <v>0</v>
      </c>
      <c r="O116" s="31" cm="1">
        <f t="array" ref="O116">O$106+IF($C116&lt;&gt;0,SUMPRODUCT((O$107:O$108)*TRANSPOSE(($D116:$E116))),0)</f>
        <v>0</v>
      </c>
      <c r="P116" s="31" cm="1">
        <f t="array" ref="P116">P$106+IF($C116&lt;&gt;0,SUMPRODUCT((P$107:P$108)*TRANSPOSE(($D116:$E116))),0)</f>
        <v>0</v>
      </c>
      <c r="Q116" s="31" cm="1">
        <f t="array" ref="Q116">Q$106+IF($C116&lt;&gt;0,SUMPRODUCT((Q$107:Q$108)*TRANSPOSE(($D116:$E116))),0)</f>
        <v>0</v>
      </c>
      <c r="R116" s="31" cm="1">
        <f t="array" ref="R116">R$106+IF($C116&lt;&gt;0,SUMPRODUCT((R$107:R$108)*TRANSPOSE(($D116:$E116))),0)</f>
        <v>0</v>
      </c>
      <c r="S116" s="31" cm="1">
        <f t="array" ref="S116">S$106+IF($C116&lt;&gt;0,SUMPRODUCT((S$107:S$108)*TRANSPOSE(($D116:$E116))),0)</f>
        <v>0</v>
      </c>
      <c r="T116" s="31" cm="1">
        <f t="array" ref="T116">T$106+IF($C116&lt;&gt;0,SUMPRODUCT((T$107:T$108)*TRANSPOSE(($D116:$E116))),0)</f>
        <v>0</v>
      </c>
      <c r="U116" s="31" cm="1">
        <f t="array" ref="U116">U$106+IF($C116&lt;&gt;0,SUMPRODUCT((U$107:U$108)*TRANSPOSE(($D116:$E116))),0)</f>
        <v>0</v>
      </c>
      <c r="V116" s="31" cm="1">
        <f t="array" ref="V116">V$106+IF($C116&lt;&gt;0,SUMPRODUCT((V$107:V$108)*TRANSPOSE(($D116:$E116))),0)</f>
        <v>0</v>
      </c>
      <c r="W116" s="31" cm="1">
        <f t="array" ref="W116">W$106+IF($C116&lt;&gt;0,SUMPRODUCT((W$107:W$108)*TRANSPOSE(($D116:$E116))),0)</f>
        <v>0</v>
      </c>
      <c r="X116" s="31" cm="1">
        <f t="array" ref="X116">X$106+IF($C116&lt;&gt;0,SUMPRODUCT((X$107:X$108)*TRANSPOSE(($D116:$E116))),0)</f>
        <v>0</v>
      </c>
      <c r="Y116" s="31" cm="1">
        <f t="array" ref="Y116">Y$106+IF($C116&lt;&gt;0,SUMPRODUCT((Y$107:Y$108)*TRANSPOSE(($D116:$E116))),0)</f>
        <v>0</v>
      </c>
      <c r="Z116" s="31" cm="1">
        <f t="array" ref="Z116">Z$106+IF($C116&lt;&gt;0,SUMPRODUCT((Z$107:Z$108)*TRANSPOSE(($D116:$E116))),0)</f>
        <v>0</v>
      </c>
      <c r="AA116" s="31" cm="1">
        <f t="array" ref="AA116">AA$106+IF($C116&lt;&gt;0,SUMPRODUCT((AA$107:AA$108)*TRANSPOSE(($D116:$E116))),0)</f>
        <v>0</v>
      </c>
      <c r="AB116" s="31" cm="1">
        <f t="array" ref="AB116">AB$106+IF($C116&lt;&gt;0,SUMPRODUCT((AB$107:AB$108)*TRANSPOSE(($D116:$E116))),0)</f>
        <v>0</v>
      </c>
      <c r="AC116" s="31" cm="1">
        <f t="array" ref="AC116">AC$106+IF($C116&lt;&gt;0,SUMPRODUCT((AC$107:AC$108)*TRANSPOSE(($D116:$E116))),0)</f>
        <v>0</v>
      </c>
      <c r="AD116" s="31" cm="1">
        <f t="array" ref="AD116">AD$106+IF($C116&lt;&gt;0,SUMPRODUCT((AD$107:AD$108)*TRANSPOSE(($D116:$E116))),0)</f>
        <v>0</v>
      </c>
      <c r="AE116" s="31" cm="1">
        <f t="array" ref="AE116">AE$106+IF($C116&lt;&gt;0,SUMPRODUCT((AE$107:AE$108)*TRANSPOSE(($D116:$E116))),0)</f>
        <v>0</v>
      </c>
      <c r="AF116" s="31" cm="1">
        <f t="array" ref="AF116">AF$106+IF($C116&lt;&gt;0,SUMPRODUCT((AF$107:AF$108)*TRANSPOSE(($D116:$E116))),0)</f>
        <v>0</v>
      </c>
      <c r="AG116" s="31" cm="1">
        <f t="array" ref="AG116">AG$106+IF($C116&lt;&gt;0,SUMPRODUCT((AG$107:AG$108)*TRANSPOSE(($D116:$E116))),0)</f>
        <v>0</v>
      </c>
    </row>
    <row r="117" spans="1:33" x14ac:dyDescent="0.2">
      <c r="A117" s="1" t="str">
        <f>"sens"&amp;Assumptions!B122</f>
        <v>sens</v>
      </c>
      <c r="C117" s="301">
        <f>Assumptions!C122</f>
        <v>0</v>
      </c>
      <c r="D117" s="302">
        <f>Assumptions!G122</f>
        <v>0</v>
      </c>
      <c r="E117" s="302">
        <f>Assumptions!H122</f>
        <v>0</v>
      </c>
      <c r="G117" s="38" t="str">
        <f t="shared" si="21"/>
        <v>Option 5sens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0</v>
      </c>
      <c r="N117" s="31" cm="1">
        <f t="array" ref="N117">N$106+IF($C117&lt;&gt;0,SUMPRODUCT((N$107:N$108)*TRANSPOSE(($D117:$E117))),0)</f>
        <v>0</v>
      </c>
      <c r="O117" s="31" cm="1">
        <f t="array" ref="O117">O$106+IF($C117&lt;&gt;0,SUMPRODUCT((O$107:O$108)*TRANSPOSE(($D117:$E117))),0)</f>
        <v>0</v>
      </c>
      <c r="P117" s="31" cm="1">
        <f t="array" ref="P117">P$106+IF($C117&lt;&gt;0,SUMPRODUCT((P$107:P$108)*TRANSPOSE(($D117:$E117))),0)</f>
        <v>0</v>
      </c>
      <c r="Q117" s="31" cm="1">
        <f t="array" ref="Q117">Q$106+IF($C117&lt;&gt;0,SUMPRODUCT((Q$107:Q$108)*TRANSPOSE(($D117:$E117))),0)</f>
        <v>0</v>
      </c>
      <c r="R117" s="31" cm="1">
        <f t="array" ref="R117">R$106+IF($C117&lt;&gt;0,SUMPRODUCT((R$107:R$108)*TRANSPOSE(($D117:$E117))),0)</f>
        <v>0</v>
      </c>
      <c r="S117" s="31" cm="1">
        <f t="array" ref="S117">S$106+IF($C117&lt;&gt;0,SUMPRODUCT((S$107:S$108)*TRANSPOSE(($D117:$E117))),0)</f>
        <v>0</v>
      </c>
      <c r="T117" s="31" cm="1">
        <f t="array" ref="T117">T$106+IF($C117&lt;&gt;0,SUMPRODUCT((T$107:T$108)*TRANSPOSE(($D117:$E117))),0)</f>
        <v>0</v>
      </c>
      <c r="U117" s="31" cm="1">
        <f t="array" ref="U117">U$106+IF($C117&lt;&gt;0,SUMPRODUCT((U$107:U$108)*TRANSPOSE(($D117:$E117))),0)</f>
        <v>0</v>
      </c>
      <c r="V117" s="31" cm="1">
        <f t="array" ref="V117">V$106+IF($C117&lt;&gt;0,SUMPRODUCT((V$107:V$108)*TRANSPOSE(($D117:$E117))),0)</f>
        <v>0</v>
      </c>
      <c r="W117" s="31" cm="1">
        <f t="array" ref="W117">W$106+IF($C117&lt;&gt;0,SUMPRODUCT((W$107:W$108)*TRANSPOSE(($D117:$E117))),0)</f>
        <v>0</v>
      </c>
      <c r="X117" s="31" cm="1">
        <f t="array" ref="X117">X$106+IF($C117&lt;&gt;0,SUMPRODUCT((X$107:X$108)*TRANSPOSE(($D117:$E117))),0)</f>
        <v>0</v>
      </c>
      <c r="Y117" s="31" cm="1">
        <f t="array" ref="Y117">Y$106+IF($C117&lt;&gt;0,SUMPRODUCT((Y$107:Y$108)*TRANSPOSE(($D117:$E117))),0)</f>
        <v>0</v>
      </c>
      <c r="Z117" s="31" cm="1">
        <f t="array" ref="Z117">Z$106+IF($C117&lt;&gt;0,SUMPRODUCT((Z$107:Z$108)*TRANSPOSE(($D117:$E117))),0)</f>
        <v>0</v>
      </c>
      <c r="AA117" s="31" cm="1">
        <f t="array" ref="AA117">AA$106+IF($C117&lt;&gt;0,SUMPRODUCT((AA$107:AA$108)*TRANSPOSE(($D117:$E117))),0)</f>
        <v>0</v>
      </c>
      <c r="AB117" s="31" cm="1">
        <f t="array" ref="AB117">AB$106+IF($C117&lt;&gt;0,SUMPRODUCT((AB$107:AB$108)*TRANSPOSE(($D117:$E117))),0)</f>
        <v>0</v>
      </c>
      <c r="AC117" s="31" cm="1">
        <f t="array" ref="AC117">AC$106+IF($C117&lt;&gt;0,SUMPRODUCT((AC$107:AC$108)*TRANSPOSE(($D117:$E117))),0)</f>
        <v>0</v>
      </c>
      <c r="AD117" s="31" cm="1">
        <f t="array" ref="AD117">AD$106+IF($C117&lt;&gt;0,SUMPRODUCT((AD$107:AD$108)*TRANSPOSE(($D117:$E117))),0)</f>
        <v>0</v>
      </c>
      <c r="AE117" s="31" cm="1">
        <f t="array" ref="AE117">AE$106+IF($C117&lt;&gt;0,SUMPRODUCT((AE$107:AE$108)*TRANSPOSE(($D117:$E117))),0)</f>
        <v>0</v>
      </c>
      <c r="AF117" s="31" cm="1">
        <f t="array" ref="AF117">AF$106+IF($C117&lt;&gt;0,SUMPRODUCT((AF$107:AF$108)*TRANSPOSE(($D117:$E117))),0)</f>
        <v>0</v>
      </c>
      <c r="AG117" s="31" cm="1">
        <f t="array" ref="AG117">AG$106+IF($C117&lt;&gt;0,SUMPRODUCT((AG$107:AG$108)*TRANSPOSE(($D117:$E117))),0)</f>
        <v>0</v>
      </c>
    </row>
  </sheetData>
  <conditionalFormatting sqref="E14:E16">
    <cfRule type="expression" dxfId="2" priority="38">
      <formula>AND(SUM($I14:$AB14)&lt;&gt;0, E14=0)</formula>
    </cfRule>
  </conditionalFormatting>
  <conditionalFormatting sqref="E28">
    <cfRule type="expression" dxfId="1" priority="1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ignoredErrors>
    <ignoredError sqref="I112:AG112" formula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04" id="{E7BF7EA6-A453-4A58-B216-30C5D81DCA5D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E214B-6F38-4BC3-ACB0-5DADD7973A52}">
  <sheetPr codeName="Sheet13">
    <tabColor rgb="FF002060"/>
    <pageSetUpPr fitToPage="1"/>
  </sheetPr>
  <dimension ref="A1:AJ810"/>
  <sheetViews>
    <sheetView showGridLines="0" zoomScale="80" zoomScaleNormal="80" workbookViewId="0">
      <pane xSplit="7" ySplit="10" topLeftCell="J11" activePane="bottomRight" state="frozen"/>
      <selection activeCell="D33" sqref="D33"/>
      <selection pane="topRight" activeCell="D33" sqref="D33"/>
      <selection pane="bottomLeft" activeCell="D33" sqref="D33"/>
      <selection pane="bottomRight" activeCell="M44" sqref="M44"/>
    </sheetView>
  </sheetViews>
  <sheetFormatPr defaultColWidth="0" defaultRowHeight="12.75" zeroHeight="1" outlineLevelRow="1" x14ac:dyDescent="0.2"/>
  <cols>
    <col min="1" max="1" width="8.125" style="10" customWidth="1"/>
    <col min="2" max="2" width="5.5" style="10" customWidth="1"/>
    <col min="3" max="3" width="16.875" style="10" bestFit="1" customWidth="1"/>
    <col min="4" max="4" width="12.375" style="10" customWidth="1"/>
    <col min="5" max="5" width="14.25" customWidth="1"/>
    <col min="6" max="6" width="12.375" style="10" customWidth="1"/>
    <col min="7" max="7" width="11.625" style="10" customWidth="1"/>
    <col min="8" max="8" width="8.625" style="10" customWidth="1"/>
    <col min="9" max="33" width="11" style="10" customWidth="1"/>
    <col min="34" max="35" width="9" style="10" customWidth="1"/>
    <col min="36" max="36" width="0" style="10" hidden="1" customWidth="1"/>
    <col min="37" max="16384" width="9" style="10" hidden="1"/>
  </cols>
  <sheetData>
    <row r="1" spans="1:34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4" s="8" customFormat="1" ht="18.75" x14ac:dyDescent="0.3">
      <c r="A2" s="56" t="str">
        <f>proj</f>
        <v>Apollo Bay microgrid</v>
      </c>
      <c r="B2" s="56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spans="1:34" s="2" customFormat="1" ht="18.75" x14ac:dyDescent="0.3">
      <c r="A3" s="204" t="s">
        <v>90</v>
      </c>
      <c r="B3" s="5"/>
      <c r="C3" s="34"/>
      <c r="D3" s="34"/>
      <c r="E3" s="3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</row>
    <row r="4" spans="1:34" s="2" customFormat="1" ht="10.5" customHeight="1" x14ac:dyDescent="0.2">
      <c r="A4" s="115"/>
      <c r="B4" s="115"/>
      <c r="C4" s="116"/>
      <c r="D4" s="116"/>
      <c r="E4" s="116"/>
      <c r="F4" s="116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</row>
    <row r="5" spans="1:34" s="2" customFormat="1" hidden="1" outlineLevel="1" x14ac:dyDescent="0.2">
      <c r="A5" s="116" t="s">
        <v>198</v>
      </c>
      <c r="B5" s="116"/>
      <c r="C5" s="117"/>
      <c r="D5" s="116"/>
      <c r="E5" s="116"/>
      <c r="F5" s="116"/>
      <c r="G5" s="101"/>
      <c r="H5" s="189">
        <f t="shared" ref="H5:AG5" si="0">IF(H9=start,1/((1+real_disc)^(1/2)),G5/(1+real_disc))</f>
        <v>0</v>
      </c>
      <c r="I5" s="189">
        <f t="shared" si="0"/>
        <v>0.98294637436598087</v>
      </c>
      <c r="J5" s="189">
        <f t="shared" si="0"/>
        <v>0.94970664189949849</v>
      </c>
      <c r="K5" s="189">
        <f t="shared" si="0"/>
        <v>0.91759095835700344</v>
      </c>
      <c r="L5" s="189">
        <f t="shared" si="0"/>
        <v>0.88656131242222558</v>
      </c>
      <c r="M5" s="189">
        <f t="shared" si="0"/>
        <v>0.85658097818572532</v>
      </c>
      <c r="N5" s="189">
        <f t="shared" si="0"/>
        <v>0.8276144716770294</v>
      </c>
      <c r="O5" s="189">
        <f t="shared" si="0"/>
        <v>0.79962750886669509</v>
      </c>
      <c r="P5" s="189">
        <f t="shared" si="0"/>
        <v>0.77258696508859437</v>
      </c>
      <c r="Q5" s="189">
        <f t="shared" si="0"/>
        <v>0.74646083583439071</v>
      </c>
      <c r="R5" s="189">
        <f t="shared" si="0"/>
        <v>0.72121819887380756</v>
      </c>
      <c r="S5" s="189">
        <f t="shared" si="0"/>
        <v>0.69682917765585273</v>
      </c>
      <c r="T5" s="189">
        <f t="shared" si="0"/>
        <v>0.67326490594768384</v>
      </c>
      <c r="U5" s="189">
        <f t="shared" si="0"/>
        <v>0.6504974936692598</v>
      </c>
      <c r="V5" s="189">
        <f t="shared" si="0"/>
        <v>0.62849999388334288</v>
      </c>
      <c r="W5" s="189">
        <f t="shared" si="0"/>
        <v>0.60724637090178057</v>
      </c>
      <c r="X5" s="189">
        <f t="shared" si="0"/>
        <v>0.58671146947031949</v>
      </c>
      <c r="Y5" s="189">
        <f t="shared" si="0"/>
        <v>0.56687098499547783</v>
      </c>
      <c r="Z5" s="189">
        <f t="shared" si="0"/>
        <v>0.54770143477823952</v>
      </c>
      <c r="AA5" s="189">
        <f t="shared" si="0"/>
        <v>0.52918013022052135</v>
      </c>
      <c r="AB5" s="189">
        <f t="shared" si="0"/>
        <v>0.5112851499715183</v>
      </c>
      <c r="AC5" s="189">
        <f t="shared" si="0"/>
        <v>0.4939953139821433</v>
      </c>
      <c r="AD5" s="189">
        <f t="shared" si="0"/>
        <v>0.47729015843685346</v>
      </c>
      <c r="AE5" s="189">
        <f t="shared" si="0"/>
        <v>0.46114991153319179</v>
      </c>
      <c r="AF5" s="189">
        <f t="shared" si="0"/>
        <v>0.4455554700803786</v>
      </c>
      <c r="AG5" s="189">
        <f t="shared" si="0"/>
        <v>0.43048837688925473</v>
      </c>
    </row>
    <row r="6" spans="1:34" s="2" customFormat="1" hidden="1" outlineLevel="1" x14ac:dyDescent="0.2">
      <c r="A6" s="190" t="str">
        <f>'Option1 (base case)'!A6</f>
        <v>Count</v>
      </c>
      <c r="B6" s="116"/>
      <c r="C6" s="117"/>
      <c r="D6" s="116"/>
      <c r="E6" s="116"/>
      <c r="F6" s="116"/>
      <c r="G6" s="101"/>
      <c r="H6" s="190">
        <f>'Option1 (base case)'!H6</f>
        <v>0</v>
      </c>
      <c r="I6" s="190">
        <f>'Option1 (base case)'!I6</f>
        <v>1</v>
      </c>
      <c r="J6" s="190">
        <f>'Option1 (base case)'!J6</f>
        <v>2</v>
      </c>
      <c r="K6" s="190">
        <f>'Option1 (base case)'!K6</f>
        <v>3</v>
      </c>
      <c r="L6" s="190">
        <f>'Option1 (base case)'!L6</f>
        <v>4</v>
      </c>
      <c r="M6" s="190">
        <f>'Option1 (base case)'!M6</f>
        <v>5</v>
      </c>
      <c r="N6" s="190">
        <f>'Option1 (base case)'!N6</f>
        <v>6</v>
      </c>
      <c r="O6" s="190">
        <f>'Option1 (base case)'!O6</f>
        <v>7</v>
      </c>
      <c r="P6" s="190">
        <f>'Option1 (base case)'!P6</f>
        <v>8</v>
      </c>
      <c r="Q6" s="190">
        <f>'Option1 (base case)'!Q6</f>
        <v>9</v>
      </c>
      <c r="R6" s="190">
        <f>'Option1 (base case)'!R6</f>
        <v>10</v>
      </c>
      <c r="S6" s="190">
        <f>'Option1 (base case)'!S6</f>
        <v>11</v>
      </c>
      <c r="T6" s="190">
        <f>'Option1 (base case)'!T6</f>
        <v>12</v>
      </c>
      <c r="U6" s="190">
        <f>'Option1 (base case)'!U6</f>
        <v>13</v>
      </c>
      <c r="V6" s="190">
        <f>'Option1 (base case)'!V6</f>
        <v>14</v>
      </c>
      <c r="W6" s="190">
        <f>'Option1 (base case)'!W6</f>
        <v>15</v>
      </c>
      <c r="X6" s="190">
        <f>'Option1 (base case)'!X6</f>
        <v>16</v>
      </c>
      <c r="Y6" s="190">
        <f>'Option1 (base case)'!Y6</f>
        <v>17</v>
      </c>
      <c r="Z6" s="190">
        <f>'Option1 (base case)'!Z6</f>
        <v>18</v>
      </c>
      <c r="AA6" s="190">
        <f>'Option1 (base case)'!AA6</f>
        <v>19</v>
      </c>
      <c r="AB6" s="190">
        <f>'Option1 (base case)'!AB6</f>
        <v>20</v>
      </c>
      <c r="AC6" s="190">
        <f>'Option1 (base case)'!AC6</f>
        <v>21</v>
      </c>
      <c r="AD6" s="190">
        <f>'Option1 (base case)'!AD6</f>
        <v>22</v>
      </c>
      <c r="AE6" s="190">
        <f>'Option1 (base case)'!AE6</f>
        <v>23</v>
      </c>
      <c r="AF6" s="190">
        <f>'Option1 (base case)'!AF6</f>
        <v>24</v>
      </c>
      <c r="AG6" s="190">
        <f>'Option1 (base case)'!AG6</f>
        <v>25</v>
      </c>
    </row>
    <row r="7" spans="1:34" s="2" customFormat="1" hidden="1" outlineLevel="1" x14ac:dyDescent="0.2">
      <c r="A7" s="116" t="s">
        <v>199</v>
      </c>
      <c r="B7" s="116"/>
      <c r="C7" s="117"/>
      <c r="D7" s="116"/>
      <c r="E7" s="116"/>
      <c r="F7" s="116"/>
      <c r="G7" s="101"/>
      <c r="H7" s="101" t="b">
        <f t="shared" ref="H7:AG7" si="1">H$6&lt;(first_year+years)</f>
        <v>1</v>
      </c>
      <c r="I7" s="101" t="b">
        <f t="shared" si="1"/>
        <v>1</v>
      </c>
      <c r="J7" s="101" t="b">
        <f t="shared" si="1"/>
        <v>1</v>
      </c>
      <c r="K7" s="101" t="b">
        <f t="shared" si="1"/>
        <v>1</v>
      </c>
      <c r="L7" s="101" t="b">
        <f t="shared" si="1"/>
        <v>1</v>
      </c>
      <c r="M7" s="101" t="b">
        <f t="shared" si="1"/>
        <v>1</v>
      </c>
      <c r="N7" s="101" t="b">
        <f t="shared" si="1"/>
        <v>1</v>
      </c>
      <c r="O7" s="101" t="b">
        <f t="shared" si="1"/>
        <v>1</v>
      </c>
      <c r="P7" s="101" t="b">
        <f t="shared" si="1"/>
        <v>1</v>
      </c>
      <c r="Q7" s="101" t="b">
        <f t="shared" si="1"/>
        <v>1</v>
      </c>
      <c r="R7" s="101" t="b">
        <f t="shared" si="1"/>
        <v>1</v>
      </c>
      <c r="S7" s="101" t="b">
        <f t="shared" si="1"/>
        <v>1</v>
      </c>
      <c r="T7" s="101" t="b">
        <f t="shared" si="1"/>
        <v>1</v>
      </c>
      <c r="U7" s="101" t="b">
        <f t="shared" si="1"/>
        <v>1</v>
      </c>
      <c r="V7" s="101" t="b">
        <f t="shared" si="1"/>
        <v>1</v>
      </c>
      <c r="W7" s="101" t="b">
        <f t="shared" si="1"/>
        <v>1</v>
      </c>
      <c r="X7" s="101" t="b">
        <f t="shared" si="1"/>
        <v>1</v>
      </c>
      <c r="Y7" s="101" t="b">
        <f t="shared" si="1"/>
        <v>1</v>
      </c>
      <c r="Z7" s="101" t="b">
        <f t="shared" si="1"/>
        <v>1</v>
      </c>
      <c r="AA7" s="101" t="b">
        <f t="shared" si="1"/>
        <v>1</v>
      </c>
      <c r="AB7" s="101" t="b">
        <f t="shared" si="1"/>
        <v>1</v>
      </c>
      <c r="AC7" s="101" t="b">
        <f t="shared" si="1"/>
        <v>1</v>
      </c>
      <c r="AD7" s="101" t="b">
        <f t="shared" si="1"/>
        <v>1</v>
      </c>
      <c r="AE7" s="101" t="b">
        <f t="shared" si="1"/>
        <v>1</v>
      </c>
      <c r="AF7" s="101" t="b">
        <f t="shared" si="1"/>
        <v>0</v>
      </c>
      <c r="AG7" s="101" t="b">
        <f t="shared" si="1"/>
        <v>0</v>
      </c>
    </row>
    <row r="8" spans="1:34" s="2" customFormat="1" ht="11.25" customHeight="1" collapsed="1" x14ac:dyDescent="0.2"/>
    <row r="9" spans="1:34" s="2" customFormat="1" ht="15" x14ac:dyDescent="0.25">
      <c r="A9" s="19"/>
      <c r="B9" s="19"/>
      <c r="C9" s="19"/>
      <c r="D9" s="19"/>
      <c r="E9" s="83"/>
      <c r="F9" s="19"/>
      <c r="G9" s="20"/>
      <c r="H9" s="320">
        <f>'Option1 (base case)'!H9</f>
        <v>46203</v>
      </c>
      <c r="I9" s="20" t="str">
        <f>'Option1 (base case)'!I9</f>
        <v>2026-27</v>
      </c>
      <c r="J9" s="20" t="str">
        <f>'Option1 (base case)'!J9</f>
        <v>2027-28</v>
      </c>
      <c r="K9" s="20" t="str">
        <f>'Option1 (base case)'!K9</f>
        <v>2028-29</v>
      </c>
      <c r="L9" s="20" t="str">
        <f>'Option1 (base case)'!L9</f>
        <v>2029-30</v>
      </c>
      <c r="M9" s="20" t="str">
        <f>'Option1 (base case)'!M9</f>
        <v>2030-31</v>
      </c>
      <c r="N9" s="20" t="str">
        <f>'Option1 (base case)'!N9</f>
        <v>2031-32</v>
      </c>
      <c r="O9" s="20" t="str">
        <f>'Option1 (base case)'!O9</f>
        <v>2032-33</v>
      </c>
      <c r="P9" s="20" t="str">
        <f>'Option1 (base case)'!P9</f>
        <v>2033-34</v>
      </c>
      <c r="Q9" s="20" t="str">
        <f>'Option1 (base case)'!Q9</f>
        <v>2034-35</v>
      </c>
      <c r="R9" s="20" t="str">
        <f>'Option1 (base case)'!R9</f>
        <v>2035-36</v>
      </c>
      <c r="S9" s="20" t="str">
        <f>'Option1 (base case)'!S9</f>
        <v>2036-37</v>
      </c>
      <c r="T9" s="20" t="str">
        <f>'Option1 (base case)'!T9</f>
        <v>2037-38</v>
      </c>
      <c r="U9" s="20" t="str">
        <f>'Option1 (base case)'!U9</f>
        <v>2038-39</v>
      </c>
      <c r="V9" s="20" t="str">
        <f>'Option1 (base case)'!V9</f>
        <v>2039-40</v>
      </c>
      <c r="W9" s="20" t="str">
        <f>'Option1 (base case)'!W9</f>
        <v>2040-41</v>
      </c>
      <c r="X9" s="20" t="str">
        <f>'Option1 (base case)'!X9</f>
        <v>2041-42</v>
      </c>
      <c r="Y9" s="20" t="str">
        <f>'Option1 (base case)'!Y9</f>
        <v>2042-43</v>
      </c>
      <c r="Z9" s="20" t="str">
        <f>'Option1 (base case)'!Z9</f>
        <v>2043-44</v>
      </c>
      <c r="AA9" s="20" t="str">
        <f>'Option1 (base case)'!AA9</f>
        <v>2044-45</v>
      </c>
      <c r="AB9" s="20" t="str">
        <f>'Option1 (base case)'!AB9</f>
        <v>2045-46</v>
      </c>
      <c r="AC9" s="20" t="str">
        <f>'Option1 (base case)'!AC9</f>
        <v>2046-47</v>
      </c>
      <c r="AD9" s="20" t="str">
        <f>'Option1 (base case)'!AD9</f>
        <v>2047-48</v>
      </c>
      <c r="AE9" s="20" t="str">
        <f>'Option1 (base case)'!AE9</f>
        <v>2048-49</v>
      </c>
      <c r="AF9" s="20" t="str">
        <f>'Option1 (base case)'!AF9</f>
        <v>2049-50</v>
      </c>
      <c r="AG9" s="20" t="str">
        <f>'Option1 (base case)'!AG9</f>
        <v>2050-51</v>
      </c>
    </row>
    <row r="10" spans="1:34" s="2" customFormat="1" x14ac:dyDescent="0.2">
      <c r="C10" s="118"/>
      <c r="D10" s="118"/>
      <c r="F10" s="118"/>
      <c r="G10" s="222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</row>
    <row r="11" spans="1:34" s="2" customFormat="1" ht="15" x14ac:dyDescent="0.2">
      <c r="A11" s="120" t="s">
        <v>39</v>
      </c>
      <c r="B11" s="120"/>
      <c r="C11" s="121"/>
      <c r="D11" s="121"/>
      <c r="E11" s="121"/>
      <c r="F11" s="70" t="s">
        <v>157</v>
      </c>
      <c r="G11" s="223"/>
      <c r="H11" s="122" t="str" cm="1">
        <f t="array" ref="H11">IF(H6=$C$4,UPPER($A$4),IF(H6=end, "END", ""))</f>
        <v/>
      </c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</row>
    <row r="12" spans="1:34" s="2" customFormat="1" x14ac:dyDescent="0.2">
      <c r="A12" s="118"/>
      <c r="B12" s="118"/>
      <c r="C12" s="118"/>
      <c r="D12" s="118"/>
      <c r="F12" s="118"/>
      <c r="G12" s="225"/>
      <c r="H12" s="118"/>
      <c r="I12" s="191"/>
      <c r="J12" s="191"/>
      <c r="K12" s="191"/>
      <c r="L12" s="191"/>
      <c r="M12" s="191"/>
      <c r="N12" s="191"/>
      <c r="O12" s="191"/>
      <c r="P12" s="191"/>
      <c r="Q12" s="191"/>
      <c r="R12" s="191"/>
      <c r="S12" s="191"/>
      <c r="T12" s="191"/>
      <c r="U12" s="191"/>
      <c r="V12" s="191"/>
      <c r="W12" s="191"/>
      <c r="X12" s="191"/>
      <c r="Y12" s="191"/>
      <c r="Z12" s="191"/>
      <c r="AA12" s="191"/>
      <c r="AB12" s="191"/>
      <c r="AC12" s="191"/>
      <c r="AD12" s="191"/>
      <c r="AE12" s="191"/>
      <c r="AF12" s="191"/>
      <c r="AG12" s="191"/>
      <c r="AH12" s="191"/>
    </row>
    <row r="13" spans="1:34" s="2" customFormat="1" x14ac:dyDescent="0.2">
      <c r="A13" s="123"/>
      <c r="B13" s="123"/>
      <c r="C13" s="123"/>
      <c r="D13" s="118"/>
      <c r="F13" s="118"/>
      <c r="G13" s="222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</row>
    <row r="14" spans="1:34" s="271" customFormat="1" x14ac:dyDescent="0.2">
      <c r="A14" s="269" t="str">
        <f>A15</f>
        <v>Option 1 (base case)</v>
      </c>
      <c r="B14" s="269"/>
      <c r="C14" s="269" t="s">
        <v>124</v>
      </c>
      <c r="D14" s="270" t="str">
        <f t="shared" ref="D14:D25" si="2">A14&amp;C14</f>
        <v>Option 1 (base case)Energy at risk value</v>
      </c>
      <c r="F14" s="97">
        <f>SUMPRODUCT($H14:$AG14, $H$5:$AG$5)</f>
        <v>6078919.9672395131</v>
      </c>
      <c r="G14" s="272">
        <f>output_dollars</f>
        <v>46203</v>
      </c>
      <c r="H14" s="273"/>
      <c r="I14" s="31">
        <f>'Option1 (base case)'!I$28*conv_2026</f>
        <v>331582.49328232405</v>
      </c>
      <c r="J14" s="31">
        <f>'Option1 (base case)'!J$28*conv_2026</f>
        <v>332689.30938706221</v>
      </c>
      <c r="K14" s="31">
        <f>'Option1 (base case)'!K$28*conv_2026</f>
        <v>336364.35957627068</v>
      </c>
      <c r="L14" s="31">
        <f>'Option1 (base case)'!L$28*conv_2026</f>
        <v>339491.52292516542</v>
      </c>
      <c r="M14" s="31">
        <f>'Option1 (base case)'!M$28*conv_2026</f>
        <v>339339.63239656895</v>
      </c>
      <c r="N14" s="31">
        <f>'Option1 (base case)'!N$28*conv_2026</f>
        <v>343762.93019021646</v>
      </c>
      <c r="O14" s="31">
        <f>'Option1 (base case)'!O$28*conv_2026</f>
        <v>351623.27026360459</v>
      </c>
      <c r="P14" s="31">
        <f>'Option1 (base case)'!P$28*conv_2026</f>
        <v>360221.46936478815</v>
      </c>
      <c r="Q14" s="31">
        <f>'Option1 (base case)'!Q$28*conv_2026</f>
        <v>365561.95073436975</v>
      </c>
      <c r="R14" s="31">
        <f>'Option1 (base case)'!R$28*conv_2026</f>
        <v>367267.42315368715</v>
      </c>
      <c r="S14" s="31">
        <f>'Option1 (base case)'!S$28*conv_2026</f>
        <v>368972.89557300531</v>
      </c>
      <c r="T14" s="31">
        <f>'Option1 (base case)'!T$28*conv_2026</f>
        <v>370678.36799232289</v>
      </c>
      <c r="U14" s="31">
        <f>'Option1 (base case)'!U$28*conv_2026</f>
        <v>372383.84041164018</v>
      </c>
      <c r="V14" s="31">
        <f>'Option1 (base case)'!V$28*conv_2026</f>
        <v>374089.3128309584</v>
      </c>
      <c r="W14" s="31">
        <f>'Option1 (base case)'!W$28*conv_2026</f>
        <v>375794.78525027586</v>
      </c>
      <c r="X14" s="31">
        <f>'Option1 (base case)'!X$28*conv_2026</f>
        <v>377500.25766959327</v>
      </c>
      <c r="Y14" s="31">
        <f>'Option1 (base case)'!Y$28*conv_2026</f>
        <v>379205.73008891143</v>
      </c>
      <c r="Z14" s="31">
        <f>'Option1 (base case)'!Z$28*conv_2026</f>
        <v>380911.20250822895</v>
      </c>
      <c r="AA14" s="31">
        <f>'Option1 (base case)'!AA$28*conv_2026</f>
        <v>382616.67492754705</v>
      </c>
      <c r="AB14" s="31">
        <f>'Option1 (base case)'!AB$28*conv_2026</f>
        <v>384322.1473468644</v>
      </c>
      <c r="AC14" s="31">
        <f>'Option1 (base case)'!AC$28*conv_2026</f>
        <v>386027.61976618192</v>
      </c>
      <c r="AD14" s="31">
        <f>'Option1 (base case)'!AD$28*conv_2026</f>
        <v>387733.09218550002</v>
      </c>
      <c r="AE14" s="31">
        <f>'Option1 (base case)'!AE$28*conv_2026</f>
        <v>389438.56460481748</v>
      </c>
      <c r="AF14" s="31">
        <f>'Option1 (base case)'!AF$28*conv_2026</f>
        <v>391144.03702413506</v>
      </c>
      <c r="AG14" s="31">
        <f>'Option1 (base case)'!AG$28*conv_2026</f>
        <v>392849.50944345316</v>
      </c>
    </row>
    <row r="15" spans="1:34" s="1" customFormat="1" x14ac:dyDescent="0.2">
      <c r="A15" s="136" t="str">
        <f>Data!B9</f>
        <v>Option 1 (base case)</v>
      </c>
      <c r="B15" s="136"/>
      <c r="C15" s="58" t="str">
        <f>'Option1 (base case)'!C$66</f>
        <v>Capital expenditure</v>
      </c>
      <c r="D15" s="38" t="str">
        <f t="shared" si="2"/>
        <v>Option 1 (base case)Capital expenditure</v>
      </c>
      <c r="F15" s="97">
        <f>SUMPRODUCT($H15:$AG15, $H$5:$AG$5)</f>
        <v>0</v>
      </c>
      <c r="G15" s="226">
        <f>output_dollars</f>
        <v>46203</v>
      </c>
      <c r="H15" s="31"/>
      <c r="I15" s="31">
        <f>SUM('Option1 (base case)'!I$67:I$69)*conv_2026</f>
        <v>0</v>
      </c>
      <c r="J15" s="31">
        <f>SUM('Option1 (base case)'!J$67:J$69)</f>
        <v>0</v>
      </c>
      <c r="K15" s="31">
        <f>SUM('Option1 (base case)'!K$67:K$69)</f>
        <v>0</v>
      </c>
      <c r="L15" s="31">
        <f>SUM('Option1 (base case)'!L$67:L$69)</f>
        <v>0</v>
      </c>
      <c r="M15" s="31">
        <f>SUM('Option1 (base case)'!M$67:M$69)</f>
        <v>0</v>
      </c>
      <c r="N15" s="31">
        <f>SUM('Option1 (base case)'!N$67:N$69)</f>
        <v>0</v>
      </c>
      <c r="O15" s="31">
        <f>SUM('Option1 (base case)'!O$67:O$69)</f>
        <v>0</v>
      </c>
      <c r="P15" s="31">
        <f>SUM('Option1 (base case)'!P$67:P$69)</f>
        <v>0</v>
      </c>
      <c r="Q15" s="31">
        <f>SUM('Option1 (base case)'!Q$67:Q$69)</f>
        <v>0</v>
      </c>
      <c r="R15" s="31">
        <f>SUM('Option1 (base case)'!R$67:R$69)</f>
        <v>0</v>
      </c>
      <c r="S15" s="31">
        <f>SUM('Option1 (base case)'!S$67:S$69)</f>
        <v>0</v>
      </c>
      <c r="T15" s="31">
        <f>SUM('Option1 (base case)'!T$67:T$69)</f>
        <v>0</v>
      </c>
      <c r="U15" s="31">
        <f>SUM('Option1 (base case)'!U$67:U$69)</f>
        <v>0</v>
      </c>
      <c r="V15" s="31">
        <f>SUM('Option1 (base case)'!V$67:V$69)</f>
        <v>0</v>
      </c>
      <c r="W15" s="31">
        <f>SUM('Option1 (base case)'!W$67:W$69)</f>
        <v>0</v>
      </c>
      <c r="X15" s="31">
        <f>SUM('Option1 (base case)'!X$67:X$69)</f>
        <v>0</v>
      </c>
      <c r="Y15" s="31">
        <f>SUM('Option1 (base case)'!Y$67:Y$69)</f>
        <v>0</v>
      </c>
      <c r="Z15" s="31">
        <f>SUM('Option1 (base case)'!Z$67:Z$69)</f>
        <v>0</v>
      </c>
      <c r="AA15" s="31">
        <f>SUM('Option1 (base case)'!AA$67:AA$69)</f>
        <v>0</v>
      </c>
      <c r="AB15" s="31">
        <f>SUM('Option1 (base case)'!AB$67:AB$69)</f>
        <v>0</v>
      </c>
      <c r="AC15" s="31">
        <f>SUM('Option1 (base case)'!AC$67:AC$69)</f>
        <v>0</v>
      </c>
      <c r="AD15" s="31">
        <f>SUM('Option1 (base case)'!AD$67:AD$69)</f>
        <v>0</v>
      </c>
      <c r="AE15" s="31">
        <f>SUM('Option1 (base case)'!AE$67:AE$69)</f>
        <v>0</v>
      </c>
      <c r="AF15" s="31">
        <f>SUM('Option1 (base case)'!AF$67:AF$69)</f>
        <v>0</v>
      </c>
      <c r="AG15" s="31">
        <f>SUM('Option1 (base case)'!AG$67:AG$69)</f>
        <v>0</v>
      </c>
    </row>
    <row r="16" spans="1:34" s="1" customFormat="1" x14ac:dyDescent="0.2">
      <c r="A16" s="136" t="str">
        <f t="shared" ref="A16:A25" si="3">A15</f>
        <v>Option 1 (base case)</v>
      </c>
      <c r="B16" s="136"/>
      <c r="C16" s="58" t="str">
        <f>'Option1 (base case)'!C$36</f>
        <v>Total risk cost</v>
      </c>
      <c r="D16" s="38" t="str">
        <f t="shared" si="2"/>
        <v>Option 1 (base case)Total risk cost</v>
      </c>
      <c r="F16" s="108" cm="1">
        <f t="array" ref="F16">SUMPRODUCT(($H16:$AG16)*($H$5:$AG$5)*($H$7:$AG$7))</f>
        <v>5735526.4542720355</v>
      </c>
      <c r="G16" s="226">
        <f>output_dollars</f>
        <v>46203</v>
      </c>
      <c r="H16" s="31"/>
      <c r="I16" s="31">
        <f>'Option1 (base case)'!I$36*conv_2026</f>
        <v>331582.49328232405</v>
      </c>
      <c r="J16" s="31">
        <f>'Option1 (base case)'!J$36*conv_2026</f>
        <v>332689.30938706221</v>
      </c>
      <c r="K16" s="31">
        <f>'Option1 (base case)'!K$36*conv_2026</f>
        <v>336364.35957627068</v>
      </c>
      <c r="L16" s="31">
        <f>'Option1 (base case)'!L$36*conv_2026</f>
        <v>339491.52292516542</v>
      </c>
      <c r="M16" s="31">
        <f>'Option1 (base case)'!M$36*conv_2026</f>
        <v>339339.63239656895</v>
      </c>
      <c r="N16" s="31">
        <f>'Option1 (base case)'!N$36*conv_2026</f>
        <v>343762.93019021646</v>
      </c>
      <c r="O16" s="31">
        <f>'Option1 (base case)'!O$36*conv_2026</f>
        <v>351623.27026360459</v>
      </c>
      <c r="P16" s="31">
        <f>'Option1 (base case)'!P$36*conv_2026</f>
        <v>360221.46936478815</v>
      </c>
      <c r="Q16" s="31">
        <f>'Option1 (base case)'!Q$36*conv_2026</f>
        <v>365561.95073436975</v>
      </c>
      <c r="R16" s="31">
        <f>'Option1 (base case)'!R$36*conv_2026</f>
        <v>367267.42315368715</v>
      </c>
      <c r="S16" s="31">
        <f>'Option1 (base case)'!S$36*conv_2026</f>
        <v>368972.89557300531</v>
      </c>
      <c r="T16" s="31">
        <f>'Option1 (base case)'!T$36*conv_2026</f>
        <v>370678.36799232289</v>
      </c>
      <c r="U16" s="31">
        <f>'Option1 (base case)'!U$36*conv_2026</f>
        <v>372383.84041164018</v>
      </c>
      <c r="V16" s="31">
        <f>'Option1 (base case)'!V$36*conv_2026</f>
        <v>374089.3128309584</v>
      </c>
      <c r="W16" s="31">
        <f>'Option1 (base case)'!W$36*conv_2026</f>
        <v>375794.78525027586</v>
      </c>
      <c r="X16" s="31">
        <f>'Option1 (base case)'!X$36*conv_2026</f>
        <v>377500.25766959327</v>
      </c>
      <c r="Y16" s="31">
        <f>'Option1 (base case)'!Y$36*conv_2026</f>
        <v>379205.73008891143</v>
      </c>
      <c r="Z16" s="31">
        <f>'Option1 (base case)'!Z$36*conv_2026</f>
        <v>380911.20250822895</v>
      </c>
      <c r="AA16" s="31">
        <f>'Option1 (base case)'!AA$36*conv_2026</f>
        <v>382616.67492754705</v>
      </c>
      <c r="AB16" s="31">
        <f>'Option1 (base case)'!AB$36*conv_2026</f>
        <v>384322.1473468644</v>
      </c>
      <c r="AC16" s="31">
        <f>'Option1 (base case)'!AC$36*conv_2026</f>
        <v>386027.61976618192</v>
      </c>
      <c r="AD16" s="31">
        <f>'Option1 (base case)'!AD$36*conv_2026</f>
        <v>387733.09218550002</v>
      </c>
      <c r="AE16" s="31">
        <f>'Option1 (base case)'!AE$36*conv_2026</f>
        <v>389438.56460481748</v>
      </c>
      <c r="AF16" s="31">
        <f>'Option1 (base case)'!AF$36*conv_2026</f>
        <v>391144.03702413506</v>
      </c>
      <c r="AG16" s="31">
        <f>'Option1 (base case)'!AG$36*conv_2026</f>
        <v>392849.50944345316</v>
      </c>
    </row>
    <row r="17" spans="1:33" s="1" customFormat="1" x14ac:dyDescent="0.2">
      <c r="A17" s="136" t="str">
        <f t="shared" si="3"/>
        <v>Option 1 (base case)</v>
      </c>
      <c r="B17" s="136"/>
      <c r="C17" s="75"/>
      <c r="D17" s="38" t="str">
        <f t="shared" si="2"/>
        <v>Option 1 (base case)</v>
      </c>
      <c r="F17"/>
      <c r="G17" s="22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s="1" customFormat="1" x14ac:dyDescent="0.2">
      <c r="A18" s="136" t="str">
        <f t="shared" si="3"/>
        <v>Option 1 (base case)</v>
      </c>
      <c r="B18" s="136"/>
      <c r="C18" s="58" t="str">
        <f>'Option1 (base case)'!C$82</f>
        <v>Annualised capex</v>
      </c>
      <c r="D18" s="38" t="str">
        <f t="shared" si="2"/>
        <v>Option 1 (base case)Annualised capex</v>
      </c>
      <c r="F18" s="97">
        <f>SUMPRODUCT($H18:$AG18, $H$5:$AG$5)</f>
        <v>0</v>
      </c>
      <c r="G18" s="226">
        <f t="shared" ref="G18:G25" si="4">output_dollars</f>
        <v>46203</v>
      </c>
      <c r="H18" s="31"/>
      <c r="I18" s="31">
        <f>'Option1 (base case)'!I$82*conv_2026</f>
        <v>0</v>
      </c>
      <c r="J18" s="31">
        <f>'Option1 (base case)'!J$82*conv_2026</f>
        <v>0</v>
      </c>
      <c r="K18" s="31">
        <f>'Option1 (base case)'!K$82*conv_2026</f>
        <v>0</v>
      </c>
      <c r="L18" s="31">
        <f>'Option1 (base case)'!L$82*conv_2026</f>
        <v>0</v>
      </c>
      <c r="M18" s="31">
        <f>'Option1 (base case)'!M$82*conv_2026</f>
        <v>0</v>
      </c>
      <c r="N18" s="31">
        <f>'Option1 (base case)'!N$82*conv_2026</f>
        <v>0</v>
      </c>
      <c r="O18" s="31">
        <f>'Option1 (base case)'!O$82*conv_2026</f>
        <v>0</v>
      </c>
      <c r="P18" s="31">
        <f>'Option1 (base case)'!P$82*conv_2026</f>
        <v>0</v>
      </c>
      <c r="Q18" s="31">
        <f>'Option1 (base case)'!Q$82*conv_2026</f>
        <v>0</v>
      </c>
      <c r="R18" s="31">
        <f>'Option1 (base case)'!R$82*conv_2026</f>
        <v>0</v>
      </c>
      <c r="S18" s="31">
        <f>'Option1 (base case)'!S$82*conv_2026</f>
        <v>0</v>
      </c>
      <c r="T18" s="31">
        <f>'Option1 (base case)'!T$82*conv_2026</f>
        <v>0</v>
      </c>
      <c r="U18" s="31">
        <f>'Option1 (base case)'!U$82*conv_2026</f>
        <v>0</v>
      </c>
      <c r="V18" s="31">
        <f>'Option1 (base case)'!V$82*conv_2026</f>
        <v>0</v>
      </c>
      <c r="W18" s="31">
        <f>'Option1 (base case)'!W$82*conv_2026</f>
        <v>0</v>
      </c>
      <c r="X18" s="31">
        <f>'Option1 (base case)'!X$82*conv_2026</f>
        <v>0</v>
      </c>
      <c r="Y18" s="31">
        <f>'Option1 (base case)'!Y$82*conv_2026</f>
        <v>0</v>
      </c>
      <c r="Z18" s="31">
        <f>'Option1 (base case)'!Z$82*conv_2026</f>
        <v>0</v>
      </c>
      <c r="AA18" s="31">
        <f>'Option1 (base case)'!AA$82*conv_2026</f>
        <v>0</v>
      </c>
      <c r="AB18" s="31">
        <f>'Option1 (base case)'!AB$82*conv_2026</f>
        <v>0</v>
      </c>
      <c r="AC18" s="31">
        <f>'Option1 (base case)'!AC$82*conv_2026</f>
        <v>0</v>
      </c>
      <c r="AD18" s="31">
        <f>'Option1 (base case)'!AD$82*conv_2026</f>
        <v>0</v>
      </c>
      <c r="AE18" s="31">
        <f>'Option1 (base case)'!AE$82*conv_2026</f>
        <v>0</v>
      </c>
      <c r="AF18" s="31">
        <f>'Option1 (base case)'!AF$82*conv_2026</f>
        <v>0</v>
      </c>
      <c r="AG18" s="31">
        <f>'Option1 (base case)'!AG$82*conv_2026</f>
        <v>0</v>
      </c>
    </row>
    <row r="19" spans="1:33" s="1" customFormat="1" x14ac:dyDescent="0.2">
      <c r="A19" s="136" t="str">
        <f t="shared" si="3"/>
        <v>Option 1 (base case)</v>
      </c>
      <c r="B19" s="136"/>
      <c r="C19" s="58" t="str">
        <f>'Option1 (base case)'!C$83</f>
        <v>Operating expenditure</v>
      </c>
      <c r="D19" s="38" t="str">
        <f t="shared" si="2"/>
        <v>Option 1 (base case)Operating expenditure</v>
      </c>
      <c r="F19" s="97">
        <f>SUMPRODUCT($H19:$AG19, $H$5:$AG$5)</f>
        <v>0</v>
      </c>
      <c r="G19" s="226">
        <f t="shared" si="4"/>
        <v>46203</v>
      </c>
      <c r="H19" s="31"/>
      <c r="I19" s="31">
        <f>'Option1 (base case)'!I$83*conv_2026</f>
        <v>0</v>
      </c>
      <c r="J19" s="31">
        <f>'Option1 (base case)'!J$83*conv_2026</f>
        <v>0</v>
      </c>
      <c r="K19" s="31">
        <f>'Option1 (base case)'!K$83*conv_2026</f>
        <v>0</v>
      </c>
      <c r="L19" s="31">
        <f>'Option1 (base case)'!L$83*conv_2026</f>
        <v>0</v>
      </c>
      <c r="M19" s="31">
        <f>'Option1 (base case)'!M$83*conv_2026</f>
        <v>0</v>
      </c>
      <c r="N19" s="31">
        <f>'Option1 (base case)'!N$83*conv_2026</f>
        <v>0</v>
      </c>
      <c r="O19" s="31">
        <f>'Option1 (base case)'!O$83*conv_2026</f>
        <v>0</v>
      </c>
      <c r="P19" s="31">
        <f>'Option1 (base case)'!P$83*conv_2026</f>
        <v>0</v>
      </c>
      <c r="Q19" s="31">
        <f>'Option1 (base case)'!Q$83*conv_2026</f>
        <v>0</v>
      </c>
      <c r="R19" s="31">
        <f>'Option1 (base case)'!R$83*conv_2026</f>
        <v>0</v>
      </c>
      <c r="S19" s="31">
        <f>'Option1 (base case)'!S$83*conv_2026</f>
        <v>0</v>
      </c>
      <c r="T19" s="31">
        <f>'Option1 (base case)'!T$83*conv_2026</f>
        <v>0</v>
      </c>
      <c r="U19" s="31">
        <f>'Option1 (base case)'!U$83*conv_2026</f>
        <v>0</v>
      </c>
      <c r="V19" s="31">
        <f>'Option1 (base case)'!V$83*conv_2026</f>
        <v>0</v>
      </c>
      <c r="W19" s="31">
        <f>'Option1 (base case)'!W$83*conv_2026</f>
        <v>0</v>
      </c>
      <c r="X19" s="31">
        <f>'Option1 (base case)'!X$83*conv_2026</f>
        <v>0</v>
      </c>
      <c r="Y19" s="31">
        <f>'Option1 (base case)'!Y$83*conv_2026</f>
        <v>0</v>
      </c>
      <c r="Z19" s="31">
        <f>'Option1 (base case)'!Z$83*conv_2026</f>
        <v>0</v>
      </c>
      <c r="AA19" s="31">
        <f>'Option1 (base case)'!AA$83*conv_2026</f>
        <v>0</v>
      </c>
      <c r="AB19" s="31">
        <f>'Option1 (base case)'!AB$83*conv_2026</f>
        <v>0</v>
      </c>
      <c r="AC19" s="31">
        <f>'Option1 (base case)'!AC$83*conv_2026</f>
        <v>0</v>
      </c>
      <c r="AD19" s="31">
        <f>'Option1 (base case)'!AD$83*conv_2026</f>
        <v>0</v>
      </c>
      <c r="AE19" s="31">
        <f>'Option1 (base case)'!AE$83*conv_2026</f>
        <v>0</v>
      </c>
      <c r="AF19" s="31">
        <f>'Option1 (base case)'!AF$83*conv_2026</f>
        <v>0</v>
      </c>
      <c r="AG19" s="31">
        <f>'Option1 (base case)'!AG$83*conv_2026</f>
        <v>0</v>
      </c>
    </row>
    <row r="20" spans="1:33" s="1" customFormat="1" x14ac:dyDescent="0.2">
      <c r="A20" s="136" t="str">
        <f t="shared" si="3"/>
        <v>Option 1 (base case)</v>
      </c>
      <c r="B20" s="136"/>
      <c r="C20" s="58" t="str">
        <f>'Option1 (base case)'!C$84</f>
        <v>Risk mitigated</v>
      </c>
      <c r="D20" s="38" t="str">
        <f t="shared" si="2"/>
        <v>Option 1 (base case)Risk mitigated</v>
      </c>
      <c r="F20" s="97">
        <f>SUMPRODUCT($H20:$AG20, $H$5:$AG$5)</f>
        <v>0</v>
      </c>
      <c r="G20" s="226">
        <f t="shared" si="4"/>
        <v>46203</v>
      </c>
      <c r="H20" s="31"/>
      <c r="I20" s="31">
        <f>'Option1 (base case)'!I$84*conv_2026</f>
        <v>0</v>
      </c>
      <c r="J20" s="31">
        <f>'Option1 (base case)'!J$84*conv_2026</f>
        <v>0</v>
      </c>
      <c r="K20" s="31">
        <f>'Option1 (base case)'!K$84*conv_2026</f>
        <v>0</v>
      </c>
      <c r="L20" s="31">
        <f>'Option1 (base case)'!L$84*conv_2026</f>
        <v>0</v>
      </c>
      <c r="M20" s="31">
        <f>'Option1 (base case)'!M$84*conv_2026</f>
        <v>0</v>
      </c>
      <c r="N20" s="31">
        <f>'Option1 (base case)'!N$84*conv_2026</f>
        <v>0</v>
      </c>
      <c r="O20" s="31">
        <f>'Option1 (base case)'!O$84*conv_2026</f>
        <v>0</v>
      </c>
      <c r="P20" s="31">
        <f>'Option1 (base case)'!P$84*conv_2026</f>
        <v>0</v>
      </c>
      <c r="Q20" s="31">
        <f>'Option1 (base case)'!Q$84*conv_2026</f>
        <v>0</v>
      </c>
      <c r="R20" s="31">
        <f>'Option1 (base case)'!R$84*conv_2026</f>
        <v>0</v>
      </c>
      <c r="S20" s="31">
        <f>'Option1 (base case)'!S$84*conv_2026</f>
        <v>0</v>
      </c>
      <c r="T20" s="31">
        <f>'Option1 (base case)'!T$84*conv_2026</f>
        <v>0</v>
      </c>
      <c r="U20" s="31">
        <f>'Option1 (base case)'!U$84*conv_2026</f>
        <v>0</v>
      </c>
      <c r="V20" s="31">
        <f>'Option1 (base case)'!V$84*conv_2026</f>
        <v>0</v>
      </c>
      <c r="W20" s="31">
        <f>'Option1 (base case)'!W$84*conv_2026</f>
        <v>0</v>
      </c>
      <c r="X20" s="31">
        <f>'Option1 (base case)'!X$84*conv_2026</f>
        <v>0</v>
      </c>
      <c r="Y20" s="31">
        <f>'Option1 (base case)'!Y$84*conv_2026</f>
        <v>0</v>
      </c>
      <c r="Z20" s="31">
        <f>'Option1 (base case)'!Z$84*conv_2026</f>
        <v>0</v>
      </c>
      <c r="AA20" s="31">
        <f>'Option1 (base case)'!AA$84*conv_2026</f>
        <v>0</v>
      </c>
      <c r="AB20" s="31">
        <f>'Option1 (base case)'!AB$84*conv_2026</f>
        <v>0</v>
      </c>
      <c r="AC20" s="31">
        <f>'Option1 (base case)'!AC$84*conv_2026</f>
        <v>0</v>
      </c>
      <c r="AD20" s="31">
        <f>'Option1 (base case)'!AD$84*conv_2026</f>
        <v>0</v>
      </c>
      <c r="AE20" s="31">
        <f>'Option1 (base case)'!AE$84*conv_2026</f>
        <v>0</v>
      </c>
      <c r="AF20" s="31">
        <f>'Option1 (base case)'!AF$84*conv_2026</f>
        <v>0</v>
      </c>
      <c r="AG20" s="31">
        <f>'Option1 (base case)'!AG$84*conv_2026</f>
        <v>0</v>
      </c>
    </row>
    <row r="21" spans="1:33" s="1" customFormat="1" x14ac:dyDescent="0.2">
      <c r="A21" s="136" t="str">
        <f t="shared" si="3"/>
        <v>Option 1 (base case)</v>
      </c>
      <c r="B21" s="136"/>
      <c r="C21" s="58" t="str">
        <f>'Option1 (base case)'!C$85</f>
        <v>Other benefits value</v>
      </c>
      <c r="D21" s="38" t="str">
        <f t="shared" si="2"/>
        <v>Option 1 (base case)Other benefits value</v>
      </c>
      <c r="F21" s="97">
        <f>SUMPRODUCT($H21:$AG21, $H$5:$AG$5)</f>
        <v>0</v>
      </c>
      <c r="G21" s="226">
        <f t="shared" si="4"/>
        <v>46203</v>
      </c>
      <c r="H21" s="31"/>
      <c r="I21" s="31">
        <f>'Option1 (base case)'!I$85*conv_2026</f>
        <v>0</v>
      </c>
      <c r="J21" s="31">
        <f>'Option1 (base case)'!J$85*conv_2026</f>
        <v>0</v>
      </c>
      <c r="K21" s="31">
        <f>'Option1 (base case)'!K$85*conv_2026</f>
        <v>0</v>
      </c>
      <c r="L21" s="31">
        <f>'Option1 (base case)'!L$85*conv_2026</f>
        <v>0</v>
      </c>
      <c r="M21" s="31">
        <f>'Option1 (base case)'!M$85*conv_2026</f>
        <v>0</v>
      </c>
      <c r="N21" s="31">
        <f>'Option1 (base case)'!N$85*conv_2026</f>
        <v>0</v>
      </c>
      <c r="O21" s="31">
        <f>'Option1 (base case)'!O$85*conv_2026</f>
        <v>0</v>
      </c>
      <c r="P21" s="31">
        <f>'Option1 (base case)'!P$85*conv_2026</f>
        <v>0</v>
      </c>
      <c r="Q21" s="31">
        <f>'Option1 (base case)'!Q$85*conv_2026</f>
        <v>0</v>
      </c>
      <c r="R21" s="31">
        <f>'Option1 (base case)'!R$85*conv_2026</f>
        <v>0</v>
      </c>
      <c r="S21" s="31">
        <f>'Option1 (base case)'!S$85*conv_2026</f>
        <v>0</v>
      </c>
      <c r="T21" s="31">
        <f>'Option1 (base case)'!T$85*conv_2026</f>
        <v>0</v>
      </c>
      <c r="U21" s="31">
        <f>'Option1 (base case)'!U$85*conv_2026</f>
        <v>0</v>
      </c>
      <c r="V21" s="31">
        <f>'Option1 (base case)'!V$85*conv_2026</f>
        <v>0</v>
      </c>
      <c r="W21" s="31">
        <f>'Option1 (base case)'!W$85*conv_2026</f>
        <v>0</v>
      </c>
      <c r="X21" s="31">
        <f>'Option1 (base case)'!X$85*conv_2026</f>
        <v>0</v>
      </c>
      <c r="Y21" s="31">
        <f>'Option1 (base case)'!Y$85*conv_2026</f>
        <v>0</v>
      </c>
      <c r="Z21" s="31">
        <f>'Option1 (base case)'!Z$85*conv_2026</f>
        <v>0</v>
      </c>
      <c r="AA21" s="31">
        <f>'Option1 (base case)'!AA$85*conv_2026</f>
        <v>0</v>
      </c>
      <c r="AB21" s="31">
        <f>'Option1 (base case)'!AB$85*conv_2026</f>
        <v>0</v>
      </c>
      <c r="AC21" s="31">
        <f>'Option1 (base case)'!AC$85*conv_2026</f>
        <v>0</v>
      </c>
      <c r="AD21" s="31">
        <f>'Option1 (base case)'!AD$85*conv_2026</f>
        <v>0</v>
      </c>
      <c r="AE21" s="31">
        <f>'Option1 (base case)'!AE$85*conv_2026</f>
        <v>0</v>
      </c>
      <c r="AF21" s="31">
        <f>'Option1 (base case)'!AF$85*conv_2026</f>
        <v>0</v>
      </c>
      <c r="AG21" s="31">
        <f>'Option1 (base case)'!AG$85*conv_2026</f>
        <v>0</v>
      </c>
    </row>
    <row r="22" spans="1:33" s="1" customFormat="1" x14ac:dyDescent="0.2">
      <c r="A22" s="136" t="str">
        <f t="shared" si="3"/>
        <v>Option 1 (base case)</v>
      </c>
      <c r="B22" s="136"/>
      <c r="C22" s="145" t="str">
        <f>'Option1 (base case)'!C$87</f>
        <v>Net benefits</v>
      </c>
      <c r="D22" s="109" t="str">
        <f t="shared" si="2"/>
        <v>Option 1 (base case)Net benefits</v>
      </c>
      <c r="E22" s="110"/>
      <c r="F22" s="144"/>
      <c r="G22" s="228">
        <f t="shared" si="4"/>
        <v>46203</v>
      </c>
      <c r="H22" s="52"/>
      <c r="I22" s="52">
        <f t="shared" ref="I22:AG22" si="5">SUM(I18:I21)</f>
        <v>0</v>
      </c>
      <c r="J22" s="52">
        <f t="shared" si="5"/>
        <v>0</v>
      </c>
      <c r="K22" s="52">
        <f t="shared" si="5"/>
        <v>0</v>
      </c>
      <c r="L22" s="52">
        <f t="shared" si="5"/>
        <v>0</v>
      </c>
      <c r="M22" s="52">
        <f t="shared" si="5"/>
        <v>0</v>
      </c>
      <c r="N22" s="52">
        <f t="shared" si="5"/>
        <v>0</v>
      </c>
      <c r="O22" s="52">
        <f t="shared" si="5"/>
        <v>0</v>
      </c>
      <c r="P22" s="52">
        <f t="shared" si="5"/>
        <v>0</v>
      </c>
      <c r="Q22" s="52">
        <f t="shared" si="5"/>
        <v>0</v>
      </c>
      <c r="R22" s="52">
        <f t="shared" si="5"/>
        <v>0</v>
      </c>
      <c r="S22" s="52">
        <f t="shared" si="5"/>
        <v>0</v>
      </c>
      <c r="T22" s="52">
        <f t="shared" si="5"/>
        <v>0</v>
      </c>
      <c r="U22" s="52">
        <f t="shared" si="5"/>
        <v>0</v>
      </c>
      <c r="V22" s="52">
        <f t="shared" si="5"/>
        <v>0</v>
      </c>
      <c r="W22" s="52">
        <f t="shared" si="5"/>
        <v>0</v>
      </c>
      <c r="X22" s="52">
        <f t="shared" si="5"/>
        <v>0</v>
      </c>
      <c r="Y22" s="52">
        <f t="shared" si="5"/>
        <v>0</v>
      </c>
      <c r="Z22" s="52">
        <f t="shared" si="5"/>
        <v>0</v>
      </c>
      <c r="AA22" s="52">
        <f t="shared" si="5"/>
        <v>0</v>
      </c>
      <c r="AB22" s="52">
        <f t="shared" si="5"/>
        <v>0</v>
      </c>
      <c r="AC22" s="52">
        <f t="shared" si="5"/>
        <v>0</v>
      </c>
      <c r="AD22" s="52">
        <f t="shared" si="5"/>
        <v>0</v>
      </c>
      <c r="AE22" s="52">
        <f t="shared" si="5"/>
        <v>0</v>
      </c>
      <c r="AF22" s="52">
        <f t="shared" si="5"/>
        <v>0</v>
      </c>
      <c r="AG22" s="52">
        <f t="shared" si="5"/>
        <v>0</v>
      </c>
    </row>
    <row r="23" spans="1:33" s="1" customFormat="1" x14ac:dyDescent="0.2">
      <c r="A23" s="136" t="str">
        <f t="shared" si="3"/>
        <v>Option 1 (base case)</v>
      </c>
      <c r="B23" s="136"/>
      <c r="C23" s="8" t="s">
        <v>119</v>
      </c>
      <c r="D23" s="38" t="str">
        <f t="shared" si="2"/>
        <v>Option 1 (base case)NPV</v>
      </c>
      <c r="F23" s="108" cm="1">
        <f t="array" ref="F23">SUMPRODUCT(($H22:$AG22)*($H$5:$AG$5)*($H$7:$AG$7))</f>
        <v>0</v>
      </c>
      <c r="G23" s="226">
        <f t="shared" si="4"/>
        <v>46203</v>
      </c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</row>
    <row r="24" spans="1:33" s="1" customFormat="1" x14ac:dyDescent="0.2">
      <c r="A24" s="136" t="str">
        <f t="shared" si="3"/>
        <v>Option 1 (base case)</v>
      </c>
      <c r="B24" s="136"/>
      <c r="C24" s="8" t="s">
        <v>193</v>
      </c>
      <c r="D24" s="38" t="str">
        <f t="shared" si="2"/>
        <v>Option 1 (base case)PV of costs</v>
      </c>
      <c r="F24" s="108">
        <f>SUM(F18:F19)</f>
        <v>0</v>
      </c>
      <c r="G24" s="226">
        <f t="shared" si="4"/>
        <v>46203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</row>
    <row r="25" spans="1:33" s="1" customFormat="1" x14ac:dyDescent="0.2">
      <c r="A25" s="136" t="str">
        <f t="shared" si="3"/>
        <v>Option 1 (base case)</v>
      </c>
      <c r="B25" s="136"/>
      <c r="C25" s="8" t="s">
        <v>194</v>
      </c>
      <c r="D25" s="38" t="str">
        <f t="shared" si="2"/>
        <v>Option 1 (base case)PV of benefits</v>
      </c>
      <c r="F25" s="108">
        <f>SUM(F20:F21)</f>
        <v>0</v>
      </c>
      <c r="G25" s="226">
        <f t="shared" si="4"/>
        <v>46203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</row>
    <row r="26" spans="1:33" s="1" customFormat="1" x14ac:dyDescent="0.2">
      <c r="D26" s="38" t="str">
        <f t="shared" ref="D26:D39" si="6">A26&amp;C26</f>
        <v/>
      </c>
      <c r="G26" s="229"/>
    </row>
    <row r="27" spans="1:33" s="2" customFormat="1" x14ac:dyDescent="0.2">
      <c r="A27" s="123"/>
      <c r="B27" s="123"/>
      <c r="C27" s="123"/>
      <c r="D27" s="38" t="str">
        <f t="shared" si="6"/>
        <v/>
      </c>
      <c r="F27" s="118"/>
      <c r="G27" s="222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119"/>
      <c r="AD27" s="119"/>
      <c r="AE27" s="119"/>
      <c r="AF27" s="119"/>
      <c r="AG27" s="119"/>
    </row>
    <row r="28" spans="1:33" s="271" customFormat="1" x14ac:dyDescent="0.2">
      <c r="A28" s="269" t="str">
        <f>A29</f>
        <v>Option 2</v>
      </c>
      <c r="B28" s="269"/>
      <c r="C28" s="269" t="s">
        <v>124</v>
      </c>
      <c r="D28" s="270" t="str">
        <f t="shared" si="6"/>
        <v>Option 2Energy at risk value</v>
      </c>
      <c r="F28" s="97">
        <f>SUMPRODUCT($H28:$AG28, $H$5:$AG$5)</f>
        <v>1251510.0015704273</v>
      </c>
      <c r="G28" s="272">
        <f>output_dollars</f>
        <v>46203</v>
      </c>
      <c r="H28" s="273"/>
      <c r="I28" s="31">
        <f>Option2!I$28*conv_2026</f>
        <v>331582.49328232405</v>
      </c>
      <c r="J28" s="31">
        <f>Option2!J$28*conv_2026</f>
        <v>332689.30938706221</v>
      </c>
      <c r="K28" s="31">
        <f>Option2!K$28*conv_2026</f>
        <v>336364.35957627068</v>
      </c>
      <c r="L28" s="31">
        <f>Option2!L$28*conv_2026</f>
        <v>339491.52292516542</v>
      </c>
      <c r="M28" s="31">
        <f>Option2!M$28*conv_2026</f>
        <v>0</v>
      </c>
      <c r="N28" s="31">
        <f>Option2!N$28*conv_2026</f>
        <v>0</v>
      </c>
      <c r="O28" s="31">
        <f>Option2!O$28*conv_2026</f>
        <v>0</v>
      </c>
      <c r="P28" s="31">
        <f>Option2!P$28*conv_2026</f>
        <v>0</v>
      </c>
      <c r="Q28" s="31">
        <f>Option2!Q$28*conv_2026</f>
        <v>0</v>
      </c>
      <c r="R28" s="31">
        <f>Option2!R$28*conv_2026</f>
        <v>0</v>
      </c>
      <c r="S28" s="31">
        <f>Option2!S$28*conv_2026</f>
        <v>0</v>
      </c>
      <c r="T28" s="31">
        <f>Option2!T$28*conv_2026</f>
        <v>0</v>
      </c>
      <c r="U28" s="31">
        <f>Option2!U$28*conv_2026</f>
        <v>0</v>
      </c>
      <c r="V28" s="31">
        <f>Option2!V$28*conv_2026</f>
        <v>0</v>
      </c>
      <c r="W28" s="31">
        <f>Option2!W$28*conv_2026</f>
        <v>0</v>
      </c>
      <c r="X28" s="31">
        <f>Option2!X$28*conv_2026</f>
        <v>0</v>
      </c>
      <c r="Y28" s="31">
        <f>Option2!Y$28*conv_2026</f>
        <v>0</v>
      </c>
      <c r="Z28" s="31">
        <f>Option2!Z$28*conv_2026</f>
        <v>0</v>
      </c>
      <c r="AA28" s="31">
        <f>Option2!AA$28*conv_2026</f>
        <v>0</v>
      </c>
      <c r="AB28" s="31">
        <f>Option2!AB$28*conv_2026</f>
        <v>0</v>
      </c>
      <c r="AC28" s="31">
        <f>Option2!AC$28*conv_2026</f>
        <v>0</v>
      </c>
      <c r="AD28" s="31">
        <f>Option2!AD$28*conv_2026</f>
        <v>0</v>
      </c>
      <c r="AE28" s="31">
        <f>Option2!AE$28*conv_2026</f>
        <v>0</v>
      </c>
      <c r="AF28" s="31">
        <f>Option2!AF$28*conv_2026</f>
        <v>0</v>
      </c>
      <c r="AG28" s="31">
        <f>Option2!AG$28*conv_2026</f>
        <v>0</v>
      </c>
    </row>
    <row r="29" spans="1:33" s="2" customFormat="1" x14ac:dyDescent="0.2">
      <c r="A29" s="136" t="str">
        <f>Data!B10</f>
        <v>Option 2</v>
      </c>
      <c r="B29" s="136"/>
      <c r="C29" s="58" t="str">
        <f>Option2!C$66</f>
        <v>Capital expenditure</v>
      </c>
      <c r="D29" s="38" t="str">
        <f t="shared" si="6"/>
        <v>Option 2Capital expenditure</v>
      </c>
      <c r="E29" s="1"/>
      <c r="F29" s="97" cm="1">
        <f t="array" ref="F29">SUMPRODUCT(($H29:$AG29)*($H$5:$AG$5)*($H$7:$AG$7))</f>
        <v>-2756670.8979595574</v>
      </c>
      <c r="G29" s="226">
        <f>output_dollars</f>
        <v>46203</v>
      </c>
      <c r="H29" s="31"/>
      <c r="I29" s="31">
        <f>SUM(Option2!I$67:I$69)*conv_2026*I$7</f>
        <v>0</v>
      </c>
      <c r="J29" s="31">
        <f>SUM(Option2!J$67:J$69)*conv_2026*J$7</f>
        <v>0</v>
      </c>
      <c r="K29" s="31">
        <f>SUM(Option2!K$67:K$69)*conv_2026*K$7</f>
        <v>0</v>
      </c>
      <c r="L29" s="31">
        <f>SUM(Option2!L$67:L$69)*conv_2026*L$7</f>
        <v>-3109396.7888446394</v>
      </c>
      <c r="M29" s="31">
        <f>SUM(Option2!M$67:M$69)*conv_2026*M$7</f>
        <v>0</v>
      </c>
      <c r="N29" s="31">
        <f>SUM(Option2!N$67:N$69)*conv_2026*N$7</f>
        <v>0</v>
      </c>
      <c r="O29" s="31">
        <f>SUM(Option2!O$67:O$69)*conv_2026*O$7</f>
        <v>0</v>
      </c>
      <c r="P29" s="31">
        <f>SUM(Option2!P$67:P$69)*conv_2026*P$7</f>
        <v>0</v>
      </c>
      <c r="Q29" s="31">
        <f>SUM(Option2!Q$67:Q$69)*conv_2026*Q$7</f>
        <v>0</v>
      </c>
      <c r="R29" s="31">
        <f>SUM(Option2!R$67:R$69)*conv_2026*R$7</f>
        <v>0</v>
      </c>
      <c r="S29" s="31">
        <f>SUM(Option2!S$67:S$69)*conv_2026*S$7</f>
        <v>0</v>
      </c>
      <c r="T29" s="31">
        <f>SUM(Option2!T$67:T$69)*conv_2026*T$7</f>
        <v>0</v>
      </c>
      <c r="U29" s="31">
        <f>SUM(Option2!U$67:U$69)*conv_2026*U$7</f>
        <v>0</v>
      </c>
      <c r="V29" s="31">
        <f>SUM(Option2!V$67:V$69)*conv_2026*V$7</f>
        <v>0</v>
      </c>
      <c r="W29" s="31">
        <f>SUM(Option2!W$67:W$69)*conv_2026*W$7</f>
        <v>0</v>
      </c>
      <c r="X29" s="31">
        <f>SUM(Option2!X$67:X$69)*conv_2026*X$7</f>
        <v>0</v>
      </c>
      <c r="Y29" s="31">
        <f>SUM(Option2!Y$67:Y$69)*conv_2026*Y$7</f>
        <v>0</v>
      </c>
      <c r="Z29" s="31">
        <f>SUM(Option2!Z$67:Z$69)*conv_2026*Z$7</f>
        <v>0</v>
      </c>
      <c r="AA29" s="31">
        <f>SUM(Option2!AA$67:AA$69)*conv_2026*AA$7</f>
        <v>0</v>
      </c>
      <c r="AB29" s="31">
        <f>SUM(Option2!AB$67:AB$69)*conv_2026*AB$7</f>
        <v>0</v>
      </c>
      <c r="AC29" s="31">
        <f>SUM(Option2!AC$67:AC$69)*conv_2026*AC$7</f>
        <v>0</v>
      </c>
      <c r="AD29" s="31">
        <f>SUM(Option2!AD$67:AD$69)*conv_2026*AD$7</f>
        <v>0</v>
      </c>
      <c r="AE29" s="31">
        <f>SUM(Option2!AE$67:AE$69)*conv_2026*AE$7</f>
        <v>0</v>
      </c>
      <c r="AF29" s="31">
        <f>SUM(Option2!AF$67:AF$69)*conv_2026*AF$7</f>
        <v>0</v>
      </c>
      <c r="AG29" s="31">
        <f>SUM(Option2!AG$67:AG$69)*conv_2026*AG$7</f>
        <v>0</v>
      </c>
    </row>
    <row r="30" spans="1:33" s="2" customFormat="1" x14ac:dyDescent="0.2">
      <c r="A30" s="136" t="str">
        <f t="shared" ref="A30:A39" si="7">A29</f>
        <v>Option 2</v>
      </c>
      <c r="B30" s="136"/>
      <c r="C30" s="58" t="str">
        <f>'Option1 (base case)'!C$36</f>
        <v>Total risk cost</v>
      </c>
      <c r="D30" s="38" t="str">
        <f t="shared" si="6"/>
        <v>Option 2Total risk cost</v>
      </c>
      <c r="E30" s="1"/>
      <c r="F30" s="97" cm="1">
        <f t="array" ref="F30">SUMPRODUCT(($H30:$AG30)*($H$5:$AG$5)*($H$7:$AG$7))</f>
        <v>1251510.0015704273</v>
      </c>
      <c r="G30" s="226">
        <f>output_dollars</f>
        <v>46203</v>
      </c>
      <c r="H30" s="31"/>
      <c r="I30" s="31">
        <f>Option2!I$36*conv_2026*I$7</f>
        <v>331582.49328232405</v>
      </c>
      <c r="J30" s="31">
        <f>Option2!J$36*conv_2026*J$7</f>
        <v>332689.30938706221</v>
      </c>
      <c r="K30" s="31">
        <f>Option2!K$36*conv_2026*K$7</f>
        <v>336364.35957627068</v>
      </c>
      <c r="L30" s="31">
        <f>Option2!L$36*conv_2026*L$7</f>
        <v>339491.52292516542</v>
      </c>
      <c r="M30" s="31">
        <f>Option2!M$36*conv_2026*M$7</f>
        <v>0</v>
      </c>
      <c r="N30" s="31">
        <f>Option2!N$36*conv_2026*N$7</f>
        <v>0</v>
      </c>
      <c r="O30" s="31">
        <f>Option2!O$36*conv_2026*O$7</f>
        <v>0</v>
      </c>
      <c r="P30" s="31">
        <f>Option2!P$36*conv_2026*P$7</f>
        <v>0</v>
      </c>
      <c r="Q30" s="31">
        <f>Option2!Q$36*conv_2026*Q$7</f>
        <v>0</v>
      </c>
      <c r="R30" s="31">
        <f>Option2!R$36*conv_2026*R$7</f>
        <v>0</v>
      </c>
      <c r="S30" s="31">
        <f>Option2!S$36*conv_2026*S$7</f>
        <v>0</v>
      </c>
      <c r="T30" s="31">
        <f>Option2!T$36*conv_2026*T$7</f>
        <v>0</v>
      </c>
      <c r="U30" s="31">
        <f>Option2!U$36*conv_2026*U$7</f>
        <v>0</v>
      </c>
      <c r="V30" s="31">
        <f>Option2!V$36*conv_2026*V$7</f>
        <v>0</v>
      </c>
      <c r="W30" s="31">
        <f>Option2!W$36*conv_2026*W$7</f>
        <v>0</v>
      </c>
      <c r="X30" s="31">
        <f>Option2!X$36*conv_2026*X$7</f>
        <v>0</v>
      </c>
      <c r="Y30" s="31">
        <f>Option2!Y$36*conv_2026*Y$7</f>
        <v>0</v>
      </c>
      <c r="Z30" s="31">
        <f>Option2!Z$36*conv_2026*Z$7</f>
        <v>0</v>
      </c>
      <c r="AA30" s="31">
        <f>Option2!AA$36*conv_2026*AA$7</f>
        <v>0</v>
      </c>
      <c r="AB30" s="31">
        <f>Option2!AB$36*conv_2026*AB$7</f>
        <v>0</v>
      </c>
      <c r="AC30" s="31">
        <f>Option2!AC$36*conv_2026*AC$7</f>
        <v>0</v>
      </c>
      <c r="AD30" s="31">
        <f>Option2!AD$36*conv_2026*AD$7</f>
        <v>0</v>
      </c>
      <c r="AE30" s="31">
        <f>Option2!AE$36*conv_2026*AE$7</f>
        <v>0</v>
      </c>
      <c r="AF30" s="31">
        <f>Option2!AF$36*conv_2026*AF$7</f>
        <v>0</v>
      </c>
      <c r="AG30" s="31">
        <f>Option2!AG$36*conv_2026*AG$7</f>
        <v>0</v>
      </c>
    </row>
    <row r="31" spans="1:33" s="2" customFormat="1" x14ac:dyDescent="0.2">
      <c r="A31" s="136" t="str">
        <f t="shared" si="7"/>
        <v>Option 2</v>
      </c>
      <c r="B31" s="136"/>
      <c r="C31" s="75"/>
      <c r="D31" s="38" t="str">
        <f t="shared" si="6"/>
        <v>Option 2</v>
      </c>
      <c r="E31" s="1"/>
      <c r="F31" s="97"/>
      <c r="G31" s="22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 s="2" customFormat="1" x14ac:dyDescent="0.2">
      <c r="A32" s="136" t="str">
        <f t="shared" si="7"/>
        <v>Option 2</v>
      </c>
      <c r="B32" s="136"/>
      <c r="C32" s="58" t="str">
        <f>Option2!C$82</f>
        <v>Annualised capex</v>
      </c>
      <c r="D32" s="38" t="str">
        <f t="shared" si="6"/>
        <v>Option 2Annualised capex</v>
      </c>
      <c r="E32" s="1"/>
      <c r="F32" s="97" cm="1">
        <f t="array" ref="F32">SUMPRODUCT(($H32:$AG32)*($H$5:$AG$5)*($H$7:$AG$7))</f>
        <v>-2659192.0466712788</v>
      </c>
      <c r="G32" s="226">
        <f t="shared" ref="G32:G39" si="8">output_dollars</f>
        <v>46203</v>
      </c>
      <c r="H32" s="31"/>
      <c r="I32" s="31">
        <f>Option2!I$82*conv_2026*I$7</f>
        <v>0</v>
      </c>
      <c r="J32" s="31">
        <f>Option2!J$82*conv_2026*J$7</f>
        <v>0</v>
      </c>
      <c r="K32" s="31">
        <f>Option2!K$82*conv_2026*K$7</f>
        <v>0</v>
      </c>
      <c r="L32" s="31">
        <f>Option2!L$82*conv_2026*L$7</f>
        <v>0</v>
      </c>
      <c r="M32" s="31">
        <f>Option2!M$82*conv_2026*M$7</f>
        <v>-218780.50620879279</v>
      </c>
      <c r="N32" s="31">
        <f>Option2!N$82*conv_2026*N$7</f>
        <v>-218780.50620879279</v>
      </c>
      <c r="O32" s="31">
        <f>Option2!O$82*conv_2026*O$7</f>
        <v>-218780.50620879279</v>
      </c>
      <c r="P32" s="31">
        <f>Option2!P$82*conv_2026*P$7</f>
        <v>-218780.50620879279</v>
      </c>
      <c r="Q32" s="31">
        <f>Option2!Q$82*conv_2026*Q$7</f>
        <v>-218780.50620879279</v>
      </c>
      <c r="R32" s="31">
        <f>Option2!R$82*conv_2026*R$7</f>
        <v>-218780.50620879279</v>
      </c>
      <c r="S32" s="31">
        <f>Option2!S$82*conv_2026*S$7</f>
        <v>-218780.50620879279</v>
      </c>
      <c r="T32" s="31">
        <f>Option2!T$82*conv_2026*T$7</f>
        <v>-218780.50620879279</v>
      </c>
      <c r="U32" s="31">
        <f>Option2!U$82*conv_2026*U$7</f>
        <v>-218780.50620879279</v>
      </c>
      <c r="V32" s="31">
        <f>Option2!V$82*conv_2026*V$7</f>
        <v>-218780.50620879279</v>
      </c>
      <c r="W32" s="31">
        <f>Option2!W$82*conv_2026*W$7</f>
        <v>-218780.50620879279</v>
      </c>
      <c r="X32" s="31">
        <f>Option2!X$82*conv_2026*X$7</f>
        <v>-218780.50620879279</v>
      </c>
      <c r="Y32" s="31">
        <f>Option2!Y$82*conv_2026*Y$7</f>
        <v>-218780.50620879279</v>
      </c>
      <c r="Z32" s="31">
        <f>Option2!Z$82*conv_2026*Z$7</f>
        <v>-218780.50620879279</v>
      </c>
      <c r="AA32" s="31">
        <f>Option2!AA$82*conv_2026*AA$7</f>
        <v>-218780.50620879279</v>
      </c>
      <c r="AB32" s="31">
        <f>Option2!AB$82*conv_2026*AB$7</f>
        <v>-218780.50620879279</v>
      </c>
      <c r="AC32" s="31">
        <f>Option2!AC$82*conv_2026*AC$7</f>
        <v>-218780.50620879279</v>
      </c>
      <c r="AD32" s="31">
        <f>Option2!AD$82*conv_2026*AD$7</f>
        <v>-218780.50620879279</v>
      </c>
      <c r="AE32" s="31">
        <f>Option2!AE$82*conv_2026*AE$7</f>
        <v>-218780.50620879279</v>
      </c>
      <c r="AF32" s="31">
        <f>Option2!AF$82*conv_2026*AF$7</f>
        <v>0</v>
      </c>
      <c r="AG32" s="31">
        <f>Option2!AG$82*conv_2026*AG$7</f>
        <v>0</v>
      </c>
    </row>
    <row r="33" spans="1:33" s="2" customFormat="1" x14ac:dyDescent="0.2">
      <c r="A33" s="136" t="str">
        <f t="shared" si="7"/>
        <v>Option 2</v>
      </c>
      <c r="B33" s="136"/>
      <c r="C33" s="58" t="str">
        <f>Option2!C$83</f>
        <v>Operating expenditure</v>
      </c>
      <c r="D33" s="38" t="str">
        <f t="shared" si="6"/>
        <v>Option 2Operating expenditure</v>
      </c>
      <c r="E33" s="1"/>
      <c r="F33" s="97" cm="1">
        <f t="array" ref="F33">SUMPRODUCT(($H33:$AG33)*($H$5:$AG$5)*($H$7:$AG$7))</f>
        <v>-1082161.6639524747</v>
      </c>
      <c r="G33" s="226">
        <f t="shared" si="8"/>
        <v>46203</v>
      </c>
      <c r="H33" s="31"/>
      <c r="I33" s="31">
        <f>Option2!I$83*conv_2026*I$7</f>
        <v>0</v>
      </c>
      <c r="J33" s="31">
        <f>Option2!J$83*conv_2026*J$7</f>
        <v>0</v>
      </c>
      <c r="K33" s="31">
        <f>Option2!K$83*conv_2026*K$7</f>
        <v>0</v>
      </c>
      <c r="L33" s="31">
        <f>Option2!L$83*conv_2026*L$7</f>
        <v>0</v>
      </c>
      <c r="M33" s="31">
        <f>Option2!M$83*conv_2026*M$7</f>
        <v>-89033.011713327753</v>
      </c>
      <c r="N33" s="31">
        <f>Option2!N$83*conv_2026*N$7</f>
        <v>-89033.011713327753</v>
      </c>
      <c r="O33" s="31">
        <f>Option2!O$83*conv_2026*O$7</f>
        <v>-89033.011713327753</v>
      </c>
      <c r="P33" s="31">
        <f>Option2!P$83*conv_2026*P$7</f>
        <v>-89033.011713327753</v>
      </c>
      <c r="Q33" s="31">
        <f>Option2!Q$83*conv_2026*Q$7</f>
        <v>-89033.011713327753</v>
      </c>
      <c r="R33" s="31">
        <f>Option2!R$83*conv_2026*R$7</f>
        <v>-89033.011713327753</v>
      </c>
      <c r="S33" s="31">
        <f>Option2!S$83*conv_2026*S$7</f>
        <v>-89033.011713327753</v>
      </c>
      <c r="T33" s="31">
        <f>Option2!T$83*conv_2026*T$7</f>
        <v>-89033.011713327753</v>
      </c>
      <c r="U33" s="31">
        <f>Option2!U$83*conv_2026*U$7</f>
        <v>-89033.011713327753</v>
      </c>
      <c r="V33" s="31">
        <f>Option2!V$83*conv_2026*V$7</f>
        <v>-89033.011713327753</v>
      </c>
      <c r="W33" s="31">
        <f>Option2!W$83*conv_2026*W$7</f>
        <v>-89033.011713327753</v>
      </c>
      <c r="X33" s="31">
        <f>Option2!X$83*conv_2026*X$7</f>
        <v>-89033.011713327753</v>
      </c>
      <c r="Y33" s="31">
        <f>Option2!Y$83*conv_2026*Y$7</f>
        <v>-89033.011713327753</v>
      </c>
      <c r="Z33" s="31">
        <f>Option2!Z$83*conv_2026*Z$7</f>
        <v>-89033.011713327753</v>
      </c>
      <c r="AA33" s="31">
        <f>Option2!AA$83*conv_2026*AA$7</f>
        <v>-89033.011713327753</v>
      </c>
      <c r="AB33" s="31">
        <f>Option2!AB$83*conv_2026*AB$7</f>
        <v>-89033.011713327753</v>
      </c>
      <c r="AC33" s="31">
        <f>Option2!AC$83*conv_2026*AC$7</f>
        <v>-89033.011713327753</v>
      </c>
      <c r="AD33" s="31">
        <f>Option2!AD$83*conv_2026*AD$7</f>
        <v>-89033.011713327753</v>
      </c>
      <c r="AE33" s="31">
        <f>Option2!AE$83*conv_2026*AE$7</f>
        <v>-89033.011713327753</v>
      </c>
      <c r="AF33" s="31">
        <f>Option2!AF$83*conv_2026*AF$7</f>
        <v>0</v>
      </c>
      <c r="AG33" s="31">
        <f>Option2!AG$83*conv_2026*AG$7</f>
        <v>0</v>
      </c>
    </row>
    <row r="34" spans="1:33" s="2" customFormat="1" x14ac:dyDescent="0.2">
      <c r="A34" s="136" t="str">
        <f t="shared" si="7"/>
        <v>Option 2</v>
      </c>
      <c r="B34" s="136"/>
      <c r="C34" s="58" t="str">
        <f>Option2!C$84</f>
        <v>Risk mitigated</v>
      </c>
      <c r="D34" s="38" t="str">
        <f t="shared" si="6"/>
        <v>Option 2Risk mitigated</v>
      </c>
      <c r="E34" s="1"/>
      <c r="F34" s="97" cm="1">
        <f t="array" ref="F34">SUMPRODUCT(($H34:$AG34)*($H$5:$AG$5)*($H$7:$AG$7))</f>
        <v>4484016.4527016087</v>
      </c>
      <c r="G34" s="226">
        <f t="shared" si="8"/>
        <v>46203</v>
      </c>
      <c r="H34" s="31"/>
      <c r="I34" s="31">
        <f>Option2!I$84*conv_2026*I$7</f>
        <v>0</v>
      </c>
      <c r="J34" s="31">
        <f>Option2!J$84*conv_2026*J$7</f>
        <v>0</v>
      </c>
      <c r="K34" s="31">
        <f>Option2!K$84*conv_2026*K$7</f>
        <v>0</v>
      </c>
      <c r="L34" s="31">
        <f>Option2!L$84*conv_2026*L$7</f>
        <v>0</v>
      </c>
      <c r="M34" s="31">
        <f>Option2!M$84*conv_2026*M$7</f>
        <v>339339.63239656895</v>
      </c>
      <c r="N34" s="31">
        <f>Option2!N$84*conv_2026*N$7</f>
        <v>343762.93019021646</v>
      </c>
      <c r="O34" s="31">
        <f>Option2!O$84*conv_2026*O$7</f>
        <v>351623.27026360459</v>
      </c>
      <c r="P34" s="31">
        <f>Option2!P$84*conv_2026*P$7</f>
        <v>360221.46936478815</v>
      </c>
      <c r="Q34" s="31">
        <f>Option2!Q$84*conv_2026*Q$7</f>
        <v>365561.95073436975</v>
      </c>
      <c r="R34" s="31">
        <f>Option2!R$84*conv_2026*R$7</f>
        <v>367267.42315368715</v>
      </c>
      <c r="S34" s="31">
        <f>Option2!S$84*conv_2026*S$7</f>
        <v>368972.89557300531</v>
      </c>
      <c r="T34" s="31">
        <f>Option2!T$84*conv_2026*T$7</f>
        <v>370678.36799232289</v>
      </c>
      <c r="U34" s="31">
        <f>Option2!U$84*conv_2026*U$7</f>
        <v>372383.84041164018</v>
      </c>
      <c r="V34" s="31">
        <f>Option2!V$84*conv_2026*V$7</f>
        <v>374089.3128309584</v>
      </c>
      <c r="W34" s="31">
        <f>Option2!W$84*conv_2026*W$7</f>
        <v>375794.78525027586</v>
      </c>
      <c r="X34" s="31">
        <f>Option2!X$84*conv_2026*X$7</f>
        <v>377500.25766959327</v>
      </c>
      <c r="Y34" s="31">
        <f>Option2!Y$84*conv_2026*Y$7</f>
        <v>379205.73008891143</v>
      </c>
      <c r="Z34" s="31">
        <f>Option2!Z$84*conv_2026*Z$7</f>
        <v>380911.20250822895</v>
      </c>
      <c r="AA34" s="31">
        <f>Option2!AA$84*conv_2026*AA$7</f>
        <v>382616.67492754705</v>
      </c>
      <c r="AB34" s="31">
        <f>Option2!AB$84*conv_2026*AB$7</f>
        <v>384322.1473468644</v>
      </c>
      <c r="AC34" s="31">
        <f>Option2!AC$84*conv_2026*AC$7</f>
        <v>386027.61976618192</v>
      </c>
      <c r="AD34" s="31">
        <f>Option2!AD$84*conv_2026*AD$7</f>
        <v>387733.09218550002</v>
      </c>
      <c r="AE34" s="31">
        <f>Option2!AE$84*conv_2026*AE$7</f>
        <v>389438.56460481748</v>
      </c>
      <c r="AF34" s="31">
        <f>Option2!AF$84*conv_2026*AF$7</f>
        <v>0</v>
      </c>
      <c r="AG34" s="31">
        <f>Option2!AG$84*conv_2026*AG$7</f>
        <v>0</v>
      </c>
    </row>
    <row r="35" spans="1:33" s="2" customFormat="1" x14ac:dyDescent="0.2">
      <c r="A35" s="136" t="str">
        <f t="shared" si="7"/>
        <v>Option 2</v>
      </c>
      <c r="B35" s="136"/>
      <c r="C35" s="58" t="str">
        <f>Option2!C$85</f>
        <v>Other benefits value</v>
      </c>
      <c r="D35" s="38" t="str">
        <f t="shared" si="6"/>
        <v>Option 2Other benefits value</v>
      </c>
      <c r="E35" s="1"/>
      <c r="F35" s="97" cm="1">
        <f t="array" ref="F35">SUMPRODUCT(($H35:$AG35)*($H$5:$AG$5)*($H$7:$AG$7))</f>
        <v>981982.11476690264</v>
      </c>
      <c r="G35" s="226">
        <f t="shared" si="8"/>
        <v>46203</v>
      </c>
      <c r="H35" s="31"/>
      <c r="I35" s="31">
        <f>Option2!I$85*conv_2026*I$7</f>
        <v>0</v>
      </c>
      <c r="J35" s="31">
        <f>Option2!J$85*conv_2026*J$7</f>
        <v>0</v>
      </c>
      <c r="K35" s="31">
        <f>Option2!K$85*conv_2026*K$7</f>
        <v>0</v>
      </c>
      <c r="L35" s="31">
        <f>Option2!L$85*conv_2026*L$7</f>
        <v>0</v>
      </c>
      <c r="M35" s="31">
        <f>Option2!M$85*conv_2026*M$7</f>
        <v>70573.762070095603</v>
      </c>
      <c r="N35" s="31">
        <f>Option2!N$85*conv_2026*N$7</f>
        <v>71980.498500447036</v>
      </c>
      <c r="O35" s="31">
        <f>Option2!O$85*conv_2026*O$7</f>
        <v>74119.622128267714</v>
      </c>
      <c r="P35" s="31">
        <f>Option2!P$85*conv_2026*P$7</f>
        <v>76432.631670008384</v>
      </c>
      <c r="Q35" s="31">
        <f>Option2!Q$85*conv_2026*Q$7</f>
        <v>78069.040642122098</v>
      </c>
      <c r="R35" s="31">
        <f>Option2!R$85*conv_2026*R$7</f>
        <v>78934.164935666602</v>
      </c>
      <c r="S35" s="31">
        <f>Option2!S$85*conv_2026*S$7</f>
        <v>79799.28922921147</v>
      </c>
      <c r="T35" s="31">
        <f>Option2!T$85*conv_2026*T$7</f>
        <v>80664.413522755989</v>
      </c>
      <c r="U35" s="31">
        <f>Option2!U$85*conv_2026*U$7</f>
        <v>81529.537816300479</v>
      </c>
      <c r="V35" s="31">
        <f>Option2!V$85*conv_2026*V$7</f>
        <v>82394.662109845362</v>
      </c>
      <c r="W35" s="31">
        <f>Option2!W$85*conv_2026*W$7</f>
        <v>83259.786403389895</v>
      </c>
      <c r="X35" s="31">
        <f>Option2!X$85*conv_2026*X$7</f>
        <v>84124.910696934385</v>
      </c>
      <c r="Y35" s="31">
        <f>Option2!Y$85*conv_2026*Y$7</f>
        <v>84990.034990479267</v>
      </c>
      <c r="Z35" s="31">
        <f>Option2!Z$85*conv_2026*Z$7</f>
        <v>85855.159284023815</v>
      </c>
      <c r="AA35" s="31">
        <f>Option2!AA$85*conv_2026*AA$7</f>
        <v>86720.283577568669</v>
      </c>
      <c r="AB35" s="31">
        <f>Option2!AB$85*conv_2026*AB$7</f>
        <v>87585.407871113188</v>
      </c>
      <c r="AC35" s="31">
        <f>Option2!AC$85*conv_2026*AC$7</f>
        <v>88450.532164657721</v>
      </c>
      <c r="AD35" s="31">
        <f>Option2!AD$85*conv_2026*AD$7</f>
        <v>89315.656458202589</v>
      </c>
      <c r="AE35" s="31">
        <f>Option2!AE$85*conv_2026*AE$7</f>
        <v>90180.780751747079</v>
      </c>
      <c r="AF35" s="31">
        <f>Option2!AF$85*conv_2026*AF$7</f>
        <v>0</v>
      </c>
      <c r="AG35" s="31">
        <f>Option2!AG$85*conv_2026*AG$7</f>
        <v>0</v>
      </c>
    </row>
    <row r="36" spans="1:33" s="2" customFormat="1" x14ac:dyDescent="0.2">
      <c r="A36" s="136" t="str">
        <f t="shared" si="7"/>
        <v>Option 2</v>
      </c>
      <c r="B36" s="136"/>
      <c r="C36" s="125" t="str">
        <f>Option2!C87</f>
        <v>Net benefits</v>
      </c>
      <c r="D36" s="109" t="str">
        <f t="shared" si="6"/>
        <v>Option 2Net benefits</v>
      </c>
      <c r="E36" s="110"/>
      <c r="F36" s="144"/>
      <c r="G36" s="228">
        <f t="shared" si="8"/>
        <v>46203</v>
      </c>
      <c r="H36" s="52"/>
      <c r="I36" s="52">
        <f>SUM(I32:I35)</f>
        <v>0</v>
      </c>
      <c r="J36" s="52">
        <f t="shared" ref="J36:AG36" si="9">SUM(J32:J35)</f>
        <v>0</v>
      </c>
      <c r="K36" s="52">
        <f t="shared" si="9"/>
        <v>0</v>
      </c>
      <c r="L36" s="52">
        <f t="shared" si="9"/>
        <v>0</v>
      </c>
      <c r="M36" s="52">
        <f t="shared" si="9"/>
        <v>102099.87654454404</v>
      </c>
      <c r="N36" s="52">
        <f t="shared" si="9"/>
        <v>107929.91076854298</v>
      </c>
      <c r="O36" s="52">
        <f t="shared" si="9"/>
        <v>117929.37446975178</v>
      </c>
      <c r="P36" s="52">
        <f t="shared" si="9"/>
        <v>128840.58311267602</v>
      </c>
      <c r="Q36" s="52">
        <f t="shared" si="9"/>
        <v>135817.47345437133</v>
      </c>
      <c r="R36" s="52">
        <f t="shared" si="9"/>
        <v>138388.07016723324</v>
      </c>
      <c r="S36" s="52">
        <f t="shared" si="9"/>
        <v>140958.66688009625</v>
      </c>
      <c r="T36" s="52">
        <f t="shared" si="9"/>
        <v>143529.26359295836</v>
      </c>
      <c r="U36" s="52">
        <f t="shared" si="9"/>
        <v>146099.86030582013</v>
      </c>
      <c r="V36" s="52">
        <f t="shared" si="9"/>
        <v>148670.45701868326</v>
      </c>
      <c r="W36" s="52">
        <f t="shared" si="9"/>
        <v>151241.05373154522</v>
      </c>
      <c r="X36" s="52">
        <f t="shared" si="9"/>
        <v>153811.65044440713</v>
      </c>
      <c r="Y36" s="52">
        <f t="shared" si="9"/>
        <v>156382.24715727018</v>
      </c>
      <c r="Z36" s="52">
        <f t="shared" si="9"/>
        <v>158952.84387013223</v>
      </c>
      <c r="AA36" s="52">
        <f t="shared" si="9"/>
        <v>161523.44058299519</v>
      </c>
      <c r="AB36" s="52">
        <f t="shared" si="9"/>
        <v>164094.03729585707</v>
      </c>
      <c r="AC36" s="52">
        <f t="shared" si="9"/>
        <v>166664.63400871912</v>
      </c>
      <c r="AD36" s="52">
        <f t="shared" si="9"/>
        <v>169235.23072158208</v>
      </c>
      <c r="AE36" s="52">
        <f t="shared" si="9"/>
        <v>171805.82743444404</v>
      </c>
      <c r="AF36" s="52">
        <f t="shared" si="9"/>
        <v>0</v>
      </c>
      <c r="AG36" s="52">
        <f t="shared" si="9"/>
        <v>0</v>
      </c>
    </row>
    <row r="37" spans="1:33" s="2" customFormat="1" x14ac:dyDescent="0.2">
      <c r="A37" s="136" t="str">
        <f t="shared" si="7"/>
        <v>Option 2</v>
      </c>
      <c r="B37" s="136"/>
      <c r="C37" s="8" t="s">
        <v>119</v>
      </c>
      <c r="D37" s="38" t="str">
        <f t="shared" si="6"/>
        <v>Option 2NPV</v>
      </c>
      <c r="E37" s="1"/>
      <c r="F37" s="108" cm="1">
        <f t="array" ref="F37">SUMPRODUCT(($H36:$AG36)*($H$5:$AG$5)*($H$7:$AG$7))</f>
        <v>1724644.8568447579</v>
      </c>
      <c r="G37" s="226">
        <f t="shared" si="8"/>
        <v>46203</v>
      </c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</row>
    <row r="38" spans="1:33" s="2" customFormat="1" x14ac:dyDescent="0.2">
      <c r="A38" s="136" t="str">
        <f t="shared" si="7"/>
        <v>Option 2</v>
      </c>
      <c r="B38" s="136"/>
      <c r="C38" s="8" t="s">
        <v>193</v>
      </c>
      <c r="D38" s="38" t="str">
        <f t="shared" si="6"/>
        <v>Option 2PV of costs</v>
      </c>
      <c r="E38" s="1"/>
      <c r="F38" s="108">
        <f>SUM(F32:F33)</f>
        <v>-3741353.7106237533</v>
      </c>
      <c r="G38" s="226">
        <f t="shared" si="8"/>
        <v>46203</v>
      </c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</row>
    <row r="39" spans="1:33" s="2" customFormat="1" x14ac:dyDescent="0.2">
      <c r="A39" s="136" t="str">
        <f t="shared" si="7"/>
        <v>Option 2</v>
      </c>
      <c r="B39" s="136"/>
      <c r="C39" s="8" t="s">
        <v>194</v>
      </c>
      <c r="D39" s="38" t="str">
        <f t="shared" si="6"/>
        <v>Option 2PV of benefits</v>
      </c>
      <c r="E39" s="1"/>
      <c r="F39" s="108">
        <f>SUM(F34:F35)</f>
        <v>5465998.5674685109</v>
      </c>
      <c r="G39" s="226">
        <f t="shared" si="8"/>
        <v>46203</v>
      </c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</row>
    <row r="40" spans="1:33" s="2" customFormat="1" x14ac:dyDescent="0.2">
      <c r="A40" s="136"/>
      <c r="B40" s="136"/>
      <c r="C40" s="1"/>
      <c r="D40" s="38"/>
      <c r="E40" s="1"/>
      <c r="F40" s="108"/>
      <c r="G40" s="229"/>
      <c r="H40" s="1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</row>
    <row r="41" spans="1:33" s="2" customFormat="1" x14ac:dyDescent="0.2">
      <c r="A41" s="123"/>
      <c r="B41" s="123"/>
      <c r="C41" s="123"/>
      <c r="D41" s="38" t="str">
        <f>A41&amp;C41</f>
        <v/>
      </c>
      <c r="F41" s="118"/>
      <c r="G41" s="222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</row>
    <row r="42" spans="1:33" s="271" customFormat="1" x14ac:dyDescent="0.2">
      <c r="A42" s="269" t="str">
        <f>A43</f>
        <v>Option 3</v>
      </c>
      <c r="B42" s="269"/>
      <c r="C42" s="269" t="s">
        <v>124</v>
      </c>
      <c r="D42" s="270" t="str">
        <f>A42&amp;C42</f>
        <v>Option 3Energy at risk value</v>
      </c>
      <c r="F42" s="97">
        <f>SUMPRODUCT($H42:$AG42, $H$5:$AG$5)</f>
        <v>1251510.0015704273</v>
      </c>
      <c r="G42" s="272">
        <f>output_dollars</f>
        <v>46203</v>
      </c>
      <c r="H42" s="273"/>
      <c r="I42" s="31">
        <f>Option3!I$28*conv_2026</f>
        <v>331582.49328232405</v>
      </c>
      <c r="J42" s="31">
        <f>Option3!J$28*conv_2026</f>
        <v>332689.30938706221</v>
      </c>
      <c r="K42" s="31">
        <f>Option3!K$28*conv_2026</f>
        <v>336364.35957627068</v>
      </c>
      <c r="L42" s="31">
        <f>Option3!L$28*conv_2026</f>
        <v>339491.52292516542</v>
      </c>
      <c r="M42" s="31">
        <f>Option3!M$28*conv_2026</f>
        <v>0</v>
      </c>
      <c r="N42" s="31">
        <f>Option3!N$28*conv_2026</f>
        <v>0</v>
      </c>
      <c r="O42" s="31">
        <f>Option3!O$28*conv_2026</f>
        <v>0</v>
      </c>
      <c r="P42" s="31">
        <f>Option3!P$28*conv_2026</f>
        <v>0</v>
      </c>
      <c r="Q42" s="31">
        <f>Option3!Q$28*conv_2026</f>
        <v>0</v>
      </c>
      <c r="R42" s="31">
        <f>Option3!R$28*conv_2026</f>
        <v>0</v>
      </c>
      <c r="S42" s="31">
        <f>Option3!S$28*conv_2026</f>
        <v>0</v>
      </c>
      <c r="T42" s="31">
        <f>Option3!T$28*conv_2026</f>
        <v>0</v>
      </c>
      <c r="U42" s="31">
        <f>Option3!U$28*conv_2026</f>
        <v>0</v>
      </c>
      <c r="V42" s="31">
        <f>Option3!V$28*conv_2026</f>
        <v>0</v>
      </c>
      <c r="W42" s="31">
        <f>Option3!W$28*conv_2026</f>
        <v>0</v>
      </c>
      <c r="X42" s="31">
        <f>Option3!X$28*conv_2026</f>
        <v>0</v>
      </c>
      <c r="Y42" s="31">
        <f>Option3!Y$28*conv_2026</f>
        <v>0</v>
      </c>
      <c r="Z42" s="31">
        <f>Option3!Z$28*conv_2026</f>
        <v>0</v>
      </c>
      <c r="AA42" s="31">
        <f>Option3!AA$28*conv_2026</f>
        <v>0</v>
      </c>
      <c r="AB42" s="31">
        <f>Option3!AB$28*conv_2026</f>
        <v>0</v>
      </c>
      <c r="AC42" s="31">
        <f>Option3!AC$28*conv_2026</f>
        <v>0</v>
      </c>
      <c r="AD42" s="31">
        <f>Option3!AD$28*conv_2026</f>
        <v>0</v>
      </c>
      <c r="AE42" s="31">
        <f>Option3!AE$28*conv_2026</f>
        <v>0</v>
      </c>
      <c r="AF42" s="31">
        <f>Option3!AF$28*conv_2026</f>
        <v>0</v>
      </c>
      <c r="AG42" s="31">
        <f>Option3!AG$28*conv_2026</f>
        <v>0</v>
      </c>
    </row>
    <row r="43" spans="1:33" s="2" customFormat="1" x14ac:dyDescent="0.2">
      <c r="A43" s="136" t="str">
        <f>Data!B11</f>
        <v>Option 3</v>
      </c>
      <c r="B43" s="136"/>
      <c r="C43" s="58" t="str">
        <f>Option3!C$66</f>
        <v>Capital expenditure</v>
      </c>
      <c r="D43" s="38" t="str">
        <f>A43&amp;C43</f>
        <v>Option 3Capital expenditure</v>
      </c>
      <c r="E43" s="1"/>
      <c r="F43" s="97">
        <f>SUMPRODUCT($H43:$AG43, $H$5:$AG$5)</f>
        <v>-6143268.5604308993</v>
      </c>
      <c r="G43" s="226">
        <f>output_dollars</f>
        <v>46203</v>
      </c>
      <c r="H43" s="31"/>
      <c r="I43" s="31">
        <f>SUM(Option3!I$67:I$69)*conv_2026*I$7</f>
        <v>0</v>
      </c>
      <c r="J43" s="31">
        <f>SUM(Option3!J$67:J$69)*conv_2026*J$7</f>
        <v>0</v>
      </c>
      <c r="K43" s="31">
        <f>SUM(Option3!K$67:K$69)*conv_2026*K$7</f>
        <v>0</v>
      </c>
      <c r="L43" s="31">
        <f>SUM(Option3!L$67:L$69)*conv_2026*L$7</f>
        <v>-6929321.7224272043</v>
      </c>
      <c r="M43" s="31">
        <f>SUM(Option3!M$67:M$69)*conv_2026*M$7</f>
        <v>0</v>
      </c>
      <c r="N43" s="31">
        <f>SUM(Option3!N$67:N$69)*conv_2026*N$7</f>
        <v>0</v>
      </c>
      <c r="O43" s="31">
        <f>SUM(Option3!O$67:O$69)*conv_2026*O$7</f>
        <v>0</v>
      </c>
      <c r="P43" s="31">
        <f>SUM(Option3!P$67:P$69)*conv_2026*P$7</f>
        <v>0</v>
      </c>
      <c r="Q43" s="31">
        <f>SUM(Option3!Q$67:Q$69)*conv_2026*Q$7</f>
        <v>0</v>
      </c>
      <c r="R43" s="31">
        <f>SUM(Option3!R$67:R$69)*conv_2026*R$7</f>
        <v>0</v>
      </c>
      <c r="S43" s="31">
        <f>SUM(Option3!S$67:S$69)*conv_2026*S$7</f>
        <v>0</v>
      </c>
      <c r="T43" s="31">
        <f>SUM(Option3!T$67:T$69)*conv_2026*T$7</f>
        <v>0</v>
      </c>
      <c r="U43" s="31">
        <f>SUM(Option3!U$67:U$69)*conv_2026*U$7</f>
        <v>0</v>
      </c>
      <c r="V43" s="31">
        <f>SUM(Option3!V$67:V$69)*conv_2026*V$7</f>
        <v>0</v>
      </c>
      <c r="W43" s="31">
        <f>SUM(Option3!W$67:W$69)*conv_2026*W$7</f>
        <v>0</v>
      </c>
      <c r="X43" s="31">
        <f>SUM(Option3!X$67:X$69)*conv_2026*X$7</f>
        <v>0</v>
      </c>
      <c r="Y43" s="31">
        <f>SUM(Option3!Y$67:Y$69)*conv_2026*Y$7</f>
        <v>0</v>
      </c>
      <c r="Z43" s="31">
        <f>SUM(Option3!Z$67:Z$69)*conv_2026*Z$7</f>
        <v>0</v>
      </c>
      <c r="AA43" s="31">
        <f>SUM(Option3!AA$67:AA$69)*conv_2026*AA$7</f>
        <v>0</v>
      </c>
      <c r="AB43" s="31">
        <f>SUM(Option3!AB$67:AB$69)*conv_2026*AB$7</f>
        <v>0</v>
      </c>
      <c r="AC43" s="31">
        <f>SUM(Option3!AC$67:AC$69)*conv_2026*AC$7</f>
        <v>0</v>
      </c>
      <c r="AD43" s="31">
        <f>SUM(Option3!AD$67:AD$69)*conv_2026*AD$7</f>
        <v>0</v>
      </c>
      <c r="AE43" s="31">
        <f>SUM(Option3!AE$67:AE$69)*conv_2026*AE$7</f>
        <v>0</v>
      </c>
      <c r="AF43" s="31">
        <f>SUM(Option3!AF$67:AF$69)*conv_2026*AF$7</f>
        <v>0</v>
      </c>
      <c r="AG43" s="31">
        <f>SUM(Option3!AG$67:AG$69)*conv_2026*AG$7</f>
        <v>0</v>
      </c>
    </row>
    <row r="44" spans="1:33" s="2" customFormat="1" x14ac:dyDescent="0.2">
      <c r="A44" s="136" t="str">
        <f t="shared" ref="A44:A53" si="10">A43</f>
        <v>Option 3</v>
      </c>
      <c r="B44" s="136"/>
      <c r="C44" s="58" t="str">
        <f>'Option1 (base case)'!C$36</f>
        <v>Total risk cost</v>
      </c>
      <c r="D44" s="38" t="str">
        <f>A44&amp;C44</f>
        <v>Option 3Total risk cost</v>
      </c>
      <c r="E44" s="1"/>
      <c r="F44" s="97">
        <f>SUMPRODUCT($H44:$AG44, $H$5:$AG$5)</f>
        <v>1251510.0015704273</v>
      </c>
      <c r="G44" s="226">
        <f>output_dollars</f>
        <v>46203</v>
      </c>
      <c r="H44" s="31"/>
      <c r="I44" s="31">
        <f>Option3!I$36*conv_2026*I$7</f>
        <v>331582.49328232405</v>
      </c>
      <c r="J44" s="31">
        <f>Option3!J$36*conv_2026*J$7</f>
        <v>332689.30938706221</v>
      </c>
      <c r="K44" s="31">
        <f>Option3!K$36*conv_2026*K$7</f>
        <v>336364.35957627068</v>
      </c>
      <c r="L44" s="31">
        <f>Option3!L$36*conv_2026*L$7</f>
        <v>339491.52292516542</v>
      </c>
      <c r="M44" s="31">
        <f>Option3!M$36*conv_2026*M$7</f>
        <v>0</v>
      </c>
      <c r="N44" s="31">
        <f>Option3!N$36*conv_2026*N$7</f>
        <v>0</v>
      </c>
      <c r="O44" s="31">
        <f>Option3!O$36*conv_2026*O$7</f>
        <v>0</v>
      </c>
      <c r="P44" s="31">
        <f>Option3!P$36*conv_2026*P$7</f>
        <v>0</v>
      </c>
      <c r="Q44" s="31">
        <f>Option3!Q$36*conv_2026*Q$7</f>
        <v>0</v>
      </c>
      <c r="R44" s="31">
        <f>Option3!R$36*conv_2026*R$7</f>
        <v>0</v>
      </c>
      <c r="S44" s="31">
        <f>Option3!S$36*conv_2026*S$7</f>
        <v>0</v>
      </c>
      <c r="T44" s="31">
        <f>Option3!T$36*conv_2026*T$7</f>
        <v>0</v>
      </c>
      <c r="U44" s="31">
        <f>Option3!U$36*conv_2026*U$7</f>
        <v>0</v>
      </c>
      <c r="V44" s="31">
        <f>Option3!V$36*conv_2026*V$7</f>
        <v>0</v>
      </c>
      <c r="W44" s="31">
        <f>Option3!W$36*conv_2026*W$7</f>
        <v>0</v>
      </c>
      <c r="X44" s="31">
        <f>Option3!X$36*conv_2026*X$7</f>
        <v>0</v>
      </c>
      <c r="Y44" s="31">
        <f>Option3!Y$36*conv_2026*Y$7</f>
        <v>0</v>
      </c>
      <c r="Z44" s="31">
        <f>Option3!Z$36*conv_2026*Z$7</f>
        <v>0</v>
      </c>
      <c r="AA44" s="31">
        <f>Option3!AA$36*conv_2026*AA$7</f>
        <v>0</v>
      </c>
      <c r="AB44" s="31">
        <f>Option3!AB$36*conv_2026*AB$7</f>
        <v>0</v>
      </c>
      <c r="AC44" s="31">
        <f>Option3!AC$36*conv_2026*AC$7</f>
        <v>0</v>
      </c>
      <c r="AD44" s="31">
        <f>Option3!AD$36*conv_2026*AD$7</f>
        <v>0</v>
      </c>
      <c r="AE44" s="31">
        <f>Option3!AE$36*conv_2026*AE$7</f>
        <v>0</v>
      </c>
      <c r="AF44" s="31">
        <f>Option3!AF$36*conv_2026*AF$7</f>
        <v>0</v>
      </c>
      <c r="AG44" s="31">
        <f>Option3!AG$36*conv_2026*AG$7</f>
        <v>0</v>
      </c>
    </row>
    <row r="45" spans="1:33" s="2" customFormat="1" x14ac:dyDescent="0.2">
      <c r="A45" s="136" t="str">
        <f t="shared" si="10"/>
        <v>Option 3</v>
      </c>
      <c r="B45" s="136"/>
      <c r="C45" s="58"/>
      <c r="D45" s="38"/>
      <c r="E45" s="1"/>
      <c r="F45" s="97"/>
      <c r="G45" s="22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</row>
    <row r="46" spans="1:33" s="2" customFormat="1" x14ac:dyDescent="0.2">
      <c r="A46" s="136" t="str">
        <f t="shared" si="10"/>
        <v>Option 3</v>
      </c>
      <c r="B46" s="136"/>
      <c r="C46" s="58" t="str">
        <f>Option3!C$82</f>
        <v>Annualised capex</v>
      </c>
      <c r="D46" s="38" t="str">
        <f t="shared" ref="D46:D53" si="11">A46&amp;C46</f>
        <v>Option 3Annualised capex</v>
      </c>
      <c r="E46" s="1"/>
      <c r="F46" s="97">
        <f>SUMPRODUCT($H46:$AG46, $H$5:$AG$5)</f>
        <v>-5926035.9691667566</v>
      </c>
      <c r="G46" s="226">
        <f t="shared" ref="G46:G53" si="12">output_dollars</f>
        <v>46203</v>
      </c>
      <c r="H46" s="31"/>
      <c r="I46" s="31">
        <f>Option3!I$82*conv_2026*I$7</f>
        <v>0</v>
      </c>
      <c r="J46" s="31">
        <f>Option3!J$82*conv_2026*J$7</f>
        <v>0</v>
      </c>
      <c r="K46" s="31">
        <f>Option3!K$82*conv_2026*K$7</f>
        <v>0</v>
      </c>
      <c r="L46" s="31">
        <f>Option3!L$82*conv_2026*L$7</f>
        <v>0</v>
      </c>
      <c r="M46" s="31">
        <f>Option3!M$82*conv_2026*M$7</f>
        <v>-487554.53776599187</v>
      </c>
      <c r="N46" s="31">
        <f>Option3!N$82*conv_2026*N$7</f>
        <v>-487554.53776599187</v>
      </c>
      <c r="O46" s="31">
        <f>Option3!O$82*conv_2026*O$7</f>
        <v>-487554.53776599187</v>
      </c>
      <c r="P46" s="31">
        <f>Option3!P$82*conv_2026*P$7</f>
        <v>-487554.53776599187</v>
      </c>
      <c r="Q46" s="31">
        <f>Option3!Q$82*conv_2026*Q$7</f>
        <v>-487554.53776599187</v>
      </c>
      <c r="R46" s="31">
        <f>Option3!R$82*conv_2026*R$7</f>
        <v>-487554.53776599187</v>
      </c>
      <c r="S46" s="31">
        <f>Option3!S$82*conv_2026*S$7</f>
        <v>-487554.53776599187</v>
      </c>
      <c r="T46" s="31">
        <f>Option3!T$82*conv_2026*T$7</f>
        <v>-487554.53776599187</v>
      </c>
      <c r="U46" s="31">
        <f>Option3!U$82*conv_2026*U$7</f>
        <v>-487554.53776599187</v>
      </c>
      <c r="V46" s="31">
        <f>Option3!V$82*conv_2026*V$7</f>
        <v>-487554.53776599187</v>
      </c>
      <c r="W46" s="31">
        <f>Option3!W$82*conv_2026*W$7</f>
        <v>-487554.53776599187</v>
      </c>
      <c r="X46" s="31">
        <f>Option3!X$82*conv_2026*X$7</f>
        <v>-487554.53776599187</v>
      </c>
      <c r="Y46" s="31">
        <f>Option3!Y$82*conv_2026*Y$7</f>
        <v>-487554.53776599187</v>
      </c>
      <c r="Z46" s="31">
        <f>Option3!Z$82*conv_2026*Z$7</f>
        <v>-487554.53776599187</v>
      </c>
      <c r="AA46" s="31">
        <f>Option3!AA$82*conv_2026*AA$7</f>
        <v>-487554.53776599187</v>
      </c>
      <c r="AB46" s="31">
        <f>Option3!AB$82*conv_2026*AB$7</f>
        <v>-487554.53776599187</v>
      </c>
      <c r="AC46" s="31">
        <f>Option3!AC$82*conv_2026*AC$7</f>
        <v>-487554.53776599187</v>
      </c>
      <c r="AD46" s="31">
        <f>Option3!AD$82*conv_2026*AD$7</f>
        <v>-487554.53776599187</v>
      </c>
      <c r="AE46" s="31">
        <f>Option3!AE$82*conv_2026*AE$7</f>
        <v>-487554.53776599187</v>
      </c>
      <c r="AF46" s="31">
        <f>Option3!AF$82*conv_2026*AF$7</f>
        <v>0</v>
      </c>
      <c r="AG46" s="31">
        <f>Option3!AG$82*conv_2026*AG$7</f>
        <v>0</v>
      </c>
    </row>
    <row r="47" spans="1:33" s="2" customFormat="1" x14ac:dyDescent="0.2">
      <c r="A47" s="136" t="str">
        <f t="shared" si="10"/>
        <v>Option 3</v>
      </c>
      <c r="B47" s="136"/>
      <c r="C47" s="58" t="str">
        <f>Option3!C$83</f>
        <v>Operating expenditure</v>
      </c>
      <c r="D47" s="38" t="str">
        <f t="shared" si="11"/>
        <v>Option 3Operating expenditure</v>
      </c>
      <c r="E47" s="1"/>
      <c r="F47" s="97">
        <f>SUMPRODUCT($H47:$AG47, $H$5:$AG$5)</f>
        <v>-2434863.7438930683</v>
      </c>
      <c r="G47" s="226">
        <f t="shared" si="12"/>
        <v>46203</v>
      </c>
      <c r="H47" s="31"/>
      <c r="I47" s="31">
        <f>Option3!I$83*conv_2026*I$7</f>
        <v>0</v>
      </c>
      <c r="J47" s="31">
        <f>Option3!J$83*conv_2026*J$7</f>
        <v>0</v>
      </c>
      <c r="K47" s="31">
        <f>Option3!K$83*conv_2026*K$7</f>
        <v>0</v>
      </c>
      <c r="L47" s="31">
        <f>Option3!L$83*conv_2026*L$7</f>
        <v>0</v>
      </c>
      <c r="M47" s="31">
        <f>Option3!M$83*conv_2026*M$7</f>
        <v>-200324.27635498744</v>
      </c>
      <c r="N47" s="31">
        <f>Option3!N$83*conv_2026*N$7</f>
        <v>-200324.27635498744</v>
      </c>
      <c r="O47" s="31">
        <f>Option3!O$83*conv_2026*O$7</f>
        <v>-200324.27635498744</v>
      </c>
      <c r="P47" s="31">
        <f>Option3!P$83*conv_2026*P$7</f>
        <v>-200324.27635498744</v>
      </c>
      <c r="Q47" s="31">
        <f>Option3!Q$83*conv_2026*Q$7</f>
        <v>-200324.27635498744</v>
      </c>
      <c r="R47" s="31">
        <f>Option3!R$83*conv_2026*R$7</f>
        <v>-200324.27635498744</v>
      </c>
      <c r="S47" s="31">
        <f>Option3!S$83*conv_2026*S$7</f>
        <v>-200324.27635498744</v>
      </c>
      <c r="T47" s="31">
        <f>Option3!T$83*conv_2026*T$7</f>
        <v>-200324.27635498744</v>
      </c>
      <c r="U47" s="31">
        <f>Option3!U$83*conv_2026*U$7</f>
        <v>-200324.27635498744</v>
      </c>
      <c r="V47" s="31">
        <f>Option3!V$83*conv_2026*V$7</f>
        <v>-200324.27635498744</v>
      </c>
      <c r="W47" s="31">
        <f>Option3!W$83*conv_2026*W$7</f>
        <v>-200324.27635498744</v>
      </c>
      <c r="X47" s="31">
        <f>Option3!X$83*conv_2026*X$7</f>
        <v>-200324.27635498744</v>
      </c>
      <c r="Y47" s="31">
        <f>Option3!Y$83*conv_2026*Y$7</f>
        <v>-200324.27635498744</v>
      </c>
      <c r="Z47" s="31">
        <f>Option3!Z$83*conv_2026*Z$7</f>
        <v>-200324.27635498744</v>
      </c>
      <c r="AA47" s="31">
        <f>Option3!AA$83*conv_2026*AA$7</f>
        <v>-200324.27635498744</v>
      </c>
      <c r="AB47" s="31">
        <f>Option3!AB$83*conv_2026*AB$7</f>
        <v>-200324.27635498744</v>
      </c>
      <c r="AC47" s="31">
        <f>Option3!AC$83*conv_2026*AC$7</f>
        <v>-200324.27635498744</v>
      </c>
      <c r="AD47" s="31">
        <f>Option3!AD$83*conv_2026*AD$7</f>
        <v>-200324.27635498744</v>
      </c>
      <c r="AE47" s="31">
        <f>Option3!AE$83*conv_2026*AE$7</f>
        <v>-200324.27635498744</v>
      </c>
      <c r="AF47" s="31">
        <f>Option3!AF$83*conv_2026*AF$7</f>
        <v>0</v>
      </c>
      <c r="AG47" s="31">
        <f>Option3!AG$83*conv_2026*AG$7</f>
        <v>0</v>
      </c>
    </row>
    <row r="48" spans="1:33" s="2" customFormat="1" x14ac:dyDescent="0.2">
      <c r="A48" s="136" t="str">
        <f t="shared" si="10"/>
        <v>Option 3</v>
      </c>
      <c r="B48" s="136"/>
      <c r="C48" s="58" t="str">
        <f>Option3!C$84</f>
        <v>Risk mitigated</v>
      </c>
      <c r="D48" s="38" t="str">
        <f t="shared" si="11"/>
        <v>Option 3Risk mitigated</v>
      </c>
      <c r="E48" s="1"/>
      <c r="F48" s="97">
        <f>SUMPRODUCT($H48:$AG48, $H$5:$AG$5)</f>
        <v>4484016.4527016087</v>
      </c>
      <c r="G48" s="226">
        <f t="shared" si="12"/>
        <v>46203</v>
      </c>
      <c r="H48" s="31"/>
      <c r="I48" s="31">
        <f>Option3!I$84*conv_2026*I$7</f>
        <v>0</v>
      </c>
      <c r="J48" s="31">
        <f>Option3!J$84*conv_2026*J$7</f>
        <v>0</v>
      </c>
      <c r="K48" s="31">
        <f>Option3!K$84*conv_2026*K$7</f>
        <v>0</v>
      </c>
      <c r="L48" s="31">
        <f>Option3!L$84*conv_2026*L$7</f>
        <v>0</v>
      </c>
      <c r="M48" s="31">
        <f>Option3!M$84*conv_2026*M$7</f>
        <v>339339.63239656895</v>
      </c>
      <c r="N48" s="31">
        <f>Option3!N$84*conv_2026*N$7</f>
        <v>343762.93019021646</v>
      </c>
      <c r="O48" s="31">
        <f>Option3!O$84*conv_2026*O$7</f>
        <v>351623.27026360459</v>
      </c>
      <c r="P48" s="31">
        <f>Option3!P$84*conv_2026*P$7</f>
        <v>360221.46936478815</v>
      </c>
      <c r="Q48" s="31">
        <f>Option3!Q$84*conv_2026*Q$7</f>
        <v>365561.95073436975</v>
      </c>
      <c r="R48" s="31">
        <f>Option3!R$84*conv_2026*R$7</f>
        <v>367267.42315368715</v>
      </c>
      <c r="S48" s="31">
        <f>Option3!S$84*conv_2026*S$7</f>
        <v>368972.89557300531</v>
      </c>
      <c r="T48" s="31">
        <f>Option3!T$84*conv_2026*T$7</f>
        <v>370678.36799232289</v>
      </c>
      <c r="U48" s="31">
        <f>Option3!U$84*conv_2026*U$7</f>
        <v>372383.84041164018</v>
      </c>
      <c r="V48" s="31">
        <f>Option3!V$84*conv_2026*V$7</f>
        <v>374089.3128309584</v>
      </c>
      <c r="W48" s="31">
        <f>Option3!W$84*conv_2026*W$7</f>
        <v>375794.78525027586</v>
      </c>
      <c r="X48" s="31">
        <f>Option3!X$84*conv_2026*X$7</f>
        <v>377500.25766959327</v>
      </c>
      <c r="Y48" s="31">
        <f>Option3!Y$84*conv_2026*Y$7</f>
        <v>379205.73008891143</v>
      </c>
      <c r="Z48" s="31">
        <f>Option3!Z$84*conv_2026*Z$7</f>
        <v>380911.20250822895</v>
      </c>
      <c r="AA48" s="31">
        <f>Option3!AA$84*conv_2026*AA$7</f>
        <v>382616.67492754705</v>
      </c>
      <c r="AB48" s="31">
        <f>Option3!AB$84*conv_2026*AB$7</f>
        <v>384322.1473468644</v>
      </c>
      <c r="AC48" s="31">
        <f>Option3!AC$84*conv_2026*AC$7</f>
        <v>386027.61976618192</v>
      </c>
      <c r="AD48" s="31">
        <f>Option3!AD$84*conv_2026*AD$7</f>
        <v>387733.09218550002</v>
      </c>
      <c r="AE48" s="31">
        <f>Option3!AE$84*conv_2026*AE$7</f>
        <v>389438.56460481748</v>
      </c>
      <c r="AF48" s="31">
        <f>Option3!AF$84*conv_2026*AF$7</f>
        <v>0</v>
      </c>
      <c r="AG48" s="31">
        <f>Option3!AG$84*conv_2026*AG$7</f>
        <v>0</v>
      </c>
    </row>
    <row r="49" spans="1:33" s="2" customFormat="1" x14ac:dyDescent="0.2">
      <c r="A49" s="136" t="str">
        <f t="shared" si="10"/>
        <v>Option 3</v>
      </c>
      <c r="B49" s="136"/>
      <c r="C49" s="58" t="str">
        <f>Option3!C$85</f>
        <v>Other benefits value</v>
      </c>
      <c r="D49" s="38" t="str">
        <f t="shared" si="11"/>
        <v>Option 3Other benefits value</v>
      </c>
      <c r="E49" s="1"/>
      <c r="F49" s="97">
        <f>SUMPRODUCT($H49:$AG49, $H$5:$AG$5)</f>
        <v>1130779.3435603676</v>
      </c>
      <c r="G49" s="226">
        <f t="shared" si="12"/>
        <v>46203</v>
      </c>
      <c r="H49" s="31"/>
      <c r="I49" s="31">
        <f>Option3!I$85*conv_2026*I$7</f>
        <v>0</v>
      </c>
      <c r="J49" s="31">
        <f>Option3!J$85*conv_2026*J$7</f>
        <v>0</v>
      </c>
      <c r="K49" s="31">
        <f>Option3!K$85*conv_2026*K$7</f>
        <v>0</v>
      </c>
      <c r="L49" s="31">
        <f>Option3!L$85*conv_2026*L$7</f>
        <v>0</v>
      </c>
      <c r="M49" s="31">
        <f>Option3!M$85*conv_2026*M$7</f>
        <v>82815.801180678172</v>
      </c>
      <c r="N49" s="31">
        <f>Option3!N$85*conv_2026*N$7</f>
        <v>84222.53761102962</v>
      </c>
      <c r="O49" s="31">
        <f>Option3!O$85*conv_2026*O$7</f>
        <v>86361.661238850284</v>
      </c>
      <c r="P49" s="31">
        <f>Option3!P$85*conv_2026*P$7</f>
        <v>88674.670780590954</v>
      </c>
      <c r="Q49" s="31">
        <f>Option3!Q$85*conv_2026*Q$7</f>
        <v>90311.079752704652</v>
      </c>
      <c r="R49" s="31">
        <f>Option3!R$85*conv_2026*R$7</f>
        <v>91176.204046249171</v>
      </c>
      <c r="S49" s="31">
        <f>Option3!S$85*conv_2026*S$7</f>
        <v>92041.328339794025</v>
      </c>
      <c r="T49" s="31">
        <f>Option3!T$85*conv_2026*T$7</f>
        <v>92906.452633338544</v>
      </c>
      <c r="U49" s="31">
        <f>Option3!U$85*conv_2026*U$7</f>
        <v>93771.576926883048</v>
      </c>
      <c r="V49" s="31">
        <f>Option3!V$85*conv_2026*V$7</f>
        <v>94636.701220427916</v>
      </c>
      <c r="W49" s="31">
        <f>Option3!W$85*conv_2026*W$7</f>
        <v>95501.82551397245</v>
      </c>
      <c r="X49" s="31">
        <f>Option3!X$85*conv_2026*X$7</f>
        <v>96366.949807516954</v>
      </c>
      <c r="Y49" s="31">
        <f>Option3!Y$85*conv_2026*Y$7</f>
        <v>97232.074101061822</v>
      </c>
      <c r="Z49" s="31">
        <f>Option3!Z$85*conv_2026*Z$7</f>
        <v>98097.19839460637</v>
      </c>
      <c r="AA49" s="31">
        <f>Option3!AA$85*conv_2026*AA$7</f>
        <v>98962.322688151238</v>
      </c>
      <c r="AB49" s="31">
        <f>Option3!AB$85*conv_2026*AB$7</f>
        <v>99827.446981695743</v>
      </c>
      <c r="AC49" s="31">
        <f>Option3!AC$85*conv_2026*AC$7</f>
        <v>100692.57127524028</v>
      </c>
      <c r="AD49" s="31">
        <f>Option3!AD$85*conv_2026*AD$7</f>
        <v>101557.69556878516</v>
      </c>
      <c r="AE49" s="31">
        <f>Option3!AE$85*conv_2026*AE$7</f>
        <v>102422.81986232963</v>
      </c>
      <c r="AF49" s="31">
        <f>Option3!AF$85*conv_2026*AF$7</f>
        <v>0</v>
      </c>
      <c r="AG49" s="31">
        <f>Option3!AG$85*conv_2026*AG$7</f>
        <v>0</v>
      </c>
    </row>
    <row r="50" spans="1:33" s="2" customFormat="1" x14ac:dyDescent="0.2">
      <c r="A50" s="136" t="str">
        <f t="shared" si="10"/>
        <v>Option 3</v>
      </c>
      <c r="B50" s="136"/>
      <c r="C50" s="125" t="str">
        <f>Option3!C87</f>
        <v>Net benefits</v>
      </c>
      <c r="D50" s="109" t="str">
        <f t="shared" si="11"/>
        <v>Option 3Net benefits</v>
      </c>
      <c r="E50" s="110"/>
      <c r="F50" s="144"/>
      <c r="G50" s="228">
        <f t="shared" si="12"/>
        <v>46203</v>
      </c>
      <c r="H50" s="52"/>
      <c r="I50" s="52">
        <f t="shared" ref="I50:AB50" si="13">SUM(I46:I49)</f>
        <v>0</v>
      </c>
      <c r="J50" s="52">
        <f t="shared" si="13"/>
        <v>0</v>
      </c>
      <c r="K50" s="52">
        <f t="shared" si="13"/>
        <v>0</v>
      </c>
      <c r="L50" s="52">
        <f t="shared" si="13"/>
        <v>0</v>
      </c>
      <c r="M50" s="52">
        <f t="shared" si="13"/>
        <v>-265723.38054373214</v>
      </c>
      <c r="N50" s="52">
        <f t="shared" si="13"/>
        <v>-259893.34631973319</v>
      </c>
      <c r="O50" s="52">
        <f t="shared" si="13"/>
        <v>-249893.88261852443</v>
      </c>
      <c r="P50" s="52">
        <f t="shared" si="13"/>
        <v>-238982.67397560016</v>
      </c>
      <c r="Q50" s="52">
        <f t="shared" si="13"/>
        <v>-232005.78363390488</v>
      </c>
      <c r="R50" s="52">
        <f t="shared" si="13"/>
        <v>-229435.18692104297</v>
      </c>
      <c r="S50" s="52">
        <f t="shared" si="13"/>
        <v>-226864.59020817996</v>
      </c>
      <c r="T50" s="52">
        <f t="shared" si="13"/>
        <v>-224293.99349531785</v>
      </c>
      <c r="U50" s="52">
        <f t="shared" si="13"/>
        <v>-221723.39678245605</v>
      </c>
      <c r="V50" s="52">
        <f t="shared" si="13"/>
        <v>-219152.80006959295</v>
      </c>
      <c r="W50" s="52">
        <f t="shared" si="13"/>
        <v>-216582.20335673098</v>
      </c>
      <c r="X50" s="52">
        <f t="shared" si="13"/>
        <v>-214011.60664386908</v>
      </c>
      <c r="Y50" s="52">
        <f t="shared" si="13"/>
        <v>-211441.00993100603</v>
      </c>
      <c r="Z50" s="52">
        <f t="shared" si="13"/>
        <v>-208870.41321814398</v>
      </c>
      <c r="AA50" s="52">
        <f t="shared" si="13"/>
        <v>-206299.81650528099</v>
      </c>
      <c r="AB50" s="52">
        <f t="shared" si="13"/>
        <v>-203729.21979241914</v>
      </c>
      <c r="AC50" s="52">
        <f>SUM(AC46:AC49)</f>
        <v>-201158.62307955709</v>
      </c>
      <c r="AD50" s="52">
        <f>SUM(AD46:AD49)</f>
        <v>-198588.0263666941</v>
      </c>
      <c r="AE50" s="52">
        <f>SUM(AE46:AE49)</f>
        <v>-196017.42965383217</v>
      </c>
      <c r="AF50" s="52">
        <f>SUM(AF46:AF49)</f>
        <v>0</v>
      </c>
      <c r="AG50" s="52">
        <f>SUM(AG46:AG49)</f>
        <v>0</v>
      </c>
    </row>
    <row r="51" spans="1:33" s="2" customFormat="1" x14ac:dyDescent="0.2">
      <c r="A51" s="136" t="str">
        <f t="shared" si="10"/>
        <v>Option 3</v>
      </c>
      <c r="B51" s="136"/>
      <c r="C51" s="8" t="s">
        <v>119</v>
      </c>
      <c r="D51" s="38" t="str">
        <f t="shared" si="11"/>
        <v>Option 3NPV</v>
      </c>
      <c r="E51" s="1"/>
      <c r="F51" s="108" cm="1">
        <f t="array" ref="F51">SUMPRODUCT(($H50:$AG50)*($H$5:$AG$5)*($H$7:$AG$7))</f>
        <v>-2746103.9167978493</v>
      </c>
      <c r="G51" s="226">
        <f t="shared" si="12"/>
        <v>46203</v>
      </c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</row>
    <row r="52" spans="1:33" s="2" customFormat="1" x14ac:dyDescent="0.2">
      <c r="A52" s="136" t="str">
        <f t="shared" si="10"/>
        <v>Option 3</v>
      </c>
      <c r="B52" s="136"/>
      <c r="C52" s="8" t="s">
        <v>193</v>
      </c>
      <c r="D52" s="38" t="str">
        <f t="shared" si="11"/>
        <v>Option 3PV of costs</v>
      </c>
      <c r="E52" s="1"/>
      <c r="F52" s="108">
        <f>SUM(F46:F47)</f>
        <v>-8360899.7130598249</v>
      </c>
      <c r="G52" s="226">
        <f t="shared" si="12"/>
        <v>46203</v>
      </c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</row>
    <row r="53" spans="1:33" s="2" customFormat="1" x14ac:dyDescent="0.2">
      <c r="A53" s="136" t="str">
        <f t="shared" si="10"/>
        <v>Option 3</v>
      </c>
      <c r="B53" s="136"/>
      <c r="C53" s="8" t="s">
        <v>194</v>
      </c>
      <c r="D53" s="38" t="str">
        <f t="shared" si="11"/>
        <v>Option 3PV of benefits</v>
      </c>
      <c r="E53" s="1"/>
      <c r="F53" s="108">
        <f>SUM(F48:F49)</f>
        <v>5614795.7962619765</v>
      </c>
      <c r="G53" s="226">
        <f t="shared" si="12"/>
        <v>46203</v>
      </c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</row>
    <row r="54" spans="1:33" s="2" customFormat="1" x14ac:dyDescent="0.2">
      <c r="A54" s="136"/>
      <c r="B54" s="136"/>
      <c r="C54" s="1"/>
      <c r="D54" s="38"/>
      <c r="E54" s="1"/>
      <c r="F54" s="108"/>
      <c r="G54" s="229"/>
      <c r="H54" s="1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</row>
    <row r="55" spans="1:33" s="2" customFormat="1" x14ac:dyDescent="0.2">
      <c r="A55" s="123"/>
      <c r="B55" s="123"/>
      <c r="C55" s="123"/>
      <c r="D55" s="38"/>
      <c r="F55" s="118"/>
      <c r="G55" s="222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</row>
    <row r="56" spans="1:33" s="271" customFormat="1" x14ac:dyDescent="0.2">
      <c r="A56" s="269" t="str">
        <f>A57</f>
        <v>Option 4</v>
      </c>
      <c r="B56" s="269"/>
      <c r="C56" s="269" t="s">
        <v>124</v>
      </c>
      <c r="D56" s="270" t="str">
        <f>A56&amp;C56</f>
        <v>Option 4Energy at risk value</v>
      </c>
      <c r="F56" s="97">
        <f>SUMPRODUCT($H56:$AG56, $H$5:$AG$5)</f>
        <v>0</v>
      </c>
      <c r="G56" s="272">
        <f>output_dollars</f>
        <v>46203</v>
      </c>
      <c r="H56" s="273"/>
      <c r="I56" s="31">
        <f>Option4!I$28*conv_2026</f>
        <v>0</v>
      </c>
      <c r="J56" s="31">
        <f>Option4!J$28*conv_2026</f>
        <v>0</v>
      </c>
      <c r="K56" s="31">
        <f>Option4!K$28*conv_2026</f>
        <v>0</v>
      </c>
      <c r="L56" s="31">
        <f>Option4!L$28*conv_2026</f>
        <v>0</v>
      </c>
      <c r="M56" s="31">
        <f>Option4!M$28*conv_2026</f>
        <v>0</v>
      </c>
      <c r="N56" s="31">
        <f>Option4!N$28*conv_2026</f>
        <v>0</v>
      </c>
      <c r="O56" s="31">
        <f>Option4!O$28*conv_2026</f>
        <v>0</v>
      </c>
      <c r="P56" s="31">
        <f>Option4!P$28*conv_2026</f>
        <v>0</v>
      </c>
      <c r="Q56" s="31">
        <f>Option4!Q$28*conv_2026</f>
        <v>0</v>
      </c>
      <c r="R56" s="31">
        <f>Option4!R$28*conv_2026</f>
        <v>0</v>
      </c>
      <c r="S56" s="31">
        <f>Option4!S$28*conv_2026</f>
        <v>0</v>
      </c>
      <c r="T56" s="31">
        <f>Option4!T$28*conv_2026</f>
        <v>0</v>
      </c>
      <c r="U56" s="31">
        <f>Option4!U$28*conv_2026</f>
        <v>0</v>
      </c>
      <c r="V56" s="31">
        <f>Option4!V$28*conv_2026</f>
        <v>0</v>
      </c>
      <c r="W56" s="31">
        <f>Option4!W$28*conv_2026</f>
        <v>0</v>
      </c>
      <c r="X56" s="31">
        <f>Option4!X$28*conv_2026</f>
        <v>0</v>
      </c>
      <c r="Y56" s="31">
        <f>Option4!Y$28*conv_2026</f>
        <v>0</v>
      </c>
      <c r="Z56" s="31">
        <f>Option4!Z$28*conv_2026</f>
        <v>0</v>
      </c>
      <c r="AA56" s="31">
        <f>Option4!AA$28*conv_2026</f>
        <v>0</v>
      </c>
      <c r="AB56" s="31">
        <f>Option4!AB$28*conv_2026</f>
        <v>0</v>
      </c>
      <c r="AC56" s="31">
        <f>Option4!AC$28*conv_2026</f>
        <v>0</v>
      </c>
      <c r="AD56" s="31">
        <f>Option4!AD$28*conv_2026</f>
        <v>0</v>
      </c>
      <c r="AE56" s="31">
        <f>Option4!AE$28*conv_2026</f>
        <v>0</v>
      </c>
      <c r="AF56" s="31">
        <f>Option4!AF$28*conv_2026</f>
        <v>0</v>
      </c>
      <c r="AG56" s="31">
        <f>Option4!AG$28*conv_2026</f>
        <v>0</v>
      </c>
    </row>
    <row r="57" spans="1:33" s="2" customFormat="1" x14ac:dyDescent="0.2">
      <c r="A57" s="136" t="str">
        <f>Data!B12</f>
        <v>Option 4</v>
      </c>
      <c r="B57" s="136"/>
      <c r="C57" s="58" t="str">
        <f>Option4!C$66</f>
        <v>Capital expenditure</v>
      </c>
      <c r="D57" s="38" t="str">
        <f t="shared" ref="D57:D67" si="14">A57&amp;C57</f>
        <v>Option 4Capital expenditure</v>
      </c>
      <c r="E57" s="1"/>
      <c r="F57" s="97">
        <f>SUMPRODUCT($H57:$AG57, $H$5:$AG$5)</f>
        <v>0</v>
      </c>
      <c r="G57" s="226">
        <f>output_dollars</f>
        <v>46203</v>
      </c>
      <c r="H57" s="31"/>
      <c r="I57" s="31">
        <f>SUM(Option4!I$67:I$69)*conv_2026*I$7</f>
        <v>0</v>
      </c>
      <c r="J57" s="31">
        <f>SUM(Option4!J$67:J$69)*conv_2026*J$7</f>
        <v>0</v>
      </c>
      <c r="K57" s="31">
        <f>SUM(Option4!K$67:K$69)*conv_2026*K$7</f>
        <v>0</v>
      </c>
      <c r="L57" s="31">
        <f>SUM(Option4!L$67:L$69)*conv_2026*L$7</f>
        <v>0</v>
      </c>
      <c r="M57" s="31">
        <f>SUM(Option4!M$67:M$69)*conv_2026*M$7</f>
        <v>0</v>
      </c>
      <c r="N57" s="31">
        <f>SUM(Option4!N$67:N$69)*conv_2026*N$7</f>
        <v>0</v>
      </c>
      <c r="O57" s="31">
        <f>SUM(Option4!O$67:O$69)*conv_2026*O$7</f>
        <v>0</v>
      </c>
      <c r="P57" s="31">
        <f>SUM(Option4!P$67:P$69)*conv_2026*P$7</f>
        <v>0</v>
      </c>
      <c r="Q57" s="31">
        <f>SUM(Option4!Q$67:Q$69)*conv_2026*Q$7</f>
        <v>0</v>
      </c>
      <c r="R57" s="31">
        <f>SUM(Option4!R$67:R$69)*conv_2026*R$7</f>
        <v>0</v>
      </c>
      <c r="S57" s="31">
        <f>SUM(Option4!S$67:S$69)*conv_2026*S$7</f>
        <v>0</v>
      </c>
      <c r="T57" s="31">
        <f>SUM(Option4!T$67:T$69)*conv_2026*T$7</f>
        <v>0</v>
      </c>
      <c r="U57" s="31">
        <f>SUM(Option4!U$67:U$69)*conv_2026*U$7</f>
        <v>0</v>
      </c>
      <c r="V57" s="31">
        <f>SUM(Option4!V$67:V$69)*conv_2026*V$7</f>
        <v>0</v>
      </c>
      <c r="W57" s="31">
        <f>SUM(Option4!W$67:W$69)*conv_2026*W$7</f>
        <v>0</v>
      </c>
      <c r="X57" s="31">
        <f>SUM(Option4!X$67:X$69)*conv_2026*X$7</f>
        <v>0</v>
      </c>
      <c r="Y57" s="31">
        <f>SUM(Option4!Y$67:Y$69)*conv_2026*Y$7</f>
        <v>0</v>
      </c>
      <c r="Z57" s="31">
        <f>SUM(Option4!Z$67:Z$69)*conv_2026*Z$7</f>
        <v>0</v>
      </c>
      <c r="AA57" s="31">
        <f>SUM(Option4!AA$67:AA$69)*conv_2026*AA$7</f>
        <v>0</v>
      </c>
      <c r="AB57" s="31">
        <f>SUM(Option4!AB$67:AB$69)*conv_2026*AB$7</f>
        <v>0</v>
      </c>
      <c r="AC57" s="31">
        <f>SUM(Option4!AC$67:AC$69)*conv_2026*AC$7</f>
        <v>0</v>
      </c>
      <c r="AD57" s="31">
        <f>SUM(Option4!AD$67:AD$69)*conv_2026*AD$7</f>
        <v>0</v>
      </c>
      <c r="AE57" s="31">
        <f>SUM(Option4!AE$67:AE$69)*conv_2026*AE$7</f>
        <v>0</v>
      </c>
      <c r="AF57" s="31">
        <f>SUM(Option4!AF$67:AF$69)*conv_2026*AF$7</f>
        <v>0</v>
      </c>
      <c r="AG57" s="31">
        <f>SUM(Option4!AG$67:AG$69)*conv_2026*AG$7</f>
        <v>0</v>
      </c>
    </row>
    <row r="58" spans="1:33" s="2" customFormat="1" x14ac:dyDescent="0.2">
      <c r="A58" s="136" t="str">
        <f t="shared" ref="A58:A67" si="15">A57</f>
        <v>Option 4</v>
      </c>
      <c r="B58" s="136"/>
      <c r="C58" s="58" t="str">
        <f>'Option1 (base case)'!C$36</f>
        <v>Total risk cost</v>
      </c>
      <c r="D58" s="38" t="str">
        <f t="shared" si="14"/>
        <v>Option 4Total risk cost</v>
      </c>
      <c r="E58" s="1"/>
      <c r="F58" s="97">
        <f>SUMPRODUCT($H58:$AG58, $H$5:$AG$5)</f>
        <v>0</v>
      </c>
      <c r="G58" s="226">
        <f>output_dollars</f>
        <v>46203</v>
      </c>
      <c r="H58" s="31"/>
      <c r="I58" s="31">
        <f>Option4!I$36*conv_2026*I$7</f>
        <v>0</v>
      </c>
      <c r="J58" s="31">
        <f>Option4!J$36*conv_2026*J$7</f>
        <v>0</v>
      </c>
      <c r="K58" s="31">
        <f>Option4!K$36*conv_2026*K$7</f>
        <v>0</v>
      </c>
      <c r="L58" s="31">
        <f>Option4!L$36*conv_2026*L$7</f>
        <v>0</v>
      </c>
      <c r="M58" s="31">
        <f>Option4!M$36*conv_2026*M$7</f>
        <v>0</v>
      </c>
      <c r="N58" s="31">
        <f>Option4!N$36*conv_2026*N$7</f>
        <v>0</v>
      </c>
      <c r="O58" s="31">
        <f>Option4!O$36*conv_2026*O$7</f>
        <v>0</v>
      </c>
      <c r="P58" s="31">
        <f>Option4!P$36*conv_2026*P$7</f>
        <v>0</v>
      </c>
      <c r="Q58" s="31">
        <f>Option4!Q$36*conv_2026*Q$7</f>
        <v>0</v>
      </c>
      <c r="R58" s="31">
        <f>Option4!R$36*conv_2026*R$7</f>
        <v>0</v>
      </c>
      <c r="S58" s="31">
        <f>Option4!S$36*conv_2026*S$7</f>
        <v>0</v>
      </c>
      <c r="T58" s="31">
        <f>Option4!T$36*conv_2026*T$7</f>
        <v>0</v>
      </c>
      <c r="U58" s="31">
        <f>Option4!U$36*conv_2026*U$7</f>
        <v>0</v>
      </c>
      <c r="V58" s="31">
        <f>Option4!V$36*conv_2026*V$7</f>
        <v>0</v>
      </c>
      <c r="W58" s="31">
        <f>Option4!W$36*conv_2026*W$7</f>
        <v>0</v>
      </c>
      <c r="X58" s="31">
        <f>Option4!X$36*conv_2026*X$7</f>
        <v>0</v>
      </c>
      <c r="Y58" s="31">
        <f>Option4!Y$36*conv_2026*Y$7</f>
        <v>0</v>
      </c>
      <c r="Z58" s="31">
        <f>Option4!Z$36*conv_2026*Z$7</f>
        <v>0</v>
      </c>
      <c r="AA58" s="31">
        <f>Option4!AA$36*conv_2026*AA$7</f>
        <v>0</v>
      </c>
      <c r="AB58" s="31">
        <f>Option4!AB$36*conv_2026*AB$7</f>
        <v>0</v>
      </c>
      <c r="AC58" s="31">
        <f>Option4!AC$36*conv_2026*AC$7</f>
        <v>0</v>
      </c>
      <c r="AD58" s="31">
        <f>Option4!AD$36*conv_2026*AD$7</f>
        <v>0</v>
      </c>
      <c r="AE58" s="31">
        <f>Option4!AE$36*conv_2026*AE$7</f>
        <v>0</v>
      </c>
      <c r="AF58" s="31">
        <f>Option4!AF$36*conv_2026*AF$7</f>
        <v>0</v>
      </c>
      <c r="AG58" s="31">
        <f>Option4!AG$36*conv_2026*AG$7</f>
        <v>0</v>
      </c>
    </row>
    <row r="59" spans="1:33" s="2" customFormat="1" x14ac:dyDescent="0.2">
      <c r="A59" s="136" t="str">
        <f t="shared" si="15"/>
        <v>Option 4</v>
      </c>
      <c r="B59" s="136"/>
      <c r="C59" s="75"/>
      <c r="D59" s="38" t="str">
        <f t="shared" si="14"/>
        <v>Option 4</v>
      </c>
      <c r="E59" s="1"/>
      <c r="F59"/>
      <c r="G59" s="227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1:33" s="2" customFormat="1" x14ac:dyDescent="0.2">
      <c r="A60" s="136" t="str">
        <f t="shared" si="15"/>
        <v>Option 4</v>
      </c>
      <c r="B60" s="136"/>
      <c r="C60" s="58" t="str">
        <f>Option4!C$82</f>
        <v>Annualised capex</v>
      </c>
      <c r="D60" s="38" t="str">
        <f t="shared" si="14"/>
        <v>Option 4Annualised capex</v>
      </c>
      <c r="E60" s="1"/>
      <c r="F60" s="97">
        <f>SUMPRODUCT($H60:$AG60, $H$5:$AG$5)</f>
        <v>0</v>
      </c>
      <c r="G60" s="226">
        <f t="shared" ref="G60:G67" si="16">output_dollars</f>
        <v>46203</v>
      </c>
      <c r="H60" s="31"/>
      <c r="I60" s="31">
        <f>Option4!I$82*conv_2026*I$7</f>
        <v>0</v>
      </c>
      <c r="J60" s="31">
        <f>Option4!J$82*conv_2026*J$7</f>
        <v>0</v>
      </c>
      <c r="K60" s="31">
        <f>Option4!K$82*conv_2026*K$7</f>
        <v>0</v>
      </c>
      <c r="L60" s="31">
        <f>Option4!L$82*conv_2026*L$7</f>
        <v>0</v>
      </c>
      <c r="M60" s="31">
        <f>Option4!M$82*conv_2026*M$7</f>
        <v>0</v>
      </c>
      <c r="N60" s="31">
        <f>Option4!N$82*conv_2026*N$7</f>
        <v>0</v>
      </c>
      <c r="O60" s="31">
        <f>Option4!O$82*conv_2026*O$7</f>
        <v>0</v>
      </c>
      <c r="P60" s="31">
        <f>Option4!P$82*conv_2026*P$7</f>
        <v>0</v>
      </c>
      <c r="Q60" s="31">
        <f>Option4!Q$82*conv_2026*Q$7</f>
        <v>0</v>
      </c>
      <c r="R60" s="31">
        <f>Option4!R$82*conv_2026*R$7</f>
        <v>0</v>
      </c>
      <c r="S60" s="31">
        <f>Option4!S$82*conv_2026*S$7</f>
        <v>0</v>
      </c>
      <c r="T60" s="31">
        <f>Option4!T$82*conv_2026*T$7</f>
        <v>0</v>
      </c>
      <c r="U60" s="31">
        <f>Option4!U$82*conv_2026*U$7</f>
        <v>0</v>
      </c>
      <c r="V60" s="31">
        <f>Option4!V$82*conv_2026*V$7</f>
        <v>0</v>
      </c>
      <c r="W60" s="31">
        <f>Option4!W$82*conv_2026*W$7</f>
        <v>0</v>
      </c>
      <c r="X60" s="31">
        <f>Option4!X$82*conv_2026*X$7</f>
        <v>0</v>
      </c>
      <c r="Y60" s="31">
        <f>Option4!Y$82*conv_2026*Y$7</f>
        <v>0</v>
      </c>
      <c r="Z60" s="31">
        <f>Option4!Z$82*conv_2026*Z$7</f>
        <v>0</v>
      </c>
      <c r="AA60" s="31">
        <f>Option4!AA$82*conv_2026*AA$7</f>
        <v>0</v>
      </c>
      <c r="AB60" s="31">
        <f>Option4!AB$82*conv_2026*AB$7</f>
        <v>0</v>
      </c>
      <c r="AC60" s="31">
        <f>Option4!AC$82*conv_2026*AC$7</f>
        <v>0</v>
      </c>
      <c r="AD60" s="31">
        <f>Option4!AD$82*conv_2026*AD$7</f>
        <v>0</v>
      </c>
      <c r="AE60" s="31">
        <f>Option4!AE$82*conv_2026*AE$7</f>
        <v>0</v>
      </c>
      <c r="AF60" s="31">
        <f>Option4!AF$82*conv_2026*AF$7</f>
        <v>0</v>
      </c>
      <c r="AG60" s="31">
        <f>Option4!AG$82*conv_2026*AG$7</f>
        <v>0</v>
      </c>
    </row>
    <row r="61" spans="1:33" s="2" customFormat="1" x14ac:dyDescent="0.2">
      <c r="A61" s="136" t="str">
        <f t="shared" si="15"/>
        <v>Option 4</v>
      </c>
      <c r="B61" s="136"/>
      <c r="C61" s="58" t="str">
        <f>Option4!C$83</f>
        <v>Operating expenditure</v>
      </c>
      <c r="D61" s="38" t="str">
        <f t="shared" si="14"/>
        <v>Option 4Operating expenditure</v>
      </c>
      <c r="E61" s="1"/>
      <c r="F61" s="97">
        <f>SUMPRODUCT($H61:$AG61, $H$5:$AG$5)</f>
        <v>0</v>
      </c>
      <c r="G61" s="226">
        <f t="shared" si="16"/>
        <v>46203</v>
      </c>
      <c r="H61" s="31"/>
      <c r="I61" s="31">
        <f>Option4!I$83*conv_2026*I$7</f>
        <v>0</v>
      </c>
      <c r="J61" s="31">
        <f>Option4!J$83*conv_2026*J$7</f>
        <v>0</v>
      </c>
      <c r="K61" s="31">
        <f>Option4!K$83*conv_2026*K$7</f>
        <v>0</v>
      </c>
      <c r="L61" s="31">
        <f>Option4!L$83*conv_2026*L$7</f>
        <v>0</v>
      </c>
      <c r="M61" s="31">
        <f>Option4!M$83*conv_2026*M$7</f>
        <v>0</v>
      </c>
      <c r="N61" s="31">
        <f>Option4!N$83*conv_2026*N$7</f>
        <v>0</v>
      </c>
      <c r="O61" s="31">
        <f>Option4!O$83*conv_2026*O$7</f>
        <v>0</v>
      </c>
      <c r="P61" s="31">
        <f>Option4!P$83*conv_2026*P$7</f>
        <v>0</v>
      </c>
      <c r="Q61" s="31">
        <f>Option4!Q$83*conv_2026*Q$7</f>
        <v>0</v>
      </c>
      <c r="R61" s="31">
        <f>Option4!R$83*conv_2026*R$7</f>
        <v>0</v>
      </c>
      <c r="S61" s="31">
        <f>Option4!S$83*conv_2026*S$7</f>
        <v>0</v>
      </c>
      <c r="T61" s="31">
        <f>Option4!T$83*conv_2026*T$7</f>
        <v>0</v>
      </c>
      <c r="U61" s="31">
        <f>Option4!U$83*conv_2026*U$7</f>
        <v>0</v>
      </c>
      <c r="V61" s="31">
        <f>Option4!V$83*conv_2026*V$7</f>
        <v>0</v>
      </c>
      <c r="W61" s="31">
        <f>Option4!W$83*conv_2026*W$7</f>
        <v>0</v>
      </c>
      <c r="X61" s="31">
        <f>Option4!X$83*conv_2026*X$7</f>
        <v>0</v>
      </c>
      <c r="Y61" s="31">
        <f>Option4!Y$83*conv_2026*Y$7</f>
        <v>0</v>
      </c>
      <c r="Z61" s="31">
        <f>Option4!Z$83*conv_2026*Z$7</f>
        <v>0</v>
      </c>
      <c r="AA61" s="31">
        <f>Option4!AA$83*conv_2026*AA$7</f>
        <v>0</v>
      </c>
      <c r="AB61" s="31">
        <f>Option4!AB$83*conv_2026*AB$7</f>
        <v>0</v>
      </c>
      <c r="AC61" s="31">
        <f>Option4!AC$83*conv_2026*AC$7</f>
        <v>0</v>
      </c>
      <c r="AD61" s="31">
        <f>Option4!AD$83*conv_2026*AD$7</f>
        <v>0</v>
      </c>
      <c r="AE61" s="31">
        <f>Option4!AE$83*conv_2026*AE$7</f>
        <v>0</v>
      </c>
      <c r="AF61" s="31">
        <f>Option4!AF$83*conv_2026*AF$7</f>
        <v>0</v>
      </c>
      <c r="AG61" s="31">
        <f>Option4!AG$83*conv_2026*AG$7</f>
        <v>0</v>
      </c>
    </row>
    <row r="62" spans="1:33" s="2" customFormat="1" x14ac:dyDescent="0.2">
      <c r="A62" s="136" t="str">
        <f t="shared" si="15"/>
        <v>Option 4</v>
      </c>
      <c r="B62" s="136"/>
      <c r="C62" s="58" t="str">
        <f>Option4!C$84</f>
        <v>Risk mitigated</v>
      </c>
      <c r="D62" s="38" t="str">
        <f t="shared" si="14"/>
        <v>Option 4Risk mitigated</v>
      </c>
      <c r="E62" s="1"/>
      <c r="F62" s="97">
        <f>SUMPRODUCT($H62:$AG62, $H$5:$AG$5)</f>
        <v>0</v>
      </c>
      <c r="G62" s="226">
        <f t="shared" si="16"/>
        <v>46203</v>
      </c>
      <c r="H62" s="31"/>
      <c r="I62" s="31">
        <f>Option4!I$84*conv_2026*I$7</f>
        <v>0</v>
      </c>
      <c r="J62" s="31">
        <f>Option4!J$84*conv_2026*J$7</f>
        <v>0</v>
      </c>
      <c r="K62" s="31">
        <f>Option4!K$84*conv_2026*K$7</f>
        <v>0</v>
      </c>
      <c r="L62" s="31">
        <f>Option4!L$84*conv_2026*L$7</f>
        <v>0</v>
      </c>
      <c r="M62" s="31">
        <f>Option4!M$84*conv_2026*M$7</f>
        <v>0</v>
      </c>
      <c r="N62" s="31">
        <f>Option4!N$84*conv_2026*N$7</f>
        <v>0</v>
      </c>
      <c r="O62" s="31">
        <f>Option4!O$84*conv_2026*O$7</f>
        <v>0</v>
      </c>
      <c r="P62" s="31">
        <f>Option4!P$84*conv_2026*P$7</f>
        <v>0</v>
      </c>
      <c r="Q62" s="31">
        <f>Option4!Q$84*conv_2026*Q$7</f>
        <v>0</v>
      </c>
      <c r="R62" s="31">
        <f>Option4!R$84*conv_2026*R$7</f>
        <v>0</v>
      </c>
      <c r="S62" s="31">
        <f>Option4!S$84*conv_2026*S$7</f>
        <v>0</v>
      </c>
      <c r="T62" s="31">
        <f>Option4!T$84*conv_2026*T$7</f>
        <v>0</v>
      </c>
      <c r="U62" s="31">
        <f>Option4!U$84*conv_2026*U$7</f>
        <v>0</v>
      </c>
      <c r="V62" s="31">
        <f>Option4!V$84*conv_2026*V$7</f>
        <v>0</v>
      </c>
      <c r="W62" s="31">
        <f>Option4!W$84*conv_2026*W$7</f>
        <v>0</v>
      </c>
      <c r="X62" s="31">
        <f>Option4!X$84*conv_2026*X$7</f>
        <v>0</v>
      </c>
      <c r="Y62" s="31">
        <f>Option4!Y$84*conv_2026*Y$7</f>
        <v>0</v>
      </c>
      <c r="Z62" s="31">
        <f>Option4!Z$84*conv_2026*Z$7</f>
        <v>0</v>
      </c>
      <c r="AA62" s="31">
        <f>Option4!AA$84*conv_2026*AA$7</f>
        <v>0</v>
      </c>
      <c r="AB62" s="31">
        <f>Option4!AB$84*conv_2026*AB$7</f>
        <v>0</v>
      </c>
      <c r="AC62" s="31">
        <f>Option4!AC$84*conv_2026*AC$7</f>
        <v>0</v>
      </c>
      <c r="AD62" s="31">
        <f>Option4!AD$84*conv_2026*AD$7</f>
        <v>0</v>
      </c>
      <c r="AE62" s="31">
        <f>Option4!AE$84*conv_2026*AE$7</f>
        <v>0</v>
      </c>
      <c r="AF62" s="31">
        <f>Option4!AF$84*conv_2026*AF$7</f>
        <v>0</v>
      </c>
      <c r="AG62" s="31">
        <f>Option4!AG$84*conv_2026*AG$7</f>
        <v>0</v>
      </c>
    </row>
    <row r="63" spans="1:33" s="2" customFormat="1" x14ac:dyDescent="0.2">
      <c r="A63" s="136" t="str">
        <f t="shared" si="15"/>
        <v>Option 4</v>
      </c>
      <c r="B63" s="136"/>
      <c r="C63" s="58" t="str">
        <f>Option4!C$85</f>
        <v>Other benefits value</v>
      </c>
      <c r="D63" s="38" t="str">
        <f t="shared" si="14"/>
        <v>Option 4Other benefits value</v>
      </c>
      <c r="E63" s="1"/>
      <c r="F63" s="97">
        <f>SUMPRODUCT($H63:$AG63, $H$5:$AG$5)</f>
        <v>0</v>
      </c>
      <c r="G63" s="226">
        <f t="shared" si="16"/>
        <v>46203</v>
      </c>
      <c r="H63" s="31"/>
      <c r="I63" s="31">
        <f>Option4!I$85*conv_2026*I$7</f>
        <v>0</v>
      </c>
      <c r="J63" s="31">
        <f>Option4!J$85*conv_2026*J$7</f>
        <v>0</v>
      </c>
      <c r="K63" s="31">
        <f>Option4!K$85*conv_2026*K$7</f>
        <v>0</v>
      </c>
      <c r="L63" s="31">
        <f>Option4!L$85*conv_2026*L$7</f>
        <v>0</v>
      </c>
      <c r="M63" s="31">
        <f>Option4!M$85*conv_2026*M$7</f>
        <v>0</v>
      </c>
      <c r="N63" s="31">
        <f>Option4!N$85*conv_2026*N$7</f>
        <v>0</v>
      </c>
      <c r="O63" s="31">
        <f>Option4!O$85*conv_2026*O$7</f>
        <v>0</v>
      </c>
      <c r="P63" s="31">
        <f>Option4!P$85*conv_2026*P$7</f>
        <v>0</v>
      </c>
      <c r="Q63" s="31">
        <f>Option4!Q$85*conv_2026*Q$7</f>
        <v>0</v>
      </c>
      <c r="R63" s="31">
        <f>Option4!R$85*conv_2026*R$7</f>
        <v>0</v>
      </c>
      <c r="S63" s="31">
        <f>Option4!S$85*conv_2026*S$7</f>
        <v>0</v>
      </c>
      <c r="T63" s="31">
        <f>Option4!T$85*conv_2026*T$7</f>
        <v>0</v>
      </c>
      <c r="U63" s="31">
        <f>Option4!U$85*conv_2026*U$7</f>
        <v>0</v>
      </c>
      <c r="V63" s="31">
        <f>Option4!V$85*conv_2026*V$7</f>
        <v>0</v>
      </c>
      <c r="W63" s="31">
        <f>Option4!W$85*conv_2026*W$7</f>
        <v>0</v>
      </c>
      <c r="X63" s="31">
        <f>Option4!X$85*conv_2026*X$7</f>
        <v>0</v>
      </c>
      <c r="Y63" s="31">
        <f>Option4!Y$85*conv_2026*Y$7</f>
        <v>0</v>
      </c>
      <c r="Z63" s="31">
        <f>Option4!Z$85*conv_2026*Z$7</f>
        <v>0</v>
      </c>
      <c r="AA63" s="31">
        <f>Option4!AA$85*conv_2026*AA$7</f>
        <v>0</v>
      </c>
      <c r="AB63" s="31">
        <f>Option4!AB$85*conv_2026*AB$7</f>
        <v>0</v>
      </c>
      <c r="AC63" s="31">
        <f>Option4!AC$85*conv_2026*AC$7</f>
        <v>0</v>
      </c>
      <c r="AD63" s="31">
        <f>Option4!AD$85*conv_2026*AD$7</f>
        <v>0</v>
      </c>
      <c r="AE63" s="31">
        <f>Option4!AE$85*conv_2026*AE$7</f>
        <v>0</v>
      </c>
      <c r="AF63" s="31">
        <f>Option4!AF$85*conv_2026*AF$7</f>
        <v>0</v>
      </c>
      <c r="AG63" s="31">
        <f>Option4!AG$85*conv_2026*AG$7</f>
        <v>0</v>
      </c>
    </row>
    <row r="64" spans="1:33" s="2" customFormat="1" x14ac:dyDescent="0.2">
      <c r="A64" s="136" t="str">
        <f t="shared" si="15"/>
        <v>Option 4</v>
      </c>
      <c r="B64" s="136"/>
      <c r="C64" s="125" t="str">
        <f>Option4!C87</f>
        <v>Net benefits</v>
      </c>
      <c r="D64" s="109" t="str">
        <f t="shared" si="14"/>
        <v>Option 4Net benefits</v>
      </c>
      <c r="E64" s="110"/>
      <c r="F64" s="144"/>
      <c r="G64" s="228">
        <f t="shared" si="16"/>
        <v>46203</v>
      </c>
      <c r="H64" s="52"/>
      <c r="I64" s="52">
        <f t="shared" ref="I64:AB64" si="17">SUM(I60:I63)</f>
        <v>0</v>
      </c>
      <c r="J64" s="52">
        <f t="shared" si="17"/>
        <v>0</v>
      </c>
      <c r="K64" s="52">
        <f t="shared" si="17"/>
        <v>0</v>
      </c>
      <c r="L64" s="52">
        <f t="shared" si="17"/>
        <v>0</v>
      </c>
      <c r="M64" s="52">
        <f t="shared" si="17"/>
        <v>0</v>
      </c>
      <c r="N64" s="52">
        <f t="shared" si="17"/>
        <v>0</v>
      </c>
      <c r="O64" s="52">
        <f t="shared" si="17"/>
        <v>0</v>
      </c>
      <c r="P64" s="52">
        <f t="shared" si="17"/>
        <v>0</v>
      </c>
      <c r="Q64" s="52">
        <f t="shared" si="17"/>
        <v>0</v>
      </c>
      <c r="R64" s="52">
        <f t="shared" si="17"/>
        <v>0</v>
      </c>
      <c r="S64" s="52">
        <f t="shared" si="17"/>
        <v>0</v>
      </c>
      <c r="T64" s="52">
        <f t="shared" si="17"/>
        <v>0</v>
      </c>
      <c r="U64" s="52">
        <f t="shared" si="17"/>
        <v>0</v>
      </c>
      <c r="V64" s="52">
        <f t="shared" si="17"/>
        <v>0</v>
      </c>
      <c r="W64" s="52">
        <f t="shared" si="17"/>
        <v>0</v>
      </c>
      <c r="X64" s="52">
        <f t="shared" si="17"/>
        <v>0</v>
      </c>
      <c r="Y64" s="52">
        <f t="shared" si="17"/>
        <v>0</v>
      </c>
      <c r="Z64" s="52">
        <f t="shared" si="17"/>
        <v>0</v>
      </c>
      <c r="AA64" s="52">
        <f t="shared" si="17"/>
        <v>0</v>
      </c>
      <c r="AB64" s="52">
        <f t="shared" si="17"/>
        <v>0</v>
      </c>
      <c r="AC64" s="52">
        <f>SUM(AC60:AC63)</f>
        <v>0</v>
      </c>
      <c r="AD64" s="52">
        <f>SUM(AD60:AD63)</f>
        <v>0</v>
      </c>
      <c r="AE64" s="52">
        <f>SUM(AE60:AE63)</f>
        <v>0</v>
      </c>
      <c r="AF64" s="52">
        <f>SUM(AF60:AF63)</f>
        <v>0</v>
      </c>
      <c r="AG64" s="52">
        <f>SUM(AG60:AG63)</f>
        <v>0</v>
      </c>
    </row>
    <row r="65" spans="1:33" s="2" customFormat="1" x14ac:dyDescent="0.2">
      <c r="A65" s="136" t="str">
        <f t="shared" si="15"/>
        <v>Option 4</v>
      </c>
      <c r="B65" s="136"/>
      <c r="C65" s="8" t="s">
        <v>119</v>
      </c>
      <c r="D65" s="38" t="str">
        <f t="shared" si="14"/>
        <v>Option 4NPV</v>
      </c>
      <c r="E65" s="1"/>
      <c r="F65" s="108" cm="1">
        <f t="array" ref="F65">SUMPRODUCT(($H64:$AG64)*($H$5:$AG$5)*($H$7:$AG$7))</f>
        <v>0</v>
      </c>
      <c r="G65" s="226">
        <f t="shared" si="16"/>
        <v>46203</v>
      </c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</row>
    <row r="66" spans="1:33" s="2" customFormat="1" x14ac:dyDescent="0.2">
      <c r="A66" s="136" t="str">
        <f t="shared" si="15"/>
        <v>Option 4</v>
      </c>
      <c r="B66" s="136"/>
      <c r="C66" s="8" t="s">
        <v>193</v>
      </c>
      <c r="D66" s="38" t="str">
        <f t="shared" si="14"/>
        <v>Option 4PV of costs</v>
      </c>
      <c r="E66" s="1"/>
      <c r="F66" s="108">
        <f>SUM(F60:F61)</f>
        <v>0</v>
      </c>
      <c r="G66" s="226">
        <f t="shared" si="16"/>
        <v>46203</v>
      </c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</row>
    <row r="67" spans="1:33" s="2" customFormat="1" x14ac:dyDescent="0.2">
      <c r="A67" s="136" t="str">
        <f t="shared" si="15"/>
        <v>Option 4</v>
      </c>
      <c r="B67" s="136"/>
      <c r="C67" s="8" t="s">
        <v>194</v>
      </c>
      <c r="D67" s="38" t="str">
        <f t="shared" si="14"/>
        <v>Option 4PV of benefits</v>
      </c>
      <c r="E67" s="1"/>
      <c r="F67" s="108">
        <f>SUM(F62:F63)</f>
        <v>0</v>
      </c>
      <c r="G67" s="226">
        <f t="shared" si="16"/>
        <v>46203</v>
      </c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</row>
    <row r="68" spans="1:33" s="2" customFormat="1" x14ac:dyDescent="0.2">
      <c r="A68" s="136"/>
      <c r="B68" s="136"/>
      <c r="C68" s="1"/>
      <c r="D68" s="38"/>
      <c r="E68" s="1"/>
      <c r="F68" s="108"/>
      <c r="G68" s="229"/>
      <c r="H68" s="1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</row>
    <row r="69" spans="1:33" s="2" customFormat="1" x14ac:dyDescent="0.2">
      <c r="A69" s="123"/>
      <c r="B69" s="123"/>
      <c r="C69" s="123"/>
      <c r="D69" s="38" t="str">
        <f t="shared" ref="D69:D81" si="18">A69&amp;C69</f>
        <v/>
      </c>
      <c r="F69" s="118"/>
      <c r="G69" s="222"/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  <c r="AC69" s="119"/>
      <c r="AD69" s="119"/>
      <c r="AE69" s="119"/>
      <c r="AF69" s="119"/>
      <c r="AG69" s="119"/>
    </row>
    <row r="70" spans="1:33" s="271" customFormat="1" x14ac:dyDescent="0.2">
      <c r="A70" s="269" t="str">
        <f>A71</f>
        <v>Option 5</v>
      </c>
      <c r="B70" s="269"/>
      <c r="C70" s="269" t="s">
        <v>124</v>
      </c>
      <c r="D70" s="270" t="str">
        <f t="shared" si="18"/>
        <v>Option 5Energy at risk value</v>
      </c>
      <c r="F70" s="97">
        <f>SUMPRODUCT($H70:$AG70, $H$5:$AG$5)</f>
        <v>0</v>
      </c>
      <c r="G70" s="272">
        <f>output_dollars</f>
        <v>46203</v>
      </c>
      <c r="H70" s="273"/>
      <c r="I70" s="31">
        <f>Option5!I$28*conv_2026</f>
        <v>0</v>
      </c>
      <c r="J70" s="31">
        <f>Option5!J$28*conv_2026</f>
        <v>0</v>
      </c>
      <c r="K70" s="31">
        <f>Option5!K$28*conv_2026</f>
        <v>0</v>
      </c>
      <c r="L70" s="31">
        <f>Option5!L$28*conv_2026</f>
        <v>0</v>
      </c>
      <c r="M70" s="31">
        <f>Option5!M$28*conv_2026</f>
        <v>0</v>
      </c>
      <c r="N70" s="31">
        <f>Option5!N$28*conv_2026</f>
        <v>0</v>
      </c>
      <c r="O70" s="31">
        <f>Option5!O$28*conv_2026</f>
        <v>0</v>
      </c>
      <c r="P70" s="31">
        <f>Option5!P$28*conv_2026</f>
        <v>0</v>
      </c>
      <c r="Q70" s="31">
        <f>Option5!Q$28*conv_2026</f>
        <v>0</v>
      </c>
      <c r="R70" s="31">
        <f>Option5!R$28*conv_2026</f>
        <v>0</v>
      </c>
      <c r="S70" s="31">
        <f>Option5!S$28*conv_2026</f>
        <v>0</v>
      </c>
      <c r="T70" s="31">
        <f>Option5!T$28*conv_2026</f>
        <v>0</v>
      </c>
      <c r="U70" s="31">
        <f>Option5!U$28*conv_2026</f>
        <v>0</v>
      </c>
      <c r="V70" s="31">
        <f>Option5!V$28*conv_2026</f>
        <v>0</v>
      </c>
      <c r="W70" s="31">
        <f>Option5!W$28*conv_2026</f>
        <v>0</v>
      </c>
      <c r="X70" s="31">
        <f>Option5!X$28*conv_2026</f>
        <v>0</v>
      </c>
      <c r="Y70" s="31">
        <f>Option5!Y$28*conv_2026</f>
        <v>0</v>
      </c>
      <c r="Z70" s="31">
        <f>Option5!Z$28*conv_2026</f>
        <v>0</v>
      </c>
      <c r="AA70" s="31">
        <f>Option5!AA$28*conv_2026</f>
        <v>0</v>
      </c>
      <c r="AB70" s="31">
        <f>Option5!AB$28*conv_2026</f>
        <v>0</v>
      </c>
      <c r="AC70" s="31">
        <f>Option5!AC$28*conv_2026</f>
        <v>0</v>
      </c>
      <c r="AD70" s="31">
        <f>Option5!AD$28*conv_2026</f>
        <v>0</v>
      </c>
      <c r="AE70" s="31">
        <f>Option5!AE$28*conv_2026</f>
        <v>0</v>
      </c>
      <c r="AF70" s="31">
        <f>Option5!AF$28*conv_2026</f>
        <v>0</v>
      </c>
      <c r="AG70" s="31">
        <f>Option5!AG$28*conv_2026</f>
        <v>0</v>
      </c>
    </row>
    <row r="71" spans="1:33" s="2" customFormat="1" x14ac:dyDescent="0.2">
      <c r="A71" s="136" t="str">
        <f>Data!B13</f>
        <v>Option 5</v>
      </c>
      <c r="B71" s="136"/>
      <c r="C71" s="58" t="str">
        <f>Option5!C$66</f>
        <v>Capital expenditure</v>
      </c>
      <c r="D71" s="38" t="str">
        <f t="shared" si="18"/>
        <v>Option 5Capital expenditure</v>
      </c>
      <c r="E71" s="1"/>
      <c r="F71" s="97">
        <f>SUMPRODUCT($H71:$AG71, $H$5:$AG$5)</f>
        <v>0</v>
      </c>
      <c r="G71" s="226">
        <f>output_dollars</f>
        <v>46203</v>
      </c>
      <c r="H71" s="31"/>
      <c r="I71" s="31">
        <f>SUM(Option5!I$67:I$69)*conv_2026*I$7</f>
        <v>0</v>
      </c>
      <c r="J71" s="31">
        <f>SUM(Option5!J$67:J$69)*conv_2026*J$7</f>
        <v>0</v>
      </c>
      <c r="K71" s="31">
        <f>SUM(Option5!K$67:K$69)*conv_2026*K$7</f>
        <v>0</v>
      </c>
      <c r="L71" s="31">
        <f>SUM(Option5!L$67:L$69)*conv_2026*L$7</f>
        <v>0</v>
      </c>
      <c r="M71" s="31">
        <f>SUM(Option5!M$67:M$69)*conv_2026*M$7</f>
        <v>0</v>
      </c>
      <c r="N71" s="31">
        <f>SUM(Option5!N$67:N$69)*conv_2026*N$7</f>
        <v>0</v>
      </c>
      <c r="O71" s="31">
        <f>SUM(Option5!O$67:O$69)*conv_2026*O$7</f>
        <v>0</v>
      </c>
      <c r="P71" s="31">
        <f>SUM(Option5!P$67:P$69)*conv_2026*P$7</f>
        <v>0</v>
      </c>
      <c r="Q71" s="31">
        <f>SUM(Option5!Q$67:Q$69)*conv_2026*Q$7</f>
        <v>0</v>
      </c>
      <c r="R71" s="31">
        <f>SUM(Option5!R$67:R$69)*conv_2026*R$7</f>
        <v>0</v>
      </c>
      <c r="S71" s="31">
        <f>SUM(Option5!S$67:S$69)*conv_2026*S$7</f>
        <v>0</v>
      </c>
      <c r="T71" s="31">
        <f>SUM(Option5!T$67:T$69)*conv_2026*T$7</f>
        <v>0</v>
      </c>
      <c r="U71" s="31">
        <f>SUM(Option5!U$67:U$69)*conv_2026*U$7</f>
        <v>0</v>
      </c>
      <c r="V71" s="31">
        <f>SUM(Option5!V$67:V$69)*conv_2026*V$7</f>
        <v>0</v>
      </c>
      <c r="W71" s="31">
        <f>SUM(Option5!W$67:W$69)*conv_2026*W$7</f>
        <v>0</v>
      </c>
      <c r="X71" s="31">
        <f>SUM(Option5!X$67:X$69)*conv_2026*X$7</f>
        <v>0</v>
      </c>
      <c r="Y71" s="31">
        <f>SUM(Option5!Y$67:Y$69)*conv_2026*Y$7</f>
        <v>0</v>
      </c>
      <c r="Z71" s="31">
        <f>SUM(Option5!Z$67:Z$69)*conv_2026*Z$7</f>
        <v>0</v>
      </c>
      <c r="AA71" s="31">
        <f>SUM(Option5!AA$67:AA$69)*conv_2026*AA$7</f>
        <v>0</v>
      </c>
      <c r="AB71" s="31">
        <f>SUM(Option5!AB$67:AB$69)*conv_2026*AB$7</f>
        <v>0</v>
      </c>
      <c r="AC71" s="31">
        <f>SUM(Option5!AC$67:AC$69)*conv_2026*AC$7</f>
        <v>0</v>
      </c>
      <c r="AD71" s="31">
        <f>SUM(Option5!AD$67:AD$69)*conv_2026*AD$7</f>
        <v>0</v>
      </c>
      <c r="AE71" s="31">
        <f>SUM(Option5!AE$67:AE$69)*conv_2026*AE$7</f>
        <v>0</v>
      </c>
      <c r="AF71" s="31">
        <f>SUM(Option5!AF$67:AF$69)*conv_2026*AF$7</f>
        <v>0</v>
      </c>
      <c r="AG71" s="31">
        <f>SUM(Option5!AG$67:AG$69)*conv_2026*AG$7</f>
        <v>0</v>
      </c>
    </row>
    <row r="72" spans="1:33" s="2" customFormat="1" x14ac:dyDescent="0.2">
      <c r="A72" s="136" t="str">
        <f t="shared" ref="A72:A81" si="19">A71</f>
        <v>Option 5</v>
      </c>
      <c r="B72" s="136"/>
      <c r="C72" s="58" t="str">
        <f>'Option1 (base case)'!C$36</f>
        <v>Total risk cost</v>
      </c>
      <c r="D72" s="38" t="str">
        <f t="shared" si="18"/>
        <v>Option 5Total risk cost</v>
      </c>
      <c r="E72" s="1"/>
      <c r="F72" s="97">
        <f>SUMPRODUCT($H72:$AG72, $H$5:$AG$5)</f>
        <v>0</v>
      </c>
      <c r="G72" s="226">
        <f>output_dollars</f>
        <v>46203</v>
      </c>
      <c r="H72" s="31"/>
      <c r="I72" s="31">
        <f>Option5!I$36*conv_2026*I$7</f>
        <v>0</v>
      </c>
      <c r="J72" s="31">
        <f>Option5!J$36*conv_2026*J$7</f>
        <v>0</v>
      </c>
      <c r="K72" s="31">
        <f>Option5!K$36*conv_2026*K$7</f>
        <v>0</v>
      </c>
      <c r="L72" s="31">
        <f>Option5!L$36*conv_2026*L$7</f>
        <v>0</v>
      </c>
      <c r="M72" s="31">
        <f>Option5!M$36*conv_2026*M$7</f>
        <v>0</v>
      </c>
      <c r="N72" s="31">
        <f>Option5!N$36*conv_2026*N$7</f>
        <v>0</v>
      </c>
      <c r="O72" s="31">
        <f>Option5!O$36*conv_2026*O$7</f>
        <v>0</v>
      </c>
      <c r="P72" s="31">
        <f>Option5!P$36*conv_2026*P$7</f>
        <v>0</v>
      </c>
      <c r="Q72" s="31">
        <f>Option5!Q$36*conv_2026*Q$7</f>
        <v>0</v>
      </c>
      <c r="R72" s="31">
        <f>Option5!R$36*conv_2026*R$7</f>
        <v>0</v>
      </c>
      <c r="S72" s="31">
        <f>Option5!S$36*conv_2026*S$7</f>
        <v>0</v>
      </c>
      <c r="T72" s="31">
        <f>Option5!T$36*conv_2026*T$7</f>
        <v>0</v>
      </c>
      <c r="U72" s="31">
        <f>Option5!U$36*conv_2026*U$7</f>
        <v>0</v>
      </c>
      <c r="V72" s="31">
        <f>Option5!V$36*conv_2026*V$7</f>
        <v>0</v>
      </c>
      <c r="W72" s="31">
        <f>Option5!W$36*conv_2026*W$7</f>
        <v>0</v>
      </c>
      <c r="X72" s="31">
        <f>Option5!X$36*conv_2026*X$7</f>
        <v>0</v>
      </c>
      <c r="Y72" s="31">
        <f>Option5!Y$36*conv_2026*Y$7</f>
        <v>0</v>
      </c>
      <c r="Z72" s="31">
        <f>Option5!Z$36*conv_2026*Z$7</f>
        <v>0</v>
      </c>
      <c r="AA72" s="31">
        <f>Option5!AA$36*conv_2026*AA$7</f>
        <v>0</v>
      </c>
      <c r="AB72" s="31">
        <f>Option5!AB$36*conv_2026*AB$7</f>
        <v>0</v>
      </c>
      <c r="AC72" s="31">
        <f>Option5!AC$36*conv_2026*AC$7</f>
        <v>0</v>
      </c>
      <c r="AD72" s="31">
        <f>Option5!AD$36*conv_2026*AD$7</f>
        <v>0</v>
      </c>
      <c r="AE72" s="31">
        <f>Option5!AE$36*conv_2026*AE$7</f>
        <v>0</v>
      </c>
      <c r="AF72" s="31">
        <f>Option5!AF$36*conv_2026*AF$7</f>
        <v>0</v>
      </c>
      <c r="AG72" s="31">
        <f>Option5!AG$36*conv_2026*AG$7</f>
        <v>0</v>
      </c>
    </row>
    <row r="73" spans="1:33" s="2" customFormat="1" x14ac:dyDescent="0.2">
      <c r="A73" s="136" t="str">
        <f t="shared" si="19"/>
        <v>Option 5</v>
      </c>
      <c r="B73" s="136"/>
      <c r="C73" s="75"/>
      <c r="D73" s="38" t="str">
        <f t="shared" si="18"/>
        <v>Option 5</v>
      </c>
      <c r="E73" s="1"/>
      <c r="F73"/>
      <c r="G73" s="227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</row>
    <row r="74" spans="1:33" s="2" customFormat="1" x14ac:dyDescent="0.2">
      <c r="A74" s="136" t="str">
        <f t="shared" si="19"/>
        <v>Option 5</v>
      </c>
      <c r="B74" s="136"/>
      <c r="C74" s="58" t="str">
        <f>Option5!C$82</f>
        <v>Annualised capex</v>
      </c>
      <c r="D74" s="38" t="str">
        <f t="shared" si="18"/>
        <v>Option 5Annualised capex</v>
      </c>
      <c r="E74" s="1"/>
      <c r="F74" s="108" cm="1">
        <f t="array" ref="F74">SUMPRODUCT(($H74:$AG74)*($H$5:$AG$5)*($H$7:$AG$7))</f>
        <v>0</v>
      </c>
      <c r="G74" s="226">
        <f t="shared" ref="G74:G81" si="20">output_dollars</f>
        <v>46203</v>
      </c>
      <c r="H74" s="31"/>
      <c r="I74" s="31">
        <f>Option5!I$82*conv_2026*I$7</f>
        <v>0</v>
      </c>
      <c r="J74" s="31">
        <f>Option5!J$82*conv_2026*J$7</f>
        <v>0</v>
      </c>
      <c r="K74" s="31">
        <f>Option5!K$82*conv_2026*K$7</f>
        <v>0</v>
      </c>
      <c r="L74" s="31">
        <f>Option5!L$82*conv_2026*L$7</f>
        <v>0</v>
      </c>
      <c r="M74" s="31">
        <f>Option5!M$82*conv_2026*M$7</f>
        <v>0</v>
      </c>
      <c r="N74" s="31">
        <f>Option5!N$82*conv_2026*N$7</f>
        <v>0</v>
      </c>
      <c r="O74" s="31">
        <f>Option5!O$82*conv_2026*O$7</f>
        <v>0</v>
      </c>
      <c r="P74" s="31">
        <f>Option5!P$82*conv_2026*P$7</f>
        <v>0</v>
      </c>
      <c r="Q74" s="31">
        <f>Option5!Q$82*conv_2026*Q$7</f>
        <v>0</v>
      </c>
      <c r="R74" s="31">
        <f>Option5!R$82*conv_2026*R$7</f>
        <v>0</v>
      </c>
      <c r="S74" s="31">
        <f>Option5!S$82*conv_2026*S$7</f>
        <v>0</v>
      </c>
      <c r="T74" s="31">
        <f>Option5!T$82*conv_2026*T$7</f>
        <v>0</v>
      </c>
      <c r="U74" s="31">
        <f>Option5!U$82*conv_2026*U$7</f>
        <v>0</v>
      </c>
      <c r="V74" s="31">
        <f>Option5!V$82*conv_2026*V$7</f>
        <v>0</v>
      </c>
      <c r="W74" s="31">
        <f>Option5!W$82*conv_2026*W$7</f>
        <v>0</v>
      </c>
      <c r="X74" s="31">
        <f>Option5!X$82*conv_2026*X$7</f>
        <v>0</v>
      </c>
      <c r="Y74" s="31">
        <f>Option5!Y$82*conv_2026*Y$7</f>
        <v>0</v>
      </c>
      <c r="Z74" s="31">
        <f>Option5!Z$82*conv_2026*Z$7</f>
        <v>0</v>
      </c>
      <c r="AA74" s="31">
        <f>Option5!AA$82*conv_2026*AA$7</f>
        <v>0</v>
      </c>
      <c r="AB74" s="31">
        <f>Option5!AB$82*conv_2026*AB$7</f>
        <v>0</v>
      </c>
      <c r="AC74" s="31">
        <f>Option5!AC$82*conv_2026*AC$7</f>
        <v>0</v>
      </c>
      <c r="AD74" s="31">
        <f>Option5!AD$82*conv_2026*AD$7</f>
        <v>0</v>
      </c>
      <c r="AE74" s="31">
        <f>Option5!AE$82*conv_2026*AE$7</f>
        <v>0</v>
      </c>
      <c r="AF74" s="31">
        <f>Option5!AF$82*conv_2026*AF$7</f>
        <v>0</v>
      </c>
      <c r="AG74" s="31">
        <f>Option5!AG$82*conv_2026*AG$7</f>
        <v>0</v>
      </c>
    </row>
    <row r="75" spans="1:33" s="2" customFormat="1" x14ac:dyDescent="0.2">
      <c r="A75" s="136" t="str">
        <f t="shared" si="19"/>
        <v>Option 5</v>
      </c>
      <c r="B75" s="136"/>
      <c r="C75" s="58" t="str">
        <f>Option5!C$83</f>
        <v>Operating expenditure</v>
      </c>
      <c r="D75" s="38" t="str">
        <f t="shared" si="18"/>
        <v>Option 5Operating expenditure</v>
      </c>
      <c r="E75" s="1"/>
      <c r="F75" s="108" cm="1">
        <f t="array" ref="F75">SUMPRODUCT(($H75:$AG75)*($H$5:$AG$5)*($H$7:$AG$7))</f>
        <v>0</v>
      </c>
      <c r="G75" s="226">
        <f t="shared" si="20"/>
        <v>46203</v>
      </c>
      <c r="H75" s="31"/>
      <c r="I75" s="31">
        <f>Option5!I$83*conv_2026*I$7</f>
        <v>0</v>
      </c>
      <c r="J75" s="31">
        <f>Option5!J$83*conv_2026*J$7</f>
        <v>0</v>
      </c>
      <c r="K75" s="31">
        <f>Option5!K$83*conv_2026*K$7</f>
        <v>0</v>
      </c>
      <c r="L75" s="31">
        <f>Option5!L$83*conv_2026*L$7</f>
        <v>0</v>
      </c>
      <c r="M75" s="31">
        <f>Option5!M$83*conv_2026*M$7</f>
        <v>0</v>
      </c>
      <c r="N75" s="31">
        <f>Option5!N$83*conv_2026*N$7</f>
        <v>0</v>
      </c>
      <c r="O75" s="31">
        <f>Option5!O$83*conv_2026*O$7</f>
        <v>0</v>
      </c>
      <c r="P75" s="31">
        <f>Option5!P$83*conv_2026*P$7</f>
        <v>0</v>
      </c>
      <c r="Q75" s="31">
        <f>Option5!Q$83*conv_2026*Q$7</f>
        <v>0</v>
      </c>
      <c r="R75" s="31">
        <f>Option5!R$83*conv_2026*R$7</f>
        <v>0</v>
      </c>
      <c r="S75" s="31">
        <f>Option5!S$83*conv_2026*S$7</f>
        <v>0</v>
      </c>
      <c r="T75" s="31">
        <f>Option5!T$83*conv_2026*T$7</f>
        <v>0</v>
      </c>
      <c r="U75" s="31">
        <f>Option5!U$83*conv_2026*U$7</f>
        <v>0</v>
      </c>
      <c r="V75" s="31">
        <f>Option5!V$83*conv_2026*V$7</f>
        <v>0</v>
      </c>
      <c r="W75" s="31">
        <f>Option5!W$83*conv_2026*W$7</f>
        <v>0</v>
      </c>
      <c r="X75" s="31">
        <f>Option5!X$83*conv_2026*X$7</f>
        <v>0</v>
      </c>
      <c r="Y75" s="31">
        <f>Option5!Y$83*conv_2026*Y$7</f>
        <v>0</v>
      </c>
      <c r="Z75" s="31">
        <f>Option5!Z$83*conv_2026*Z$7</f>
        <v>0</v>
      </c>
      <c r="AA75" s="31">
        <f>Option5!AA$83*conv_2026*AA$7</f>
        <v>0</v>
      </c>
      <c r="AB75" s="31">
        <f>Option5!AB$83*conv_2026*AB$7</f>
        <v>0</v>
      </c>
      <c r="AC75" s="31">
        <f>Option5!AC$83*conv_2026*AC$7</f>
        <v>0</v>
      </c>
      <c r="AD75" s="31">
        <f>Option5!AD$83*conv_2026*AD$7</f>
        <v>0</v>
      </c>
      <c r="AE75" s="31">
        <f>Option5!AE$83*conv_2026*AE$7</f>
        <v>0</v>
      </c>
      <c r="AF75" s="31">
        <f>Option5!AF$83*conv_2026*AF$7</f>
        <v>0</v>
      </c>
      <c r="AG75" s="31">
        <f>Option5!AG$83*conv_2026*AG$7</f>
        <v>0</v>
      </c>
    </row>
    <row r="76" spans="1:33" s="2" customFormat="1" x14ac:dyDescent="0.2">
      <c r="A76" s="136" t="str">
        <f t="shared" si="19"/>
        <v>Option 5</v>
      </c>
      <c r="B76" s="136"/>
      <c r="C76" s="58" t="str">
        <f>Option5!C$84</f>
        <v>Risk mitigated</v>
      </c>
      <c r="D76" s="38" t="str">
        <f t="shared" si="18"/>
        <v>Option 5Risk mitigated</v>
      </c>
      <c r="E76" s="1"/>
      <c r="F76" s="97">
        <f>SUMPRODUCT($H76:$AG76, $H$5:$AG$5)</f>
        <v>0</v>
      </c>
      <c r="G76" s="226">
        <f t="shared" si="20"/>
        <v>46203</v>
      </c>
      <c r="H76" s="31"/>
      <c r="I76" s="31">
        <f>Option5!I$84*conv_2026*I$7</f>
        <v>0</v>
      </c>
      <c r="J76" s="31">
        <f>Option5!J$84*conv_2026*J$7</f>
        <v>0</v>
      </c>
      <c r="K76" s="31">
        <f>Option5!K$84*conv_2026*K$7</f>
        <v>0</v>
      </c>
      <c r="L76" s="31">
        <f>Option5!L$84*conv_2026*L$7</f>
        <v>0</v>
      </c>
      <c r="M76" s="31">
        <f>Option5!M$84*conv_2026*M$7</f>
        <v>0</v>
      </c>
      <c r="N76" s="31">
        <f>Option5!N$84*conv_2026*N$7</f>
        <v>0</v>
      </c>
      <c r="O76" s="31">
        <f>Option5!O$84*conv_2026*O$7</f>
        <v>0</v>
      </c>
      <c r="P76" s="31">
        <f>Option5!P$84*conv_2026*P$7</f>
        <v>0</v>
      </c>
      <c r="Q76" s="31">
        <f>Option5!Q$84*conv_2026*Q$7</f>
        <v>0</v>
      </c>
      <c r="R76" s="31">
        <f>Option5!R$84*conv_2026*R$7</f>
        <v>0</v>
      </c>
      <c r="S76" s="31">
        <f>Option5!S$84*conv_2026*S$7</f>
        <v>0</v>
      </c>
      <c r="T76" s="31">
        <f>Option5!T$84*conv_2026*T$7</f>
        <v>0</v>
      </c>
      <c r="U76" s="31">
        <f>Option5!U$84*conv_2026*U$7</f>
        <v>0</v>
      </c>
      <c r="V76" s="31">
        <f>Option5!V$84*conv_2026*V$7</f>
        <v>0</v>
      </c>
      <c r="W76" s="31">
        <f>Option5!W$84*conv_2026*W$7</f>
        <v>0</v>
      </c>
      <c r="X76" s="31">
        <f>Option5!X$84*conv_2026*X$7</f>
        <v>0</v>
      </c>
      <c r="Y76" s="31">
        <f>Option5!Y$84*conv_2026*Y$7</f>
        <v>0</v>
      </c>
      <c r="Z76" s="31">
        <f>Option5!Z$84*conv_2026*Z$7</f>
        <v>0</v>
      </c>
      <c r="AA76" s="31">
        <f>Option5!AA$84*conv_2026*AA$7</f>
        <v>0</v>
      </c>
      <c r="AB76" s="31">
        <f>Option5!AB$84*conv_2026*AB$7</f>
        <v>0</v>
      </c>
      <c r="AC76" s="31">
        <f>Option5!AC$84*conv_2026*AC$7</f>
        <v>0</v>
      </c>
      <c r="AD76" s="31">
        <f>Option5!AD$84*conv_2026*AD$7</f>
        <v>0</v>
      </c>
      <c r="AE76" s="31">
        <f>Option5!AE$84*conv_2026*AE$7</f>
        <v>0</v>
      </c>
      <c r="AF76" s="31">
        <f>Option5!AF$84*conv_2026*AF$7</f>
        <v>0</v>
      </c>
      <c r="AG76" s="31">
        <f>Option5!AG$84*conv_2026*AG$7</f>
        <v>0</v>
      </c>
    </row>
    <row r="77" spans="1:33" s="2" customFormat="1" x14ac:dyDescent="0.2">
      <c r="A77" s="136" t="str">
        <f t="shared" si="19"/>
        <v>Option 5</v>
      </c>
      <c r="B77" s="136"/>
      <c r="C77" s="58" t="str">
        <f>Option5!C$85</f>
        <v>Other benefits value</v>
      </c>
      <c r="D77" s="38" t="str">
        <f t="shared" si="18"/>
        <v>Option 5Other benefits value</v>
      </c>
      <c r="E77" s="1"/>
      <c r="F77" s="97">
        <f>SUMPRODUCT($H77:$AG77, $H$5:$AG$5)</f>
        <v>0</v>
      </c>
      <c r="G77" s="226">
        <f t="shared" si="20"/>
        <v>46203</v>
      </c>
      <c r="H77" s="31"/>
      <c r="I77" s="31">
        <f>Option5!I$85*conv_2026*I$7</f>
        <v>0</v>
      </c>
      <c r="J77" s="31">
        <f>Option5!J$85*conv_2026*J$7</f>
        <v>0</v>
      </c>
      <c r="K77" s="31">
        <f>Option5!K$85*conv_2026*K$7</f>
        <v>0</v>
      </c>
      <c r="L77" s="31">
        <f>Option5!L$85*conv_2026*L$7</f>
        <v>0</v>
      </c>
      <c r="M77" s="31">
        <f>Option5!M$85*conv_2026*M$7</f>
        <v>0</v>
      </c>
      <c r="N77" s="31">
        <f>Option5!N$85*conv_2026*N$7</f>
        <v>0</v>
      </c>
      <c r="O77" s="31">
        <f>Option5!O$85*conv_2026*O$7</f>
        <v>0</v>
      </c>
      <c r="P77" s="31">
        <f>Option5!P$85*conv_2026*P$7</f>
        <v>0</v>
      </c>
      <c r="Q77" s="31">
        <f>Option5!Q$85*conv_2026*Q$7</f>
        <v>0</v>
      </c>
      <c r="R77" s="31">
        <f>Option5!R$85*conv_2026*R$7</f>
        <v>0</v>
      </c>
      <c r="S77" s="31">
        <f>Option5!S$85*conv_2026*S$7</f>
        <v>0</v>
      </c>
      <c r="T77" s="31">
        <f>Option5!T$85*conv_2026*T$7</f>
        <v>0</v>
      </c>
      <c r="U77" s="31">
        <f>Option5!U$85*conv_2026*U$7</f>
        <v>0</v>
      </c>
      <c r="V77" s="31">
        <f>Option5!V$85*conv_2026*V$7</f>
        <v>0</v>
      </c>
      <c r="W77" s="31">
        <f>Option5!W$85*conv_2026*W$7</f>
        <v>0</v>
      </c>
      <c r="X77" s="31">
        <f>Option5!X$85*conv_2026*X$7</f>
        <v>0</v>
      </c>
      <c r="Y77" s="31">
        <f>Option5!Y$85*conv_2026*Y$7</f>
        <v>0</v>
      </c>
      <c r="Z77" s="31">
        <f>Option5!Z$85*conv_2026*Z$7</f>
        <v>0</v>
      </c>
      <c r="AA77" s="31">
        <f>Option5!AA$85*conv_2026*AA$7</f>
        <v>0</v>
      </c>
      <c r="AB77" s="31">
        <f>Option5!AB$85*conv_2026*AB$7</f>
        <v>0</v>
      </c>
      <c r="AC77" s="31">
        <f>Option5!AC$85*conv_2026*AC$7</f>
        <v>0</v>
      </c>
      <c r="AD77" s="31">
        <f>Option5!AD$85*conv_2026*AD$7</f>
        <v>0</v>
      </c>
      <c r="AE77" s="31">
        <f>Option5!AE$85*conv_2026*AE$7</f>
        <v>0</v>
      </c>
      <c r="AF77" s="31">
        <f>Option5!AF$85*conv_2026*AF$7</f>
        <v>0</v>
      </c>
      <c r="AG77" s="31">
        <f>Option5!AG$85*conv_2026*AG$7</f>
        <v>0</v>
      </c>
    </row>
    <row r="78" spans="1:33" s="2" customFormat="1" x14ac:dyDescent="0.2">
      <c r="A78" s="136" t="str">
        <f t="shared" si="19"/>
        <v>Option 5</v>
      </c>
      <c r="B78" s="136"/>
      <c r="C78" s="125" t="str">
        <f>Option5!C87</f>
        <v>Net benefits</v>
      </c>
      <c r="D78" s="109" t="str">
        <f t="shared" si="18"/>
        <v>Option 5Net benefits</v>
      </c>
      <c r="E78" s="110"/>
      <c r="F78" s="144"/>
      <c r="G78" s="228">
        <f t="shared" si="20"/>
        <v>46203</v>
      </c>
      <c r="H78" s="52"/>
      <c r="I78" s="52">
        <f t="shared" ref="I78:AB78" si="21">SUM(I74:I77)</f>
        <v>0</v>
      </c>
      <c r="J78" s="52">
        <f t="shared" si="21"/>
        <v>0</v>
      </c>
      <c r="K78" s="52">
        <f t="shared" si="21"/>
        <v>0</v>
      </c>
      <c r="L78" s="52">
        <f t="shared" si="21"/>
        <v>0</v>
      </c>
      <c r="M78" s="52">
        <f t="shared" si="21"/>
        <v>0</v>
      </c>
      <c r="N78" s="52">
        <f t="shared" si="21"/>
        <v>0</v>
      </c>
      <c r="O78" s="52">
        <f t="shared" si="21"/>
        <v>0</v>
      </c>
      <c r="P78" s="52">
        <f t="shared" si="21"/>
        <v>0</v>
      </c>
      <c r="Q78" s="52">
        <f t="shared" si="21"/>
        <v>0</v>
      </c>
      <c r="R78" s="52">
        <f t="shared" si="21"/>
        <v>0</v>
      </c>
      <c r="S78" s="52">
        <f t="shared" si="21"/>
        <v>0</v>
      </c>
      <c r="T78" s="52">
        <f t="shared" si="21"/>
        <v>0</v>
      </c>
      <c r="U78" s="52">
        <f t="shared" si="21"/>
        <v>0</v>
      </c>
      <c r="V78" s="52">
        <f t="shared" si="21"/>
        <v>0</v>
      </c>
      <c r="W78" s="52">
        <f t="shared" si="21"/>
        <v>0</v>
      </c>
      <c r="X78" s="52">
        <f t="shared" si="21"/>
        <v>0</v>
      </c>
      <c r="Y78" s="52">
        <f t="shared" si="21"/>
        <v>0</v>
      </c>
      <c r="Z78" s="52">
        <f t="shared" si="21"/>
        <v>0</v>
      </c>
      <c r="AA78" s="52">
        <f t="shared" si="21"/>
        <v>0</v>
      </c>
      <c r="AB78" s="52">
        <f t="shared" si="21"/>
        <v>0</v>
      </c>
      <c r="AC78" s="52">
        <f>SUM(AC74:AC77)</f>
        <v>0</v>
      </c>
      <c r="AD78" s="52">
        <f>SUM(AD74:AD77)</f>
        <v>0</v>
      </c>
      <c r="AE78" s="52">
        <f>SUM(AE74:AE77)</f>
        <v>0</v>
      </c>
      <c r="AF78" s="52">
        <f>SUM(AF74:AF77)</f>
        <v>0</v>
      </c>
      <c r="AG78" s="52">
        <f>SUM(AG74:AG77)</f>
        <v>0</v>
      </c>
    </row>
    <row r="79" spans="1:33" s="2" customFormat="1" x14ac:dyDescent="0.2">
      <c r="A79" s="136" t="str">
        <f t="shared" si="19"/>
        <v>Option 5</v>
      </c>
      <c r="B79" s="136"/>
      <c r="C79" s="8" t="s">
        <v>119</v>
      </c>
      <c r="D79" s="38" t="str">
        <f t="shared" si="18"/>
        <v>Option 5NPV</v>
      </c>
      <c r="E79" s="1"/>
      <c r="F79" s="108" cm="1">
        <f t="array" ref="F79">SUMPRODUCT(($H78:$AG78)*($H$5:$AG$5)*($H$7:$AG$7))</f>
        <v>0</v>
      </c>
      <c r="G79" s="226">
        <f t="shared" si="20"/>
        <v>46203</v>
      </c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</row>
    <row r="80" spans="1:33" s="2" customFormat="1" x14ac:dyDescent="0.2">
      <c r="A80" s="136" t="str">
        <f t="shared" si="19"/>
        <v>Option 5</v>
      </c>
      <c r="B80" s="136"/>
      <c r="C80" s="8" t="s">
        <v>193</v>
      </c>
      <c r="D80" s="38" t="str">
        <f t="shared" si="18"/>
        <v>Option 5PV of costs</v>
      </c>
      <c r="E80" s="1"/>
      <c r="F80" s="108">
        <f>SUM(F74:F75)</f>
        <v>0</v>
      </c>
      <c r="G80" s="226">
        <f t="shared" si="20"/>
        <v>46203</v>
      </c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</row>
    <row r="81" spans="1:33" s="2" customFormat="1" x14ac:dyDescent="0.2">
      <c r="A81" s="136" t="str">
        <f t="shared" si="19"/>
        <v>Option 5</v>
      </c>
      <c r="B81" s="136"/>
      <c r="C81" s="8" t="s">
        <v>194</v>
      </c>
      <c r="D81" s="38" t="str">
        <f t="shared" si="18"/>
        <v>Option 5PV of benefits</v>
      </c>
      <c r="E81" s="1"/>
      <c r="F81" s="108">
        <f>SUM(F76:F77)</f>
        <v>0</v>
      </c>
      <c r="G81" s="226">
        <f t="shared" si="20"/>
        <v>46203</v>
      </c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</row>
    <row r="82" spans="1:33" s="2" customFormat="1" x14ac:dyDescent="0.2">
      <c r="A82" s="124"/>
      <c r="B82" s="124"/>
      <c r="C82" s="124"/>
      <c r="D82" s="38" t="str">
        <f>A82&amp;C82</f>
        <v/>
      </c>
      <c r="F82" s="118"/>
      <c r="G82" s="222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  <c r="AC82" s="119"/>
      <c r="AD82" s="119"/>
      <c r="AE82" s="119"/>
      <c r="AF82" s="119"/>
      <c r="AG82" s="119"/>
    </row>
    <row r="83" spans="1:33" ht="12" x14ac:dyDescent="0.2">
      <c r="E83" s="84"/>
      <c r="G83" s="230"/>
    </row>
    <row r="84" spans="1:33" ht="12" x14ac:dyDescent="0.2">
      <c r="E84" s="84"/>
      <c r="G84" s="230"/>
    </row>
    <row r="85" spans="1:33" ht="12" x14ac:dyDescent="0.2">
      <c r="E85" s="84"/>
      <c r="G85" s="230"/>
    </row>
    <row r="86" spans="1:33" ht="12" x14ac:dyDescent="0.2">
      <c r="E86" s="84"/>
      <c r="G86" s="230"/>
    </row>
    <row r="87" spans="1:33" ht="12" x14ac:dyDescent="0.2">
      <c r="E87" s="10"/>
      <c r="G87" s="230"/>
    </row>
    <row r="88" spans="1:33" ht="15" x14ac:dyDescent="0.25">
      <c r="A88" s="203" t="s">
        <v>206</v>
      </c>
      <c r="B88" s="54"/>
      <c r="C88" s="19"/>
      <c r="D88" s="19"/>
      <c r="E88" s="83"/>
      <c r="F88" s="19"/>
      <c r="G88" s="224"/>
      <c r="H88" s="224"/>
      <c r="I88" s="200" t="str">
        <f>"FY"&amp;RIGHT(I$9,2)</f>
        <v>FY27</v>
      </c>
      <c r="J88" s="200" t="str">
        <f t="shared" ref="J88:AG88" si="22">"FY"&amp;RIGHT(J$9,2)</f>
        <v>FY28</v>
      </c>
      <c r="K88" s="200" t="str">
        <f t="shared" si="22"/>
        <v>FY29</v>
      </c>
      <c r="L88" s="200" t="str">
        <f t="shared" si="22"/>
        <v>FY30</v>
      </c>
      <c r="M88" s="200" t="str">
        <f t="shared" si="22"/>
        <v>FY31</v>
      </c>
      <c r="N88" s="200" t="str">
        <f t="shared" si="22"/>
        <v>FY32</v>
      </c>
      <c r="O88" s="200" t="str">
        <f t="shared" si="22"/>
        <v>FY33</v>
      </c>
      <c r="P88" s="200" t="str">
        <f t="shared" si="22"/>
        <v>FY34</v>
      </c>
      <c r="Q88" s="200" t="str">
        <f t="shared" si="22"/>
        <v>FY35</v>
      </c>
      <c r="R88" s="200" t="str">
        <f t="shared" si="22"/>
        <v>FY36</v>
      </c>
      <c r="S88" s="200" t="str">
        <f t="shared" si="22"/>
        <v>FY37</v>
      </c>
      <c r="T88" s="200" t="str">
        <f t="shared" si="22"/>
        <v>FY38</v>
      </c>
      <c r="U88" s="200" t="str">
        <f t="shared" si="22"/>
        <v>FY39</v>
      </c>
      <c r="V88" s="200" t="str">
        <f t="shared" si="22"/>
        <v>FY40</v>
      </c>
      <c r="W88" s="200" t="str">
        <f t="shared" si="22"/>
        <v>FY41</v>
      </c>
      <c r="X88" s="200" t="str">
        <f t="shared" si="22"/>
        <v>FY42</v>
      </c>
      <c r="Y88" s="200" t="str">
        <f t="shared" si="22"/>
        <v>FY43</v>
      </c>
      <c r="Z88" s="200" t="str">
        <f t="shared" si="22"/>
        <v>FY44</v>
      </c>
      <c r="AA88" s="200" t="str">
        <f t="shared" si="22"/>
        <v>FY45</v>
      </c>
      <c r="AB88" s="200" t="str">
        <f t="shared" si="22"/>
        <v>FY46</v>
      </c>
      <c r="AC88" s="200" t="str">
        <f t="shared" si="22"/>
        <v>FY47</v>
      </c>
      <c r="AD88" s="200" t="str">
        <f t="shared" si="22"/>
        <v>FY48</v>
      </c>
      <c r="AE88" s="200" t="str">
        <f t="shared" si="22"/>
        <v>FY49</v>
      </c>
      <c r="AF88" s="200" t="str">
        <f t="shared" si="22"/>
        <v>FY50</v>
      </c>
      <c r="AG88" s="200" t="str">
        <f t="shared" si="22"/>
        <v>FY51</v>
      </c>
    </row>
    <row r="89" spans="1:33" ht="12" x14ac:dyDescent="0.2">
      <c r="E89" s="84"/>
      <c r="G89" s="230"/>
    </row>
    <row r="90" spans="1:33" ht="12" x14ac:dyDescent="0.2">
      <c r="E90" s="84"/>
    </row>
    <row r="91" spans="1:33" x14ac:dyDescent="0.2">
      <c r="A91" s="199" t="str">
        <f>Summary!$C$26</f>
        <v>Option 2</v>
      </c>
      <c r="B91" s="140"/>
      <c r="C91" s="197" t="s">
        <v>91</v>
      </c>
      <c r="D91" s="118">
        <f>INDEX(Data!$C$30:$C$36, MATCH(C91, Data!$B$30:$B$36,0))</f>
        <v>-1</v>
      </c>
      <c r="E91" s="2"/>
      <c r="F91" s="118"/>
      <c r="G91" s="119"/>
      <c r="H91" s="119" t="str">
        <f>A91&amp;" "&amp;LOWER(C91)</f>
        <v>Option 2 annualised capex</v>
      </c>
      <c r="I91" s="298" cm="1">
        <f t="array" ref="I91">MAX($D91*INDEX(I$15:W$81, MATCH($A91&amp;$C91, $D$15:$D$81,0),))/mill_conv</f>
        <v>0.2187805062087928</v>
      </c>
      <c r="J91" s="298" cm="1">
        <f t="array" ref="J91">MAX($D91*INDEX(J$15:X$81, MATCH($A91&amp;$C91, $D$15:$D$81,0),))/mill_conv</f>
        <v>0.2187805062087928</v>
      </c>
      <c r="K91" s="298" cm="1">
        <f t="array" ref="K91">MAX($D91*INDEX(K$15:Y$81, MATCH($A91&amp;$C91, $D$15:$D$81,0),))/mill_conv</f>
        <v>0.2187805062087928</v>
      </c>
      <c r="L91" s="298" cm="1">
        <f t="array" ref="L91">MAX($D91*INDEX(L$15:Z$81, MATCH($A91&amp;$C91, $D$15:$D$81,0),))/mill_conv</f>
        <v>0.2187805062087928</v>
      </c>
      <c r="M91" s="298" cm="1">
        <f t="array" ref="M91">MAX($D91*INDEX(M$15:AA$81, MATCH($A91&amp;$C91, $D$15:$D$81,0),))/mill_conv</f>
        <v>0.2187805062087928</v>
      </c>
      <c r="N91" s="298" cm="1">
        <f t="array" ref="N91">MAX($D91*INDEX(N$15:AB$81, MATCH($A91&amp;$C91, $D$15:$D$81,0),))/mill_conv</f>
        <v>0.2187805062087928</v>
      </c>
      <c r="O91" s="298" cm="1">
        <f t="array" ref="O91">MAX($D91*INDEX(O$15:AC$81, MATCH($A91&amp;$C91, $D$15:$D$81,0),))/mill_conv</f>
        <v>0.2187805062087928</v>
      </c>
      <c r="P91" s="298" cm="1">
        <f t="array" ref="P91">MAX($D91*INDEX(P$15:AD$81, MATCH($A91&amp;$C91, $D$15:$D$81,0),))/mill_conv</f>
        <v>0.2187805062087928</v>
      </c>
      <c r="Q91" s="298" cm="1">
        <f t="array" ref="Q91">MAX($D91*INDEX(Q$15:AE$81, MATCH($A91&amp;$C91, $D$15:$D$81,0),))/mill_conv</f>
        <v>0.2187805062087928</v>
      </c>
      <c r="R91" s="298" cm="1">
        <f t="array" ref="R91">MAX($D91*INDEX(R$15:AF$81, MATCH($A91&amp;$C91, $D$15:$D$81,0),))/mill_conv</f>
        <v>0.2187805062087928</v>
      </c>
      <c r="S91" s="298" cm="1">
        <f t="array" ref="S91">MAX($D91*INDEX(S$15:AG$81, MATCH($A91&amp;$C91, $D$15:$D$81,0),))/mill_conv</f>
        <v>0.2187805062087928</v>
      </c>
      <c r="T91" s="298" cm="1">
        <f t="array" ref="T91">MAX($D91*INDEX(T$15:AH$81, MATCH($A91&amp;$C91, $D$15:$D$81,0),))/mill_conv</f>
        <v>0.2187805062087928</v>
      </c>
      <c r="U91" s="298" cm="1">
        <f t="array" ref="U91">MAX($D91*INDEX(U$15:AI$81, MATCH($A91&amp;$C91, $D$15:$D$81,0),))/mill_conv</f>
        <v>0.2187805062087928</v>
      </c>
      <c r="V91" s="298" cm="1">
        <f t="array" ref="V91">MAX($D91*INDEX(V$15:AJ$81, MATCH($A91&amp;$C91, $D$15:$D$81,0),))/mill_conv</f>
        <v>0.2187805062087928</v>
      </c>
      <c r="W91" s="298" cm="1">
        <f t="array" ref="W91">MAX($D91*INDEX(W$15:AK$81, MATCH($A91&amp;$C91, $D$15:$D$81,0),))/mill_conv</f>
        <v>0.2187805062087928</v>
      </c>
      <c r="X91" s="298" cm="1">
        <f t="array" ref="X91">MAX($D91*INDEX(X$15:AL$81, MATCH($A91&amp;$C91, $D$15:$D$81,0),))/mill_conv</f>
        <v>0.2187805062087928</v>
      </c>
      <c r="Y91" s="298" cm="1">
        <f t="array" ref="Y91">MAX($D91*INDEX(Y$15:AM$81, MATCH($A91&amp;$C91, $D$15:$D$81,0),))/mill_conv</f>
        <v>0.2187805062087928</v>
      </c>
      <c r="Z91" s="298" cm="1">
        <f t="array" ref="Z91">MAX($D91*INDEX(Z$15:AN$81, MATCH($A91&amp;$C91, $D$15:$D$81,0),))/mill_conv</f>
        <v>0.2187805062087928</v>
      </c>
      <c r="AA91" s="298" cm="1">
        <f t="array" ref="AA91">MAX($D91*INDEX(AA$15:AO$81, MATCH($A91&amp;$C91, $D$15:$D$81,0),))/mill_conv</f>
        <v>0.2187805062087928</v>
      </c>
      <c r="AB91" s="298" cm="1">
        <f t="array" ref="AB91">MAX($D91*INDEX(AB$15:AP$81, MATCH($A91&amp;$C91, $D$15:$D$81,0),))/mill_conv</f>
        <v>0.2187805062087928</v>
      </c>
      <c r="AC91" s="298" cm="1">
        <f t="array" ref="AC91">MAX($D91*INDEX(AC$15:AQ$81, MATCH($A91&amp;$C91, $D$15:$D$81,0),))/mill_conv</f>
        <v>0.2187805062087928</v>
      </c>
      <c r="AD91" s="298" cm="1">
        <f t="array" ref="AD91">MAX($D91*INDEX(AD$15:AR$81, MATCH($A91&amp;$C91, $D$15:$D$81,0),))/mill_conv</f>
        <v>0.2187805062087928</v>
      </c>
      <c r="AE91" s="298" cm="1">
        <f t="array" ref="AE91">MAX($D91*INDEX(AE$15:AS$81, MATCH($A91&amp;$C91, $D$15:$D$81,0),))/mill_conv</f>
        <v>0.2187805062087928</v>
      </c>
      <c r="AF91" s="298" cm="1">
        <f t="array" ref="AF91">MAX($D91*INDEX(AF$15:AT$81, MATCH($A91&amp;$C91, $D$15:$D$81,0),))/mill_conv</f>
        <v>0</v>
      </c>
      <c r="AG91" s="298" cm="1">
        <f t="array" ref="AG91">MAX($D91*INDEX(AG$15:AU$81, MATCH($A91&amp;$C91, $D$15:$D$81,0),))/mill_conv</f>
        <v>0</v>
      </c>
    </row>
    <row r="92" spans="1:33" x14ac:dyDescent="0.2">
      <c r="A92" s="198" t="str">
        <f>A16</f>
        <v>Option 1 (base case)</v>
      </c>
      <c r="B92" s="140"/>
      <c r="C92" s="198" t="s">
        <v>176</v>
      </c>
      <c r="D92" s="118">
        <f>INDEX(Data!$C$30:$C$36, MATCH(C92, Data!$B$30:$B$36,0))</f>
        <v>1</v>
      </c>
      <c r="E92" s="84"/>
      <c r="H92" s="119" t="str">
        <f>A92&amp;" risk cost"</f>
        <v>Option 1 (base case) risk cost</v>
      </c>
      <c r="I92" s="298">
        <f t="shared" ref="I92:R92" si="23">$D92*INDEX(I$15:I$81, MATCH($A92&amp;$C92, $D$15:$D$81,0))/mill_conv</f>
        <v>0.33158249328232403</v>
      </c>
      <c r="J92" s="298">
        <f t="shared" si="23"/>
        <v>0.3326893093870622</v>
      </c>
      <c r="K92" s="298">
        <f t="shared" si="23"/>
        <v>0.3363643595762707</v>
      </c>
      <c r="L92" s="298">
        <f t="shared" si="23"/>
        <v>0.33949152292516543</v>
      </c>
      <c r="M92" s="298">
        <f t="shared" si="23"/>
        <v>0.33933963239656895</v>
      </c>
      <c r="N92" s="298">
        <f t="shared" si="23"/>
        <v>0.34376293019021648</v>
      </c>
      <c r="O92" s="298">
        <f t="shared" si="23"/>
        <v>0.35162327026360457</v>
      </c>
      <c r="P92" s="298">
        <f t="shared" si="23"/>
        <v>0.36022146936478816</v>
      </c>
      <c r="Q92" s="298">
        <f t="shared" si="23"/>
        <v>0.36556195073436976</v>
      </c>
      <c r="R92" s="298">
        <f t="shared" si="23"/>
        <v>0.36726742315368716</v>
      </c>
      <c r="S92" s="298">
        <f t="shared" ref="S92:AG92" si="24">$D92*INDEX(S$15:S$81, MATCH($A92&amp;$C92, $D$15:$D$81,0))/mill_conv</f>
        <v>0.36897289557300533</v>
      </c>
      <c r="T92" s="298">
        <f t="shared" si="24"/>
        <v>0.3706783679923229</v>
      </c>
      <c r="U92" s="298">
        <f t="shared" si="24"/>
        <v>0.37238384041164019</v>
      </c>
      <c r="V92" s="298">
        <f t="shared" si="24"/>
        <v>0.37408931283095842</v>
      </c>
      <c r="W92" s="298">
        <f t="shared" si="24"/>
        <v>0.37579478525027588</v>
      </c>
      <c r="X92" s="298">
        <f t="shared" si="24"/>
        <v>0.37750025766959328</v>
      </c>
      <c r="Y92" s="298">
        <f t="shared" si="24"/>
        <v>0.37920573008891145</v>
      </c>
      <c r="Z92" s="298">
        <f t="shared" si="24"/>
        <v>0.38091120250822896</v>
      </c>
      <c r="AA92" s="298">
        <f t="shared" si="24"/>
        <v>0.38261667492754703</v>
      </c>
      <c r="AB92" s="298">
        <f t="shared" si="24"/>
        <v>0.38432214734686437</v>
      </c>
      <c r="AC92" s="298">
        <f t="shared" si="24"/>
        <v>0.38602761976618194</v>
      </c>
      <c r="AD92" s="298">
        <f t="shared" si="24"/>
        <v>0.38773309218550001</v>
      </c>
      <c r="AE92" s="298">
        <f t="shared" si="24"/>
        <v>0.38943856460481746</v>
      </c>
      <c r="AF92" s="298">
        <f t="shared" si="24"/>
        <v>0.39114403702413508</v>
      </c>
      <c r="AG92" s="298">
        <f t="shared" si="24"/>
        <v>0.39284950944345315</v>
      </c>
    </row>
    <row r="93" spans="1:33" ht="12" x14ac:dyDescent="0.2">
      <c r="E93" s="84"/>
      <c r="I93" s="151"/>
      <c r="J93" s="151"/>
      <c r="K93" s="151"/>
      <c r="L93" s="151"/>
      <c r="M93" s="151"/>
      <c r="N93" s="151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  <c r="AF93" s="151"/>
      <c r="AG93" s="151"/>
    </row>
    <row r="94" spans="1:33" ht="12" x14ac:dyDescent="0.2">
      <c r="E94" s="84"/>
    </row>
    <row r="95" spans="1:33" ht="12" x14ac:dyDescent="0.2">
      <c r="E95" s="84"/>
    </row>
    <row r="96" spans="1:33" ht="12" x14ac:dyDescent="0.2">
      <c r="E96" s="84"/>
    </row>
    <row r="97" spans="1:33" ht="12" x14ac:dyDescent="0.2">
      <c r="E97" s="84"/>
      <c r="I97" s="295" t="str">
        <f>I88</f>
        <v>FY27</v>
      </c>
      <c r="J97" s="295" t="str">
        <f t="shared" ref="J97:AG97" si="25">J88</f>
        <v>FY28</v>
      </c>
      <c r="K97" s="295" t="str">
        <f t="shared" si="25"/>
        <v>FY29</v>
      </c>
      <c r="L97" s="295" t="str">
        <f t="shared" si="25"/>
        <v>FY30</v>
      </c>
      <c r="M97" s="295" t="str">
        <f t="shared" si="25"/>
        <v>FY31</v>
      </c>
      <c r="N97" s="295" t="str">
        <f t="shared" si="25"/>
        <v>FY32</v>
      </c>
      <c r="O97" s="295" t="str">
        <f t="shared" si="25"/>
        <v>FY33</v>
      </c>
      <c r="P97" s="295" t="str">
        <f t="shared" si="25"/>
        <v>FY34</v>
      </c>
      <c r="Q97" s="295" t="str">
        <f t="shared" si="25"/>
        <v>FY35</v>
      </c>
      <c r="R97" s="295" t="str">
        <f t="shared" si="25"/>
        <v>FY36</v>
      </c>
      <c r="S97" s="295" t="str">
        <f t="shared" si="25"/>
        <v>FY37</v>
      </c>
      <c r="T97" s="295" t="str">
        <f t="shared" si="25"/>
        <v>FY38</v>
      </c>
      <c r="U97" s="295" t="str">
        <f t="shared" si="25"/>
        <v>FY39</v>
      </c>
      <c r="V97" s="295" t="str">
        <f t="shared" si="25"/>
        <v>FY40</v>
      </c>
      <c r="W97" s="295" t="str">
        <f t="shared" si="25"/>
        <v>FY41</v>
      </c>
      <c r="X97" s="295" t="str">
        <f t="shared" si="25"/>
        <v>FY42</v>
      </c>
      <c r="Y97" s="295" t="str">
        <f t="shared" si="25"/>
        <v>FY43</v>
      </c>
      <c r="Z97" s="295" t="str">
        <f t="shared" si="25"/>
        <v>FY44</v>
      </c>
      <c r="AA97" s="295" t="str">
        <f t="shared" si="25"/>
        <v>FY45</v>
      </c>
      <c r="AB97" s="295" t="str">
        <f t="shared" si="25"/>
        <v>FY46</v>
      </c>
      <c r="AC97" s="295" t="str">
        <f t="shared" si="25"/>
        <v>FY47</v>
      </c>
      <c r="AD97" s="295" t="str">
        <f t="shared" si="25"/>
        <v>FY48</v>
      </c>
      <c r="AE97" s="295" t="str">
        <f t="shared" si="25"/>
        <v>FY49</v>
      </c>
      <c r="AF97" s="295" t="str">
        <f t="shared" si="25"/>
        <v>FY50</v>
      </c>
      <c r="AG97" s="295" t="str">
        <f t="shared" si="25"/>
        <v>FY51</v>
      </c>
    </row>
    <row r="98" spans="1:33" x14ac:dyDescent="0.2">
      <c r="A98" s="199" t="s">
        <v>236</v>
      </c>
      <c r="B98" s="140"/>
      <c r="C98" s="197" t="s">
        <v>123</v>
      </c>
      <c r="D98" s="191">
        <f>MAX(H98:AG98)</f>
        <v>7.8606596176731038</v>
      </c>
      <c r="E98" s="294"/>
      <c r="F98" s="118"/>
      <c r="G98" s="119"/>
      <c r="H98" s="119" t="str">
        <f>A98&amp;" "&amp;LOWER(C98)</f>
        <v>Energy at risk energy at risk (weighted)</v>
      </c>
      <c r="I98" s="119">
        <f>INDEX('Option1 (base case)'!I$14:I$87, MATCH($C98, 'Option1 (base case)'!$C$14:$C$87,0))</f>
        <v>6.6347470270849405</v>
      </c>
      <c r="J98" s="119">
        <f>INDEX('Option1 (base case)'!J$14:J$87, MATCH($C98, 'Option1 (base case)'!$C$14:$C$87,0))</f>
        <v>6.656893687446134</v>
      </c>
      <c r="K98" s="119">
        <f>INDEX('Option1 (base case)'!K$14:K$87, MATCH($C98, 'Option1 (base case)'!$C$14:$C$87,0))</f>
        <v>6.7304290182046191</v>
      </c>
      <c r="L98" s="119">
        <f>INDEX('Option1 (base case)'!L$14:L$87, MATCH($C98, 'Option1 (base case)'!$C$14:$C$87,0))</f>
        <v>6.7930014945947468</v>
      </c>
      <c r="M98" s="119">
        <f>INDEX('Option1 (base case)'!M$14:M$87, MATCH($C98, 'Option1 (base case)'!$C$14:$C$87,0))</f>
        <v>6.7899622652823917</v>
      </c>
      <c r="N98" s="119">
        <f>INDEX('Option1 (base case)'!N$14:N$87, MATCH($C98, 'Option1 (base case)'!$C$14:$C$87,0))</f>
        <v>6.8784695371706173</v>
      </c>
      <c r="O98" s="119">
        <f>INDEX('Option1 (base case)'!O$14:O$87, MATCH($C98, 'Option1 (base case)'!$C$14:$C$87,0))</f>
        <v>7.0357497585042097</v>
      </c>
      <c r="P98" s="119">
        <f>INDEX('Option1 (base case)'!P$14:P$87, MATCH($C98, 'Option1 (base case)'!$C$14:$C$87,0))</f>
        <v>7.2077940523996951</v>
      </c>
      <c r="Q98" s="119">
        <f>INDEX('Option1 (base case)'!Q$14:Q$87, MATCH($C98, 'Option1 (base case)'!$C$14:$C$87,0))</f>
        <v>7.3146535628017268</v>
      </c>
      <c r="R98" s="119">
        <f>INDEX('Option1 (base case)'!R$14:R$87, MATCH($C98, 'Option1 (base case)'!$C$14:$C$87,0))</f>
        <v>7.3487789412311821</v>
      </c>
      <c r="S98" s="119">
        <f>INDEX('Option1 (base case)'!S$14:S$87, MATCH($C98, 'Option1 (base case)'!$C$14:$C$87,0))</f>
        <v>7.3829043196606525</v>
      </c>
      <c r="T98" s="119">
        <f>INDEX('Option1 (base case)'!T$14:T$87, MATCH($C98, 'Option1 (base case)'!$C$14:$C$87,0))</f>
        <v>7.4170296980901087</v>
      </c>
      <c r="U98" s="119">
        <f>INDEX('Option1 (base case)'!U$14:U$87, MATCH($C98, 'Option1 (base case)'!$C$14:$C$87,0))</f>
        <v>7.4511550765195631</v>
      </c>
      <c r="V98" s="119">
        <f>INDEX('Option1 (base case)'!V$14:V$87, MATCH($C98, 'Option1 (base case)'!$C$14:$C$87,0))</f>
        <v>7.4852804549490335</v>
      </c>
      <c r="W98" s="119">
        <f>INDEX('Option1 (base case)'!W$14:W$87, MATCH($C98, 'Option1 (base case)'!$C$14:$C$87,0))</f>
        <v>7.5194058333784897</v>
      </c>
      <c r="X98" s="119">
        <f>INDEX('Option1 (base case)'!X$14:X$87, MATCH($C98, 'Option1 (base case)'!$C$14:$C$87,0))</f>
        <v>7.553531211807945</v>
      </c>
      <c r="Y98" s="119">
        <f>INDEX('Option1 (base case)'!Y$14:Y$87, MATCH($C98, 'Option1 (base case)'!$C$14:$C$87,0))</f>
        <v>7.5876565902374145</v>
      </c>
      <c r="Z98" s="119">
        <f>INDEX('Option1 (base case)'!Z$14:Z$87, MATCH($C98, 'Option1 (base case)'!$C$14:$C$87,0))</f>
        <v>7.6217819686668715</v>
      </c>
      <c r="AA98" s="119">
        <f>INDEX('Option1 (base case)'!AA$14:AA$87, MATCH($C98, 'Option1 (base case)'!$C$14:$C$87,0))</f>
        <v>7.655907347096341</v>
      </c>
      <c r="AB98" s="119">
        <f>INDEX('Option1 (base case)'!AB$14:AB$87, MATCH($C98, 'Option1 (base case)'!$C$14:$C$87,0))</f>
        <v>7.6900327255257954</v>
      </c>
      <c r="AC98" s="119">
        <f>INDEX('Option1 (base case)'!AC$14:AC$87, MATCH($C98, 'Option1 (base case)'!$C$14:$C$87,0))</f>
        <v>7.7241581039552525</v>
      </c>
      <c r="AD98" s="119">
        <f>INDEX('Option1 (base case)'!AD$14:AD$87, MATCH($C98, 'Option1 (base case)'!$C$14:$C$87,0))</f>
        <v>7.758283482384722</v>
      </c>
      <c r="AE98" s="119">
        <f>INDEX('Option1 (base case)'!AE$14:AE$87, MATCH($C98, 'Option1 (base case)'!$C$14:$C$87,0))</f>
        <v>7.7924088608141773</v>
      </c>
      <c r="AF98" s="119">
        <f>INDEX('Option1 (base case)'!AF$14:AF$87, MATCH($C98, 'Option1 (base case)'!$C$14:$C$87,0))</f>
        <v>7.8265342392436352</v>
      </c>
      <c r="AG98" s="119">
        <f>INDEX('Option1 (base case)'!AG$14:AG$87, MATCH($C98, 'Option1 (base case)'!$C$14:$C$87,0))</f>
        <v>7.8606596176731038</v>
      </c>
    </row>
    <row r="99" spans="1:33" x14ac:dyDescent="0.2">
      <c r="A99" s="198" t="str">
        <f>A23</f>
        <v>Option 1 (base case)</v>
      </c>
      <c r="B99" s="140"/>
      <c r="C99" s="198" t="s">
        <v>124</v>
      </c>
      <c r="D99" s="191">
        <f>MAX(H99:AG99)</f>
        <v>0.35299222334148739</v>
      </c>
      <c r="E99" s="294"/>
      <c r="H99" s="119" t="str">
        <f>A99&amp;" risk cost"</f>
        <v>Option 1 (base case) risk cost</v>
      </c>
      <c r="I99" s="119">
        <f>INDEX('Option1 (base case)'!I$14:I$87, MATCH($C99, 'Option1 (base case)'!$C$14:$C$87,0))/10^6</f>
        <v>0.29794116757498212</v>
      </c>
      <c r="J99" s="119">
        <f>INDEX('Option1 (base case)'!J$14:J$87, MATCH($C99, 'Option1 (base case)'!$C$14:$C$87,0))/10^6</f>
        <v>0.29893568956940986</v>
      </c>
      <c r="K99" s="119">
        <f>INDEX('Option1 (base case)'!K$14:K$87, MATCH($C99, 'Option1 (base case)'!$C$14:$C$87,0))/10^6</f>
        <v>0.30223788062729889</v>
      </c>
      <c r="L99" s="119">
        <f>INDEX('Option1 (base case)'!L$14:L$87, MATCH($C99, 'Option1 (base case)'!$C$14:$C$87,0))/10^6</f>
        <v>0.30504777173507241</v>
      </c>
      <c r="M99" s="119">
        <f>INDEX('Option1 (base case)'!M$14:M$87, MATCH($C99, 'Option1 (base case)'!$C$14:$C$87,0))/10^6</f>
        <v>0.30491129154582713</v>
      </c>
      <c r="N99" s="119">
        <f>INDEX('Option1 (base case)'!N$14:N$87, MATCH($C99, 'Option1 (base case)'!$C$14:$C$87,0))/10^6</f>
        <v>0.30888581533966653</v>
      </c>
      <c r="O99" s="119">
        <f>INDEX('Option1 (base case)'!O$14:O$87, MATCH($C99, 'Option1 (base case)'!$C$14:$C$87,0))/10^6</f>
        <v>0.31594866982217884</v>
      </c>
      <c r="P99" s="119">
        <f>INDEX('Option1 (base case)'!P$14:P$87, MATCH($C99, 'Option1 (base case)'!$C$14:$C$87,0))/10^6</f>
        <v>0.32367452245658679</v>
      </c>
      <c r="Q99" s="119">
        <f>INDEX('Option1 (base case)'!Q$14:Q$87, MATCH($C99, 'Option1 (base case)'!$C$14:$C$87,0))/10^6</f>
        <v>0.32847317524104125</v>
      </c>
      <c r="R99" s="119">
        <f>INDEX('Option1 (base case)'!R$14:R$87, MATCH($C99, 'Option1 (base case)'!$C$14:$C$87,0))/10^6</f>
        <v>0.33000561574731885</v>
      </c>
      <c r="S99" s="119">
        <f>INDEX('Option1 (base case)'!S$14:S$87, MATCH($C99, 'Option1 (base case)'!$C$14:$C$87,0))/10^6</f>
        <v>0.33153805625359711</v>
      </c>
      <c r="T99" s="119">
        <f>INDEX('Option1 (base case)'!T$14:T$87, MATCH($C99, 'Option1 (base case)'!$C$14:$C$87,0))/10^6</f>
        <v>0.33307049675987488</v>
      </c>
      <c r="U99" s="119">
        <f>INDEX('Option1 (base case)'!U$14:U$87, MATCH($C99, 'Option1 (base case)'!$C$14:$C$87,0))/10^6</f>
        <v>0.33460293726615242</v>
      </c>
      <c r="V99" s="119">
        <f>INDEX('Option1 (base case)'!V$14:V$87, MATCH($C99, 'Option1 (base case)'!$C$14:$C$87,0))/10^6</f>
        <v>0.33613537777243069</v>
      </c>
      <c r="W99" s="119">
        <f>INDEX('Option1 (base case)'!W$14:W$87, MATCH($C99, 'Option1 (base case)'!$C$14:$C$87,0))/10^6</f>
        <v>0.3376678182787084</v>
      </c>
      <c r="X99" s="119">
        <f>INDEX('Option1 (base case)'!X$14:X$87, MATCH($C99, 'Option1 (base case)'!$C$14:$C$87,0))/10^6</f>
        <v>0.339200258784986</v>
      </c>
      <c r="Y99" s="119">
        <f>INDEX('Option1 (base case)'!Y$14:Y$87, MATCH($C99, 'Option1 (base case)'!$C$14:$C$87,0))/10^6</f>
        <v>0.34073269929126426</v>
      </c>
      <c r="Z99" s="119">
        <f>INDEX('Option1 (base case)'!Z$14:Z$87, MATCH($C99, 'Option1 (base case)'!$C$14:$C$87,0))/10^6</f>
        <v>0.34226513979754203</v>
      </c>
      <c r="AA99" s="119">
        <f>INDEX('Option1 (base case)'!AA$14:AA$87, MATCH($C99, 'Option1 (base case)'!$C$14:$C$87,0))/10^6</f>
        <v>0.34379758030382024</v>
      </c>
      <c r="AB99" s="119">
        <f>INDEX('Option1 (base case)'!AB$14:AB$87, MATCH($C99, 'Option1 (base case)'!$C$14:$C$87,0))/10^6</f>
        <v>0.34533002081009778</v>
      </c>
      <c r="AC99" s="119">
        <f>INDEX('Option1 (base case)'!AC$14:AC$87, MATCH($C99, 'Option1 (base case)'!$C$14:$C$87,0))/10^6</f>
        <v>0.34686246131637555</v>
      </c>
      <c r="AD99" s="119">
        <f>INDEX('Option1 (base case)'!AD$14:AD$87, MATCH($C99, 'Option1 (base case)'!$C$14:$C$87,0))/10^6</f>
        <v>0.34839490182265376</v>
      </c>
      <c r="AE99" s="119">
        <f>INDEX('Option1 (base case)'!AE$14:AE$87, MATCH($C99, 'Option1 (base case)'!$C$14:$C$87,0))/10^6</f>
        <v>0.34992734232893141</v>
      </c>
      <c r="AF99" s="119">
        <f>INDEX('Option1 (base case)'!AF$14:AF$87, MATCH($C99, 'Option1 (base case)'!$C$14:$C$87,0))/10^6</f>
        <v>0.35145978283520918</v>
      </c>
      <c r="AG99" s="119">
        <f>INDEX('Option1 (base case)'!AG$14:AG$87, MATCH($C99, 'Option1 (base case)'!$C$14:$C$87,0))/10^6</f>
        <v>0.35299222334148739</v>
      </c>
    </row>
    <row r="100" spans="1:33" ht="12" x14ac:dyDescent="0.2">
      <c r="E100" s="10"/>
    </row>
    <row r="101" spans="1:33" s="296" customFormat="1" ht="12" x14ac:dyDescent="0.2"/>
    <row r="102" spans="1:33" ht="12" x14ac:dyDescent="0.2">
      <c r="E102" s="10"/>
    </row>
    <row r="103" spans="1:33" ht="12" x14ac:dyDescent="0.2">
      <c r="E103" s="10"/>
      <c r="I103" s="296"/>
    </row>
    <row r="104" spans="1:33" ht="12" x14ac:dyDescent="0.2">
      <c r="E104" s="10"/>
      <c r="H104" s="151"/>
    </row>
    <row r="105" spans="1:33" ht="12" x14ac:dyDescent="0.2">
      <c r="E105" s="10"/>
      <c r="H105" s="151"/>
    </row>
    <row r="106" spans="1:33" ht="12" x14ac:dyDescent="0.2">
      <c r="D106" s="191"/>
      <c r="E106" s="10"/>
    </row>
    <row r="107" spans="1:33" ht="12" x14ac:dyDescent="0.2">
      <c r="D107" s="191"/>
      <c r="E107" s="10"/>
    </row>
    <row r="108" spans="1:33" ht="12" x14ac:dyDescent="0.2">
      <c r="D108" s="191"/>
      <c r="E108" s="84"/>
    </row>
    <row r="109" spans="1:33" ht="12" x14ac:dyDescent="0.2">
      <c r="C109" s="124"/>
      <c r="D109" s="191"/>
      <c r="E109" s="191"/>
    </row>
    <row r="110" spans="1:33" ht="12" x14ac:dyDescent="0.2">
      <c r="D110" s="191"/>
      <c r="E110" s="84"/>
    </row>
    <row r="111" spans="1:33" ht="12" x14ac:dyDescent="0.2">
      <c r="D111" s="191"/>
      <c r="E111" s="84"/>
    </row>
    <row r="112" spans="1:33" ht="12" x14ac:dyDescent="0.2">
      <c r="D112" s="191"/>
      <c r="E112" s="84"/>
    </row>
    <row r="113" spans="4:5" ht="12" x14ac:dyDescent="0.2">
      <c r="D113" s="191"/>
      <c r="E113" s="84"/>
    </row>
    <row r="114" spans="4:5" ht="12" x14ac:dyDescent="0.2">
      <c r="D114" s="191"/>
      <c r="E114" s="84"/>
    </row>
    <row r="115" spans="4:5" ht="12" x14ac:dyDescent="0.2">
      <c r="D115" s="191"/>
      <c r="E115" s="84"/>
    </row>
    <row r="116" spans="4:5" ht="12" x14ac:dyDescent="0.2">
      <c r="D116" s="191"/>
      <c r="E116" s="84"/>
    </row>
    <row r="117" spans="4:5" ht="12" x14ac:dyDescent="0.2">
      <c r="D117" s="191"/>
      <c r="E117" s="84"/>
    </row>
    <row r="118" spans="4:5" ht="12" x14ac:dyDescent="0.2">
      <c r="D118" s="191"/>
      <c r="E118" s="84"/>
    </row>
    <row r="119" spans="4:5" ht="12" x14ac:dyDescent="0.2">
      <c r="D119" s="191"/>
      <c r="E119" s="84"/>
    </row>
    <row r="120" spans="4:5" ht="12" x14ac:dyDescent="0.2">
      <c r="D120" s="191"/>
      <c r="E120" s="84"/>
    </row>
    <row r="121" spans="4:5" ht="12" x14ac:dyDescent="0.2">
      <c r="D121" s="191"/>
      <c r="E121" s="84"/>
    </row>
    <row r="122" spans="4:5" ht="12" x14ac:dyDescent="0.2">
      <c r="D122" s="191"/>
      <c r="E122" s="84"/>
    </row>
    <row r="123" spans="4:5" ht="12" x14ac:dyDescent="0.2">
      <c r="D123" s="191"/>
      <c r="E123" s="84"/>
    </row>
    <row r="124" spans="4:5" ht="12" x14ac:dyDescent="0.2">
      <c r="D124" s="191"/>
      <c r="E124" s="84"/>
    </row>
    <row r="125" spans="4:5" ht="12" x14ac:dyDescent="0.2">
      <c r="D125" s="191"/>
      <c r="E125" s="84"/>
    </row>
    <row r="126" spans="4:5" ht="12" x14ac:dyDescent="0.2">
      <c r="D126" s="191"/>
      <c r="E126" s="84"/>
    </row>
    <row r="127" spans="4:5" ht="12" x14ac:dyDescent="0.2">
      <c r="D127" s="191"/>
      <c r="E127" s="84"/>
    </row>
    <row r="128" spans="4:5" ht="12" x14ac:dyDescent="0.2">
      <c r="D128" s="191"/>
      <c r="E128" s="84"/>
    </row>
    <row r="129" spans="4:5" ht="12" x14ac:dyDescent="0.2">
      <c r="D129" s="191"/>
      <c r="E129" s="84"/>
    </row>
    <row r="130" spans="4:5" ht="12" x14ac:dyDescent="0.2">
      <c r="D130" s="191"/>
      <c r="E130" s="84"/>
    </row>
    <row r="131" spans="4:5" ht="12" x14ac:dyDescent="0.2">
      <c r="D131" s="191"/>
      <c r="E131" s="84"/>
    </row>
    <row r="132" spans="4:5" ht="12" x14ac:dyDescent="0.2">
      <c r="D132" s="191"/>
      <c r="E132" s="84"/>
    </row>
    <row r="133" spans="4:5" ht="12" x14ac:dyDescent="0.2">
      <c r="D133" s="191"/>
      <c r="E133" s="84"/>
    </row>
    <row r="134" spans="4:5" ht="12" x14ac:dyDescent="0.2">
      <c r="D134" s="191"/>
      <c r="E134" s="84"/>
    </row>
    <row r="135" spans="4:5" ht="12" x14ac:dyDescent="0.2">
      <c r="D135" s="191"/>
      <c r="E135" s="84"/>
    </row>
    <row r="136" spans="4:5" ht="12" x14ac:dyDescent="0.2">
      <c r="D136" s="191"/>
      <c r="E136" s="84"/>
    </row>
    <row r="137" spans="4:5" ht="12" x14ac:dyDescent="0.2">
      <c r="D137" s="191"/>
      <c r="E137" s="84"/>
    </row>
    <row r="138" spans="4:5" ht="12" x14ac:dyDescent="0.2">
      <c r="E138" s="84"/>
    </row>
    <row r="139" spans="4:5" ht="12" x14ac:dyDescent="0.2">
      <c r="E139" s="84"/>
    </row>
    <row r="140" spans="4:5" ht="12" x14ac:dyDescent="0.2">
      <c r="E140" s="84"/>
    </row>
    <row r="141" spans="4:5" ht="12" x14ac:dyDescent="0.2">
      <c r="E141" s="84"/>
    </row>
    <row r="142" spans="4:5" ht="12" x14ac:dyDescent="0.2">
      <c r="E142" s="84"/>
    </row>
    <row r="143" spans="4:5" ht="12" x14ac:dyDescent="0.2">
      <c r="E143" s="84"/>
    </row>
    <row r="144" spans="4:5" ht="12" x14ac:dyDescent="0.2">
      <c r="E144" s="84"/>
    </row>
    <row r="145" spans="5:5" ht="12" x14ac:dyDescent="0.2">
      <c r="E145" s="84"/>
    </row>
    <row r="146" spans="5:5" ht="12" x14ac:dyDescent="0.2">
      <c r="E146" s="84"/>
    </row>
    <row r="147" spans="5:5" ht="12" x14ac:dyDescent="0.2">
      <c r="E147" s="84"/>
    </row>
    <row r="148" spans="5:5" ht="12" x14ac:dyDescent="0.2">
      <c r="E148" s="84"/>
    </row>
    <row r="149" spans="5:5" ht="12" x14ac:dyDescent="0.2">
      <c r="E149" s="84"/>
    </row>
    <row r="150" spans="5:5" ht="12" x14ac:dyDescent="0.2">
      <c r="E150" s="84"/>
    </row>
    <row r="151" spans="5:5" ht="12" x14ac:dyDescent="0.2">
      <c r="E151" s="84"/>
    </row>
    <row r="152" spans="5:5" ht="12" x14ac:dyDescent="0.2">
      <c r="E152" s="84"/>
    </row>
    <row r="153" spans="5:5" ht="12" x14ac:dyDescent="0.2">
      <c r="E153" s="84"/>
    </row>
    <row r="154" spans="5:5" ht="12" x14ac:dyDescent="0.2">
      <c r="E154" s="84"/>
    </row>
    <row r="155" spans="5:5" ht="12" x14ac:dyDescent="0.2">
      <c r="E155" s="84"/>
    </row>
    <row r="156" spans="5:5" ht="12" x14ac:dyDescent="0.2">
      <c r="E156" s="84"/>
    </row>
    <row r="157" spans="5:5" ht="12" x14ac:dyDescent="0.2">
      <c r="E157" s="84"/>
    </row>
    <row r="158" spans="5:5" ht="12" x14ac:dyDescent="0.2">
      <c r="E158" s="84"/>
    </row>
    <row r="159" spans="5:5" ht="12" x14ac:dyDescent="0.2">
      <c r="E159" s="84"/>
    </row>
    <row r="160" spans="5:5" ht="12" x14ac:dyDescent="0.2">
      <c r="E160" s="84"/>
    </row>
    <row r="161" spans="5:5" ht="12" x14ac:dyDescent="0.2">
      <c r="E161" s="84"/>
    </row>
    <row r="162" spans="5:5" ht="12" x14ac:dyDescent="0.2">
      <c r="E162" s="84"/>
    </row>
    <row r="163" spans="5:5" ht="12" x14ac:dyDescent="0.2">
      <c r="E163" s="84"/>
    </row>
    <row r="164" spans="5:5" ht="12" x14ac:dyDescent="0.2">
      <c r="E164" s="84"/>
    </row>
    <row r="165" spans="5:5" ht="12" x14ac:dyDescent="0.2">
      <c r="E165" s="84"/>
    </row>
    <row r="166" spans="5:5" ht="12" x14ac:dyDescent="0.2">
      <c r="E166" s="84"/>
    </row>
    <row r="167" spans="5:5" ht="12" x14ac:dyDescent="0.2">
      <c r="E167" s="84"/>
    </row>
    <row r="168" spans="5:5" ht="12" x14ac:dyDescent="0.2">
      <c r="E168" s="84"/>
    </row>
    <row r="169" spans="5:5" ht="12" x14ac:dyDescent="0.2">
      <c r="E169" s="84"/>
    </row>
    <row r="170" spans="5:5" ht="12" x14ac:dyDescent="0.2">
      <c r="E170" s="84"/>
    </row>
    <row r="171" spans="5:5" ht="12" x14ac:dyDescent="0.2">
      <c r="E171" s="84"/>
    </row>
    <row r="172" spans="5:5" ht="12" x14ac:dyDescent="0.2">
      <c r="E172" s="84"/>
    </row>
    <row r="173" spans="5:5" ht="12" x14ac:dyDescent="0.2">
      <c r="E173" s="84"/>
    </row>
    <row r="174" spans="5:5" ht="12" x14ac:dyDescent="0.2">
      <c r="E174" s="84"/>
    </row>
    <row r="175" spans="5:5" ht="12" x14ac:dyDescent="0.2">
      <c r="E175" s="84"/>
    </row>
    <row r="176" spans="5:5" ht="12" x14ac:dyDescent="0.2">
      <c r="E176" s="84"/>
    </row>
    <row r="177" spans="5:5" ht="12" x14ac:dyDescent="0.2">
      <c r="E177" s="84"/>
    </row>
    <row r="178" spans="5:5" ht="12" x14ac:dyDescent="0.2">
      <c r="E178" s="84"/>
    </row>
    <row r="179" spans="5:5" ht="12" x14ac:dyDescent="0.2">
      <c r="E179" s="84"/>
    </row>
    <row r="180" spans="5:5" ht="12" x14ac:dyDescent="0.2">
      <c r="E180" s="84"/>
    </row>
    <row r="181" spans="5:5" ht="12" x14ac:dyDescent="0.2">
      <c r="E181" s="84"/>
    </row>
    <row r="182" spans="5:5" ht="12" x14ac:dyDescent="0.2">
      <c r="E182" s="84"/>
    </row>
    <row r="183" spans="5:5" ht="12" x14ac:dyDescent="0.2">
      <c r="E183" s="84"/>
    </row>
    <row r="184" spans="5:5" ht="12" x14ac:dyDescent="0.2">
      <c r="E184" s="84"/>
    </row>
    <row r="185" spans="5:5" ht="12" x14ac:dyDescent="0.2">
      <c r="E185" s="84"/>
    </row>
    <row r="186" spans="5:5" ht="12" x14ac:dyDescent="0.2">
      <c r="E186" s="84"/>
    </row>
    <row r="187" spans="5:5" ht="12" x14ac:dyDescent="0.2">
      <c r="E187" s="84"/>
    </row>
    <row r="188" spans="5:5" ht="12" x14ac:dyDescent="0.2">
      <c r="E188" s="84"/>
    </row>
    <row r="189" spans="5:5" ht="12" x14ac:dyDescent="0.2">
      <c r="E189" s="84"/>
    </row>
    <row r="190" spans="5:5" ht="12" x14ac:dyDescent="0.2">
      <c r="E190" s="84"/>
    </row>
    <row r="191" spans="5:5" ht="12" x14ac:dyDescent="0.2">
      <c r="E191" s="84"/>
    </row>
    <row r="192" spans="5:5" ht="12" x14ac:dyDescent="0.2">
      <c r="E192" s="84"/>
    </row>
    <row r="193" spans="5:5" ht="12" x14ac:dyDescent="0.2">
      <c r="E193" s="84"/>
    </row>
    <row r="194" spans="5:5" ht="12" x14ac:dyDescent="0.2">
      <c r="E194" s="84"/>
    </row>
    <row r="195" spans="5:5" ht="12" x14ac:dyDescent="0.2">
      <c r="E195" s="84"/>
    </row>
    <row r="196" spans="5:5" ht="12" x14ac:dyDescent="0.2">
      <c r="E196" s="84"/>
    </row>
    <row r="197" spans="5:5" ht="12" x14ac:dyDescent="0.2">
      <c r="E197" s="84"/>
    </row>
    <row r="198" spans="5:5" ht="12" x14ac:dyDescent="0.2">
      <c r="E198" s="84"/>
    </row>
    <row r="199" spans="5:5" ht="12" x14ac:dyDescent="0.2">
      <c r="E199" s="84"/>
    </row>
    <row r="200" spans="5:5" ht="12" x14ac:dyDescent="0.2">
      <c r="E200" s="84"/>
    </row>
    <row r="201" spans="5:5" ht="12" x14ac:dyDescent="0.2">
      <c r="E201" s="84"/>
    </row>
    <row r="202" spans="5:5" ht="12" x14ac:dyDescent="0.2">
      <c r="E202" s="84"/>
    </row>
    <row r="203" spans="5:5" ht="12" x14ac:dyDescent="0.2">
      <c r="E203" s="84"/>
    </row>
    <row r="204" spans="5:5" ht="12" x14ac:dyDescent="0.2">
      <c r="E204" s="84"/>
    </row>
    <row r="205" spans="5:5" ht="12" x14ac:dyDescent="0.2">
      <c r="E205" s="84"/>
    </row>
    <row r="206" spans="5:5" ht="12" x14ac:dyDescent="0.2">
      <c r="E206" s="84"/>
    </row>
    <row r="207" spans="5:5" ht="12" x14ac:dyDescent="0.2">
      <c r="E207" s="84"/>
    </row>
    <row r="208" spans="5:5" ht="12" x14ac:dyDescent="0.2">
      <c r="E208" s="84"/>
    </row>
    <row r="209" spans="5:5" ht="12" x14ac:dyDescent="0.2">
      <c r="E209" s="84"/>
    </row>
    <row r="210" spans="5:5" ht="12" x14ac:dyDescent="0.2">
      <c r="E210" s="84"/>
    </row>
    <row r="211" spans="5:5" ht="12" x14ac:dyDescent="0.2">
      <c r="E211" s="84"/>
    </row>
    <row r="212" spans="5:5" ht="12" x14ac:dyDescent="0.2">
      <c r="E212" s="84"/>
    </row>
    <row r="213" spans="5:5" ht="12" x14ac:dyDescent="0.2">
      <c r="E213" s="84"/>
    </row>
    <row r="214" spans="5:5" ht="12" x14ac:dyDescent="0.2">
      <c r="E214" s="84"/>
    </row>
    <row r="215" spans="5:5" ht="12" x14ac:dyDescent="0.2">
      <c r="E215" s="84"/>
    </row>
    <row r="216" spans="5:5" ht="12" x14ac:dyDescent="0.2">
      <c r="E216" s="84"/>
    </row>
    <row r="217" spans="5:5" ht="12" x14ac:dyDescent="0.2">
      <c r="E217" s="84"/>
    </row>
    <row r="218" spans="5:5" ht="12" x14ac:dyDescent="0.2">
      <c r="E218" s="84"/>
    </row>
    <row r="219" spans="5:5" ht="12" x14ac:dyDescent="0.2">
      <c r="E219" s="84"/>
    </row>
    <row r="220" spans="5:5" ht="12" x14ac:dyDescent="0.2">
      <c r="E220" s="84"/>
    </row>
    <row r="221" spans="5:5" ht="12" x14ac:dyDescent="0.2">
      <c r="E221" s="84"/>
    </row>
    <row r="222" spans="5:5" ht="12" x14ac:dyDescent="0.2">
      <c r="E222" s="84"/>
    </row>
    <row r="223" spans="5:5" ht="12" x14ac:dyDescent="0.2">
      <c r="E223" s="84"/>
    </row>
    <row r="224" spans="5:5" ht="12" x14ac:dyDescent="0.2">
      <c r="E224" s="84"/>
    </row>
    <row r="225" spans="5:5" ht="12" x14ac:dyDescent="0.2">
      <c r="E225" s="84"/>
    </row>
    <row r="226" spans="5:5" ht="12" x14ac:dyDescent="0.2">
      <c r="E226" s="84"/>
    </row>
    <row r="227" spans="5:5" ht="12" x14ac:dyDescent="0.2">
      <c r="E227" s="84"/>
    </row>
    <row r="228" spans="5:5" ht="12" x14ac:dyDescent="0.2">
      <c r="E228" s="84"/>
    </row>
    <row r="229" spans="5:5" ht="12" x14ac:dyDescent="0.2">
      <c r="E229" s="84"/>
    </row>
    <row r="230" spans="5:5" ht="12" x14ac:dyDescent="0.2">
      <c r="E230" s="84"/>
    </row>
    <row r="231" spans="5:5" ht="12" x14ac:dyDescent="0.2">
      <c r="E231" s="84"/>
    </row>
    <row r="232" spans="5:5" ht="12" x14ac:dyDescent="0.2">
      <c r="E232" s="84"/>
    </row>
    <row r="233" spans="5:5" ht="12" x14ac:dyDescent="0.2">
      <c r="E233" s="84"/>
    </row>
    <row r="234" spans="5:5" ht="12" x14ac:dyDescent="0.2">
      <c r="E234" s="84"/>
    </row>
    <row r="235" spans="5:5" ht="12" x14ac:dyDescent="0.2">
      <c r="E235" s="84"/>
    </row>
    <row r="236" spans="5:5" ht="12" x14ac:dyDescent="0.2">
      <c r="E236" s="84"/>
    </row>
    <row r="237" spans="5:5" ht="12" x14ac:dyDescent="0.2">
      <c r="E237" s="84"/>
    </row>
    <row r="238" spans="5:5" ht="12" x14ac:dyDescent="0.2">
      <c r="E238" s="84"/>
    </row>
    <row r="239" spans="5:5" ht="12" x14ac:dyDescent="0.2">
      <c r="E239" s="84"/>
    </row>
    <row r="240" spans="5:5" ht="12" x14ac:dyDescent="0.2">
      <c r="E240" s="84"/>
    </row>
    <row r="241" spans="5:5" ht="12" x14ac:dyDescent="0.2">
      <c r="E241" s="84"/>
    </row>
    <row r="242" spans="5:5" ht="12" x14ac:dyDescent="0.2">
      <c r="E242" s="84"/>
    </row>
    <row r="243" spans="5:5" ht="12" x14ac:dyDescent="0.2">
      <c r="E243" s="84"/>
    </row>
    <row r="244" spans="5:5" ht="12" x14ac:dyDescent="0.2">
      <c r="E244" s="84"/>
    </row>
    <row r="245" spans="5:5" ht="12" x14ac:dyDescent="0.2">
      <c r="E245" s="84"/>
    </row>
    <row r="246" spans="5:5" ht="12" x14ac:dyDescent="0.2">
      <c r="E246" s="84"/>
    </row>
    <row r="247" spans="5:5" ht="12" x14ac:dyDescent="0.2">
      <c r="E247" s="84"/>
    </row>
    <row r="248" spans="5:5" ht="12" x14ac:dyDescent="0.2">
      <c r="E248" s="84"/>
    </row>
    <row r="249" spans="5:5" ht="12" x14ac:dyDescent="0.2">
      <c r="E249" s="84"/>
    </row>
    <row r="250" spans="5:5" ht="12" x14ac:dyDescent="0.2">
      <c r="E250" s="84"/>
    </row>
    <row r="251" spans="5:5" ht="12" x14ac:dyDescent="0.2">
      <c r="E251" s="84"/>
    </row>
    <row r="252" spans="5:5" x14ac:dyDescent="0.2"/>
    <row r="253" spans="5:5" x14ac:dyDescent="0.2"/>
    <row r="254" spans="5:5" x14ac:dyDescent="0.2"/>
    <row r="255" spans="5:5" x14ac:dyDescent="0.2"/>
    <row r="256" spans="5:5" x14ac:dyDescent="0.2"/>
    <row r="257" x14ac:dyDescent="0.2"/>
    <row r="258" x14ac:dyDescent="0.2"/>
    <row r="259" x14ac:dyDescent="0.2"/>
    <row r="260" x14ac:dyDescent="0.2"/>
    <row r="261" x14ac:dyDescent="0.2"/>
    <row r="262" x14ac:dyDescent="0.2"/>
    <row r="263" x14ac:dyDescent="0.2"/>
    <row r="264" x14ac:dyDescent="0.2"/>
    <row r="265" x14ac:dyDescent="0.2"/>
    <row r="266" x14ac:dyDescent="0.2"/>
    <row r="267" x14ac:dyDescent="0.2"/>
    <row r="268" x14ac:dyDescent="0.2"/>
    <row r="269" x14ac:dyDescent="0.2"/>
    <row r="270" x14ac:dyDescent="0.2"/>
    <row r="271" x14ac:dyDescent="0.2"/>
    <row r="272" x14ac:dyDescent="0.2"/>
    <row r="273" x14ac:dyDescent="0.2"/>
    <row r="274" x14ac:dyDescent="0.2"/>
    <row r="275" x14ac:dyDescent="0.2"/>
    <row r="276" x14ac:dyDescent="0.2"/>
    <row r="277" x14ac:dyDescent="0.2"/>
    <row r="278" x14ac:dyDescent="0.2"/>
    <row r="279" x14ac:dyDescent="0.2"/>
    <row r="280" x14ac:dyDescent="0.2"/>
    <row r="281" x14ac:dyDescent="0.2"/>
    <row r="282" x14ac:dyDescent="0.2"/>
    <row r="283" x14ac:dyDescent="0.2"/>
    <row r="284" x14ac:dyDescent="0.2"/>
    <row r="285" x14ac:dyDescent="0.2"/>
    <row r="286" x14ac:dyDescent="0.2"/>
    <row r="287" x14ac:dyDescent="0.2"/>
    <row r="288" x14ac:dyDescent="0.2"/>
    <row r="289" x14ac:dyDescent="0.2"/>
    <row r="290" x14ac:dyDescent="0.2"/>
    <row r="291" x14ac:dyDescent="0.2"/>
    <row r="292" x14ac:dyDescent="0.2"/>
    <row r="293" x14ac:dyDescent="0.2"/>
    <row r="294" x14ac:dyDescent="0.2"/>
    <row r="295" x14ac:dyDescent="0.2"/>
    <row r="296" x14ac:dyDescent="0.2"/>
    <row r="297" x14ac:dyDescent="0.2"/>
    <row r="298" x14ac:dyDescent="0.2"/>
    <row r="299" x14ac:dyDescent="0.2"/>
    <row r="300" x14ac:dyDescent="0.2"/>
    <row r="301" x14ac:dyDescent="0.2"/>
    <row r="302" x14ac:dyDescent="0.2"/>
    <row r="303" x14ac:dyDescent="0.2"/>
    <row r="304" x14ac:dyDescent="0.2"/>
    <row r="305" x14ac:dyDescent="0.2"/>
    <row r="306" x14ac:dyDescent="0.2"/>
    <row r="307" x14ac:dyDescent="0.2"/>
    <row r="308" x14ac:dyDescent="0.2"/>
    <row r="309" x14ac:dyDescent="0.2"/>
    <row r="310" x14ac:dyDescent="0.2"/>
    <row r="311" x14ac:dyDescent="0.2"/>
    <row r="312" x14ac:dyDescent="0.2"/>
    <row r="313" x14ac:dyDescent="0.2"/>
    <row r="314" x14ac:dyDescent="0.2"/>
    <row r="315" x14ac:dyDescent="0.2"/>
    <row r="316" x14ac:dyDescent="0.2"/>
    <row r="317" x14ac:dyDescent="0.2"/>
    <row r="318" x14ac:dyDescent="0.2"/>
    <row r="319" x14ac:dyDescent="0.2"/>
    <row r="320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  <row r="329" x14ac:dyDescent="0.2"/>
    <row r="330" x14ac:dyDescent="0.2"/>
    <row r="331" x14ac:dyDescent="0.2"/>
    <row r="332" x14ac:dyDescent="0.2"/>
    <row r="333" x14ac:dyDescent="0.2"/>
    <row r="334" x14ac:dyDescent="0.2"/>
    <row r="335" x14ac:dyDescent="0.2"/>
    <row r="336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  <row r="350" x14ac:dyDescent="0.2"/>
    <row r="351" x14ac:dyDescent="0.2"/>
    <row r="352" x14ac:dyDescent="0.2"/>
    <row r="353" x14ac:dyDescent="0.2"/>
    <row r="354" x14ac:dyDescent="0.2"/>
    <row r="355" x14ac:dyDescent="0.2"/>
    <row r="356" x14ac:dyDescent="0.2"/>
    <row r="357" x14ac:dyDescent="0.2"/>
    <row r="358" x14ac:dyDescent="0.2"/>
    <row r="359" x14ac:dyDescent="0.2"/>
    <row r="360" x14ac:dyDescent="0.2"/>
    <row r="361" x14ac:dyDescent="0.2"/>
    <row r="362" x14ac:dyDescent="0.2"/>
    <row r="363" x14ac:dyDescent="0.2"/>
    <row r="364" x14ac:dyDescent="0.2"/>
    <row r="365" x14ac:dyDescent="0.2"/>
    <row r="366" x14ac:dyDescent="0.2"/>
    <row r="367" x14ac:dyDescent="0.2"/>
    <row r="368" x14ac:dyDescent="0.2"/>
    <row r="369" x14ac:dyDescent="0.2"/>
    <row r="370" x14ac:dyDescent="0.2"/>
    <row r="371" x14ac:dyDescent="0.2"/>
    <row r="372" x14ac:dyDescent="0.2"/>
    <row r="373" x14ac:dyDescent="0.2"/>
    <row r="374" x14ac:dyDescent="0.2"/>
    <row r="375" x14ac:dyDescent="0.2"/>
    <row r="376" x14ac:dyDescent="0.2"/>
    <row r="377" x14ac:dyDescent="0.2"/>
    <row r="378" x14ac:dyDescent="0.2"/>
    <row r="379" x14ac:dyDescent="0.2"/>
    <row r="380" x14ac:dyDescent="0.2"/>
    <row r="381" x14ac:dyDescent="0.2"/>
    <row r="382" x14ac:dyDescent="0.2"/>
    <row r="383" x14ac:dyDescent="0.2"/>
    <row r="384" x14ac:dyDescent="0.2"/>
    <row r="385" x14ac:dyDescent="0.2"/>
    <row r="386" x14ac:dyDescent="0.2"/>
    <row r="387" x14ac:dyDescent="0.2"/>
    <row r="388" x14ac:dyDescent="0.2"/>
    <row r="389" x14ac:dyDescent="0.2"/>
    <row r="390" x14ac:dyDescent="0.2"/>
    <row r="391" x14ac:dyDescent="0.2"/>
    <row r="392" x14ac:dyDescent="0.2"/>
    <row r="393" x14ac:dyDescent="0.2"/>
    <row r="394" x14ac:dyDescent="0.2"/>
    <row r="395" x14ac:dyDescent="0.2"/>
    <row r="396" x14ac:dyDescent="0.2"/>
    <row r="397" x14ac:dyDescent="0.2"/>
    <row r="398" x14ac:dyDescent="0.2"/>
    <row r="399" x14ac:dyDescent="0.2"/>
    <row r="400" x14ac:dyDescent="0.2"/>
    <row r="401" x14ac:dyDescent="0.2"/>
    <row r="402" x14ac:dyDescent="0.2"/>
    <row r="403" x14ac:dyDescent="0.2"/>
    <row r="404" x14ac:dyDescent="0.2"/>
    <row r="405" x14ac:dyDescent="0.2"/>
    <row r="406" x14ac:dyDescent="0.2"/>
    <row r="407" x14ac:dyDescent="0.2"/>
    <row r="408" x14ac:dyDescent="0.2"/>
    <row r="409" x14ac:dyDescent="0.2"/>
    <row r="410" x14ac:dyDescent="0.2"/>
    <row r="411" x14ac:dyDescent="0.2"/>
    <row r="412" x14ac:dyDescent="0.2"/>
    <row r="413" x14ac:dyDescent="0.2"/>
    <row r="414" x14ac:dyDescent="0.2"/>
    <row r="415" x14ac:dyDescent="0.2"/>
    <row r="416" x14ac:dyDescent="0.2"/>
    <row r="417" x14ac:dyDescent="0.2"/>
    <row r="418" x14ac:dyDescent="0.2"/>
    <row r="419" x14ac:dyDescent="0.2"/>
    <row r="420" x14ac:dyDescent="0.2"/>
    <row r="421" x14ac:dyDescent="0.2"/>
    <row r="422" x14ac:dyDescent="0.2"/>
    <row r="423" x14ac:dyDescent="0.2"/>
    <row r="424" x14ac:dyDescent="0.2"/>
    <row r="425" x14ac:dyDescent="0.2"/>
    <row r="426" x14ac:dyDescent="0.2"/>
    <row r="427" x14ac:dyDescent="0.2"/>
    <row r="428" x14ac:dyDescent="0.2"/>
    <row r="429" x14ac:dyDescent="0.2"/>
    <row r="430" x14ac:dyDescent="0.2"/>
    <row r="431" x14ac:dyDescent="0.2"/>
    <row r="432" x14ac:dyDescent="0.2"/>
    <row r="433" x14ac:dyDescent="0.2"/>
    <row r="434" x14ac:dyDescent="0.2"/>
    <row r="435" x14ac:dyDescent="0.2"/>
    <row r="436" x14ac:dyDescent="0.2"/>
    <row r="437" x14ac:dyDescent="0.2"/>
    <row r="438" x14ac:dyDescent="0.2"/>
    <row r="439" x14ac:dyDescent="0.2"/>
    <row r="440" x14ac:dyDescent="0.2"/>
    <row r="441" x14ac:dyDescent="0.2"/>
    <row r="442" x14ac:dyDescent="0.2"/>
    <row r="443" x14ac:dyDescent="0.2"/>
    <row r="444" x14ac:dyDescent="0.2"/>
    <row r="445" x14ac:dyDescent="0.2"/>
    <row r="446" x14ac:dyDescent="0.2"/>
    <row r="447" x14ac:dyDescent="0.2"/>
    <row r="448" x14ac:dyDescent="0.2"/>
    <row r="449" x14ac:dyDescent="0.2"/>
    <row r="450" x14ac:dyDescent="0.2"/>
    <row r="451" x14ac:dyDescent="0.2"/>
    <row r="452" x14ac:dyDescent="0.2"/>
    <row r="453" x14ac:dyDescent="0.2"/>
    <row r="454" x14ac:dyDescent="0.2"/>
    <row r="455" x14ac:dyDescent="0.2"/>
    <row r="456" x14ac:dyDescent="0.2"/>
    <row r="457" x14ac:dyDescent="0.2"/>
    <row r="458" x14ac:dyDescent="0.2"/>
    <row r="459" x14ac:dyDescent="0.2"/>
    <row r="460" x14ac:dyDescent="0.2"/>
    <row r="461" x14ac:dyDescent="0.2"/>
    <row r="462" x14ac:dyDescent="0.2"/>
    <row r="463" x14ac:dyDescent="0.2"/>
    <row r="464" x14ac:dyDescent="0.2"/>
    <row r="465" x14ac:dyDescent="0.2"/>
    <row r="466" x14ac:dyDescent="0.2"/>
    <row r="467" x14ac:dyDescent="0.2"/>
    <row r="468" x14ac:dyDescent="0.2"/>
    <row r="469" x14ac:dyDescent="0.2"/>
    <row r="470" x14ac:dyDescent="0.2"/>
    <row r="471" x14ac:dyDescent="0.2"/>
    <row r="472" x14ac:dyDescent="0.2"/>
    <row r="473" x14ac:dyDescent="0.2"/>
    <row r="474" x14ac:dyDescent="0.2"/>
    <row r="475" x14ac:dyDescent="0.2"/>
    <row r="476" x14ac:dyDescent="0.2"/>
    <row r="477" x14ac:dyDescent="0.2"/>
    <row r="478" x14ac:dyDescent="0.2"/>
    <row r="479" x14ac:dyDescent="0.2"/>
    <row r="480" x14ac:dyDescent="0.2"/>
    <row r="481" x14ac:dyDescent="0.2"/>
    <row r="482" x14ac:dyDescent="0.2"/>
    <row r="483" x14ac:dyDescent="0.2"/>
    <row r="484" x14ac:dyDescent="0.2"/>
    <row r="485" x14ac:dyDescent="0.2"/>
    <row r="486" x14ac:dyDescent="0.2"/>
    <row r="487" x14ac:dyDescent="0.2"/>
    <row r="488" x14ac:dyDescent="0.2"/>
    <row r="489" x14ac:dyDescent="0.2"/>
    <row r="490" x14ac:dyDescent="0.2"/>
    <row r="491" x14ac:dyDescent="0.2"/>
    <row r="492" x14ac:dyDescent="0.2"/>
    <row r="493" x14ac:dyDescent="0.2"/>
    <row r="494" x14ac:dyDescent="0.2"/>
    <row r="495" x14ac:dyDescent="0.2"/>
    <row r="496" x14ac:dyDescent="0.2"/>
    <row r="497" x14ac:dyDescent="0.2"/>
    <row r="498" x14ac:dyDescent="0.2"/>
    <row r="499" x14ac:dyDescent="0.2"/>
    <row r="500" x14ac:dyDescent="0.2"/>
    <row r="501" x14ac:dyDescent="0.2"/>
    <row r="502" x14ac:dyDescent="0.2"/>
    <row r="503" x14ac:dyDescent="0.2"/>
    <row r="504" x14ac:dyDescent="0.2"/>
    <row r="505" x14ac:dyDescent="0.2"/>
    <row r="506" x14ac:dyDescent="0.2"/>
    <row r="507" x14ac:dyDescent="0.2"/>
    <row r="508" x14ac:dyDescent="0.2"/>
    <row r="509" x14ac:dyDescent="0.2"/>
    <row r="510" x14ac:dyDescent="0.2"/>
    <row r="511" x14ac:dyDescent="0.2"/>
    <row r="512" x14ac:dyDescent="0.2"/>
    <row r="513" x14ac:dyDescent="0.2"/>
    <row r="514" x14ac:dyDescent="0.2"/>
    <row r="515" x14ac:dyDescent="0.2"/>
    <row r="516" x14ac:dyDescent="0.2"/>
    <row r="517" x14ac:dyDescent="0.2"/>
    <row r="518" x14ac:dyDescent="0.2"/>
    <row r="519" x14ac:dyDescent="0.2"/>
    <row r="520" x14ac:dyDescent="0.2"/>
    <row r="521" x14ac:dyDescent="0.2"/>
    <row r="522" x14ac:dyDescent="0.2"/>
    <row r="523" x14ac:dyDescent="0.2"/>
    <row r="524" x14ac:dyDescent="0.2"/>
    <row r="525" x14ac:dyDescent="0.2"/>
    <row r="526" x14ac:dyDescent="0.2"/>
    <row r="527" x14ac:dyDescent="0.2"/>
    <row r="528" x14ac:dyDescent="0.2"/>
    <row r="529" x14ac:dyDescent="0.2"/>
    <row r="530" x14ac:dyDescent="0.2"/>
    <row r="531" x14ac:dyDescent="0.2"/>
    <row r="532" x14ac:dyDescent="0.2"/>
    <row r="533" x14ac:dyDescent="0.2"/>
    <row r="534" x14ac:dyDescent="0.2"/>
    <row r="535" x14ac:dyDescent="0.2"/>
    <row r="536" x14ac:dyDescent="0.2"/>
    <row r="537" x14ac:dyDescent="0.2"/>
    <row r="538" x14ac:dyDescent="0.2"/>
    <row r="539" x14ac:dyDescent="0.2"/>
    <row r="540" x14ac:dyDescent="0.2"/>
    <row r="541" x14ac:dyDescent="0.2"/>
    <row r="542" x14ac:dyDescent="0.2"/>
    <row r="543" x14ac:dyDescent="0.2"/>
    <row r="544" x14ac:dyDescent="0.2"/>
    <row r="545" x14ac:dyDescent="0.2"/>
    <row r="546" x14ac:dyDescent="0.2"/>
    <row r="547" x14ac:dyDescent="0.2"/>
    <row r="548" x14ac:dyDescent="0.2"/>
    <row r="549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  <row r="558" x14ac:dyDescent="0.2"/>
    <row r="559" x14ac:dyDescent="0.2"/>
    <row r="560" x14ac:dyDescent="0.2"/>
    <row r="561" x14ac:dyDescent="0.2"/>
    <row r="562" x14ac:dyDescent="0.2"/>
    <row r="563" x14ac:dyDescent="0.2"/>
    <row r="564" x14ac:dyDescent="0.2"/>
    <row r="565" x14ac:dyDescent="0.2"/>
    <row r="566" x14ac:dyDescent="0.2"/>
    <row r="567" x14ac:dyDescent="0.2"/>
    <row r="568" x14ac:dyDescent="0.2"/>
    <row r="569" x14ac:dyDescent="0.2"/>
    <row r="570" x14ac:dyDescent="0.2"/>
    <row r="571" x14ac:dyDescent="0.2"/>
    <row r="572" x14ac:dyDescent="0.2"/>
    <row r="573" x14ac:dyDescent="0.2"/>
    <row r="574" x14ac:dyDescent="0.2"/>
    <row r="575" x14ac:dyDescent="0.2"/>
    <row r="576" x14ac:dyDescent="0.2"/>
    <row r="577" x14ac:dyDescent="0.2"/>
    <row r="578" x14ac:dyDescent="0.2"/>
    <row r="579" x14ac:dyDescent="0.2"/>
    <row r="580" x14ac:dyDescent="0.2"/>
    <row r="581" x14ac:dyDescent="0.2"/>
    <row r="582" x14ac:dyDescent="0.2"/>
    <row r="583" x14ac:dyDescent="0.2"/>
    <row r="584" x14ac:dyDescent="0.2"/>
    <row r="585" x14ac:dyDescent="0.2"/>
    <row r="586" x14ac:dyDescent="0.2"/>
    <row r="587" x14ac:dyDescent="0.2"/>
    <row r="588" x14ac:dyDescent="0.2"/>
    <row r="589" x14ac:dyDescent="0.2"/>
    <row r="590" x14ac:dyDescent="0.2"/>
    <row r="591" x14ac:dyDescent="0.2"/>
    <row r="592" x14ac:dyDescent="0.2"/>
    <row r="593" x14ac:dyDescent="0.2"/>
    <row r="594" x14ac:dyDescent="0.2"/>
    <row r="595" x14ac:dyDescent="0.2"/>
    <row r="596" x14ac:dyDescent="0.2"/>
    <row r="597" x14ac:dyDescent="0.2"/>
    <row r="598" x14ac:dyDescent="0.2"/>
    <row r="599" x14ac:dyDescent="0.2"/>
    <row r="600" x14ac:dyDescent="0.2"/>
    <row r="601" x14ac:dyDescent="0.2"/>
    <row r="602" x14ac:dyDescent="0.2"/>
    <row r="603" x14ac:dyDescent="0.2"/>
    <row r="604" x14ac:dyDescent="0.2"/>
    <row r="605" x14ac:dyDescent="0.2"/>
    <row r="606" x14ac:dyDescent="0.2"/>
    <row r="607" x14ac:dyDescent="0.2"/>
    <row r="608" x14ac:dyDescent="0.2"/>
    <row r="609" x14ac:dyDescent="0.2"/>
    <row r="610" x14ac:dyDescent="0.2"/>
    <row r="611" x14ac:dyDescent="0.2"/>
    <row r="612" x14ac:dyDescent="0.2"/>
    <row r="613" x14ac:dyDescent="0.2"/>
    <row r="614" x14ac:dyDescent="0.2"/>
    <row r="615" x14ac:dyDescent="0.2"/>
    <row r="616" x14ac:dyDescent="0.2"/>
    <row r="617" x14ac:dyDescent="0.2"/>
    <row r="618" x14ac:dyDescent="0.2"/>
    <row r="619" x14ac:dyDescent="0.2"/>
    <row r="620" x14ac:dyDescent="0.2"/>
    <row r="621" x14ac:dyDescent="0.2"/>
    <row r="622" x14ac:dyDescent="0.2"/>
    <row r="623" x14ac:dyDescent="0.2"/>
    <row r="624" x14ac:dyDescent="0.2"/>
    <row r="625" x14ac:dyDescent="0.2"/>
    <row r="626" x14ac:dyDescent="0.2"/>
    <row r="627" x14ac:dyDescent="0.2"/>
    <row r="628" x14ac:dyDescent="0.2"/>
    <row r="629" x14ac:dyDescent="0.2"/>
    <row r="630" x14ac:dyDescent="0.2"/>
    <row r="631" x14ac:dyDescent="0.2"/>
    <row r="632" x14ac:dyDescent="0.2"/>
    <row r="633" x14ac:dyDescent="0.2"/>
    <row r="634" x14ac:dyDescent="0.2"/>
    <row r="635" x14ac:dyDescent="0.2"/>
    <row r="636" x14ac:dyDescent="0.2"/>
    <row r="637" x14ac:dyDescent="0.2"/>
    <row r="638" x14ac:dyDescent="0.2"/>
    <row r="639" x14ac:dyDescent="0.2"/>
    <row r="640" x14ac:dyDescent="0.2"/>
    <row r="641" x14ac:dyDescent="0.2"/>
    <row r="642" x14ac:dyDescent="0.2"/>
    <row r="643" x14ac:dyDescent="0.2"/>
    <row r="644" x14ac:dyDescent="0.2"/>
    <row r="645" x14ac:dyDescent="0.2"/>
    <row r="646" x14ac:dyDescent="0.2"/>
    <row r="647" x14ac:dyDescent="0.2"/>
    <row r="648" x14ac:dyDescent="0.2"/>
    <row r="649" x14ac:dyDescent="0.2"/>
    <row r="650" x14ac:dyDescent="0.2"/>
    <row r="651" x14ac:dyDescent="0.2"/>
    <row r="652" x14ac:dyDescent="0.2"/>
    <row r="653" x14ac:dyDescent="0.2"/>
    <row r="654" x14ac:dyDescent="0.2"/>
    <row r="655" x14ac:dyDescent="0.2"/>
    <row r="656" x14ac:dyDescent="0.2"/>
    <row r="657" x14ac:dyDescent="0.2"/>
    <row r="658" x14ac:dyDescent="0.2"/>
    <row r="659" x14ac:dyDescent="0.2"/>
    <row r="660" x14ac:dyDescent="0.2"/>
    <row r="661" x14ac:dyDescent="0.2"/>
    <row r="662" x14ac:dyDescent="0.2"/>
    <row r="663" x14ac:dyDescent="0.2"/>
    <row r="664" x14ac:dyDescent="0.2"/>
    <row r="665" x14ac:dyDescent="0.2"/>
    <row r="666" x14ac:dyDescent="0.2"/>
    <row r="667" x14ac:dyDescent="0.2"/>
    <row r="668" x14ac:dyDescent="0.2"/>
    <row r="669" x14ac:dyDescent="0.2"/>
    <row r="670" x14ac:dyDescent="0.2"/>
    <row r="671" x14ac:dyDescent="0.2"/>
    <row r="672" x14ac:dyDescent="0.2"/>
    <row r="673" x14ac:dyDescent="0.2"/>
    <row r="674" x14ac:dyDescent="0.2"/>
    <row r="675" x14ac:dyDescent="0.2"/>
    <row r="676" x14ac:dyDescent="0.2"/>
    <row r="677" x14ac:dyDescent="0.2"/>
    <row r="678" x14ac:dyDescent="0.2"/>
    <row r="679" x14ac:dyDescent="0.2"/>
    <row r="680" x14ac:dyDescent="0.2"/>
    <row r="681" x14ac:dyDescent="0.2"/>
    <row r="682" x14ac:dyDescent="0.2"/>
    <row r="683" x14ac:dyDescent="0.2"/>
    <row r="684" x14ac:dyDescent="0.2"/>
    <row r="685" x14ac:dyDescent="0.2"/>
    <row r="686" x14ac:dyDescent="0.2"/>
    <row r="687" x14ac:dyDescent="0.2"/>
    <row r="688" x14ac:dyDescent="0.2"/>
    <row r="689" x14ac:dyDescent="0.2"/>
    <row r="690" x14ac:dyDescent="0.2"/>
    <row r="691" x14ac:dyDescent="0.2"/>
    <row r="692" x14ac:dyDescent="0.2"/>
    <row r="693" x14ac:dyDescent="0.2"/>
    <row r="694" x14ac:dyDescent="0.2"/>
    <row r="695" x14ac:dyDescent="0.2"/>
    <row r="696" x14ac:dyDescent="0.2"/>
    <row r="697" x14ac:dyDescent="0.2"/>
    <row r="698" x14ac:dyDescent="0.2"/>
    <row r="699" x14ac:dyDescent="0.2"/>
    <row r="700" x14ac:dyDescent="0.2"/>
    <row r="701" x14ac:dyDescent="0.2"/>
    <row r="702" x14ac:dyDescent="0.2"/>
    <row r="703" x14ac:dyDescent="0.2"/>
    <row r="704" x14ac:dyDescent="0.2"/>
    <row r="705" x14ac:dyDescent="0.2"/>
    <row r="706" x14ac:dyDescent="0.2"/>
    <row r="707" x14ac:dyDescent="0.2"/>
    <row r="708" x14ac:dyDescent="0.2"/>
    <row r="709" x14ac:dyDescent="0.2"/>
    <row r="710" x14ac:dyDescent="0.2"/>
    <row r="711" x14ac:dyDescent="0.2"/>
    <row r="712" x14ac:dyDescent="0.2"/>
    <row r="713" x14ac:dyDescent="0.2"/>
    <row r="714" x14ac:dyDescent="0.2"/>
    <row r="715" x14ac:dyDescent="0.2"/>
    <row r="716" x14ac:dyDescent="0.2"/>
    <row r="717" x14ac:dyDescent="0.2"/>
    <row r="718" x14ac:dyDescent="0.2"/>
    <row r="719" x14ac:dyDescent="0.2"/>
    <row r="720" x14ac:dyDescent="0.2"/>
    <row r="721" x14ac:dyDescent="0.2"/>
    <row r="722" x14ac:dyDescent="0.2"/>
    <row r="723" x14ac:dyDescent="0.2"/>
    <row r="724" x14ac:dyDescent="0.2"/>
    <row r="725" x14ac:dyDescent="0.2"/>
    <row r="726" x14ac:dyDescent="0.2"/>
    <row r="727" x14ac:dyDescent="0.2"/>
    <row r="728" x14ac:dyDescent="0.2"/>
    <row r="729" x14ac:dyDescent="0.2"/>
    <row r="730" x14ac:dyDescent="0.2"/>
    <row r="731" x14ac:dyDescent="0.2"/>
    <row r="732" x14ac:dyDescent="0.2"/>
    <row r="733" x14ac:dyDescent="0.2"/>
    <row r="734" x14ac:dyDescent="0.2"/>
    <row r="735" x14ac:dyDescent="0.2"/>
    <row r="736" x14ac:dyDescent="0.2"/>
    <row r="737" x14ac:dyDescent="0.2"/>
    <row r="738" x14ac:dyDescent="0.2"/>
    <row r="739" x14ac:dyDescent="0.2"/>
    <row r="740" x14ac:dyDescent="0.2"/>
    <row r="741" x14ac:dyDescent="0.2"/>
    <row r="742" x14ac:dyDescent="0.2"/>
    <row r="743" x14ac:dyDescent="0.2"/>
    <row r="744" x14ac:dyDescent="0.2"/>
    <row r="745" x14ac:dyDescent="0.2"/>
    <row r="746" x14ac:dyDescent="0.2"/>
    <row r="747" x14ac:dyDescent="0.2"/>
    <row r="748" x14ac:dyDescent="0.2"/>
    <row r="749" x14ac:dyDescent="0.2"/>
    <row r="750" x14ac:dyDescent="0.2"/>
    <row r="751" x14ac:dyDescent="0.2"/>
    <row r="752" x14ac:dyDescent="0.2"/>
    <row r="753" x14ac:dyDescent="0.2"/>
    <row r="754" x14ac:dyDescent="0.2"/>
    <row r="755" x14ac:dyDescent="0.2"/>
    <row r="756" x14ac:dyDescent="0.2"/>
    <row r="757" x14ac:dyDescent="0.2"/>
    <row r="758" x14ac:dyDescent="0.2"/>
    <row r="759" x14ac:dyDescent="0.2"/>
    <row r="760" x14ac:dyDescent="0.2"/>
    <row r="761" x14ac:dyDescent="0.2"/>
    <row r="762" x14ac:dyDescent="0.2"/>
    <row r="763" x14ac:dyDescent="0.2"/>
    <row r="764" x14ac:dyDescent="0.2"/>
    <row r="765" x14ac:dyDescent="0.2"/>
    <row r="766" x14ac:dyDescent="0.2"/>
    <row r="767" x14ac:dyDescent="0.2"/>
    <row r="768" x14ac:dyDescent="0.2"/>
    <row r="769" x14ac:dyDescent="0.2"/>
    <row r="770" x14ac:dyDescent="0.2"/>
    <row r="771" x14ac:dyDescent="0.2"/>
    <row r="772" x14ac:dyDescent="0.2"/>
    <row r="773" x14ac:dyDescent="0.2"/>
    <row r="774" x14ac:dyDescent="0.2"/>
    <row r="775" x14ac:dyDescent="0.2"/>
    <row r="776" x14ac:dyDescent="0.2"/>
    <row r="777" x14ac:dyDescent="0.2"/>
    <row r="778" x14ac:dyDescent="0.2"/>
    <row r="779" x14ac:dyDescent="0.2"/>
    <row r="780" x14ac:dyDescent="0.2"/>
    <row r="781" x14ac:dyDescent="0.2"/>
    <row r="782" x14ac:dyDescent="0.2"/>
    <row r="783" x14ac:dyDescent="0.2"/>
    <row r="784" x14ac:dyDescent="0.2"/>
    <row r="785" x14ac:dyDescent="0.2"/>
    <row r="786" x14ac:dyDescent="0.2"/>
    <row r="787" x14ac:dyDescent="0.2"/>
    <row r="788" x14ac:dyDescent="0.2"/>
    <row r="789" x14ac:dyDescent="0.2"/>
    <row r="790" x14ac:dyDescent="0.2"/>
    <row r="791" x14ac:dyDescent="0.2"/>
    <row r="792" x14ac:dyDescent="0.2"/>
    <row r="793" x14ac:dyDescent="0.2"/>
    <row r="794" x14ac:dyDescent="0.2"/>
    <row r="795" x14ac:dyDescent="0.2"/>
    <row r="796" x14ac:dyDescent="0.2"/>
    <row r="797" x14ac:dyDescent="0.2"/>
    <row r="798" x14ac:dyDescent="0.2"/>
    <row r="799" x14ac:dyDescent="0.2"/>
    <row r="800" x14ac:dyDescent="0.2"/>
    <row r="801" x14ac:dyDescent="0.2"/>
    <row r="802" x14ac:dyDescent="0.2"/>
    <row r="803" x14ac:dyDescent="0.2"/>
    <row r="804" x14ac:dyDescent="0.2"/>
    <row r="805" x14ac:dyDescent="0.2"/>
    <row r="806" x14ac:dyDescent="0.2"/>
    <row r="807" x14ac:dyDescent="0.2"/>
    <row r="808" x14ac:dyDescent="0.2"/>
    <row r="809" x14ac:dyDescent="0.2"/>
    <row r="810" x14ac:dyDescent="0.2"/>
  </sheetData>
  <pageMargins left="0.25" right="0.25" top="0.75" bottom="0.75" header="0.3" footer="0.3"/>
  <pageSetup paperSize="9" scale="3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737E-41CF-42A2-A119-76A4B8382B50}">
  <sheetPr codeName="Sheet19">
    <tabColor rgb="FFFFFF00"/>
    <pageSetUpPr fitToPage="1"/>
  </sheetPr>
  <dimension ref="A1:AK1328"/>
  <sheetViews>
    <sheetView showGridLines="0" zoomScale="70" zoomScaleNormal="70" workbookViewId="0">
      <pane xSplit="7" ySplit="10" topLeftCell="H22" activePane="bottomRight" state="frozen"/>
      <selection activeCell="D33" sqref="D33"/>
      <selection pane="topRight" activeCell="D33" sqref="D33"/>
      <selection pane="bottomLeft" activeCell="D33" sqref="D33"/>
      <selection pane="bottomRight" activeCell="M44" sqref="M44"/>
    </sheetView>
  </sheetViews>
  <sheetFormatPr defaultColWidth="0" defaultRowHeight="12.75" zeroHeight="1" outlineLevelRow="1" x14ac:dyDescent="0.2"/>
  <cols>
    <col min="1" max="1" width="8.125" style="10" customWidth="1"/>
    <col min="2" max="2" width="20.75" style="10" customWidth="1"/>
    <col min="3" max="3" width="20.5" style="10" customWidth="1"/>
    <col min="4" max="4" width="16.875" style="10" bestFit="1" customWidth="1"/>
    <col min="5" max="5" width="12.375" style="10" customWidth="1"/>
    <col min="6" max="6" width="14.25" customWidth="1"/>
    <col min="7" max="7" width="11.625" style="10" customWidth="1"/>
    <col min="8" max="8" width="10" style="10" customWidth="1"/>
    <col min="9" max="33" width="11" style="10" customWidth="1"/>
    <col min="34" max="35" width="9" style="10" customWidth="1"/>
    <col min="36" max="37" width="0" style="10" hidden="1" customWidth="1"/>
    <col min="38" max="16384" width="9" style="10" hidden="1"/>
  </cols>
  <sheetData>
    <row r="1" spans="1:33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s="8" customFormat="1" ht="18.75" x14ac:dyDescent="0.3">
      <c r="A2" s="56" t="str">
        <f>proj</f>
        <v>Apollo Bay microgrid</v>
      </c>
      <c r="B2" s="56"/>
      <c r="C2" s="56"/>
      <c r="D2" s="56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spans="1:33" s="2" customFormat="1" ht="18.75" x14ac:dyDescent="0.3">
      <c r="A3" s="204" t="s">
        <v>224</v>
      </c>
      <c r="B3" s="5"/>
      <c r="D3" s="34"/>
      <c r="E3" s="34"/>
      <c r="F3" s="3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</row>
    <row r="4" spans="1:33" s="2" customFormat="1" ht="6.75" customHeight="1" x14ac:dyDescent="0.2">
      <c r="A4" s="115"/>
      <c r="B4" s="115"/>
      <c r="D4" s="116"/>
      <c r="E4" s="116"/>
      <c r="F4" s="116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</row>
    <row r="5" spans="1:33" s="2" customFormat="1" hidden="1" outlineLevel="1" x14ac:dyDescent="0.2">
      <c r="A5" s="116" t="s">
        <v>198</v>
      </c>
      <c r="B5" s="116"/>
      <c r="D5" s="117"/>
      <c r="E5" s="116"/>
      <c r="F5" s="116"/>
      <c r="G5" s="101"/>
      <c r="H5" s="189">
        <f>Consol!H5</f>
        <v>0</v>
      </c>
      <c r="I5" s="189">
        <f>Consol!I5</f>
        <v>0.98294637436598087</v>
      </c>
      <c r="J5" s="189">
        <f>Consol!J5</f>
        <v>0.94970664189949849</v>
      </c>
      <c r="K5" s="189">
        <f>Consol!K5</f>
        <v>0.91759095835700344</v>
      </c>
      <c r="L5" s="189">
        <f>Consol!L5</f>
        <v>0.88656131242222558</v>
      </c>
      <c r="M5" s="189">
        <f>Consol!M5</f>
        <v>0.85658097818572532</v>
      </c>
      <c r="N5" s="189">
        <f>Consol!N5</f>
        <v>0.8276144716770294</v>
      </c>
      <c r="O5" s="189">
        <f>Consol!O5</f>
        <v>0.79962750886669509</v>
      </c>
      <c r="P5" s="189">
        <f>Consol!P5</f>
        <v>0.77258696508859437</v>
      </c>
      <c r="Q5" s="189">
        <f>Consol!Q5</f>
        <v>0.74646083583439071</v>
      </c>
      <c r="R5" s="189">
        <f>Consol!R5</f>
        <v>0.72121819887380756</v>
      </c>
      <c r="S5" s="189">
        <f>Consol!S5</f>
        <v>0.69682917765585273</v>
      </c>
      <c r="T5" s="189">
        <f>Consol!T5</f>
        <v>0.67326490594768384</v>
      </c>
      <c r="U5" s="189">
        <f>Consol!U5</f>
        <v>0.6504974936692598</v>
      </c>
      <c r="V5" s="189">
        <f>Consol!V5</f>
        <v>0.62849999388334288</v>
      </c>
      <c r="W5" s="189">
        <f>Consol!W5</f>
        <v>0.60724637090178057</v>
      </c>
      <c r="X5" s="189">
        <f>Consol!X5</f>
        <v>0.58671146947031949</v>
      </c>
      <c r="Y5" s="189">
        <f>Consol!Y5</f>
        <v>0.56687098499547783</v>
      </c>
      <c r="Z5" s="189">
        <f>Consol!Z5</f>
        <v>0.54770143477823952</v>
      </c>
      <c r="AA5" s="189">
        <f>Consol!AA5</f>
        <v>0.52918013022052135</v>
      </c>
      <c r="AB5" s="189">
        <f>Consol!AB5</f>
        <v>0.5112851499715183</v>
      </c>
      <c r="AC5" s="189">
        <f>Consol!AC5</f>
        <v>0.4939953139821433</v>
      </c>
      <c r="AD5" s="189">
        <f>Consol!AD5</f>
        <v>0.47729015843685346</v>
      </c>
      <c r="AE5" s="189">
        <f>Consol!AE5</f>
        <v>0.46114991153319179</v>
      </c>
      <c r="AF5" s="189">
        <f>Consol!AF5</f>
        <v>0.4455554700803786</v>
      </c>
      <c r="AG5" s="189">
        <f>Consol!AG5</f>
        <v>0.43048837688925473</v>
      </c>
    </row>
    <row r="6" spans="1:33" s="2" customFormat="1" hidden="1" outlineLevel="1" x14ac:dyDescent="0.2">
      <c r="A6" s="190" t="str">
        <f>'Option1 (base case)'!A6</f>
        <v>Count</v>
      </c>
      <c r="B6" s="116"/>
      <c r="D6" s="117"/>
      <c r="E6" s="116"/>
      <c r="F6" s="116"/>
      <c r="G6" s="101"/>
      <c r="H6" s="190">
        <f>Consol!H6</f>
        <v>0</v>
      </c>
      <c r="I6" s="190">
        <f>Consol!I6</f>
        <v>1</v>
      </c>
      <c r="J6" s="190">
        <f>Consol!J6</f>
        <v>2</v>
      </c>
      <c r="K6" s="190">
        <f>Consol!K6</f>
        <v>3</v>
      </c>
      <c r="L6" s="190">
        <f>Consol!L6</f>
        <v>4</v>
      </c>
      <c r="M6" s="190">
        <f>Consol!M6</f>
        <v>5</v>
      </c>
      <c r="N6" s="190">
        <f>Consol!N6</f>
        <v>6</v>
      </c>
      <c r="O6" s="190">
        <f>Consol!O6</f>
        <v>7</v>
      </c>
      <c r="P6" s="190">
        <f>Consol!P6</f>
        <v>8</v>
      </c>
      <c r="Q6" s="190">
        <f>Consol!Q6</f>
        <v>9</v>
      </c>
      <c r="R6" s="190">
        <f>Consol!R6</f>
        <v>10</v>
      </c>
      <c r="S6" s="190">
        <f>Consol!S6</f>
        <v>11</v>
      </c>
      <c r="T6" s="190">
        <f>Consol!T6</f>
        <v>12</v>
      </c>
      <c r="U6" s="190">
        <f>Consol!U6</f>
        <v>13</v>
      </c>
      <c r="V6" s="190">
        <f>Consol!V6</f>
        <v>14</v>
      </c>
      <c r="W6" s="190">
        <f>Consol!W6</f>
        <v>15</v>
      </c>
      <c r="X6" s="190">
        <f>Consol!X6</f>
        <v>16</v>
      </c>
      <c r="Y6" s="190">
        <f>Consol!Y6</f>
        <v>17</v>
      </c>
      <c r="Z6" s="190">
        <f>Consol!Z6</f>
        <v>18</v>
      </c>
      <c r="AA6" s="190">
        <f>Consol!AA6</f>
        <v>19</v>
      </c>
      <c r="AB6" s="190">
        <f>Consol!AB6</f>
        <v>20</v>
      </c>
      <c r="AC6" s="190">
        <f>Consol!AC6</f>
        <v>21</v>
      </c>
      <c r="AD6" s="190">
        <f>Consol!AD6</f>
        <v>22</v>
      </c>
      <c r="AE6" s="190">
        <f>Consol!AE6</f>
        <v>23</v>
      </c>
      <c r="AF6" s="190">
        <f>Consol!AF6</f>
        <v>24</v>
      </c>
      <c r="AG6" s="190">
        <f>Consol!AG6</f>
        <v>25</v>
      </c>
    </row>
    <row r="7" spans="1:33" s="2" customFormat="1" collapsed="1" x14ac:dyDescent="0.2">
      <c r="A7" s="116" t="s">
        <v>199</v>
      </c>
      <c r="B7" s="116"/>
      <c r="D7" s="117"/>
      <c r="E7" s="116"/>
      <c r="F7" s="116"/>
      <c r="G7" s="101"/>
      <c r="H7" s="256" t="b">
        <f>Consol!H7</f>
        <v>1</v>
      </c>
      <c r="I7" s="256" t="b">
        <f>Consol!I7</f>
        <v>1</v>
      </c>
      <c r="J7" s="256" t="b">
        <f>Consol!J7</f>
        <v>1</v>
      </c>
      <c r="K7" s="256" t="b">
        <f>Consol!K7</f>
        <v>1</v>
      </c>
      <c r="L7" s="256" t="b">
        <f>Consol!L7</f>
        <v>1</v>
      </c>
      <c r="M7" s="256" t="b">
        <f>Consol!M7</f>
        <v>1</v>
      </c>
      <c r="N7" s="256" t="b">
        <f>Consol!N7</f>
        <v>1</v>
      </c>
      <c r="O7" s="256" t="b">
        <f>Consol!O7</f>
        <v>1</v>
      </c>
      <c r="P7" s="256" t="b">
        <f>Consol!P7</f>
        <v>1</v>
      </c>
      <c r="Q7" s="256" t="b">
        <f>Consol!Q7</f>
        <v>1</v>
      </c>
      <c r="R7" s="256" t="b">
        <f>Consol!R7</f>
        <v>1</v>
      </c>
      <c r="S7" s="256" t="b">
        <f>Consol!S7</f>
        <v>1</v>
      </c>
      <c r="T7" s="256" t="b">
        <f>Consol!T7</f>
        <v>1</v>
      </c>
      <c r="U7" s="256" t="b">
        <f>Consol!U7</f>
        <v>1</v>
      </c>
      <c r="V7" s="256" t="b">
        <f>Consol!V7</f>
        <v>1</v>
      </c>
      <c r="W7" s="256" t="b">
        <f>Consol!W7</f>
        <v>1</v>
      </c>
      <c r="X7" s="256" t="b">
        <f>Consol!X7</f>
        <v>1</v>
      </c>
      <c r="Y7" s="256" t="b">
        <f>Consol!Y7</f>
        <v>1</v>
      </c>
      <c r="Z7" s="256" t="b">
        <f>Consol!Z7</f>
        <v>1</v>
      </c>
      <c r="AA7" s="256" t="b">
        <f>Consol!AA7</f>
        <v>1</v>
      </c>
      <c r="AB7" s="256" t="b">
        <f>Consol!AB7</f>
        <v>1</v>
      </c>
      <c r="AC7" s="256" t="b">
        <f>Consol!AC7</f>
        <v>1</v>
      </c>
      <c r="AD7" s="256" t="b">
        <f>Consol!AD7</f>
        <v>1</v>
      </c>
      <c r="AE7" s="256" t="b">
        <f>Consol!AE7</f>
        <v>1</v>
      </c>
      <c r="AF7" s="256" t="b">
        <f>Consol!AF7</f>
        <v>0</v>
      </c>
      <c r="AG7" s="256" t="b">
        <f>Consol!AG7</f>
        <v>0</v>
      </c>
    </row>
    <row r="8" spans="1:33" s="2" customFormat="1" ht="4.5" customHeight="1" x14ac:dyDescent="0.2"/>
    <row r="9" spans="1:33" s="2" customFormat="1" ht="15" x14ac:dyDescent="0.25">
      <c r="A9" s="19"/>
      <c r="B9" s="19"/>
      <c r="C9" s="19"/>
      <c r="D9" s="19"/>
      <c r="E9" s="19"/>
      <c r="F9" s="83"/>
      <c r="G9" s="20"/>
      <c r="H9" s="20">
        <f>'Option1 (base case)'!H9</f>
        <v>46203</v>
      </c>
      <c r="I9" s="20" t="str">
        <f>'Option1 (base case)'!I9</f>
        <v>2026-27</v>
      </c>
      <c r="J9" s="20" t="str">
        <f>'Option1 (base case)'!J9</f>
        <v>2027-28</v>
      </c>
      <c r="K9" s="20" t="str">
        <f>'Option1 (base case)'!K9</f>
        <v>2028-29</v>
      </c>
      <c r="L9" s="20" t="str">
        <f>'Option1 (base case)'!L9</f>
        <v>2029-30</v>
      </c>
      <c r="M9" s="20" t="str">
        <f>'Option1 (base case)'!M9</f>
        <v>2030-31</v>
      </c>
      <c r="N9" s="20" t="str">
        <f>'Option1 (base case)'!N9</f>
        <v>2031-32</v>
      </c>
      <c r="O9" s="20" t="str">
        <f>'Option1 (base case)'!O9</f>
        <v>2032-33</v>
      </c>
      <c r="P9" s="20" t="str">
        <f>'Option1 (base case)'!P9</f>
        <v>2033-34</v>
      </c>
      <c r="Q9" s="20" t="str">
        <f>'Option1 (base case)'!Q9</f>
        <v>2034-35</v>
      </c>
      <c r="R9" s="20" t="str">
        <f>'Option1 (base case)'!R9</f>
        <v>2035-36</v>
      </c>
      <c r="S9" s="20" t="str">
        <f>'Option1 (base case)'!S9</f>
        <v>2036-37</v>
      </c>
      <c r="T9" s="20" t="str">
        <f>'Option1 (base case)'!T9</f>
        <v>2037-38</v>
      </c>
      <c r="U9" s="20" t="str">
        <f>'Option1 (base case)'!U9</f>
        <v>2038-39</v>
      </c>
      <c r="V9" s="20" t="str">
        <f>'Option1 (base case)'!V9</f>
        <v>2039-40</v>
      </c>
      <c r="W9" s="20" t="str">
        <f>'Option1 (base case)'!W9</f>
        <v>2040-41</v>
      </c>
      <c r="X9" s="20" t="str">
        <f>'Option1 (base case)'!X9</f>
        <v>2041-42</v>
      </c>
      <c r="Y9" s="20" t="str">
        <f>'Option1 (base case)'!Y9</f>
        <v>2042-43</v>
      </c>
      <c r="Z9" s="20" t="str">
        <f>'Option1 (base case)'!Z9</f>
        <v>2043-44</v>
      </c>
      <c r="AA9" s="20" t="str">
        <f>'Option1 (base case)'!AA9</f>
        <v>2044-45</v>
      </c>
      <c r="AB9" s="20" t="str">
        <f>'Option1 (base case)'!AB9</f>
        <v>2045-46</v>
      </c>
      <c r="AC9" s="20" t="str">
        <f>'Option1 (base case)'!AC9</f>
        <v>2046-47</v>
      </c>
      <c r="AD9" s="20" t="str">
        <f>'Option1 (base case)'!AD9</f>
        <v>2047-48</v>
      </c>
      <c r="AE9" s="20" t="str">
        <f>'Option1 (base case)'!AE9</f>
        <v>2048-49</v>
      </c>
      <c r="AF9" s="20" t="str">
        <f>'Option1 (base case)'!AF9</f>
        <v>2049-50</v>
      </c>
      <c r="AG9" s="20" t="str">
        <f>'Option1 (base case)'!AG9</f>
        <v>2050-51</v>
      </c>
    </row>
    <row r="10" spans="1:33" s="2" customFormat="1" x14ac:dyDescent="0.2">
      <c r="D10" s="118"/>
      <c r="E10" s="118"/>
      <c r="G10" s="222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</row>
    <row r="11" spans="1:33" s="2" customFormat="1" ht="15" x14ac:dyDescent="0.2">
      <c r="A11" s="120"/>
      <c r="B11" s="120"/>
      <c r="C11" s="120"/>
      <c r="D11" s="121"/>
      <c r="E11" s="121"/>
      <c r="F11" s="70" t="s">
        <v>157</v>
      </c>
      <c r="G11" s="223"/>
      <c r="H11" s="122" t="str" cm="1">
        <f t="array" ref="H11">IF(H6=$D$4,UPPER($A$4),IF(H6=end, "END", ""))</f>
        <v/>
      </c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</row>
    <row r="12" spans="1:33" s="7" customFormat="1" x14ac:dyDescent="0.2">
      <c r="A12" s="246"/>
      <c r="B12" s="246"/>
      <c r="C12" s="246"/>
      <c r="D12" s="246"/>
      <c r="E12" s="246"/>
      <c r="F12" s="246"/>
      <c r="G12" s="247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>
        <f>Consol!AA36</f>
        <v>161523.44058299519</v>
      </c>
      <c r="AA12" s="31">
        <f>Consol!AB36</f>
        <v>164094.03729585707</v>
      </c>
      <c r="AB12" s="31">
        <f>Consol!AC36</f>
        <v>166664.63400871912</v>
      </c>
      <c r="AC12" s="31">
        <f>Consol!AD36</f>
        <v>169235.23072158208</v>
      </c>
      <c r="AD12" s="31">
        <f>Consol!AE36</f>
        <v>171805.82743444404</v>
      </c>
      <c r="AE12" s="31">
        <f>Consol!AF36</f>
        <v>0</v>
      </c>
      <c r="AF12" s="31">
        <f>Consol!AG36</f>
        <v>0</v>
      </c>
      <c r="AG12" s="247"/>
    </row>
    <row r="13" spans="1:33" s="7" customFormat="1" x14ac:dyDescent="0.2">
      <c r="A13" s="246"/>
      <c r="B13" s="246"/>
      <c r="C13" s="246"/>
      <c r="D13" s="246"/>
      <c r="E13" s="246"/>
      <c r="F13" s="246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</row>
    <row r="14" spans="1:33" s="7" customFormat="1" x14ac:dyDescent="0.2">
      <c r="A14" s="254" t="s">
        <v>146</v>
      </c>
      <c r="B14" s="254" t="s">
        <v>119</v>
      </c>
      <c r="C14" s="254" t="s">
        <v>192</v>
      </c>
      <c r="D14" s="254" t="str">
        <f>A14&amp;B14</f>
        <v>OPTION 1 (base case)NPV</v>
      </c>
      <c r="E14" s="255"/>
      <c r="F14" s="31">
        <f>SUMPRODUCT($H14:$AG14, $H$5:$AG$5)</f>
        <v>0</v>
      </c>
      <c r="G14" s="247"/>
      <c r="H14" s="31">
        <f>'Option1 (base case)'!I87*conv_2026</f>
        <v>0</v>
      </c>
      <c r="I14" s="31">
        <f>'Option1 (base case)'!J87*conv_2026</f>
        <v>0</v>
      </c>
      <c r="J14" s="31">
        <f>'Option1 (base case)'!K87*conv_2026</f>
        <v>0</v>
      </c>
      <c r="K14" s="31">
        <f>'Option1 (base case)'!L87*conv_2026</f>
        <v>0</v>
      </c>
      <c r="L14" s="31">
        <f>'Option1 (base case)'!M87*conv_2026</f>
        <v>0</v>
      </c>
      <c r="M14" s="31">
        <f>'Option1 (base case)'!N87*conv_2026</f>
        <v>0</v>
      </c>
      <c r="N14" s="31">
        <f>'Option1 (base case)'!O87*conv_2026</f>
        <v>0</v>
      </c>
      <c r="O14" s="31">
        <f>'Option1 (base case)'!P87*conv_2026</f>
        <v>0</v>
      </c>
      <c r="P14" s="31">
        <f>'Option1 (base case)'!Q87*conv_2026</f>
        <v>0</v>
      </c>
      <c r="Q14" s="31">
        <f>'Option1 (base case)'!R87*conv_2026</f>
        <v>0</v>
      </c>
      <c r="R14" s="31">
        <f>'Option1 (base case)'!S87*conv_2026</f>
        <v>0</v>
      </c>
      <c r="S14" s="31">
        <f>'Option1 (base case)'!T87*conv_2026</f>
        <v>0</v>
      </c>
      <c r="T14" s="31">
        <f>'Option1 (base case)'!U87*conv_2026</f>
        <v>0</v>
      </c>
      <c r="U14" s="31">
        <f>'Option1 (base case)'!V87*conv_2026</f>
        <v>0</v>
      </c>
      <c r="V14" s="31">
        <f>'Option1 (base case)'!W87*conv_2026</f>
        <v>0</v>
      </c>
      <c r="W14" s="31">
        <f>'Option1 (base case)'!X87*conv_2026</f>
        <v>0</v>
      </c>
      <c r="X14" s="31">
        <f>'Option1 (base case)'!Y87*conv_2026</f>
        <v>0</v>
      </c>
      <c r="Y14" s="31">
        <f>'Option1 (base case)'!Z87*conv_2026</f>
        <v>0</v>
      </c>
      <c r="Z14" s="31">
        <f>'Option1 (base case)'!AA87*conv_2026</f>
        <v>0</v>
      </c>
      <c r="AA14" s="31">
        <f>'Option1 (base case)'!AB87*conv_2026</f>
        <v>0</v>
      </c>
      <c r="AB14" s="31">
        <f>'Option1 (base case)'!AC87*conv_2026</f>
        <v>0</v>
      </c>
      <c r="AC14" s="31">
        <f>'Option1 (base case)'!AD87*conv_2026</f>
        <v>0</v>
      </c>
      <c r="AD14" s="31">
        <f>'Option1 (base case)'!AE87*conv_2026</f>
        <v>0</v>
      </c>
      <c r="AE14" s="31">
        <f>'Option1 (base case)'!AF87*conv_2026</f>
        <v>0</v>
      </c>
      <c r="AF14" s="31">
        <f>'Option1 (base case)'!AG87*conv_2026</f>
        <v>0</v>
      </c>
      <c r="AG14" s="31">
        <f>'Option1 (base case)'!AH87*conv_2026</f>
        <v>0</v>
      </c>
    </row>
    <row r="15" spans="1:33" s="7" customFormat="1" x14ac:dyDescent="0.2">
      <c r="A15" s="246"/>
      <c r="B15" s="246"/>
      <c r="C15" s="246"/>
      <c r="D15" s="246"/>
      <c r="E15" s="246"/>
      <c r="F15" s="246"/>
      <c r="G15" s="247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</row>
    <row r="16" spans="1:33" s="7" customFormat="1" x14ac:dyDescent="0.2">
      <c r="A16" s="254" t="s">
        <v>146</v>
      </c>
      <c r="B16" s="254" t="str">
        <f>'Option1 (base case)'!A110</f>
        <v>sens1</v>
      </c>
      <c r="C16" s="254" t="str">
        <f>'Option1 (base case)'!C110</f>
        <v>Capex 10% higher</v>
      </c>
      <c r="D16" s="254" t="str">
        <f t="shared" ref="D16:D23" si="0">A16&amp;B16</f>
        <v>OPTION 1 (base case)sens1</v>
      </c>
      <c r="E16" s="255"/>
      <c r="F16" s="31">
        <f>SUMPRODUCT($H16:$AG16, $H$5:$AG$5)</f>
        <v>0</v>
      </c>
      <c r="G16" s="247"/>
      <c r="H16" s="31">
        <f>(INDEX('Option1 (base case)'!H$106:H$117, MATCH($D16, 'Option1 (base case)'!$G$106:$G$117,0)))*conv_2026*H$7</f>
        <v>0</v>
      </c>
      <c r="I16" s="31">
        <f>(INDEX('Option1 (base case)'!I$106:I$117, MATCH($D16, 'Option1 (base case)'!$G$106:$G$117,0)))*conv_2026*I$7</f>
        <v>0</v>
      </c>
      <c r="J16" s="31">
        <f>(INDEX('Option1 (base case)'!J$106:J$117, MATCH($D16, 'Option1 (base case)'!$G$106:$G$117,0)))*conv_2026*J$7</f>
        <v>0</v>
      </c>
      <c r="K16" s="31">
        <f>(INDEX('Option1 (base case)'!K$106:K$117, MATCH($D16, 'Option1 (base case)'!$G$106:$G$117,0)))*conv_2026*K$7</f>
        <v>0</v>
      </c>
      <c r="L16" s="31">
        <f>(INDEX('Option1 (base case)'!L$106:L$117, MATCH($D16, 'Option1 (base case)'!$G$106:$G$117,0)))*conv_2026*L$7</f>
        <v>0</v>
      </c>
      <c r="M16" s="31">
        <f>(INDEX('Option1 (base case)'!M$106:M$117, MATCH($D16, 'Option1 (base case)'!$G$106:$G$117,0)))*conv_2026*M$7</f>
        <v>0</v>
      </c>
      <c r="N16" s="31">
        <f>(INDEX('Option1 (base case)'!N$106:N$117, MATCH($D16, 'Option1 (base case)'!$G$106:$G$117,0)))*conv_2026*N$7</f>
        <v>0</v>
      </c>
      <c r="O16" s="31">
        <f>(INDEX('Option1 (base case)'!O$106:O$117, MATCH($D16, 'Option1 (base case)'!$G$106:$G$117,0)))*conv_2026*O$7</f>
        <v>0</v>
      </c>
      <c r="P16" s="31">
        <f>(INDEX('Option1 (base case)'!P$106:P$117, MATCH($D16, 'Option1 (base case)'!$G$106:$G$117,0)))*conv_2026*P$7</f>
        <v>0</v>
      </c>
      <c r="Q16" s="31">
        <f>(INDEX('Option1 (base case)'!Q$106:Q$117, MATCH($D16, 'Option1 (base case)'!$G$106:$G$117,0)))*conv_2026*Q$7</f>
        <v>0</v>
      </c>
      <c r="R16" s="31">
        <f>(INDEX('Option1 (base case)'!R$106:R$117, MATCH($D16, 'Option1 (base case)'!$G$106:$G$117,0)))*conv_2026*R$7</f>
        <v>0</v>
      </c>
      <c r="S16" s="31">
        <f>(INDEX('Option1 (base case)'!S$106:S$117, MATCH($D16, 'Option1 (base case)'!$G$106:$G$117,0)))*conv_2026*S$7</f>
        <v>0</v>
      </c>
      <c r="T16" s="31">
        <f>(INDEX('Option1 (base case)'!T$106:T$117, MATCH($D16, 'Option1 (base case)'!$G$106:$G$117,0)))*conv_2026*T$7</f>
        <v>0</v>
      </c>
      <c r="U16" s="31">
        <f>(INDEX('Option1 (base case)'!U$106:U$117, MATCH($D16, 'Option1 (base case)'!$G$106:$G$117,0)))*conv_2026*U$7</f>
        <v>0</v>
      </c>
      <c r="V16" s="31">
        <f>(INDEX('Option1 (base case)'!V$106:V$117, MATCH($D16, 'Option1 (base case)'!$G$106:$G$117,0)))*conv_2026*V$7</f>
        <v>0</v>
      </c>
      <c r="W16" s="31">
        <f>(INDEX('Option1 (base case)'!W$106:W$117, MATCH($D16, 'Option1 (base case)'!$G$106:$G$117,0)))*conv_2026*W$7</f>
        <v>0</v>
      </c>
      <c r="X16" s="31">
        <f>(INDEX('Option1 (base case)'!X$106:X$117, MATCH($D16, 'Option1 (base case)'!$G$106:$G$117,0)))*conv_2026*X$7</f>
        <v>0</v>
      </c>
      <c r="Y16" s="31">
        <f>(INDEX('Option1 (base case)'!Y$106:Y$117, MATCH($D16, 'Option1 (base case)'!$G$106:$G$117,0)))*conv_2026*Y$7</f>
        <v>0</v>
      </c>
      <c r="Z16" s="31">
        <f>(INDEX('Option1 (base case)'!Z$106:Z$117, MATCH($D16, 'Option1 (base case)'!$G$106:$G$117,0)))*conv_2026*Z$7</f>
        <v>0</v>
      </c>
      <c r="AA16" s="31">
        <f>(INDEX('Option1 (base case)'!AA$106:AA$117, MATCH($D16, 'Option1 (base case)'!$G$106:$G$117,0)))*conv_2026*AA$7</f>
        <v>0</v>
      </c>
      <c r="AB16" s="31">
        <f>(INDEX('Option1 (base case)'!AB$106:AB$117, MATCH($D16, 'Option1 (base case)'!$G$106:$G$117,0)))*conv_2026*AB$7</f>
        <v>0</v>
      </c>
      <c r="AC16" s="31">
        <f>(INDEX('Option1 (base case)'!AC$106:AC$117, MATCH($D16, 'Option1 (base case)'!$G$106:$G$117,0)))*conv_2026*AC$7</f>
        <v>0</v>
      </c>
      <c r="AD16" s="31">
        <f>(INDEX('Option1 (base case)'!AD$106:AD$117, MATCH($D16, 'Option1 (base case)'!$G$106:$G$117,0)))*conv_2026*AD$7</f>
        <v>0</v>
      </c>
      <c r="AE16" s="31">
        <f>(INDEX('Option1 (base case)'!AE$106:AE$117, MATCH($D16, 'Option1 (base case)'!$G$106:$G$117,0)))*conv_2026*AE$7</f>
        <v>0</v>
      </c>
      <c r="AF16" s="31">
        <f>(INDEX('Option1 (base case)'!AF$106:AF$117, MATCH($D16, 'Option1 (base case)'!$G$106:$G$117,0)))*conv_2026*AF$7</f>
        <v>0</v>
      </c>
      <c r="AG16" s="31">
        <f>(INDEX('Option1 (base case)'!AG$106:AG$117, MATCH($D16, 'Option1 (base case)'!$G$106:$G$117,0)))*conv_2026*AG$7</f>
        <v>0</v>
      </c>
    </row>
    <row r="17" spans="1:35" s="7" customFormat="1" x14ac:dyDescent="0.2">
      <c r="A17" s="254" t="s">
        <v>146</v>
      </c>
      <c r="B17" s="254" t="str">
        <f>'Option1 (base case)'!A111</f>
        <v>sens2</v>
      </c>
      <c r="C17" s="254" t="str">
        <f>'Option1 (base case)'!C111</f>
        <v>Capex 10% lower</v>
      </c>
      <c r="D17" s="254" t="str">
        <f t="shared" si="0"/>
        <v>OPTION 1 (base case)sens2</v>
      </c>
      <c r="E17" s="255"/>
      <c r="F17" s="31">
        <f t="shared" ref="F17:F23" si="1">SUMPRODUCT($H17:$AG17, $H$5:$AG$5)</f>
        <v>0</v>
      </c>
      <c r="G17" s="254"/>
      <c r="H17" s="31">
        <f>(INDEX('Option1 (base case)'!H$106:H$117, MATCH($D17, 'Option1 (base case)'!$G$106:$G$117,0)))*conv_2026*H$7</f>
        <v>0</v>
      </c>
      <c r="I17" s="31">
        <f>(INDEX('Option1 (base case)'!I$106:I$117, MATCH($D17, 'Option1 (base case)'!$G$106:$G$117,0)))*conv_2026*I$7</f>
        <v>0</v>
      </c>
      <c r="J17" s="31">
        <f>(INDEX('Option1 (base case)'!J$106:J$117, MATCH($D17, 'Option1 (base case)'!$G$106:$G$117,0)))*conv_2026*J$7</f>
        <v>0</v>
      </c>
      <c r="K17" s="31">
        <f>(INDEX('Option1 (base case)'!K$106:K$117, MATCH($D17, 'Option1 (base case)'!$G$106:$G$117,0)))*conv_2026*K$7</f>
        <v>0</v>
      </c>
      <c r="L17" s="31">
        <f>(INDEX('Option1 (base case)'!L$106:L$117, MATCH($D17, 'Option1 (base case)'!$G$106:$G$117,0)))*conv_2026*L$7</f>
        <v>0</v>
      </c>
      <c r="M17" s="31">
        <f>(INDEX('Option1 (base case)'!M$106:M$117, MATCH($D17, 'Option1 (base case)'!$G$106:$G$117,0)))*conv_2026*M$7</f>
        <v>0</v>
      </c>
      <c r="N17" s="31">
        <f>(INDEX('Option1 (base case)'!N$106:N$117, MATCH($D17, 'Option1 (base case)'!$G$106:$G$117,0)))*conv_2026*N$7</f>
        <v>0</v>
      </c>
      <c r="O17" s="31">
        <f>(INDEX('Option1 (base case)'!O$106:O$117, MATCH($D17, 'Option1 (base case)'!$G$106:$G$117,0)))*conv_2026*O$7</f>
        <v>0</v>
      </c>
      <c r="P17" s="31">
        <f>(INDEX('Option1 (base case)'!P$106:P$117, MATCH($D17, 'Option1 (base case)'!$G$106:$G$117,0)))*conv_2026*P$7</f>
        <v>0</v>
      </c>
      <c r="Q17" s="31">
        <f>(INDEX('Option1 (base case)'!Q$106:Q$117, MATCH($D17, 'Option1 (base case)'!$G$106:$G$117,0)))*conv_2026*Q$7</f>
        <v>0</v>
      </c>
      <c r="R17" s="31">
        <f>(INDEX('Option1 (base case)'!R$106:R$117, MATCH($D17, 'Option1 (base case)'!$G$106:$G$117,0)))*conv_2026*R$7</f>
        <v>0</v>
      </c>
      <c r="S17" s="31">
        <f>(INDEX('Option1 (base case)'!S$106:S$117, MATCH($D17, 'Option1 (base case)'!$G$106:$G$117,0)))*conv_2026*S$7</f>
        <v>0</v>
      </c>
      <c r="T17" s="31">
        <f>(INDEX('Option1 (base case)'!T$106:T$117, MATCH($D17, 'Option1 (base case)'!$G$106:$G$117,0)))*conv_2026*T$7</f>
        <v>0</v>
      </c>
      <c r="U17" s="31">
        <f>(INDEX('Option1 (base case)'!U$106:U$117, MATCH($D17, 'Option1 (base case)'!$G$106:$G$117,0)))*conv_2026*U$7</f>
        <v>0</v>
      </c>
      <c r="V17" s="31">
        <f>(INDEX('Option1 (base case)'!V$106:V$117, MATCH($D17, 'Option1 (base case)'!$G$106:$G$117,0)))*conv_2026*V$7</f>
        <v>0</v>
      </c>
      <c r="W17" s="31">
        <f>(INDEX('Option1 (base case)'!W$106:W$117, MATCH($D17, 'Option1 (base case)'!$G$106:$G$117,0)))*conv_2026*W$7</f>
        <v>0</v>
      </c>
      <c r="X17" s="31">
        <f>(INDEX('Option1 (base case)'!X$106:X$117, MATCH($D17, 'Option1 (base case)'!$G$106:$G$117,0)))*conv_2026*X$7</f>
        <v>0</v>
      </c>
      <c r="Y17" s="31">
        <f>(INDEX('Option1 (base case)'!Y$106:Y$117, MATCH($D17, 'Option1 (base case)'!$G$106:$G$117,0)))*conv_2026*Y$7</f>
        <v>0</v>
      </c>
      <c r="Z17" s="31">
        <f>(INDEX('Option1 (base case)'!Z$106:Z$117, MATCH($D17, 'Option1 (base case)'!$G$106:$G$117,0)))*conv_2026*Z$7</f>
        <v>0</v>
      </c>
      <c r="AA17" s="31">
        <f>(INDEX('Option1 (base case)'!AA$106:AA$117, MATCH($D17, 'Option1 (base case)'!$G$106:$G$117,0)))*conv_2026*AA$7</f>
        <v>0</v>
      </c>
      <c r="AB17" s="31">
        <f>(INDEX('Option1 (base case)'!AB$106:AB$117, MATCH($D17, 'Option1 (base case)'!$G$106:$G$117,0)))*conv_2026*AB$7</f>
        <v>0</v>
      </c>
      <c r="AC17" s="31">
        <f>(INDEX('Option1 (base case)'!AC$106:AC$117, MATCH($D17, 'Option1 (base case)'!$G$106:$G$117,0)))*conv_2026*AC$7</f>
        <v>0</v>
      </c>
      <c r="AD17" s="31">
        <f>(INDEX('Option1 (base case)'!AD$106:AD$117, MATCH($D17, 'Option1 (base case)'!$G$106:$G$117,0)))*conv_2026*AD$7</f>
        <v>0</v>
      </c>
      <c r="AE17" s="31">
        <f>(INDEX('Option1 (base case)'!AE$106:AE$117, MATCH($D17, 'Option1 (base case)'!$G$106:$G$117,0)))*conv_2026*AE$7</f>
        <v>0</v>
      </c>
      <c r="AF17" s="31">
        <f>(INDEX('Option1 (base case)'!AF$106:AF$117, MATCH($D17, 'Option1 (base case)'!$G$106:$G$117,0)))*conv_2026*AF$7</f>
        <v>0</v>
      </c>
      <c r="AG17" s="31">
        <f>(INDEX('Option1 (base case)'!AG$106:AG$117, MATCH($D17, 'Option1 (base case)'!$G$106:$G$117,0)))*conv_2026*AG$7</f>
        <v>0</v>
      </c>
      <c r="AH17" s="8"/>
      <c r="AI17" s="8"/>
    </row>
    <row r="18" spans="1:35" s="7" customFormat="1" x14ac:dyDescent="0.2">
      <c r="A18" s="254" t="s">
        <v>146</v>
      </c>
      <c r="B18" s="254" t="str">
        <f>'Option1 (base case)'!A112</f>
        <v>sens3</v>
      </c>
      <c r="C18" s="254" t="str">
        <f>'Option1 (base case)'!C112</f>
        <v>Increasing wind escalation</v>
      </c>
      <c r="D18" s="254" t="str">
        <f t="shared" si="0"/>
        <v>OPTION 1 (base case)sens3</v>
      </c>
      <c r="E18" s="255"/>
      <c r="F18" s="31">
        <f t="shared" si="1"/>
        <v>0</v>
      </c>
      <c r="G18" s="8"/>
      <c r="H18" s="31">
        <f>(INDEX('Option1 (base case)'!H$106:H$117, MATCH($D18, 'Option1 (base case)'!$G$106:$G$117,0)))*conv_2026*H$7</f>
        <v>0</v>
      </c>
      <c r="I18" s="31">
        <f>(INDEX('Option1 (base case)'!I$106:I$117, MATCH($D18, 'Option1 (base case)'!$G$106:$G$117,0)))*conv_2026*I$7</f>
        <v>0</v>
      </c>
      <c r="J18" s="31">
        <f>(INDEX('Option1 (base case)'!J$106:J$117, MATCH($D18, 'Option1 (base case)'!$G$106:$G$117,0)))*conv_2026*J$7</f>
        <v>0</v>
      </c>
      <c r="K18" s="31">
        <f>(INDEX('Option1 (base case)'!K$106:K$117, MATCH($D18, 'Option1 (base case)'!$G$106:$G$117,0)))*conv_2026*K$7</f>
        <v>0</v>
      </c>
      <c r="L18" s="31">
        <f>(INDEX('Option1 (base case)'!L$106:L$117, MATCH($D18, 'Option1 (base case)'!$G$106:$G$117,0)))*conv_2026*L$7</f>
        <v>0</v>
      </c>
      <c r="M18" s="31">
        <f>(INDEX('Option1 (base case)'!M$106:M$117, MATCH($D18, 'Option1 (base case)'!$G$106:$G$117,0)))*conv_2026*M$7</f>
        <v>0</v>
      </c>
      <c r="N18" s="31">
        <f>(INDEX('Option1 (base case)'!N$106:N$117, MATCH($D18, 'Option1 (base case)'!$G$106:$G$117,0)))*conv_2026*N$7</f>
        <v>0</v>
      </c>
      <c r="O18" s="31">
        <f>(INDEX('Option1 (base case)'!O$106:O$117, MATCH($D18, 'Option1 (base case)'!$G$106:$G$117,0)))*conv_2026*O$7</f>
        <v>0</v>
      </c>
      <c r="P18" s="31">
        <f>(INDEX('Option1 (base case)'!P$106:P$117, MATCH($D18, 'Option1 (base case)'!$G$106:$G$117,0)))*conv_2026*P$7</f>
        <v>0</v>
      </c>
      <c r="Q18" s="31">
        <f>(INDEX('Option1 (base case)'!Q$106:Q$117, MATCH($D18, 'Option1 (base case)'!$G$106:$G$117,0)))*conv_2026*Q$7</f>
        <v>0</v>
      </c>
      <c r="R18" s="31">
        <f>(INDEX('Option1 (base case)'!R$106:R$117, MATCH($D18, 'Option1 (base case)'!$G$106:$G$117,0)))*conv_2026*R$7</f>
        <v>0</v>
      </c>
      <c r="S18" s="31">
        <f>(INDEX('Option1 (base case)'!S$106:S$117, MATCH($D18, 'Option1 (base case)'!$G$106:$G$117,0)))*conv_2026*S$7</f>
        <v>0</v>
      </c>
      <c r="T18" s="31">
        <f>(INDEX('Option1 (base case)'!T$106:T$117, MATCH($D18, 'Option1 (base case)'!$G$106:$G$117,0)))*conv_2026*T$7</f>
        <v>0</v>
      </c>
      <c r="U18" s="31">
        <f>(INDEX('Option1 (base case)'!U$106:U$117, MATCH($D18, 'Option1 (base case)'!$G$106:$G$117,0)))*conv_2026*U$7</f>
        <v>0</v>
      </c>
      <c r="V18" s="31">
        <f>(INDEX('Option1 (base case)'!V$106:V$117, MATCH($D18, 'Option1 (base case)'!$G$106:$G$117,0)))*conv_2026*V$7</f>
        <v>0</v>
      </c>
      <c r="W18" s="31">
        <f>(INDEX('Option1 (base case)'!W$106:W$117, MATCH($D18, 'Option1 (base case)'!$G$106:$G$117,0)))*conv_2026*W$7</f>
        <v>0</v>
      </c>
      <c r="X18" s="31">
        <f>(INDEX('Option1 (base case)'!X$106:X$117, MATCH($D18, 'Option1 (base case)'!$G$106:$G$117,0)))*conv_2026*X$7</f>
        <v>0</v>
      </c>
      <c r="Y18" s="31">
        <f>(INDEX('Option1 (base case)'!Y$106:Y$117, MATCH($D18, 'Option1 (base case)'!$G$106:$G$117,0)))*conv_2026*Y$7</f>
        <v>0</v>
      </c>
      <c r="Z18" s="31">
        <f>(INDEX('Option1 (base case)'!Z$106:Z$117, MATCH($D18, 'Option1 (base case)'!$G$106:$G$117,0)))*conv_2026*Z$7</f>
        <v>0</v>
      </c>
      <c r="AA18" s="31">
        <f>(INDEX('Option1 (base case)'!AA$106:AA$117, MATCH($D18, 'Option1 (base case)'!$G$106:$G$117,0)))*conv_2026*AA$7</f>
        <v>0</v>
      </c>
      <c r="AB18" s="31">
        <f>(INDEX('Option1 (base case)'!AB$106:AB$117, MATCH($D18, 'Option1 (base case)'!$G$106:$G$117,0)))*conv_2026*AB$7</f>
        <v>0</v>
      </c>
      <c r="AC18" s="31">
        <f>(INDEX('Option1 (base case)'!AC$106:AC$117, MATCH($D18, 'Option1 (base case)'!$G$106:$G$117,0)))*conv_2026*AC$7</f>
        <v>0</v>
      </c>
      <c r="AD18" s="31">
        <f>(INDEX('Option1 (base case)'!AD$106:AD$117, MATCH($D18, 'Option1 (base case)'!$G$106:$G$117,0)))*conv_2026*AD$7</f>
        <v>0</v>
      </c>
      <c r="AE18" s="31">
        <f>(INDEX('Option1 (base case)'!AE$106:AE$117, MATCH($D18, 'Option1 (base case)'!$G$106:$G$117,0)))*conv_2026*AE$7</f>
        <v>0</v>
      </c>
      <c r="AF18" s="31">
        <f>(INDEX('Option1 (base case)'!AF$106:AF$117, MATCH($D18, 'Option1 (base case)'!$G$106:$G$117,0)))*conv_2026*AF$7</f>
        <v>0</v>
      </c>
      <c r="AG18" s="31">
        <f>(INDEX('Option1 (base case)'!AG$106:AG$117, MATCH($D18, 'Option1 (base case)'!$G$106:$G$117,0)))*conv_2026*AG$7</f>
        <v>0</v>
      </c>
      <c r="AH18" s="8"/>
      <c r="AI18" s="8"/>
    </row>
    <row r="19" spans="1:35" s="7" customFormat="1" x14ac:dyDescent="0.2">
      <c r="A19" s="254" t="s">
        <v>146</v>
      </c>
      <c r="B19" s="254" t="str">
        <f>'Option1 (base case)'!A113</f>
        <v>sens4</v>
      </c>
      <c r="C19" s="254" t="str">
        <f>'Option1 (base case)'!C113</f>
        <v/>
      </c>
      <c r="D19" s="254" t="str">
        <f t="shared" si="0"/>
        <v>OPTION 1 (base case)sens4</v>
      </c>
      <c r="E19" s="255"/>
      <c r="F19" s="31">
        <f t="shared" si="1"/>
        <v>0</v>
      </c>
      <c r="G19" s="8"/>
      <c r="H19" s="31">
        <f>(INDEX('Option1 (base case)'!H$106:H$117, MATCH($D19, 'Option1 (base case)'!$G$106:$G$117,0)))*conv_2026*H$7</f>
        <v>0</v>
      </c>
      <c r="I19" s="31">
        <f>(INDEX('Option1 (base case)'!I$106:I$117, MATCH($D19, 'Option1 (base case)'!$G$106:$G$117,0)))*conv_2026*I$7</f>
        <v>0</v>
      </c>
      <c r="J19" s="31">
        <f>(INDEX('Option1 (base case)'!J$106:J$117, MATCH($D19, 'Option1 (base case)'!$G$106:$G$117,0)))*conv_2026*J$7</f>
        <v>0</v>
      </c>
      <c r="K19" s="31">
        <f>(INDEX('Option1 (base case)'!K$106:K$117, MATCH($D19, 'Option1 (base case)'!$G$106:$G$117,0)))*conv_2026*K$7</f>
        <v>0</v>
      </c>
      <c r="L19" s="31">
        <f>(INDEX('Option1 (base case)'!L$106:L$117, MATCH($D19, 'Option1 (base case)'!$G$106:$G$117,0)))*conv_2026*L$7</f>
        <v>0</v>
      </c>
      <c r="M19" s="31">
        <f>(INDEX('Option1 (base case)'!M$106:M$117, MATCH($D19, 'Option1 (base case)'!$G$106:$G$117,0)))*conv_2026*M$7</f>
        <v>0</v>
      </c>
      <c r="N19" s="31">
        <f>(INDEX('Option1 (base case)'!N$106:N$117, MATCH($D19, 'Option1 (base case)'!$G$106:$G$117,0)))*conv_2026*N$7</f>
        <v>0</v>
      </c>
      <c r="O19" s="31">
        <f>(INDEX('Option1 (base case)'!O$106:O$117, MATCH($D19, 'Option1 (base case)'!$G$106:$G$117,0)))*conv_2026*O$7</f>
        <v>0</v>
      </c>
      <c r="P19" s="31">
        <f>(INDEX('Option1 (base case)'!P$106:P$117, MATCH($D19, 'Option1 (base case)'!$G$106:$G$117,0)))*conv_2026*P$7</f>
        <v>0</v>
      </c>
      <c r="Q19" s="31">
        <f>(INDEX('Option1 (base case)'!Q$106:Q$117, MATCH($D19, 'Option1 (base case)'!$G$106:$G$117,0)))*conv_2026*Q$7</f>
        <v>0</v>
      </c>
      <c r="R19" s="31">
        <f>(INDEX('Option1 (base case)'!R$106:R$117, MATCH($D19, 'Option1 (base case)'!$G$106:$G$117,0)))*conv_2026*R$7</f>
        <v>0</v>
      </c>
      <c r="S19" s="31">
        <f>(INDEX('Option1 (base case)'!S$106:S$117, MATCH($D19, 'Option1 (base case)'!$G$106:$G$117,0)))*conv_2026*S$7</f>
        <v>0</v>
      </c>
      <c r="T19" s="31">
        <f>(INDEX('Option1 (base case)'!T$106:T$117, MATCH($D19, 'Option1 (base case)'!$G$106:$G$117,0)))*conv_2026*T$7</f>
        <v>0</v>
      </c>
      <c r="U19" s="31">
        <f>(INDEX('Option1 (base case)'!U$106:U$117, MATCH($D19, 'Option1 (base case)'!$G$106:$G$117,0)))*conv_2026*U$7</f>
        <v>0</v>
      </c>
      <c r="V19" s="31">
        <f>(INDEX('Option1 (base case)'!V$106:V$117, MATCH($D19, 'Option1 (base case)'!$G$106:$G$117,0)))*conv_2026*V$7</f>
        <v>0</v>
      </c>
      <c r="W19" s="31">
        <f>(INDEX('Option1 (base case)'!W$106:W$117, MATCH($D19, 'Option1 (base case)'!$G$106:$G$117,0)))*conv_2026*W$7</f>
        <v>0</v>
      </c>
      <c r="X19" s="31">
        <f>(INDEX('Option1 (base case)'!X$106:X$117, MATCH($D19, 'Option1 (base case)'!$G$106:$G$117,0)))*conv_2026*X$7</f>
        <v>0</v>
      </c>
      <c r="Y19" s="31">
        <f>(INDEX('Option1 (base case)'!Y$106:Y$117, MATCH($D19, 'Option1 (base case)'!$G$106:$G$117,0)))*conv_2026*Y$7</f>
        <v>0</v>
      </c>
      <c r="Z19" s="31">
        <f>(INDEX('Option1 (base case)'!Z$106:Z$117, MATCH($D19, 'Option1 (base case)'!$G$106:$G$117,0)))*conv_2026*Z$7</f>
        <v>0</v>
      </c>
      <c r="AA19" s="31">
        <f>(INDEX('Option1 (base case)'!AA$106:AA$117, MATCH($D19, 'Option1 (base case)'!$G$106:$G$117,0)))*conv_2026*AA$7</f>
        <v>0</v>
      </c>
      <c r="AB19" s="31">
        <f>(INDEX('Option1 (base case)'!AB$106:AB$117, MATCH($D19, 'Option1 (base case)'!$G$106:$G$117,0)))*conv_2026*AB$7</f>
        <v>0</v>
      </c>
      <c r="AC19" s="31">
        <f>(INDEX('Option1 (base case)'!AC$106:AC$117, MATCH($D19, 'Option1 (base case)'!$G$106:$G$117,0)))*conv_2026*AC$7</f>
        <v>0</v>
      </c>
      <c r="AD19" s="31">
        <f>(INDEX('Option1 (base case)'!AD$106:AD$117, MATCH($D19, 'Option1 (base case)'!$G$106:$G$117,0)))*conv_2026*AD$7</f>
        <v>0</v>
      </c>
      <c r="AE19" s="31">
        <f>(INDEX('Option1 (base case)'!AE$106:AE$117, MATCH($D19, 'Option1 (base case)'!$G$106:$G$117,0)))*conv_2026*AE$7</f>
        <v>0</v>
      </c>
      <c r="AF19" s="31">
        <f>(INDEX('Option1 (base case)'!AF$106:AF$117, MATCH($D19, 'Option1 (base case)'!$G$106:$G$117,0)))*conv_2026*AF$7</f>
        <v>0</v>
      </c>
      <c r="AG19" s="31">
        <f>(INDEX('Option1 (base case)'!AG$106:AG$117, MATCH($D19, 'Option1 (base case)'!$G$106:$G$117,0)))*conv_2026*AG$7</f>
        <v>0</v>
      </c>
      <c r="AH19" s="8"/>
      <c r="AI19" s="8"/>
    </row>
    <row r="20" spans="1:35" s="7" customFormat="1" x14ac:dyDescent="0.2">
      <c r="A20" s="254" t="s">
        <v>146</v>
      </c>
      <c r="B20" s="254" t="str">
        <f>'Option1 (base case)'!A114</f>
        <v>sens5</v>
      </c>
      <c r="C20" s="254" t="str">
        <f>'Option1 (base case)'!C114</f>
        <v/>
      </c>
      <c r="D20" s="254" t="str">
        <f t="shared" si="0"/>
        <v>OPTION 1 (base case)sens5</v>
      </c>
      <c r="E20" s="255"/>
      <c r="F20" s="31">
        <f t="shared" si="1"/>
        <v>0</v>
      </c>
      <c r="G20" s="8"/>
      <c r="H20" s="31">
        <f>(INDEX('Option1 (base case)'!H$106:H$117, MATCH($D20, 'Option1 (base case)'!$G$106:$G$117,0)))*conv_2026*H$7</f>
        <v>0</v>
      </c>
      <c r="I20" s="31">
        <f>(INDEX('Option1 (base case)'!I$106:I$117, MATCH($D20, 'Option1 (base case)'!$G$106:$G$117,0)))*conv_2026*I$7</f>
        <v>0</v>
      </c>
      <c r="J20" s="31">
        <f>(INDEX('Option1 (base case)'!J$106:J$117, MATCH($D20, 'Option1 (base case)'!$G$106:$G$117,0)))*conv_2026*J$7</f>
        <v>0</v>
      </c>
      <c r="K20" s="31">
        <f>(INDEX('Option1 (base case)'!K$106:K$117, MATCH($D20, 'Option1 (base case)'!$G$106:$G$117,0)))*conv_2026*K$7</f>
        <v>0</v>
      </c>
      <c r="L20" s="31">
        <f>(INDEX('Option1 (base case)'!L$106:L$117, MATCH($D20, 'Option1 (base case)'!$G$106:$G$117,0)))*conv_2026*L$7</f>
        <v>0</v>
      </c>
      <c r="M20" s="31">
        <f>(INDEX('Option1 (base case)'!M$106:M$117, MATCH($D20, 'Option1 (base case)'!$G$106:$G$117,0)))*conv_2026*M$7</f>
        <v>0</v>
      </c>
      <c r="N20" s="31">
        <f>(INDEX('Option1 (base case)'!N$106:N$117, MATCH($D20, 'Option1 (base case)'!$G$106:$G$117,0)))*conv_2026*N$7</f>
        <v>0</v>
      </c>
      <c r="O20" s="31">
        <f>(INDEX('Option1 (base case)'!O$106:O$117, MATCH($D20, 'Option1 (base case)'!$G$106:$G$117,0)))*conv_2026*O$7</f>
        <v>0</v>
      </c>
      <c r="P20" s="31">
        <f>(INDEX('Option1 (base case)'!P$106:P$117, MATCH($D20, 'Option1 (base case)'!$G$106:$G$117,0)))*conv_2026*P$7</f>
        <v>0</v>
      </c>
      <c r="Q20" s="31">
        <f>(INDEX('Option1 (base case)'!Q$106:Q$117, MATCH($D20, 'Option1 (base case)'!$G$106:$G$117,0)))*conv_2026*Q$7</f>
        <v>0</v>
      </c>
      <c r="R20" s="31">
        <f>(INDEX('Option1 (base case)'!R$106:R$117, MATCH($D20, 'Option1 (base case)'!$G$106:$G$117,0)))*conv_2026*R$7</f>
        <v>0</v>
      </c>
      <c r="S20" s="31">
        <f>(INDEX('Option1 (base case)'!S$106:S$117, MATCH($D20, 'Option1 (base case)'!$G$106:$G$117,0)))*conv_2026*S$7</f>
        <v>0</v>
      </c>
      <c r="T20" s="31">
        <f>(INDEX('Option1 (base case)'!T$106:T$117, MATCH($D20, 'Option1 (base case)'!$G$106:$G$117,0)))*conv_2026*T$7</f>
        <v>0</v>
      </c>
      <c r="U20" s="31">
        <f>(INDEX('Option1 (base case)'!U$106:U$117, MATCH($D20, 'Option1 (base case)'!$G$106:$G$117,0)))*conv_2026*U$7</f>
        <v>0</v>
      </c>
      <c r="V20" s="31">
        <f>(INDEX('Option1 (base case)'!V$106:V$117, MATCH($D20, 'Option1 (base case)'!$G$106:$G$117,0)))*conv_2026*V$7</f>
        <v>0</v>
      </c>
      <c r="W20" s="31">
        <f>(INDEX('Option1 (base case)'!W$106:W$117, MATCH($D20, 'Option1 (base case)'!$G$106:$G$117,0)))*conv_2026*W$7</f>
        <v>0</v>
      </c>
      <c r="X20" s="31">
        <f>(INDEX('Option1 (base case)'!X$106:X$117, MATCH($D20, 'Option1 (base case)'!$G$106:$G$117,0)))*conv_2026*X$7</f>
        <v>0</v>
      </c>
      <c r="Y20" s="31">
        <f>(INDEX('Option1 (base case)'!Y$106:Y$117, MATCH($D20, 'Option1 (base case)'!$G$106:$G$117,0)))*conv_2026*Y$7</f>
        <v>0</v>
      </c>
      <c r="Z20" s="31">
        <f>(INDEX('Option1 (base case)'!Z$106:Z$117, MATCH($D20, 'Option1 (base case)'!$G$106:$G$117,0)))*conv_2026*Z$7</f>
        <v>0</v>
      </c>
      <c r="AA20" s="31">
        <f>(INDEX('Option1 (base case)'!AA$106:AA$117, MATCH($D20, 'Option1 (base case)'!$G$106:$G$117,0)))*conv_2026*AA$7</f>
        <v>0</v>
      </c>
      <c r="AB20" s="31">
        <f>(INDEX('Option1 (base case)'!AB$106:AB$117, MATCH($D20, 'Option1 (base case)'!$G$106:$G$117,0)))*conv_2026*AB$7</f>
        <v>0</v>
      </c>
      <c r="AC20" s="31">
        <f>(INDEX('Option1 (base case)'!AC$106:AC$117, MATCH($D20, 'Option1 (base case)'!$G$106:$G$117,0)))*conv_2026*AC$7</f>
        <v>0</v>
      </c>
      <c r="AD20" s="31">
        <f>(INDEX('Option1 (base case)'!AD$106:AD$117, MATCH($D20, 'Option1 (base case)'!$G$106:$G$117,0)))*conv_2026*AD$7</f>
        <v>0</v>
      </c>
      <c r="AE20" s="31">
        <f>(INDEX('Option1 (base case)'!AE$106:AE$117, MATCH($D20, 'Option1 (base case)'!$G$106:$G$117,0)))*conv_2026*AE$7</f>
        <v>0</v>
      </c>
      <c r="AF20" s="31">
        <f>(INDEX('Option1 (base case)'!AF$106:AF$117, MATCH($D20, 'Option1 (base case)'!$G$106:$G$117,0)))*conv_2026*AF$7</f>
        <v>0</v>
      </c>
      <c r="AG20" s="31">
        <f>(INDEX('Option1 (base case)'!AG$106:AG$117, MATCH($D20, 'Option1 (base case)'!$G$106:$G$117,0)))*conv_2026*AG$7</f>
        <v>0</v>
      </c>
      <c r="AH20" s="8"/>
      <c r="AI20" s="8"/>
    </row>
    <row r="21" spans="1:35" s="7" customFormat="1" x14ac:dyDescent="0.2">
      <c r="A21" s="254" t="s">
        <v>146</v>
      </c>
      <c r="B21" s="254" t="str">
        <f>'Option1 (base case)'!A115</f>
        <v>sens</v>
      </c>
      <c r="C21" s="254">
        <f>'Option1 (base case)'!C115</f>
        <v>0</v>
      </c>
      <c r="D21" s="254" t="str">
        <f t="shared" si="0"/>
        <v>OPTION 1 (base case)sens</v>
      </c>
      <c r="E21" s="255"/>
      <c r="F21" s="31">
        <f t="shared" si="1"/>
        <v>0</v>
      </c>
      <c r="G21" s="8"/>
      <c r="H21" s="31">
        <f>(INDEX('Option1 (base case)'!H$106:H$117, MATCH($D21, 'Option1 (base case)'!$G$106:$G$117,0)))*conv_2026*H$7</f>
        <v>0</v>
      </c>
      <c r="I21" s="31">
        <f>(INDEX('Option1 (base case)'!I$106:I$117, MATCH($D21, 'Option1 (base case)'!$G$106:$G$117,0)))*conv_2026*I$7</f>
        <v>0</v>
      </c>
      <c r="J21" s="31">
        <f>(INDEX('Option1 (base case)'!J$106:J$117, MATCH($D21, 'Option1 (base case)'!$G$106:$G$117,0)))*conv_2026*J$7</f>
        <v>0</v>
      </c>
      <c r="K21" s="31">
        <f>(INDEX('Option1 (base case)'!K$106:K$117, MATCH($D21, 'Option1 (base case)'!$G$106:$G$117,0)))*conv_2026*K$7</f>
        <v>0</v>
      </c>
      <c r="L21" s="31">
        <f>(INDEX('Option1 (base case)'!L$106:L$117, MATCH($D21, 'Option1 (base case)'!$G$106:$G$117,0)))*conv_2026*L$7</f>
        <v>0</v>
      </c>
      <c r="M21" s="31">
        <f>(INDEX('Option1 (base case)'!M$106:M$117, MATCH($D21, 'Option1 (base case)'!$G$106:$G$117,0)))*conv_2026*M$7</f>
        <v>0</v>
      </c>
      <c r="N21" s="31">
        <f>(INDEX('Option1 (base case)'!N$106:N$117, MATCH($D21, 'Option1 (base case)'!$G$106:$G$117,0)))*conv_2026*N$7</f>
        <v>0</v>
      </c>
      <c r="O21" s="31">
        <f>(INDEX('Option1 (base case)'!O$106:O$117, MATCH($D21, 'Option1 (base case)'!$G$106:$G$117,0)))*conv_2026*O$7</f>
        <v>0</v>
      </c>
      <c r="P21" s="31">
        <f>(INDEX('Option1 (base case)'!P$106:P$117, MATCH($D21, 'Option1 (base case)'!$G$106:$G$117,0)))*conv_2026*P$7</f>
        <v>0</v>
      </c>
      <c r="Q21" s="31">
        <f>(INDEX('Option1 (base case)'!Q$106:Q$117, MATCH($D21, 'Option1 (base case)'!$G$106:$G$117,0)))*conv_2026*Q$7</f>
        <v>0</v>
      </c>
      <c r="R21" s="31">
        <f>(INDEX('Option1 (base case)'!R$106:R$117, MATCH($D21, 'Option1 (base case)'!$G$106:$G$117,0)))*conv_2026*R$7</f>
        <v>0</v>
      </c>
      <c r="S21" s="31">
        <f>(INDEX('Option1 (base case)'!S$106:S$117, MATCH($D21, 'Option1 (base case)'!$G$106:$G$117,0)))*conv_2026*S$7</f>
        <v>0</v>
      </c>
      <c r="T21" s="31">
        <f>(INDEX('Option1 (base case)'!T$106:T$117, MATCH($D21, 'Option1 (base case)'!$G$106:$G$117,0)))*conv_2026*T$7</f>
        <v>0</v>
      </c>
      <c r="U21" s="31">
        <f>(INDEX('Option1 (base case)'!U$106:U$117, MATCH($D21, 'Option1 (base case)'!$G$106:$G$117,0)))*conv_2026*U$7</f>
        <v>0</v>
      </c>
      <c r="V21" s="31">
        <f>(INDEX('Option1 (base case)'!V$106:V$117, MATCH($D21, 'Option1 (base case)'!$G$106:$G$117,0)))*conv_2026*V$7</f>
        <v>0</v>
      </c>
      <c r="W21" s="31">
        <f>(INDEX('Option1 (base case)'!W$106:W$117, MATCH($D21, 'Option1 (base case)'!$G$106:$G$117,0)))*conv_2026*W$7</f>
        <v>0</v>
      </c>
      <c r="X21" s="31">
        <f>(INDEX('Option1 (base case)'!X$106:X$117, MATCH($D21, 'Option1 (base case)'!$G$106:$G$117,0)))*conv_2026*X$7</f>
        <v>0</v>
      </c>
      <c r="Y21" s="31">
        <f>(INDEX('Option1 (base case)'!Y$106:Y$117, MATCH($D21, 'Option1 (base case)'!$G$106:$G$117,0)))*conv_2026*Y$7</f>
        <v>0</v>
      </c>
      <c r="Z21" s="31">
        <f>(INDEX('Option1 (base case)'!Z$106:Z$117, MATCH($D21, 'Option1 (base case)'!$G$106:$G$117,0)))*conv_2026*Z$7</f>
        <v>0</v>
      </c>
      <c r="AA21" s="31">
        <f>(INDEX('Option1 (base case)'!AA$106:AA$117, MATCH($D21, 'Option1 (base case)'!$G$106:$G$117,0)))*conv_2026*AA$7</f>
        <v>0</v>
      </c>
      <c r="AB21" s="31">
        <f>(INDEX('Option1 (base case)'!AB$106:AB$117, MATCH($D21, 'Option1 (base case)'!$G$106:$G$117,0)))*conv_2026*AB$7</f>
        <v>0</v>
      </c>
      <c r="AC21" s="31">
        <f>(INDEX('Option1 (base case)'!AC$106:AC$117, MATCH($D21, 'Option1 (base case)'!$G$106:$G$117,0)))*conv_2026*AC$7</f>
        <v>0</v>
      </c>
      <c r="AD21" s="31">
        <f>(INDEX('Option1 (base case)'!AD$106:AD$117, MATCH($D21, 'Option1 (base case)'!$G$106:$G$117,0)))*conv_2026*AD$7</f>
        <v>0</v>
      </c>
      <c r="AE21" s="31">
        <f>(INDEX('Option1 (base case)'!AE$106:AE$117, MATCH($D21, 'Option1 (base case)'!$G$106:$G$117,0)))*conv_2026*AE$7</f>
        <v>0</v>
      </c>
      <c r="AF21" s="31">
        <f>(INDEX('Option1 (base case)'!AF$106:AF$117, MATCH($D21, 'Option1 (base case)'!$G$106:$G$117,0)))*conv_2026*AF$7</f>
        <v>0</v>
      </c>
      <c r="AG21" s="31">
        <f>(INDEX('Option1 (base case)'!AG$106:AG$117, MATCH($D21, 'Option1 (base case)'!$G$106:$G$117,0)))*conv_2026*AG$7</f>
        <v>0</v>
      </c>
      <c r="AH21" s="8"/>
      <c r="AI21" s="8"/>
    </row>
    <row r="22" spans="1:35" s="7" customFormat="1" x14ac:dyDescent="0.2">
      <c r="A22" s="254" t="s">
        <v>146</v>
      </c>
      <c r="B22" s="254" t="str">
        <f>'Option1 (base case)'!A116</f>
        <v>sens</v>
      </c>
      <c r="C22" s="254">
        <f>'Option1 (base case)'!C116</f>
        <v>0</v>
      </c>
      <c r="D22" s="254" t="str">
        <f t="shared" si="0"/>
        <v>OPTION 1 (base case)sens</v>
      </c>
      <c r="E22" s="255"/>
      <c r="F22" s="31">
        <f t="shared" si="1"/>
        <v>0</v>
      </c>
      <c r="G22" s="8"/>
      <c r="H22" s="31">
        <f>(INDEX('Option1 (base case)'!H$106:H$117, MATCH($D22, 'Option1 (base case)'!$G$106:$G$117,0)))*conv_2026*H$7</f>
        <v>0</v>
      </c>
      <c r="I22" s="31">
        <f>(INDEX('Option1 (base case)'!I$106:I$117, MATCH($D22, 'Option1 (base case)'!$G$106:$G$117,0)))*conv_2026*I$7</f>
        <v>0</v>
      </c>
      <c r="J22" s="31">
        <f>(INDEX('Option1 (base case)'!J$106:J$117, MATCH($D22, 'Option1 (base case)'!$G$106:$G$117,0)))*conv_2026*J$7</f>
        <v>0</v>
      </c>
      <c r="K22" s="31">
        <f>(INDEX('Option1 (base case)'!K$106:K$117, MATCH($D22, 'Option1 (base case)'!$G$106:$G$117,0)))*conv_2026*K$7</f>
        <v>0</v>
      </c>
      <c r="L22" s="31">
        <f>(INDEX('Option1 (base case)'!L$106:L$117, MATCH($D22, 'Option1 (base case)'!$G$106:$G$117,0)))*conv_2026*L$7</f>
        <v>0</v>
      </c>
      <c r="M22" s="31">
        <f>(INDEX('Option1 (base case)'!M$106:M$117, MATCH($D22, 'Option1 (base case)'!$G$106:$G$117,0)))*conv_2026*M$7</f>
        <v>0</v>
      </c>
      <c r="N22" s="31">
        <f>(INDEX('Option1 (base case)'!N$106:N$117, MATCH($D22, 'Option1 (base case)'!$G$106:$G$117,0)))*conv_2026*N$7</f>
        <v>0</v>
      </c>
      <c r="O22" s="31">
        <f>(INDEX('Option1 (base case)'!O$106:O$117, MATCH($D22, 'Option1 (base case)'!$G$106:$G$117,0)))*conv_2026*O$7</f>
        <v>0</v>
      </c>
      <c r="P22" s="31">
        <f>(INDEX('Option1 (base case)'!P$106:P$117, MATCH($D22, 'Option1 (base case)'!$G$106:$G$117,0)))*conv_2026*P$7</f>
        <v>0</v>
      </c>
      <c r="Q22" s="31">
        <f>(INDEX('Option1 (base case)'!Q$106:Q$117, MATCH($D22, 'Option1 (base case)'!$G$106:$G$117,0)))*conv_2026*Q$7</f>
        <v>0</v>
      </c>
      <c r="R22" s="31">
        <f>(INDEX('Option1 (base case)'!R$106:R$117, MATCH($D22, 'Option1 (base case)'!$G$106:$G$117,0)))*conv_2026*R$7</f>
        <v>0</v>
      </c>
      <c r="S22" s="31">
        <f>(INDEX('Option1 (base case)'!S$106:S$117, MATCH($D22, 'Option1 (base case)'!$G$106:$G$117,0)))*conv_2026*S$7</f>
        <v>0</v>
      </c>
      <c r="T22" s="31">
        <f>(INDEX('Option1 (base case)'!T$106:T$117, MATCH($D22, 'Option1 (base case)'!$G$106:$G$117,0)))*conv_2026*T$7</f>
        <v>0</v>
      </c>
      <c r="U22" s="31">
        <f>(INDEX('Option1 (base case)'!U$106:U$117, MATCH($D22, 'Option1 (base case)'!$G$106:$G$117,0)))*conv_2026*U$7</f>
        <v>0</v>
      </c>
      <c r="V22" s="31">
        <f>(INDEX('Option1 (base case)'!V$106:V$117, MATCH($D22, 'Option1 (base case)'!$G$106:$G$117,0)))*conv_2026*V$7</f>
        <v>0</v>
      </c>
      <c r="W22" s="31">
        <f>(INDEX('Option1 (base case)'!W$106:W$117, MATCH($D22, 'Option1 (base case)'!$G$106:$G$117,0)))*conv_2026*W$7</f>
        <v>0</v>
      </c>
      <c r="X22" s="31">
        <f>(INDEX('Option1 (base case)'!X$106:X$117, MATCH($D22, 'Option1 (base case)'!$G$106:$G$117,0)))*conv_2026*X$7</f>
        <v>0</v>
      </c>
      <c r="Y22" s="31">
        <f>(INDEX('Option1 (base case)'!Y$106:Y$117, MATCH($D22, 'Option1 (base case)'!$G$106:$G$117,0)))*conv_2026*Y$7</f>
        <v>0</v>
      </c>
      <c r="Z22" s="31">
        <f>(INDEX('Option1 (base case)'!Z$106:Z$117, MATCH($D22, 'Option1 (base case)'!$G$106:$G$117,0)))*conv_2026*Z$7</f>
        <v>0</v>
      </c>
      <c r="AA22" s="31">
        <f>(INDEX('Option1 (base case)'!AA$106:AA$117, MATCH($D22, 'Option1 (base case)'!$G$106:$G$117,0)))*conv_2026*AA$7</f>
        <v>0</v>
      </c>
      <c r="AB22" s="31">
        <f>(INDEX('Option1 (base case)'!AB$106:AB$117, MATCH($D22, 'Option1 (base case)'!$G$106:$G$117,0)))*conv_2026*AB$7</f>
        <v>0</v>
      </c>
      <c r="AC22" s="31">
        <f>(INDEX('Option1 (base case)'!AC$106:AC$117, MATCH($D22, 'Option1 (base case)'!$G$106:$G$117,0)))*conv_2026*AC$7</f>
        <v>0</v>
      </c>
      <c r="AD22" s="31">
        <f>(INDEX('Option1 (base case)'!AD$106:AD$117, MATCH($D22, 'Option1 (base case)'!$G$106:$G$117,0)))*conv_2026*AD$7</f>
        <v>0</v>
      </c>
      <c r="AE22" s="31">
        <f>(INDEX('Option1 (base case)'!AE$106:AE$117, MATCH($D22, 'Option1 (base case)'!$G$106:$G$117,0)))*conv_2026*AE$7</f>
        <v>0</v>
      </c>
      <c r="AF22" s="31">
        <f>(INDEX('Option1 (base case)'!AF$106:AF$117, MATCH($D22, 'Option1 (base case)'!$G$106:$G$117,0)))*conv_2026*AF$7</f>
        <v>0</v>
      </c>
      <c r="AG22" s="31">
        <f>(INDEX('Option1 (base case)'!AG$106:AG$117, MATCH($D22, 'Option1 (base case)'!$G$106:$G$117,0)))*conv_2026*AG$7</f>
        <v>0</v>
      </c>
      <c r="AH22" s="8"/>
      <c r="AI22" s="8"/>
    </row>
    <row r="23" spans="1:35" s="7" customFormat="1" x14ac:dyDescent="0.2">
      <c r="A23" s="254" t="s">
        <v>146</v>
      </c>
      <c r="B23" s="254" t="str">
        <f>'Option1 (base case)'!A117</f>
        <v>sens</v>
      </c>
      <c r="C23" s="254">
        <f>'Option1 (base case)'!C117</f>
        <v>0</v>
      </c>
      <c r="D23" s="254" t="str">
        <f t="shared" si="0"/>
        <v>OPTION 1 (base case)sens</v>
      </c>
      <c r="E23" s="255"/>
      <c r="F23" s="31">
        <f t="shared" si="1"/>
        <v>0</v>
      </c>
      <c r="G23" s="8"/>
      <c r="H23" s="31">
        <f>(INDEX('Option1 (base case)'!H$106:H$117, MATCH($D23, 'Option1 (base case)'!$G$106:$G$117,0)))*conv_2026*H$7</f>
        <v>0</v>
      </c>
      <c r="I23" s="31">
        <f>(INDEX('Option1 (base case)'!I$106:I$117, MATCH($D23, 'Option1 (base case)'!$G$106:$G$117,0)))*conv_2026*I$7</f>
        <v>0</v>
      </c>
      <c r="J23" s="31">
        <f>(INDEX('Option1 (base case)'!J$106:J$117, MATCH($D23, 'Option1 (base case)'!$G$106:$G$117,0)))*conv_2026*J$7</f>
        <v>0</v>
      </c>
      <c r="K23" s="31">
        <f>(INDEX('Option1 (base case)'!K$106:K$117, MATCH($D23, 'Option1 (base case)'!$G$106:$G$117,0)))*conv_2026*K$7</f>
        <v>0</v>
      </c>
      <c r="L23" s="31">
        <f>(INDEX('Option1 (base case)'!L$106:L$117, MATCH($D23, 'Option1 (base case)'!$G$106:$G$117,0)))*conv_2026*L$7</f>
        <v>0</v>
      </c>
      <c r="M23" s="31">
        <f>(INDEX('Option1 (base case)'!M$106:M$117, MATCH($D23, 'Option1 (base case)'!$G$106:$G$117,0)))*conv_2026*M$7</f>
        <v>0</v>
      </c>
      <c r="N23" s="31">
        <f>(INDEX('Option1 (base case)'!N$106:N$117, MATCH($D23, 'Option1 (base case)'!$G$106:$G$117,0)))*conv_2026*N$7</f>
        <v>0</v>
      </c>
      <c r="O23" s="31">
        <f>(INDEX('Option1 (base case)'!O$106:O$117, MATCH($D23, 'Option1 (base case)'!$G$106:$G$117,0)))*conv_2026*O$7</f>
        <v>0</v>
      </c>
      <c r="P23" s="31">
        <f>(INDEX('Option1 (base case)'!P$106:P$117, MATCH($D23, 'Option1 (base case)'!$G$106:$G$117,0)))*conv_2026*P$7</f>
        <v>0</v>
      </c>
      <c r="Q23" s="31">
        <f>(INDEX('Option1 (base case)'!Q$106:Q$117, MATCH($D23, 'Option1 (base case)'!$G$106:$G$117,0)))*conv_2026*Q$7</f>
        <v>0</v>
      </c>
      <c r="R23" s="31">
        <f>(INDEX('Option1 (base case)'!R$106:R$117, MATCH($D23, 'Option1 (base case)'!$G$106:$G$117,0)))*conv_2026*R$7</f>
        <v>0</v>
      </c>
      <c r="S23" s="31">
        <f>(INDEX('Option1 (base case)'!S$106:S$117, MATCH($D23, 'Option1 (base case)'!$G$106:$G$117,0)))*conv_2026*S$7</f>
        <v>0</v>
      </c>
      <c r="T23" s="31">
        <f>(INDEX('Option1 (base case)'!T$106:T$117, MATCH($D23, 'Option1 (base case)'!$G$106:$G$117,0)))*conv_2026*T$7</f>
        <v>0</v>
      </c>
      <c r="U23" s="31">
        <f>(INDEX('Option1 (base case)'!U$106:U$117, MATCH($D23, 'Option1 (base case)'!$G$106:$G$117,0)))*conv_2026*U$7</f>
        <v>0</v>
      </c>
      <c r="V23" s="31">
        <f>(INDEX('Option1 (base case)'!V$106:V$117, MATCH($D23, 'Option1 (base case)'!$G$106:$G$117,0)))*conv_2026*V$7</f>
        <v>0</v>
      </c>
      <c r="W23" s="31">
        <f>(INDEX('Option1 (base case)'!W$106:W$117, MATCH($D23, 'Option1 (base case)'!$G$106:$G$117,0)))*conv_2026*W$7</f>
        <v>0</v>
      </c>
      <c r="X23" s="31">
        <f>(INDEX('Option1 (base case)'!X$106:X$117, MATCH($D23, 'Option1 (base case)'!$G$106:$G$117,0)))*conv_2026*X$7</f>
        <v>0</v>
      </c>
      <c r="Y23" s="31">
        <f>(INDEX('Option1 (base case)'!Y$106:Y$117, MATCH($D23, 'Option1 (base case)'!$G$106:$G$117,0)))*conv_2026*Y$7</f>
        <v>0</v>
      </c>
      <c r="Z23" s="31">
        <f>(INDEX('Option1 (base case)'!Z$106:Z$117, MATCH($D23, 'Option1 (base case)'!$G$106:$G$117,0)))*conv_2026*Z$7</f>
        <v>0</v>
      </c>
      <c r="AA23" s="31">
        <f>(INDEX('Option1 (base case)'!AA$106:AA$117, MATCH($D23, 'Option1 (base case)'!$G$106:$G$117,0)))*conv_2026*AA$7</f>
        <v>0</v>
      </c>
      <c r="AB23" s="31">
        <f>(INDEX('Option1 (base case)'!AB$106:AB$117, MATCH($D23, 'Option1 (base case)'!$G$106:$G$117,0)))*conv_2026*AB$7</f>
        <v>0</v>
      </c>
      <c r="AC23" s="31">
        <f>(INDEX('Option1 (base case)'!AC$106:AC$117, MATCH($D23, 'Option1 (base case)'!$G$106:$G$117,0)))*conv_2026*AC$7</f>
        <v>0</v>
      </c>
      <c r="AD23" s="31">
        <f>(INDEX('Option1 (base case)'!AD$106:AD$117, MATCH($D23, 'Option1 (base case)'!$G$106:$G$117,0)))*conv_2026*AD$7</f>
        <v>0</v>
      </c>
      <c r="AE23" s="31">
        <f>(INDEX('Option1 (base case)'!AE$106:AE$117, MATCH($D23, 'Option1 (base case)'!$G$106:$G$117,0)))*conv_2026*AE$7</f>
        <v>0</v>
      </c>
      <c r="AF23" s="31">
        <f>(INDEX('Option1 (base case)'!AF$106:AF$117, MATCH($D23, 'Option1 (base case)'!$G$106:$G$117,0)))*conv_2026*AF$7</f>
        <v>0</v>
      </c>
      <c r="AG23" s="31">
        <f>(INDEX('Option1 (base case)'!AG$106:AG$117, MATCH($D23, 'Option1 (base case)'!$G$106:$G$117,0)))*conv_2026*AG$7</f>
        <v>0</v>
      </c>
      <c r="AH23" s="8"/>
      <c r="AI23" s="8"/>
    </row>
    <row r="24" spans="1:35" s="7" customFormat="1" x14ac:dyDescent="0.2">
      <c r="A24" s="246"/>
      <c r="B24" s="246"/>
      <c r="C24" s="246"/>
      <c r="D24" s="246"/>
      <c r="E24" s="246"/>
      <c r="F24" s="246"/>
      <c r="G24" s="247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</row>
    <row r="25" spans="1:35" s="7" customFormat="1" x14ac:dyDescent="0.2">
      <c r="A25" s="246"/>
      <c r="B25" s="246"/>
      <c r="C25" s="246"/>
      <c r="D25" s="246"/>
      <c r="E25" s="246"/>
      <c r="F25" s="246"/>
      <c r="G25" s="247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</row>
    <row r="26" spans="1:35" s="7" customFormat="1" x14ac:dyDescent="0.2">
      <c r="A26" s="246"/>
      <c r="B26" s="246"/>
      <c r="C26" s="246"/>
      <c r="D26" s="246"/>
      <c r="E26" s="246"/>
      <c r="F26" s="246"/>
      <c r="G26" s="247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</row>
    <row r="27" spans="1:35" s="7" customFormat="1" x14ac:dyDescent="0.2">
      <c r="A27" s="246"/>
      <c r="B27" s="246"/>
      <c r="C27" s="246"/>
      <c r="D27" s="246"/>
      <c r="E27" s="246"/>
      <c r="F27" s="246"/>
      <c r="G27" s="247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</row>
    <row r="28" spans="1:35" s="7" customFormat="1" x14ac:dyDescent="0.2">
      <c r="A28" s="254" t="s">
        <v>131</v>
      </c>
      <c r="B28" s="254" t="s">
        <v>119</v>
      </c>
      <c r="C28" s="254" t="s">
        <v>192</v>
      </c>
      <c r="D28" s="254" t="str">
        <f>A28&amp;B28</f>
        <v>Option 2NPV</v>
      </c>
      <c r="E28" s="255"/>
      <c r="F28" s="31">
        <f>SUMPRODUCT($H28:$AG28, $H$5:$AG$5)</f>
        <v>1724644.8568447575</v>
      </c>
      <c r="G28" s="247"/>
      <c r="H28" s="31">
        <f>(INDEX(Option2!H$106:H$117, MATCH($D28, Option2!$G$106:$G$117,0)))*conv_2026*H$7</f>
        <v>0</v>
      </c>
      <c r="I28" s="31">
        <f>(INDEX(Option2!I$106:I$117, MATCH($D28, Option2!$G$106:$G$117,0)))*conv_2026*I$7</f>
        <v>0</v>
      </c>
      <c r="J28" s="31">
        <f>(INDEX(Option2!J$106:J$117, MATCH($D28, Option2!$G$106:$G$117,0)))*conv_2026*J$7</f>
        <v>0</v>
      </c>
      <c r="K28" s="31">
        <f>(INDEX(Option2!K$106:K$117, MATCH($D28, Option2!$G$106:$G$117,0)))*conv_2026*K$7</f>
        <v>0</v>
      </c>
      <c r="L28" s="31">
        <f>(INDEX(Option2!L$106:L$117, MATCH($D28, Option2!$G$106:$G$117,0)))*conv_2026*L$7</f>
        <v>0</v>
      </c>
      <c r="M28" s="31">
        <f>(INDEX(Option2!M$106:M$117, MATCH($D28, Option2!$G$106:$G$117,0)))*conv_2026*M$7</f>
        <v>102099.87654454402</v>
      </c>
      <c r="N28" s="31">
        <f>(INDEX(Option2!N$106:N$117, MATCH($D28, Option2!$G$106:$G$117,0)))*conv_2026*N$7</f>
        <v>107929.91076854299</v>
      </c>
      <c r="O28" s="31">
        <f>(INDEX(Option2!O$106:O$117, MATCH($D28, Option2!$G$106:$G$117,0)))*conv_2026*O$7</f>
        <v>117929.37446975178</v>
      </c>
      <c r="P28" s="31">
        <f>(INDEX(Option2!P$106:P$117, MATCH($D28, Option2!$G$106:$G$117,0)))*conv_2026*P$7</f>
        <v>128840.58311267602</v>
      </c>
      <c r="Q28" s="31">
        <f>(INDEX(Option2!Q$106:Q$117, MATCH($D28, Option2!$G$106:$G$117,0)))*conv_2026*Q$7</f>
        <v>135817.4734543713</v>
      </c>
      <c r="R28" s="31">
        <f>(INDEX(Option2!R$106:R$117, MATCH($D28, Option2!$G$106:$G$117,0)))*conv_2026*R$7</f>
        <v>138388.07016723324</v>
      </c>
      <c r="S28" s="31">
        <f>(INDEX(Option2!S$106:S$117, MATCH($D28, Option2!$G$106:$G$117,0)))*conv_2026*S$7</f>
        <v>140958.66688009625</v>
      </c>
      <c r="T28" s="31">
        <f>(INDEX(Option2!T$106:T$117, MATCH($D28, Option2!$G$106:$G$117,0)))*conv_2026*T$7</f>
        <v>143529.2635929583</v>
      </c>
      <c r="U28" s="31">
        <f>(INDEX(Option2!U$106:U$117, MATCH($D28, Option2!$G$106:$G$117,0)))*conv_2026*U$7</f>
        <v>146099.86030582013</v>
      </c>
      <c r="V28" s="31">
        <f>(INDEX(Option2!V$106:V$117, MATCH($D28, Option2!$G$106:$G$117,0)))*conv_2026*V$7</f>
        <v>148670.4570186832</v>
      </c>
      <c r="W28" s="31">
        <f>(INDEX(Option2!W$106:W$117, MATCH($D28, Option2!$G$106:$G$117,0)))*conv_2026*W$7</f>
        <v>151241.05373154519</v>
      </c>
      <c r="X28" s="31">
        <f>(INDEX(Option2!X$106:X$117, MATCH($D28, Option2!$G$106:$G$117,0)))*conv_2026*X$7</f>
        <v>153811.6504444071</v>
      </c>
      <c r="Y28" s="31">
        <f>(INDEX(Option2!Y$106:Y$117, MATCH($D28, Option2!$G$106:$G$117,0)))*conv_2026*Y$7</f>
        <v>156382.24715727012</v>
      </c>
      <c r="Z28" s="31">
        <f>(INDEX(Option2!Z$106:Z$117, MATCH($D28, Option2!$G$106:$G$117,0)))*conv_2026*Z$7</f>
        <v>158952.84387013223</v>
      </c>
      <c r="AA28" s="31">
        <f>(INDEX(Option2!AA$106:AA$117, MATCH($D28, Option2!$G$106:$G$117,0)))*conv_2026*AA$7</f>
        <v>161523.44058299519</v>
      </c>
      <c r="AB28" s="31">
        <f>(INDEX(Option2!AB$106:AB$117, MATCH($D28, Option2!$G$106:$G$117,0)))*conv_2026*AB$7</f>
        <v>164094.03729585704</v>
      </c>
      <c r="AC28" s="31">
        <f>(INDEX(Option2!AC$106:AC$117, MATCH($D28, Option2!$G$106:$G$117,0)))*conv_2026*AC$7</f>
        <v>166664.63400871909</v>
      </c>
      <c r="AD28" s="31">
        <f>(INDEX(Option2!AD$106:AD$117, MATCH($D28, Option2!$G$106:$G$117,0)))*conv_2026*AD$7</f>
        <v>169235.23072158208</v>
      </c>
      <c r="AE28" s="31">
        <f>(INDEX(Option2!AE$106:AE$117, MATCH($D28, Option2!$G$106:$G$117,0)))*conv_2026*AE$7</f>
        <v>171805.82743444404</v>
      </c>
      <c r="AF28" s="31">
        <f>(INDEX(Option2!AF$106:AF$117, MATCH($D28, Option2!$G$106:$G$117,0)))*conv_2026*AF$7</f>
        <v>0</v>
      </c>
      <c r="AG28" s="31">
        <f>(INDEX(Option2!AG$106:AG$117, MATCH($D28, Option2!$G$106:$G$117,0)))*conv_2026*AG$7</f>
        <v>0</v>
      </c>
    </row>
    <row r="29" spans="1:35" s="7" customFormat="1" x14ac:dyDescent="0.2">
      <c r="A29" s="246"/>
      <c r="B29" s="246"/>
      <c r="C29" s="246"/>
      <c r="D29" s="246"/>
      <c r="E29" s="246"/>
      <c r="F29" s="246"/>
      <c r="G29" s="247"/>
      <c r="H29" s="247"/>
      <c r="I29" s="247"/>
      <c r="J29" s="247"/>
      <c r="K29" s="247"/>
      <c r="L29" s="247"/>
      <c r="M29" s="247"/>
      <c r="N29" s="247"/>
      <c r="O29" s="247"/>
      <c r="P29" s="247"/>
      <c r="Q29" s="247"/>
      <c r="R29" s="247"/>
      <c r="S29" s="247"/>
      <c r="T29" s="247"/>
      <c r="U29" s="247"/>
      <c r="V29" s="247"/>
      <c r="W29" s="247"/>
      <c r="X29" s="247"/>
      <c r="Y29" s="247"/>
      <c r="Z29" s="247"/>
      <c r="AA29" s="247"/>
      <c r="AB29" s="247"/>
      <c r="AC29" s="247"/>
      <c r="AD29" s="247"/>
      <c r="AE29" s="247"/>
      <c r="AF29" s="247"/>
      <c r="AG29" s="247"/>
    </row>
    <row r="30" spans="1:35" s="7" customFormat="1" x14ac:dyDescent="0.2">
      <c r="A30" s="254" t="s">
        <v>131</v>
      </c>
      <c r="B30" s="254" t="str">
        <f>Option2!A110</f>
        <v>sens1</v>
      </c>
      <c r="C30" s="254" t="str">
        <f>Option2!C110</f>
        <v>Capex 10% higher</v>
      </c>
      <c r="D30" s="254" t="str">
        <f t="shared" ref="D30:D37" si="2">A30&amp;B30</f>
        <v>Option 2sens1</v>
      </c>
      <c r="E30" s="255"/>
      <c r="F30" s="31">
        <f>SUMPRODUCT($H30:$AG30, $H$5:$AG$5)</f>
        <v>1458725.6521776295</v>
      </c>
      <c r="G30" s="247"/>
      <c r="H30" s="31">
        <f>IF($B30=0,0, (INDEX(Option2!H$106:H$117, MATCH($D30, Option2!$G$106:$G$117,0)))*conv_2026*H$7)</f>
        <v>0</v>
      </c>
      <c r="I30" s="31">
        <f>IF($B30=0,0, (INDEX(Option2!I$106:I$117, MATCH($D30, Option2!$G$106:$G$117,0)))*conv_2026*I$7)</f>
        <v>0</v>
      </c>
      <c r="J30" s="31">
        <f>IF($B30=0,0, (INDEX(Option2!J$106:J$117, MATCH($D30, Option2!$G$106:$G$117,0)))*conv_2026*J$7)</f>
        <v>0</v>
      </c>
      <c r="K30" s="31">
        <f>IF($B30=0,0, (INDEX(Option2!K$106:K$117, MATCH($D30, Option2!$G$106:$G$117,0)))*conv_2026*K$7)</f>
        <v>0</v>
      </c>
      <c r="L30" s="31">
        <f>IF($B30=0,0, (INDEX(Option2!L$106:L$117, MATCH($D30, Option2!$G$106:$G$117,0)))*conv_2026*L$7)</f>
        <v>0</v>
      </c>
      <c r="M30" s="31">
        <f>IF($B30=0,0, (INDEX(Option2!M$106:M$117, MATCH($D30, Option2!$G$106:$G$117,0)))*conv_2026*M$7)</f>
        <v>80221.825923664743</v>
      </c>
      <c r="N30" s="31">
        <f>IF($B30=0,0, (INDEX(Option2!N$106:N$117, MATCH($D30, Option2!$G$106:$G$117,0)))*conv_2026*N$7)</f>
        <v>86051.860147663712</v>
      </c>
      <c r="O30" s="31">
        <f>IF($B30=0,0, (INDEX(Option2!O$106:O$117, MATCH($D30, Option2!$G$106:$G$117,0)))*conv_2026*O$7)</f>
        <v>96051.323848872504</v>
      </c>
      <c r="P30" s="31">
        <f>IF($B30=0,0, (INDEX(Option2!P$106:P$117, MATCH($D30, Option2!$G$106:$G$117,0)))*conv_2026*P$7)</f>
        <v>106962.53249179674</v>
      </c>
      <c r="Q30" s="31">
        <f>IF($B30=0,0, (INDEX(Option2!Q$106:Q$117, MATCH($D30, Option2!$G$106:$G$117,0)))*conv_2026*Q$7)</f>
        <v>113939.42283349203</v>
      </c>
      <c r="R30" s="31">
        <f>IF($B30=0,0, (INDEX(Option2!R$106:R$117, MATCH($D30, Option2!$G$106:$G$117,0)))*conv_2026*R$7)</f>
        <v>116510.01954635396</v>
      </c>
      <c r="S30" s="31">
        <f>IF($B30=0,0, (INDEX(Option2!S$106:S$117, MATCH($D30, Option2!$G$106:$G$117,0)))*conv_2026*S$7)</f>
        <v>119080.61625921699</v>
      </c>
      <c r="T30" s="31">
        <f>IF($B30=0,0, (INDEX(Option2!T$106:T$117, MATCH($D30, Option2!$G$106:$G$117,0)))*conv_2026*T$7)</f>
        <v>121651.21297207903</v>
      </c>
      <c r="U30" s="31">
        <f>IF($B30=0,0, (INDEX(Option2!U$106:U$117, MATCH($D30, Option2!$G$106:$G$117,0)))*conv_2026*U$7)</f>
        <v>124221.80968494085</v>
      </c>
      <c r="V30" s="31">
        <f>IF($B30=0,0, (INDEX(Option2!V$106:V$117, MATCH($D30, Option2!$G$106:$G$117,0)))*conv_2026*V$7)</f>
        <v>126792.40639780392</v>
      </c>
      <c r="W30" s="31">
        <f>IF($B30=0,0, (INDEX(Option2!W$106:W$117, MATCH($D30, Option2!$G$106:$G$117,0)))*conv_2026*W$7)</f>
        <v>129363.00311066592</v>
      </c>
      <c r="X30" s="31">
        <f>IF($B30=0,0, (INDEX(Option2!X$106:X$117, MATCH($D30, Option2!$G$106:$G$117,0)))*conv_2026*X$7)</f>
        <v>131933.59982352782</v>
      </c>
      <c r="Y30" s="31">
        <f>IF($B30=0,0, (INDEX(Option2!Y$106:Y$117, MATCH($D30, Option2!$G$106:$G$117,0)))*conv_2026*Y$7)</f>
        <v>134504.19653639084</v>
      </c>
      <c r="Z30" s="31">
        <f>IF($B30=0,0, (INDEX(Option2!Z$106:Z$117, MATCH($D30, Option2!$G$106:$G$117,0)))*conv_2026*Z$7)</f>
        <v>137074.79324925295</v>
      </c>
      <c r="AA30" s="31">
        <f>IF($B30=0,0, (INDEX(Option2!AA$106:AA$117, MATCH($D30, Option2!$G$106:$G$117,0)))*conv_2026*AA$7)</f>
        <v>139645.38996211591</v>
      </c>
      <c r="AB30" s="31">
        <f>IF($B30=0,0, (INDEX(Option2!AB$106:AB$117, MATCH($D30, Option2!$G$106:$G$117,0)))*conv_2026*AB$7)</f>
        <v>142215.98667497776</v>
      </c>
      <c r="AC30" s="31">
        <f>IF($B30=0,0, (INDEX(Option2!AC$106:AC$117, MATCH($D30, Option2!$G$106:$G$117,0)))*conv_2026*AC$7)</f>
        <v>144786.58338783981</v>
      </c>
      <c r="AD30" s="31">
        <f>IF($B30=0,0, (INDEX(Option2!AD$106:AD$117, MATCH($D30, Option2!$G$106:$G$117,0)))*conv_2026*AD$7)</f>
        <v>147357.1801007028</v>
      </c>
      <c r="AE30" s="31">
        <f>IF($B30=0,0, (INDEX(Option2!AE$106:AE$117, MATCH($D30, Option2!$G$106:$G$117,0)))*conv_2026*AE$7)</f>
        <v>149927.77681356476</v>
      </c>
      <c r="AF30" s="31">
        <f>IF($B30=0,0, (INDEX(Option2!AF$106:AF$117, MATCH($D30, Option2!$G$106:$G$117,0)))*conv_2026*AF$7)</f>
        <v>0</v>
      </c>
      <c r="AG30" s="31">
        <f>IF($B30=0,0, (INDEX(Option2!AG$106:AG$117, MATCH($D30, Option2!$G$106:$G$117,0)))*conv_2026*AG$7)</f>
        <v>0</v>
      </c>
    </row>
    <row r="31" spans="1:35" s="8" customFormat="1" x14ac:dyDescent="0.2">
      <c r="A31" s="254" t="s">
        <v>131</v>
      </c>
      <c r="B31" s="254" t="str">
        <f>Option2!A111</f>
        <v>sens2</v>
      </c>
      <c r="C31" s="254" t="str">
        <f>Option2!C111</f>
        <v>Capex 10% lower</v>
      </c>
      <c r="D31" s="254" t="str">
        <f t="shared" si="2"/>
        <v>Option 2sens2</v>
      </c>
      <c r="E31" s="255"/>
      <c r="F31" s="31">
        <f t="shared" ref="F31:F37" si="3">SUMPRODUCT($H31:$AG31, $H$5:$AG$5)</f>
        <v>1990564.0615118854</v>
      </c>
      <c r="G31" s="254"/>
      <c r="H31" s="31">
        <f>IF($B31=0,0, (INDEX(Option2!H$106:H$117, MATCH($D31, Option2!$G$106:$G$117,0)))*conv_2026*H$7)</f>
        <v>0</v>
      </c>
      <c r="I31" s="31">
        <f>IF($B31=0,0, (INDEX(Option2!I$106:I$117, MATCH($D31, Option2!$G$106:$G$117,0)))*conv_2026*I$7)</f>
        <v>0</v>
      </c>
      <c r="J31" s="31">
        <f>IF($B31=0,0, (INDEX(Option2!J$106:J$117, MATCH($D31, Option2!$G$106:$G$117,0)))*conv_2026*J$7)</f>
        <v>0</v>
      </c>
      <c r="K31" s="31">
        <f>IF($B31=0,0, (INDEX(Option2!K$106:K$117, MATCH($D31, Option2!$G$106:$G$117,0)))*conv_2026*K$7)</f>
        <v>0</v>
      </c>
      <c r="L31" s="31">
        <f>IF($B31=0,0, (INDEX(Option2!L$106:L$117, MATCH($D31, Option2!$G$106:$G$117,0)))*conv_2026*L$7)</f>
        <v>0</v>
      </c>
      <c r="M31" s="31">
        <f>IF($B31=0,0, (INDEX(Option2!M$106:M$117, MATCH($D31, Option2!$G$106:$G$117,0)))*conv_2026*M$7)</f>
        <v>123977.9271654233</v>
      </c>
      <c r="N31" s="31">
        <f>IF($B31=0,0, (INDEX(Option2!N$106:N$117, MATCH($D31, Option2!$G$106:$G$117,0)))*conv_2026*N$7)</f>
        <v>129807.96138942227</v>
      </c>
      <c r="O31" s="31">
        <f>IF($B31=0,0, (INDEX(Option2!O$106:O$117, MATCH($D31, Option2!$G$106:$G$117,0)))*conv_2026*O$7)</f>
        <v>139807.42509063106</v>
      </c>
      <c r="P31" s="31">
        <f>IF($B31=0,0, (INDEX(Option2!P$106:P$117, MATCH($D31, Option2!$G$106:$G$117,0)))*conv_2026*P$7)</f>
        <v>150718.63373355533</v>
      </c>
      <c r="Q31" s="31">
        <f>IF($B31=0,0, (INDEX(Option2!Q$106:Q$117, MATCH($D31, Option2!$G$106:$G$117,0)))*conv_2026*Q$7)</f>
        <v>157695.52407525058</v>
      </c>
      <c r="R31" s="31">
        <f>IF($B31=0,0, (INDEX(Option2!R$106:R$117, MATCH($D31, Option2!$G$106:$G$117,0)))*conv_2026*R$7)</f>
        <v>160266.12078811252</v>
      </c>
      <c r="S31" s="31">
        <f>IF($B31=0,0, (INDEX(Option2!S$106:S$117, MATCH($D31, Option2!$G$106:$G$117,0)))*conv_2026*S$7)</f>
        <v>162836.71750097556</v>
      </c>
      <c r="T31" s="31">
        <f>IF($B31=0,0, (INDEX(Option2!T$106:T$117, MATCH($D31, Option2!$G$106:$G$117,0)))*conv_2026*T$7)</f>
        <v>165407.31421383758</v>
      </c>
      <c r="U31" s="31">
        <f>IF($B31=0,0, (INDEX(Option2!U$106:U$117, MATCH($D31, Option2!$G$106:$G$117,0)))*conv_2026*U$7)</f>
        <v>167977.91092669943</v>
      </c>
      <c r="V31" s="31">
        <f>IF($B31=0,0, (INDEX(Option2!V$106:V$117, MATCH($D31, Option2!$G$106:$G$117,0)))*conv_2026*V$7)</f>
        <v>170548.50763956248</v>
      </c>
      <c r="W31" s="31">
        <f>IF($B31=0,0, (INDEX(Option2!W$106:W$117, MATCH($D31, Option2!$G$106:$G$117,0)))*conv_2026*W$7)</f>
        <v>173119.10435242447</v>
      </c>
      <c r="X31" s="31">
        <f>IF($B31=0,0, (INDEX(Option2!X$106:X$117, MATCH($D31, Option2!$G$106:$G$117,0)))*conv_2026*X$7)</f>
        <v>175689.70106528638</v>
      </c>
      <c r="Y31" s="31">
        <f>IF($B31=0,0, (INDEX(Option2!Y$106:Y$117, MATCH($D31, Option2!$G$106:$G$117,0)))*conv_2026*Y$7)</f>
        <v>178260.29777814943</v>
      </c>
      <c r="Z31" s="31">
        <f>IF($B31=0,0, (INDEX(Option2!Z$106:Z$117, MATCH($D31, Option2!$G$106:$G$117,0)))*conv_2026*Z$7)</f>
        <v>180830.89449101151</v>
      </c>
      <c r="AA31" s="31">
        <f>IF($B31=0,0, (INDEX(Option2!AA$106:AA$117, MATCH($D31, Option2!$G$106:$G$117,0)))*conv_2026*AA$7)</f>
        <v>183401.4912038745</v>
      </c>
      <c r="AB31" s="31">
        <f>IF($B31=0,0, (INDEX(Option2!AB$106:AB$117, MATCH($D31, Option2!$G$106:$G$117,0)))*conv_2026*AB$7)</f>
        <v>185972.08791673632</v>
      </c>
      <c r="AC31" s="31">
        <f>IF($B31=0,0, (INDEX(Option2!AC$106:AC$117, MATCH($D31, Option2!$G$106:$G$117,0)))*conv_2026*AC$7)</f>
        <v>188542.68462959837</v>
      </c>
      <c r="AD31" s="31">
        <f>IF($B31=0,0, (INDEX(Option2!AD$106:AD$117, MATCH($D31, Option2!$G$106:$G$117,0)))*conv_2026*AD$7)</f>
        <v>191113.28134246139</v>
      </c>
      <c r="AE31" s="31">
        <f>IF($B31=0,0, (INDEX(Option2!AE$106:AE$117, MATCH($D31, Option2!$G$106:$G$117,0)))*conv_2026*AE$7)</f>
        <v>193683.87805532335</v>
      </c>
      <c r="AF31" s="31">
        <f>IF($B31=0,0, (INDEX(Option2!AF$106:AF$117, MATCH($D31, Option2!$G$106:$G$117,0)))*conv_2026*AF$7)</f>
        <v>0</v>
      </c>
      <c r="AG31" s="31">
        <f>IF($B31=0,0, (INDEX(Option2!AG$106:AG$117, MATCH($D31, Option2!$G$106:$G$117,0)))*conv_2026*AG$7)</f>
        <v>0</v>
      </c>
    </row>
    <row r="32" spans="1:35" s="8" customFormat="1" x14ac:dyDescent="0.2">
      <c r="A32" s="254" t="s">
        <v>131</v>
      </c>
      <c r="B32" s="254" t="str">
        <f>Option2!A112</f>
        <v>sens3</v>
      </c>
      <c r="C32" s="254" t="str">
        <f>Option2!C112</f>
        <v>Increasing wind escalation</v>
      </c>
      <c r="D32" s="254" t="str">
        <f t="shared" si="2"/>
        <v>Option 2sens3</v>
      </c>
      <c r="E32" s="255"/>
      <c r="F32" s="31">
        <f t="shared" si="3"/>
        <v>1762391.8729216061</v>
      </c>
      <c r="H32" s="31">
        <f>IF($B32=0,0, (INDEX(Option2!H$106:H$117, MATCH($D32, Option2!$G$106:$G$117,0)))*conv_2026*H$7)</f>
        <v>0</v>
      </c>
      <c r="I32" s="31">
        <f>IF($B32=0,0, (INDEX(Option2!I$106:I$117, MATCH($D32, Option2!$G$106:$G$117,0)))*conv_2026*I$7)</f>
        <v>0</v>
      </c>
      <c r="J32" s="31">
        <f>IF($B32=0,0, (INDEX(Option2!J$106:J$117, MATCH($D32, Option2!$G$106:$G$117,0)))*conv_2026*J$7)</f>
        <v>0</v>
      </c>
      <c r="K32" s="31">
        <f>IF($B32=0,0, (INDEX(Option2!K$106:K$117, MATCH($D32, Option2!$G$106:$G$117,0)))*conv_2026*K$7)</f>
        <v>0</v>
      </c>
      <c r="L32" s="31">
        <f>IF($B32=0,0, (INDEX(Option2!L$106:L$117, MATCH($D32, Option2!$G$106:$G$117,0)))*conv_2026*L$7)</f>
        <v>0</v>
      </c>
      <c r="M32" s="31">
        <f>IF($B32=0,0, (INDEX(Option2!M$106:M$117, MATCH($D32, Option2!$G$106:$G$117,0)))*conv_2026*M$7)</f>
        <v>118606.65396949618</v>
      </c>
      <c r="N32" s="31">
        <f>IF($B32=0,0, (INDEX(Option2!N$106:N$117, MATCH($D32, Option2!$G$106:$G$117,0)))*conv_2026*N$7)</f>
        <v>122789.32286281856</v>
      </c>
      <c r="O32" s="31">
        <f>IF($B32=0,0, (INDEX(Option2!O$106:O$117, MATCH($D32, Option2!$G$106:$G$117,0)))*conv_2026*O$7)</f>
        <v>131258.69146145761</v>
      </c>
      <c r="P32" s="31">
        <f>IF($B32=0,0, (INDEX(Option2!P$106:P$117, MATCH($D32, Option2!$G$106:$G$117,0)))*conv_2026*P$7)</f>
        <v>140615.60736240132</v>
      </c>
      <c r="Q32" s="31">
        <f>IF($B32=0,0, (INDEX(Option2!Q$106:Q$117, MATCH($D32, Option2!$G$106:$G$117,0)))*conv_2026*Q$7)</f>
        <v>145894.0855269747</v>
      </c>
      <c r="R32" s="31">
        <f>IF($B32=0,0, (INDEX(Option2!R$106:R$117, MATCH($D32, Option2!$G$106:$G$117,0)))*conv_2026*R$7)</f>
        <v>146664.5215871573</v>
      </c>
      <c r="S32" s="31">
        <f>IF($B32=0,0, (INDEX(Option2!S$106:S$117, MATCH($D32, Option2!$G$106:$G$117,0)))*conv_2026*S$7)</f>
        <v>147451.78887109453</v>
      </c>
      <c r="T32" s="31">
        <f>IF($B32=0,0, (INDEX(Option2!T$106:T$117, MATCH($D32, Option2!$G$106:$G$117,0)))*conv_2026*T$7)</f>
        <v>148255.64941926551</v>
      </c>
      <c r="U32" s="31">
        <f>IF($B32=0,0, (INDEX(Option2!U$106:U$117, MATCH($D32, Option2!$G$106:$G$117,0)))*conv_2026*U$7)</f>
        <v>149075.86973679965</v>
      </c>
      <c r="V32" s="31">
        <f>IF($B32=0,0, (INDEX(Option2!V$106:V$117, MATCH($D32, Option2!$G$106:$G$117,0)))*conv_2026*V$7)</f>
        <v>149912.22068925627</v>
      </c>
      <c r="W32" s="31">
        <f>IF($B32=0,0, (INDEX(Option2!W$106:W$117, MATCH($D32, Option2!$G$106:$G$117,0)))*conv_2026*W$7)</f>
        <v>150764.47740130906</v>
      </c>
      <c r="X32" s="31">
        <f>IF($B32=0,0, (INDEX(Option2!X$106:X$117, MATCH($D32, Option2!$G$106:$G$117,0)))*conv_2026*X$7)</f>
        <v>151632.41915824683</v>
      </c>
      <c r="Y32" s="31">
        <f>IF($B32=0,0, (INDEX(Option2!Y$106:Y$117, MATCH($D32, Option2!$G$106:$G$117,0)))*conv_2026*Y$7)</f>
        <v>152515.82931019139</v>
      </c>
      <c r="Z32" s="31">
        <f>IF($B32=0,0, (INDEX(Option2!Z$106:Z$117, MATCH($D32, Option2!$G$106:$G$117,0)))*conv_2026*Z$7)</f>
        <v>153414.4951789492</v>
      </c>
      <c r="AA32" s="31">
        <f>IF($B32=0,0, (INDEX(Option2!AA$106:AA$117, MATCH($D32, Option2!$G$106:$G$117,0)))*conv_2026*AA$7)</f>
        <v>154328.20796741667</v>
      </c>
      <c r="AB32" s="31">
        <f>IF($B32=0,0, (INDEX(Option2!AB$106:AB$117, MATCH($D32, Option2!$G$106:$G$117,0)))*conv_2026*AB$7)</f>
        <v>155256.76267144876</v>
      </c>
      <c r="AC32" s="31">
        <f>IF($B32=0,0, (INDEX(Option2!AC$106:AC$117, MATCH($D32, Option2!$G$106:$G$117,0)))*conv_2026*AC$7)</f>
        <v>156199.95799412334</v>
      </c>
      <c r="AD32" s="31">
        <f>IF($B32=0,0, (INDEX(Option2!AD$106:AD$117, MATCH($D32, Option2!$G$106:$G$117,0)))*conv_2026*AD$7)</f>
        <v>157157.59626231663</v>
      </c>
      <c r="AE32" s="31">
        <f>IF($B32=0,0, (INDEX(Option2!AE$106:AE$117, MATCH($D32, Option2!$G$106:$G$117,0)))*conv_2026*AE$7)</f>
        <v>158129.48334552246</v>
      </c>
      <c r="AF32" s="31">
        <f>IF($B32=0,0, (INDEX(Option2!AF$106:AF$117, MATCH($D32, Option2!$G$106:$G$117,0)))*conv_2026*AF$7)</f>
        <v>0</v>
      </c>
      <c r="AG32" s="31">
        <f>IF($B32=0,0, (INDEX(Option2!AG$106:AG$117, MATCH($D32, Option2!$G$106:$G$117,0)))*conv_2026*AG$7)</f>
        <v>0</v>
      </c>
    </row>
    <row r="33" spans="1:35" s="8" customFormat="1" x14ac:dyDescent="0.2">
      <c r="A33" s="254" t="s">
        <v>131</v>
      </c>
      <c r="B33" s="254" t="str">
        <f>Option2!A113</f>
        <v>sens4</v>
      </c>
      <c r="C33" s="254" t="str">
        <f>Option2!C113</f>
        <v/>
      </c>
      <c r="D33" s="254" t="str">
        <f t="shared" si="2"/>
        <v>Option 2sens4</v>
      </c>
      <c r="E33" s="255"/>
      <c r="F33" s="31">
        <f t="shared" si="3"/>
        <v>1724644.8568447575</v>
      </c>
      <c r="H33" s="31">
        <f>IF($B33=0,0, (INDEX(Option2!H$106:H$117, MATCH($D33, Option2!$G$106:$G$117,0)))*conv_2026*H$7)</f>
        <v>0</v>
      </c>
      <c r="I33" s="31">
        <f>IF($B33=0,0, (INDEX(Option2!I$106:I$117, MATCH($D33, Option2!$G$106:$G$117,0)))*conv_2026*I$7)</f>
        <v>0</v>
      </c>
      <c r="J33" s="31">
        <f>IF($B33=0,0, (INDEX(Option2!J$106:J$117, MATCH($D33, Option2!$G$106:$G$117,0)))*conv_2026*J$7)</f>
        <v>0</v>
      </c>
      <c r="K33" s="31">
        <f>IF($B33=0,0, (INDEX(Option2!K$106:K$117, MATCH($D33, Option2!$G$106:$G$117,0)))*conv_2026*K$7)</f>
        <v>0</v>
      </c>
      <c r="L33" s="31">
        <f>IF($B33=0,0, (INDEX(Option2!L$106:L$117, MATCH($D33, Option2!$G$106:$G$117,0)))*conv_2026*L$7)</f>
        <v>0</v>
      </c>
      <c r="M33" s="31">
        <f>IF($B33=0,0, (INDEX(Option2!M$106:M$117, MATCH($D33, Option2!$G$106:$G$117,0)))*conv_2026*M$7)</f>
        <v>102099.87654454402</v>
      </c>
      <c r="N33" s="31">
        <f>IF($B33=0,0, (INDEX(Option2!N$106:N$117, MATCH($D33, Option2!$G$106:$G$117,0)))*conv_2026*N$7)</f>
        <v>107929.91076854299</v>
      </c>
      <c r="O33" s="31">
        <f>IF($B33=0,0, (INDEX(Option2!O$106:O$117, MATCH($D33, Option2!$G$106:$G$117,0)))*conv_2026*O$7)</f>
        <v>117929.37446975178</v>
      </c>
      <c r="P33" s="31">
        <f>IF($B33=0,0, (INDEX(Option2!P$106:P$117, MATCH($D33, Option2!$G$106:$G$117,0)))*conv_2026*P$7)</f>
        <v>128840.58311267602</v>
      </c>
      <c r="Q33" s="31">
        <f>IF($B33=0,0, (INDEX(Option2!Q$106:Q$117, MATCH($D33, Option2!$G$106:$G$117,0)))*conv_2026*Q$7)</f>
        <v>135817.4734543713</v>
      </c>
      <c r="R33" s="31">
        <f>IF($B33=0,0, (INDEX(Option2!R$106:R$117, MATCH($D33, Option2!$G$106:$G$117,0)))*conv_2026*R$7)</f>
        <v>138388.07016723324</v>
      </c>
      <c r="S33" s="31">
        <f>IF($B33=0,0, (INDEX(Option2!S$106:S$117, MATCH($D33, Option2!$G$106:$G$117,0)))*conv_2026*S$7)</f>
        <v>140958.66688009625</v>
      </c>
      <c r="T33" s="31">
        <f>IF($B33=0,0, (INDEX(Option2!T$106:T$117, MATCH($D33, Option2!$G$106:$G$117,0)))*conv_2026*T$7)</f>
        <v>143529.2635929583</v>
      </c>
      <c r="U33" s="31">
        <f>IF($B33=0,0, (INDEX(Option2!U$106:U$117, MATCH($D33, Option2!$G$106:$G$117,0)))*conv_2026*U$7)</f>
        <v>146099.86030582013</v>
      </c>
      <c r="V33" s="31">
        <f>IF($B33=0,0, (INDEX(Option2!V$106:V$117, MATCH($D33, Option2!$G$106:$G$117,0)))*conv_2026*V$7)</f>
        <v>148670.4570186832</v>
      </c>
      <c r="W33" s="31">
        <f>IF($B33=0,0, (INDEX(Option2!W$106:W$117, MATCH($D33, Option2!$G$106:$G$117,0)))*conv_2026*W$7)</f>
        <v>151241.05373154519</v>
      </c>
      <c r="X33" s="31">
        <f>IF($B33=0,0, (INDEX(Option2!X$106:X$117, MATCH($D33, Option2!$G$106:$G$117,0)))*conv_2026*X$7)</f>
        <v>153811.6504444071</v>
      </c>
      <c r="Y33" s="31">
        <f>IF($B33=0,0, (INDEX(Option2!Y$106:Y$117, MATCH($D33, Option2!$G$106:$G$117,0)))*conv_2026*Y$7)</f>
        <v>156382.24715727012</v>
      </c>
      <c r="Z33" s="31">
        <f>IF($B33=0,0, (INDEX(Option2!Z$106:Z$117, MATCH($D33, Option2!$G$106:$G$117,0)))*conv_2026*Z$7)</f>
        <v>158952.84387013223</v>
      </c>
      <c r="AA33" s="31">
        <f>IF($B33=0,0, (INDEX(Option2!AA$106:AA$117, MATCH($D33, Option2!$G$106:$G$117,0)))*conv_2026*AA$7)</f>
        <v>161523.44058299519</v>
      </c>
      <c r="AB33" s="31">
        <f>IF($B33=0,0, (INDEX(Option2!AB$106:AB$117, MATCH($D33, Option2!$G$106:$G$117,0)))*conv_2026*AB$7)</f>
        <v>164094.03729585704</v>
      </c>
      <c r="AC33" s="31">
        <f>IF($B33=0,0, (INDEX(Option2!AC$106:AC$117, MATCH($D33, Option2!$G$106:$G$117,0)))*conv_2026*AC$7)</f>
        <v>166664.63400871909</v>
      </c>
      <c r="AD33" s="31">
        <f>IF($B33=0,0, (INDEX(Option2!AD$106:AD$117, MATCH($D33, Option2!$G$106:$G$117,0)))*conv_2026*AD$7)</f>
        <v>169235.23072158208</v>
      </c>
      <c r="AE33" s="31">
        <f>IF($B33=0,0, (INDEX(Option2!AE$106:AE$117, MATCH($D33, Option2!$G$106:$G$117,0)))*conv_2026*AE$7)</f>
        <v>171805.82743444404</v>
      </c>
      <c r="AF33" s="31">
        <f>IF($B33=0,0, (INDEX(Option2!AF$106:AF$117, MATCH($D33, Option2!$G$106:$G$117,0)))*conv_2026*AF$7)</f>
        <v>0</v>
      </c>
      <c r="AG33" s="31">
        <f>IF($B33=0,0, (INDEX(Option2!AG$106:AG$117, MATCH($D33, Option2!$G$106:$G$117,0)))*conv_2026*AG$7)</f>
        <v>0</v>
      </c>
    </row>
    <row r="34" spans="1:35" s="8" customFormat="1" x14ac:dyDescent="0.2">
      <c r="A34" s="254" t="s">
        <v>131</v>
      </c>
      <c r="B34" s="254" t="str">
        <f>Option2!A114</f>
        <v>sens5</v>
      </c>
      <c r="C34" s="254" t="str">
        <f>Option2!C114</f>
        <v/>
      </c>
      <c r="D34" s="254" t="str">
        <f t="shared" si="2"/>
        <v>Option 2sens5</v>
      </c>
      <c r="E34" s="255"/>
      <c r="F34" s="31">
        <f t="shared" si="3"/>
        <v>1724644.8568447575</v>
      </c>
      <c r="H34" s="31">
        <f>IF($B34=0,0, (INDEX(Option2!H$106:H$117, MATCH($D34, Option2!$G$106:$G$117,0)))*conv_2026*H$7)</f>
        <v>0</v>
      </c>
      <c r="I34" s="31">
        <f>IF($B34=0,0, (INDEX(Option2!I$106:I$117, MATCH($D34, Option2!$G$106:$G$117,0)))*conv_2026*I$7)</f>
        <v>0</v>
      </c>
      <c r="J34" s="31">
        <f>IF($B34=0,0, (INDEX(Option2!J$106:J$117, MATCH($D34, Option2!$G$106:$G$117,0)))*conv_2026*J$7)</f>
        <v>0</v>
      </c>
      <c r="K34" s="31">
        <f>IF($B34=0,0, (INDEX(Option2!K$106:K$117, MATCH($D34, Option2!$G$106:$G$117,0)))*conv_2026*K$7)</f>
        <v>0</v>
      </c>
      <c r="L34" s="31">
        <f>IF($B34=0,0, (INDEX(Option2!L$106:L$117, MATCH($D34, Option2!$G$106:$G$117,0)))*conv_2026*L$7)</f>
        <v>0</v>
      </c>
      <c r="M34" s="31">
        <f>IF($B34=0,0, (INDEX(Option2!M$106:M$117, MATCH($D34, Option2!$G$106:$G$117,0)))*conv_2026*M$7)</f>
        <v>102099.87654454402</v>
      </c>
      <c r="N34" s="31">
        <f>IF($B34=0,0, (INDEX(Option2!N$106:N$117, MATCH($D34, Option2!$G$106:$G$117,0)))*conv_2026*N$7)</f>
        <v>107929.91076854299</v>
      </c>
      <c r="O34" s="31">
        <f>IF($B34=0,0, (INDEX(Option2!O$106:O$117, MATCH($D34, Option2!$G$106:$G$117,0)))*conv_2026*O$7)</f>
        <v>117929.37446975178</v>
      </c>
      <c r="P34" s="31">
        <f>IF($B34=0,0, (INDEX(Option2!P$106:P$117, MATCH($D34, Option2!$G$106:$G$117,0)))*conv_2026*P$7)</f>
        <v>128840.58311267602</v>
      </c>
      <c r="Q34" s="31">
        <f>IF($B34=0,0, (INDEX(Option2!Q$106:Q$117, MATCH($D34, Option2!$G$106:$G$117,0)))*conv_2026*Q$7)</f>
        <v>135817.4734543713</v>
      </c>
      <c r="R34" s="31">
        <f>IF($B34=0,0, (INDEX(Option2!R$106:R$117, MATCH($D34, Option2!$G$106:$G$117,0)))*conv_2026*R$7)</f>
        <v>138388.07016723324</v>
      </c>
      <c r="S34" s="31">
        <f>IF($B34=0,0, (INDEX(Option2!S$106:S$117, MATCH($D34, Option2!$G$106:$G$117,0)))*conv_2026*S$7)</f>
        <v>140958.66688009625</v>
      </c>
      <c r="T34" s="31">
        <f>IF($B34=0,0, (INDEX(Option2!T$106:T$117, MATCH($D34, Option2!$G$106:$G$117,0)))*conv_2026*T$7)</f>
        <v>143529.2635929583</v>
      </c>
      <c r="U34" s="31">
        <f>IF($B34=0,0, (INDEX(Option2!U$106:U$117, MATCH($D34, Option2!$G$106:$G$117,0)))*conv_2026*U$7)</f>
        <v>146099.86030582013</v>
      </c>
      <c r="V34" s="31">
        <f>IF($B34=0,0, (INDEX(Option2!V$106:V$117, MATCH($D34, Option2!$G$106:$G$117,0)))*conv_2026*V$7)</f>
        <v>148670.4570186832</v>
      </c>
      <c r="W34" s="31">
        <f>IF($B34=0,0, (INDEX(Option2!W$106:W$117, MATCH($D34, Option2!$G$106:$G$117,0)))*conv_2026*W$7)</f>
        <v>151241.05373154519</v>
      </c>
      <c r="X34" s="31">
        <f>IF($B34=0,0, (INDEX(Option2!X$106:X$117, MATCH($D34, Option2!$G$106:$G$117,0)))*conv_2026*X$7)</f>
        <v>153811.6504444071</v>
      </c>
      <c r="Y34" s="31">
        <f>IF($B34=0,0, (INDEX(Option2!Y$106:Y$117, MATCH($D34, Option2!$G$106:$G$117,0)))*conv_2026*Y$7)</f>
        <v>156382.24715727012</v>
      </c>
      <c r="Z34" s="31">
        <f>IF($B34=0,0, (INDEX(Option2!Z$106:Z$117, MATCH($D34, Option2!$G$106:$G$117,0)))*conv_2026*Z$7)</f>
        <v>158952.84387013223</v>
      </c>
      <c r="AA34" s="31">
        <f>IF($B34=0,0, (INDEX(Option2!AA$106:AA$117, MATCH($D34, Option2!$G$106:$G$117,0)))*conv_2026*AA$7)</f>
        <v>161523.44058299519</v>
      </c>
      <c r="AB34" s="31">
        <f>IF($B34=0,0, (INDEX(Option2!AB$106:AB$117, MATCH($D34, Option2!$G$106:$G$117,0)))*conv_2026*AB$7)</f>
        <v>164094.03729585704</v>
      </c>
      <c r="AC34" s="31">
        <f>IF($B34=0,0, (INDEX(Option2!AC$106:AC$117, MATCH($D34, Option2!$G$106:$G$117,0)))*conv_2026*AC$7)</f>
        <v>166664.63400871909</v>
      </c>
      <c r="AD34" s="31">
        <f>IF($B34=0,0, (INDEX(Option2!AD$106:AD$117, MATCH($D34, Option2!$G$106:$G$117,0)))*conv_2026*AD$7)</f>
        <v>169235.23072158208</v>
      </c>
      <c r="AE34" s="31">
        <f>IF($B34=0,0, (INDEX(Option2!AE$106:AE$117, MATCH($D34, Option2!$G$106:$G$117,0)))*conv_2026*AE$7)</f>
        <v>171805.82743444404</v>
      </c>
      <c r="AF34" s="31">
        <f>IF($B34=0,0, (INDEX(Option2!AF$106:AF$117, MATCH($D34, Option2!$G$106:$G$117,0)))*conv_2026*AF$7)</f>
        <v>0</v>
      </c>
      <c r="AG34" s="31">
        <f>IF($B34=0,0, (INDEX(Option2!AG$106:AG$117, MATCH($D34, Option2!$G$106:$G$117,0)))*conv_2026*AG$7)</f>
        <v>0</v>
      </c>
    </row>
    <row r="35" spans="1:35" s="8" customFormat="1" x14ac:dyDescent="0.2">
      <c r="A35" s="254" t="s">
        <v>131</v>
      </c>
      <c r="B35" s="254" t="str">
        <f>Option2!A115</f>
        <v>sens</v>
      </c>
      <c r="C35" s="254">
        <f>Option2!C115</f>
        <v>0</v>
      </c>
      <c r="D35" s="254" t="str">
        <f t="shared" si="2"/>
        <v>Option 2sens</v>
      </c>
      <c r="E35" s="255"/>
      <c r="F35" s="31">
        <f t="shared" si="3"/>
        <v>1724644.8568447575</v>
      </c>
      <c r="H35" s="31">
        <f>IF($B35=0,0, (INDEX(Option2!H$106:H$117, MATCH($D35, Option2!$G$106:$G$117,0)))*conv_2026*H$7)</f>
        <v>0</v>
      </c>
      <c r="I35" s="31">
        <f>IF($B35=0,0, (INDEX(Option2!I$106:I$117, MATCH($D35, Option2!$G$106:$G$117,0)))*conv_2026*I$7)</f>
        <v>0</v>
      </c>
      <c r="J35" s="31">
        <f>IF($B35=0,0, (INDEX(Option2!J$106:J$117, MATCH($D35, Option2!$G$106:$G$117,0)))*conv_2026*J$7)</f>
        <v>0</v>
      </c>
      <c r="K35" s="31">
        <f>IF($B35=0,0, (INDEX(Option2!K$106:K$117, MATCH($D35, Option2!$G$106:$G$117,0)))*conv_2026*K$7)</f>
        <v>0</v>
      </c>
      <c r="L35" s="31">
        <f>IF($B35=0,0, (INDEX(Option2!L$106:L$117, MATCH($D35, Option2!$G$106:$G$117,0)))*conv_2026*L$7)</f>
        <v>0</v>
      </c>
      <c r="M35" s="31">
        <f>IF($B35=0,0, (INDEX(Option2!M$106:M$117, MATCH($D35, Option2!$G$106:$G$117,0)))*conv_2026*M$7)</f>
        <v>102099.87654454402</v>
      </c>
      <c r="N35" s="31">
        <f>IF($B35=0,0, (INDEX(Option2!N$106:N$117, MATCH($D35, Option2!$G$106:$G$117,0)))*conv_2026*N$7)</f>
        <v>107929.91076854299</v>
      </c>
      <c r="O35" s="31">
        <f>IF($B35=0,0, (INDEX(Option2!O$106:O$117, MATCH($D35, Option2!$G$106:$G$117,0)))*conv_2026*O$7)</f>
        <v>117929.37446975178</v>
      </c>
      <c r="P35" s="31">
        <f>IF($B35=0,0, (INDEX(Option2!P$106:P$117, MATCH($D35, Option2!$G$106:$G$117,0)))*conv_2026*P$7)</f>
        <v>128840.58311267602</v>
      </c>
      <c r="Q35" s="31">
        <f>IF($B35=0,0, (INDEX(Option2!Q$106:Q$117, MATCH($D35, Option2!$G$106:$G$117,0)))*conv_2026*Q$7)</f>
        <v>135817.4734543713</v>
      </c>
      <c r="R35" s="31">
        <f>IF($B35=0,0, (INDEX(Option2!R$106:R$117, MATCH($D35, Option2!$G$106:$G$117,0)))*conv_2026*R$7)</f>
        <v>138388.07016723324</v>
      </c>
      <c r="S35" s="31">
        <f>IF($B35=0,0, (INDEX(Option2!S$106:S$117, MATCH($D35, Option2!$G$106:$G$117,0)))*conv_2026*S$7)</f>
        <v>140958.66688009625</v>
      </c>
      <c r="T35" s="31">
        <f>IF($B35=0,0, (INDEX(Option2!T$106:T$117, MATCH($D35, Option2!$G$106:$G$117,0)))*conv_2026*T$7)</f>
        <v>143529.2635929583</v>
      </c>
      <c r="U35" s="31">
        <f>IF($B35=0,0, (INDEX(Option2!U$106:U$117, MATCH($D35, Option2!$G$106:$G$117,0)))*conv_2026*U$7)</f>
        <v>146099.86030582013</v>
      </c>
      <c r="V35" s="31">
        <f>IF($B35=0,0, (INDEX(Option2!V$106:V$117, MATCH($D35, Option2!$G$106:$G$117,0)))*conv_2026*V$7)</f>
        <v>148670.4570186832</v>
      </c>
      <c r="W35" s="31">
        <f>IF($B35=0,0, (INDEX(Option2!W$106:W$117, MATCH($D35, Option2!$G$106:$G$117,0)))*conv_2026*W$7)</f>
        <v>151241.05373154519</v>
      </c>
      <c r="X35" s="31">
        <f>IF($B35=0,0, (INDEX(Option2!X$106:X$117, MATCH($D35, Option2!$G$106:$G$117,0)))*conv_2026*X$7)</f>
        <v>153811.6504444071</v>
      </c>
      <c r="Y35" s="31">
        <f>IF($B35=0,0, (INDEX(Option2!Y$106:Y$117, MATCH($D35, Option2!$G$106:$G$117,0)))*conv_2026*Y$7)</f>
        <v>156382.24715727012</v>
      </c>
      <c r="Z35" s="31">
        <f>IF($B35=0,0, (INDEX(Option2!Z$106:Z$117, MATCH($D35, Option2!$G$106:$G$117,0)))*conv_2026*Z$7)</f>
        <v>158952.84387013223</v>
      </c>
      <c r="AA35" s="31">
        <f>IF($B35=0,0, (INDEX(Option2!AA$106:AA$117, MATCH($D35, Option2!$G$106:$G$117,0)))*conv_2026*AA$7)</f>
        <v>161523.44058299519</v>
      </c>
      <c r="AB35" s="31">
        <f>IF($B35=0,0, (INDEX(Option2!AB$106:AB$117, MATCH($D35, Option2!$G$106:$G$117,0)))*conv_2026*AB$7)</f>
        <v>164094.03729585704</v>
      </c>
      <c r="AC35" s="31">
        <f>IF($B35=0,0, (INDEX(Option2!AC$106:AC$117, MATCH($D35, Option2!$G$106:$G$117,0)))*conv_2026*AC$7)</f>
        <v>166664.63400871909</v>
      </c>
      <c r="AD35" s="31">
        <f>IF($B35=0,0, (INDEX(Option2!AD$106:AD$117, MATCH($D35, Option2!$G$106:$G$117,0)))*conv_2026*AD$7)</f>
        <v>169235.23072158208</v>
      </c>
      <c r="AE35" s="31">
        <f>IF($B35=0,0, (INDEX(Option2!AE$106:AE$117, MATCH($D35, Option2!$G$106:$G$117,0)))*conv_2026*AE$7)</f>
        <v>171805.82743444404</v>
      </c>
      <c r="AF35" s="31">
        <f>IF($B35=0,0, (INDEX(Option2!AF$106:AF$117, MATCH($D35, Option2!$G$106:$G$117,0)))*conv_2026*AF$7)</f>
        <v>0</v>
      </c>
      <c r="AG35" s="31">
        <f>IF($B35=0,0, (INDEX(Option2!AG$106:AG$117, MATCH($D35, Option2!$G$106:$G$117,0)))*conv_2026*AG$7)</f>
        <v>0</v>
      </c>
    </row>
    <row r="36" spans="1:35" s="8" customFormat="1" x14ac:dyDescent="0.2">
      <c r="A36" s="254" t="s">
        <v>131</v>
      </c>
      <c r="B36" s="254" t="str">
        <f>Option2!A116</f>
        <v>sens</v>
      </c>
      <c r="C36" s="254">
        <f>Option2!C116</f>
        <v>0</v>
      </c>
      <c r="D36" s="254" t="str">
        <f t="shared" si="2"/>
        <v>Option 2sens</v>
      </c>
      <c r="E36" s="255"/>
      <c r="F36" s="31">
        <f t="shared" si="3"/>
        <v>1724644.8568447575</v>
      </c>
      <c r="H36" s="31">
        <f>IF($B36=0,0, (INDEX(Option2!H$106:H$117, MATCH($D36, Option2!$G$106:$G$117,0)))*conv_2026*H$7)</f>
        <v>0</v>
      </c>
      <c r="I36" s="31">
        <f>IF($B36=0,0, (INDEX(Option2!I$106:I$117, MATCH($D36, Option2!$G$106:$G$117,0)))*conv_2026*I$7)</f>
        <v>0</v>
      </c>
      <c r="J36" s="31">
        <f>IF($B36=0,0, (INDEX(Option2!J$106:J$117, MATCH($D36, Option2!$G$106:$G$117,0)))*conv_2026*J$7)</f>
        <v>0</v>
      </c>
      <c r="K36" s="31">
        <f>IF($B36=0,0, (INDEX(Option2!K$106:K$117, MATCH($D36, Option2!$G$106:$G$117,0)))*conv_2026*K$7)</f>
        <v>0</v>
      </c>
      <c r="L36" s="31">
        <f>IF($B36=0,0, (INDEX(Option2!L$106:L$117, MATCH($D36, Option2!$G$106:$G$117,0)))*conv_2026*L$7)</f>
        <v>0</v>
      </c>
      <c r="M36" s="31">
        <f>IF($B36=0,0, (INDEX(Option2!M$106:M$117, MATCH($D36, Option2!$G$106:$G$117,0)))*conv_2026*M$7)</f>
        <v>102099.87654454402</v>
      </c>
      <c r="N36" s="31">
        <f>IF($B36=0,0, (INDEX(Option2!N$106:N$117, MATCH($D36, Option2!$G$106:$G$117,0)))*conv_2026*N$7)</f>
        <v>107929.91076854299</v>
      </c>
      <c r="O36" s="31">
        <f>IF($B36=0,0, (INDEX(Option2!O$106:O$117, MATCH($D36, Option2!$G$106:$G$117,0)))*conv_2026*O$7)</f>
        <v>117929.37446975178</v>
      </c>
      <c r="P36" s="31">
        <f>IF($B36=0,0, (INDEX(Option2!P$106:P$117, MATCH($D36, Option2!$G$106:$G$117,0)))*conv_2026*P$7)</f>
        <v>128840.58311267602</v>
      </c>
      <c r="Q36" s="31">
        <f>IF($B36=0,0, (INDEX(Option2!Q$106:Q$117, MATCH($D36, Option2!$G$106:$G$117,0)))*conv_2026*Q$7)</f>
        <v>135817.4734543713</v>
      </c>
      <c r="R36" s="31">
        <f>IF($B36=0,0, (INDEX(Option2!R$106:R$117, MATCH($D36, Option2!$G$106:$G$117,0)))*conv_2026*R$7)</f>
        <v>138388.07016723324</v>
      </c>
      <c r="S36" s="31">
        <f>IF($B36=0,0, (INDEX(Option2!S$106:S$117, MATCH($D36, Option2!$G$106:$G$117,0)))*conv_2026*S$7)</f>
        <v>140958.66688009625</v>
      </c>
      <c r="T36" s="31">
        <f>IF($B36=0,0, (INDEX(Option2!T$106:T$117, MATCH($D36, Option2!$G$106:$G$117,0)))*conv_2026*T$7)</f>
        <v>143529.2635929583</v>
      </c>
      <c r="U36" s="31">
        <f>IF($B36=0,0, (INDEX(Option2!U$106:U$117, MATCH($D36, Option2!$G$106:$G$117,0)))*conv_2026*U$7)</f>
        <v>146099.86030582013</v>
      </c>
      <c r="V36" s="31">
        <f>IF($B36=0,0, (INDEX(Option2!V$106:V$117, MATCH($D36, Option2!$G$106:$G$117,0)))*conv_2026*V$7)</f>
        <v>148670.4570186832</v>
      </c>
      <c r="W36" s="31">
        <f>IF($B36=0,0, (INDEX(Option2!W$106:W$117, MATCH($D36, Option2!$G$106:$G$117,0)))*conv_2026*W$7)</f>
        <v>151241.05373154519</v>
      </c>
      <c r="X36" s="31">
        <f>IF($B36=0,0, (INDEX(Option2!X$106:X$117, MATCH($D36, Option2!$G$106:$G$117,0)))*conv_2026*X$7)</f>
        <v>153811.6504444071</v>
      </c>
      <c r="Y36" s="31">
        <f>IF($B36=0,0, (INDEX(Option2!Y$106:Y$117, MATCH($D36, Option2!$G$106:$G$117,0)))*conv_2026*Y$7)</f>
        <v>156382.24715727012</v>
      </c>
      <c r="Z36" s="31">
        <f>IF($B36=0,0, (INDEX(Option2!Z$106:Z$117, MATCH($D36, Option2!$G$106:$G$117,0)))*conv_2026*Z$7)</f>
        <v>158952.84387013223</v>
      </c>
      <c r="AA36" s="31">
        <f>IF($B36=0,0, (INDEX(Option2!AA$106:AA$117, MATCH($D36, Option2!$G$106:$G$117,0)))*conv_2026*AA$7)</f>
        <v>161523.44058299519</v>
      </c>
      <c r="AB36" s="31">
        <f>IF($B36=0,0, (INDEX(Option2!AB$106:AB$117, MATCH($D36, Option2!$G$106:$G$117,0)))*conv_2026*AB$7)</f>
        <v>164094.03729585704</v>
      </c>
      <c r="AC36" s="31">
        <f>IF($B36=0,0, (INDEX(Option2!AC$106:AC$117, MATCH($D36, Option2!$G$106:$G$117,0)))*conv_2026*AC$7)</f>
        <v>166664.63400871909</v>
      </c>
      <c r="AD36" s="31">
        <f>IF($B36=0,0, (INDEX(Option2!AD$106:AD$117, MATCH($D36, Option2!$G$106:$G$117,0)))*conv_2026*AD$7)</f>
        <v>169235.23072158208</v>
      </c>
      <c r="AE36" s="31">
        <f>IF($B36=0,0, (INDEX(Option2!AE$106:AE$117, MATCH($D36, Option2!$G$106:$G$117,0)))*conv_2026*AE$7)</f>
        <v>171805.82743444404</v>
      </c>
      <c r="AF36" s="31">
        <f>IF($B36=0,0, (INDEX(Option2!AF$106:AF$117, MATCH($D36, Option2!$G$106:$G$117,0)))*conv_2026*AF$7)</f>
        <v>0</v>
      </c>
      <c r="AG36" s="31">
        <f>IF($B36=0,0, (INDEX(Option2!AG$106:AG$117, MATCH($D36, Option2!$G$106:$G$117,0)))*conv_2026*AG$7)</f>
        <v>0</v>
      </c>
    </row>
    <row r="37" spans="1:35" s="8" customFormat="1" x14ac:dyDescent="0.2">
      <c r="A37" s="254" t="s">
        <v>131</v>
      </c>
      <c r="B37" s="254" t="str">
        <f>Option2!A117</f>
        <v>sens</v>
      </c>
      <c r="C37" s="254">
        <f>Option2!C117</f>
        <v>0</v>
      </c>
      <c r="D37" s="254" t="str">
        <f t="shared" si="2"/>
        <v>Option 2sens</v>
      </c>
      <c r="E37" s="255"/>
      <c r="F37" s="31">
        <f t="shared" si="3"/>
        <v>1724644.8568447575</v>
      </c>
      <c r="H37" s="31">
        <f>IF($B37=0,0, (INDEX(Option2!H$106:H$117, MATCH($D37, Option2!$G$106:$G$117,0)))*conv_2026*H$7)</f>
        <v>0</v>
      </c>
      <c r="I37" s="31">
        <f>IF($B37=0,0, (INDEX(Option2!I$106:I$117, MATCH($D37, Option2!$G$106:$G$117,0)))*conv_2026*I$7)</f>
        <v>0</v>
      </c>
      <c r="J37" s="31">
        <f>IF($B37=0,0, (INDEX(Option2!J$106:J$117, MATCH($D37, Option2!$G$106:$G$117,0)))*conv_2026*J$7)</f>
        <v>0</v>
      </c>
      <c r="K37" s="31">
        <f>IF($B37=0,0, (INDEX(Option2!K$106:K$117, MATCH($D37, Option2!$G$106:$G$117,0)))*conv_2026*K$7)</f>
        <v>0</v>
      </c>
      <c r="L37" s="31">
        <f>IF($B37=0,0, (INDEX(Option2!L$106:L$117, MATCH($D37, Option2!$G$106:$G$117,0)))*conv_2026*L$7)</f>
        <v>0</v>
      </c>
      <c r="M37" s="31">
        <f>IF($B37=0,0, (INDEX(Option2!M$106:M$117, MATCH($D37, Option2!$G$106:$G$117,0)))*conv_2026*M$7)</f>
        <v>102099.87654454402</v>
      </c>
      <c r="N37" s="31">
        <f>IF($B37=0,0, (INDEX(Option2!N$106:N$117, MATCH($D37, Option2!$G$106:$G$117,0)))*conv_2026*N$7)</f>
        <v>107929.91076854299</v>
      </c>
      <c r="O37" s="31">
        <f>IF($B37=0,0, (INDEX(Option2!O$106:O$117, MATCH($D37, Option2!$G$106:$G$117,0)))*conv_2026*O$7)</f>
        <v>117929.37446975178</v>
      </c>
      <c r="P37" s="31">
        <f>IF($B37=0,0, (INDEX(Option2!P$106:P$117, MATCH($D37, Option2!$G$106:$G$117,0)))*conv_2026*P$7)</f>
        <v>128840.58311267602</v>
      </c>
      <c r="Q37" s="31">
        <f>IF($B37=0,0, (INDEX(Option2!Q$106:Q$117, MATCH($D37, Option2!$G$106:$G$117,0)))*conv_2026*Q$7)</f>
        <v>135817.4734543713</v>
      </c>
      <c r="R37" s="31">
        <f>IF($B37=0,0, (INDEX(Option2!R$106:R$117, MATCH($D37, Option2!$G$106:$G$117,0)))*conv_2026*R$7)</f>
        <v>138388.07016723324</v>
      </c>
      <c r="S37" s="31">
        <f>IF($B37=0,0, (INDEX(Option2!S$106:S$117, MATCH($D37, Option2!$G$106:$G$117,0)))*conv_2026*S$7)</f>
        <v>140958.66688009625</v>
      </c>
      <c r="T37" s="31">
        <f>IF($B37=0,0, (INDEX(Option2!T$106:T$117, MATCH($D37, Option2!$G$106:$G$117,0)))*conv_2026*T$7)</f>
        <v>143529.2635929583</v>
      </c>
      <c r="U37" s="31">
        <f>IF($B37=0,0, (INDEX(Option2!U$106:U$117, MATCH($D37, Option2!$G$106:$G$117,0)))*conv_2026*U$7)</f>
        <v>146099.86030582013</v>
      </c>
      <c r="V37" s="31">
        <f>IF($B37=0,0, (INDEX(Option2!V$106:V$117, MATCH($D37, Option2!$G$106:$G$117,0)))*conv_2026*V$7)</f>
        <v>148670.4570186832</v>
      </c>
      <c r="W37" s="31">
        <f>IF($B37=0,0, (INDEX(Option2!W$106:W$117, MATCH($D37, Option2!$G$106:$G$117,0)))*conv_2026*W$7)</f>
        <v>151241.05373154519</v>
      </c>
      <c r="X37" s="31">
        <f>IF($B37=0,0, (INDEX(Option2!X$106:X$117, MATCH($D37, Option2!$G$106:$G$117,0)))*conv_2026*X$7)</f>
        <v>153811.6504444071</v>
      </c>
      <c r="Y37" s="31">
        <f>IF($B37=0,0, (INDEX(Option2!Y$106:Y$117, MATCH($D37, Option2!$G$106:$G$117,0)))*conv_2026*Y$7)</f>
        <v>156382.24715727012</v>
      </c>
      <c r="Z37" s="31">
        <f>IF($B37=0,0, (INDEX(Option2!Z$106:Z$117, MATCH($D37, Option2!$G$106:$G$117,0)))*conv_2026*Z$7)</f>
        <v>158952.84387013223</v>
      </c>
      <c r="AA37" s="31">
        <f>IF($B37=0,0, (INDEX(Option2!AA$106:AA$117, MATCH($D37, Option2!$G$106:$G$117,0)))*conv_2026*AA$7)</f>
        <v>161523.44058299519</v>
      </c>
      <c r="AB37" s="31">
        <f>IF($B37=0,0, (INDEX(Option2!AB$106:AB$117, MATCH($D37, Option2!$G$106:$G$117,0)))*conv_2026*AB$7)</f>
        <v>164094.03729585704</v>
      </c>
      <c r="AC37" s="31">
        <f>IF($B37=0,0, (INDEX(Option2!AC$106:AC$117, MATCH($D37, Option2!$G$106:$G$117,0)))*conv_2026*AC$7)</f>
        <v>166664.63400871909</v>
      </c>
      <c r="AD37" s="31">
        <f>IF($B37=0,0, (INDEX(Option2!AD$106:AD$117, MATCH($D37, Option2!$G$106:$G$117,0)))*conv_2026*AD$7)</f>
        <v>169235.23072158208</v>
      </c>
      <c r="AE37" s="31">
        <f>IF($B37=0,0, (INDEX(Option2!AE$106:AE$117, MATCH($D37, Option2!$G$106:$G$117,0)))*conv_2026*AE$7)</f>
        <v>171805.82743444404</v>
      </c>
      <c r="AF37" s="31">
        <f>IF($B37=0,0, (INDEX(Option2!AF$106:AF$117, MATCH($D37, Option2!$G$106:$G$117,0)))*conv_2026*AF$7)</f>
        <v>0</v>
      </c>
      <c r="AG37" s="31">
        <f>IF($B37=0,0, (INDEX(Option2!AG$106:AG$117, MATCH($D37, Option2!$G$106:$G$117,0)))*conv_2026*AG$7)</f>
        <v>0</v>
      </c>
    </row>
    <row r="38" spans="1:35" s="8" customFormat="1" x14ac:dyDescent="0.2">
      <c r="A38" s="254"/>
      <c r="B38" s="254"/>
      <c r="C38" s="254"/>
      <c r="D38" s="254"/>
      <c r="E38" s="254"/>
      <c r="F38" s="31"/>
      <c r="H38" s="254"/>
      <c r="I38" s="254"/>
      <c r="J38" s="254"/>
      <c r="K38" s="254"/>
      <c r="L38" s="254"/>
      <c r="M38" s="254"/>
      <c r="N38" s="254"/>
      <c r="O38" s="254"/>
      <c r="P38" s="254"/>
      <c r="Q38" s="254"/>
      <c r="R38" s="254"/>
      <c r="S38" s="254"/>
      <c r="T38" s="254"/>
      <c r="U38" s="254"/>
      <c r="V38" s="254"/>
      <c r="W38" s="254"/>
      <c r="X38" s="254"/>
      <c r="Y38" s="254"/>
      <c r="Z38" s="254"/>
      <c r="AA38" s="254"/>
      <c r="AB38" s="254"/>
      <c r="AC38" s="254"/>
      <c r="AD38" s="254"/>
      <c r="AE38" s="254"/>
      <c r="AF38" s="254"/>
      <c r="AG38" s="254"/>
    </row>
    <row r="39" spans="1:35" s="8" customFormat="1" x14ac:dyDescent="0.2">
      <c r="A39" s="254"/>
      <c r="B39" s="254"/>
      <c r="C39" s="254"/>
      <c r="D39" s="254"/>
      <c r="E39" s="254"/>
      <c r="F39" s="31"/>
      <c r="H39" s="254"/>
      <c r="I39" s="254"/>
      <c r="J39" s="254"/>
      <c r="K39" s="254"/>
      <c r="L39" s="254"/>
      <c r="M39" s="254"/>
      <c r="N39" s="254"/>
      <c r="O39" s="254"/>
      <c r="P39" s="254"/>
      <c r="Q39" s="254"/>
      <c r="R39" s="254"/>
      <c r="S39" s="254"/>
      <c r="T39" s="254"/>
      <c r="U39" s="254"/>
      <c r="V39" s="254"/>
      <c r="W39" s="254"/>
      <c r="X39" s="254"/>
      <c r="Y39" s="254"/>
      <c r="Z39" s="254"/>
      <c r="AA39" s="254"/>
      <c r="AB39" s="254"/>
      <c r="AC39" s="254"/>
      <c r="AD39" s="254"/>
      <c r="AE39" s="254"/>
      <c r="AF39" s="254"/>
      <c r="AG39" s="254"/>
    </row>
    <row r="40" spans="1:35" s="8" customFormat="1" x14ac:dyDescent="0.2">
      <c r="A40" s="254"/>
      <c r="B40" s="254"/>
      <c r="C40" s="254"/>
      <c r="D40" s="254"/>
      <c r="E40" s="254"/>
      <c r="F40" s="31"/>
      <c r="H40" s="31">
        <f>Consol!H50</f>
        <v>0</v>
      </c>
      <c r="I40" s="31">
        <f>Consol!I50</f>
        <v>0</v>
      </c>
      <c r="J40" s="31">
        <f>Consol!J50</f>
        <v>0</v>
      </c>
      <c r="K40" s="31">
        <f>Consol!K50</f>
        <v>0</v>
      </c>
      <c r="L40" s="31">
        <f>Consol!L50</f>
        <v>0</v>
      </c>
      <c r="M40" s="31">
        <f>Consol!M50</f>
        <v>-265723.38054373214</v>
      </c>
      <c r="N40" s="31">
        <f>Consol!N50</f>
        <v>-259893.34631973319</v>
      </c>
      <c r="O40" s="31">
        <f>Consol!O50</f>
        <v>-249893.88261852443</v>
      </c>
      <c r="P40" s="31">
        <f>Consol!P50</f>
        <v>-238982.67397560016</v>
      </c>
      <c r="Q40" s="31">
        <f>Consol!Q50</f>
        <v>-232005.78363390488</v>
      </c>
      <c r="R40" s="31">
        <f>Consol!R50</f>
        <v>-229435.18692104297</v>
      </c>
      <c r="S40" s="31">
        <f>Consol!S50</f>
        <v>-226864.59020817996</v>
      </c>
      <c r="T40" s="31">
        <f>Consol!T50</f>
        <v>-224293.99349531785</v>
      </c>
      <c r="U40" s="31">
        <f>Consol!U50</f>
        <v>-221723.39678245605</v>
      </c>
      <c r="V40" s="31">
        <f>Consol!V50</f>
        <v>-219152.80006959295</v>
      </c>
      <c r="W40" s="31">
        <f>Consol!W50</f>
        <v>-216582.20335673098</v>
      </c>
      <c r="X40" s="31">
        <f>Consol!X50</f>
        <v>-214011.60664386908</v>
      </c>
      <c r="Y40" s="31">
        <f>Consol!Y50</f>
        <v>-211441.00993100603</v>
      </c>
      <c r="Z40" s="31">
        <f>Consol!Z50</f>
        <v>-208870.41321814398</v>
      </c>
      <c r="AA40" s="31">
        <f>Consol!AA50</f>
        <v>-206299.81650528099</v>
      </c>
      <c r="AB40" s="31">
        <f>Consol!AB50</f>
        <v>-203729.21979241914</v>
      </c>
      <c r="AC40" s="31">
        <f>Consol!AC50</f>
        <v>-201158.62307955709</v>
      </c>
      <c r="AD40" s="31">
        <f>Consol!AD50</f>
        <v>-198588.0263666941</v>
      </c>
      <c r="AE40" s="31">
        <f>Consol!AE50</f>
        <v>-196017.42965383217</v>
      </c>
      <c r="AF40" s="31">
        <f>Consol!AF50</f>
        <v>0</v>
      </c>
      <c r="AG40" s="31">
        <f>Consol!AG50</f>
        <v>0</v>
      </c>
    </row>
    <row r="41" spans="1:35" s="8" customFormat="1" x14ac:dyDescent="0.2">
      <c r="A41" s="254"/>
      <c r="B41" s="254"/>
      <c r="C41" s="254"/>
      <c r="D41" s="254"/>
      <c r="E41" s="254"/>
      <c r="F41" s="31"/>
      <c r="H41" s="254"/>
      <c r="I41" s="254"/>
      <c r="J41" s="254"/>
      <c r="K41" s="254"/>
      <c r="L41" s="254"/>
      <c r="M41" s="254"/>
      <c r="N41" s="254"/>
      <c r="O41" s="254"/>
      <c r="P41" s="254"/>
      <c r="Q41" s="254"/>
      <c r="R41" s="254"/>
      <c r="S41" s="254"/>
      <c r="T41" s="254"/>
      <c r="U41" s="254"/>
      <c r="V41" s="254"/>
      <c r="W41" s="254"/>
      <c r="X41" s="254"/>
      <c r="Y41" s="254"/>
      <c r="Z41" s="254"/>
      <c r="AA41" s="254"/>
      <c r="AB41" s="254"/>
      <c r="AC41" s="254"/>
      <c r="AD41" s="254"/>
      <c r="AE41" s="254"/>
      <c r="AF41" s="254"/>
      <c r="AG41" s="254"/>
    </row>
    <row r="42" spans="1:35" s="8" customFormat="1" x14ac:dyDescent="0.2">
      <c r="A42" s="254" t="s">
        <v>132</v>
      </c>
      <c r="B42" s="254" t="s">
        <v>119</v>
      </c>
      <c r="C42" s="254" t="s">
        <v>192</v>
      </c>
      <c r="D42" s="254" t="str">
        <f>A42&amp;B42</f>
        <v>Option 3NPV</v>
      </c>
      <c r="E42" s="255"/>
      <c r="F42" s="31">
        <f t="shared" ref="F42:F51" si="4">SUMPRODUCT($H42:$AG42, $H$5:$AG$5)</f>
        <v>-2746103.9167978503</v>
      </c>
      <c r="G42" s="247"/>
      <c r="H42" s="31">
        <f>(INDEX(Option3!H$106:H$117, MATCH($D42, Option3!$G$106:$G$117,0)))*conv_2026*H$7</f>
        <v>0</v>
      </c>
      <c r="I42" s="31">
        <f>(INDEX(Option3!I$106:I$117, MATCH($D42, Option3!$G$106:$G$117,0)))*conv_2026*I$7</f>
        <v>0</v>
      </c>
      <c r="J42" s="31">
        <f>(INDEX(Option3!J$106:J$117, MATCH($D42, Option3!$G$106:$G$117,0)))*conv_2026*J$7</f>
        <v>0</v>
      </c>
      <c r="K42" s="31">
        <f>(INDEX(Option3!K$106:K$117, MATCH($D42, Option3!$G$106:$G$117,0)))*conv_2026*K$7</f>
        <v>0</v>
      </c>
      <c r="L42" s="31">
        <f>(INDEX(Option3!L$106:L$117, MATCH($D42, Option3!$G$106:$G$117,0)))*conv_2026*L$7</f>
        <v>0</v>
      </c>
      <c r="M42" s="31">
        <f>(INDEX(Option3!M$106:M$117, MATCH($D42, Option3!$G$106:$G$117,0)))*conv_2026*M$7</f>
        <v>-265723.3805437322</v>
      </c>
      <c r="N42" s="31">
        <f>(INDEX(Option3!N$106:N$117, MATCH($D42, Option3!$G$106:$G$117,0)))*conv_2026*N$7</f>
        <v>-259893.34631973325</v>
      </c>
      <c r="O42" s="31">
        <f>(INDEX(Option3!O$106:O$117, MATCH($D42, Option3!$G$106:$G$117,0)))*conv_2026*O$7</f>
        <v>-249893.88261852443</v>
      </c>
      <c r="P42" s="31">
        <f>(INDEX(Option3!P$106:P$117, MATCH($D42, Option3!$G$106:$G$117,0)))*conv_2026*P$7</f>
        <v>-238982.67397560022</v>
      </c>
      <c r="Q42" s="31">
        <f>(INDEX(Option3!Q$106:Q$117, MATCH($D42, Option3!$G$106:$G$117,0)))*conv_2026*Q$7</f>
        <v>-232005.78363390494</v>
      </c>
      <c r="R42" s="31">
        <f>(INDEX(Option3!R$106:R$117, MATCH($D42, Option3!$G$106:$G$117,0)))*conv_2026*R$7</f>
        <v>-229435.186921043</v>
      </c>
      <c r="S42" s="31">
        <f>(INDEX(Option3!S$106:S$117, MATCH($D42, Option3!$G$106:$G$117,0)))*conv_2026*S$7</f>
        <v>-226864.59020817996</v>
      </c>
      <c r="T42" s="31">
        <f>(INDEX(Option3!T$106:T$117, MATCH($D42, Option3!$G$106:$G$117,0)))*conv_2026*T$7</f>
        <v>-224293.9934953179</v>
      </c>
      <c r="U42" s="31">
        <f>(INDEX(Option3!U$106:U$117, MATCH($D42, Option3!$G$106:$G$117,0)))*conv_2026*U$7</f>
        <v>-221723.39678245611</v>
      </c>
      <c r="V42" s="31">
        <f>(INDEX(Option3!V$106:V$117, MATCH($D42, Option3!$G$106:$G$117,0)))*conv_2026*V$7</f>
        <v>-219152.80006959304</v>
      </c>
      <c r="W42" s="31">
        <f>(INDEX(Option3!W$106:W$117, MATCH($D42, Option3!$G$106:$G$117,0)))*conv_2026*W$7</f>
        <v>-216582.20335673104</v>
      </c>
      <c r="X42" s="31">
        <f>(INDEX(Option3!X$106:X$117, MATCH($D42, Option3!$G$106:$G$117,0)))*conv_2026*X$7</f>
        <v>-214011.60664386913</v>
      </c>
      <c r="Y42" s="31">
        <f>(INDEX(Option3!Y$106:Y$117, MATCH($D42, Option3!$G$106:$G$117,0)))*conv_2026*Y$7</f>
        <v>-211441.00993100612</v>
      </c>
      <c r="Z42" s="31">
        <f>(INDEX(Option3!Z$106:Z$117, MATCH($D42, Option3!$G$106:$G$117,0)))*conv_2026*Z$7</f>
        <v>-208870.41321814401</v>
      </c>
      <c r="AA42" s="31">
        <f>(INDEX(Option3!AA$106:AA$117, MATCH($D42, Option3!$G$106:$G$117,0)))*conv_2026*AA$7</f>
        <v>-206299.81650528105</v>
      </c>
      <c r="AB42" s="31">
        <f>(INDEX(Option3!AB$106:AB$117, MATCH($D42, Option3!$G$106:$G$117,0)))*conv_2026*AB$7</f>
        <v>-203729.2197924192</v>
      </c>
      <c r="AC42" s="31">
        <f>(INDEX(Option3!AC$106:AC$117, MATCH($D42, Option3!$G$106:$G$117,0)))*conv_2026*AC$7</f>
        <v>-201158.62307955715</v>
      </c>
      <c r="AD42" s="31">
        <f>(INDEX(Option3!AD$106:AD$117, MATCH($D42, Option3!$G$106:$G$117,0)))*conv_2026*AD$7</f>
        <v>-198588.02636669413</v>
      </c>
      <c r="AE42" s="31">
        <f>(INDEX(Option3!AE$106:AE$117, MATCH($D42, Option3!$G$106:$G$117,0)))*conv_2026*AE$7</f>
        <v>-196017.42965383217</v>
      </c>
      <c r="AF42" s="31">
        <f>(INDEX(Option3!AF$106:AF$117, MATCH($D42, Option3!$G$106:$G$117,0)))*conv_2026*AF$7</f>
        <v>0</v>
      </c>
      <c r="AG42" s="31">
        <f>(INDEX(Option3!AG$106:AG$117, MATCH($D42, Option3!$G$106:$G$117,0)))*conv_2026*AG$7</f>
        <v>0</v>
      </c>
      <c r="AH42" s="7"/>
      <c r="AI42" s="7"/>
    </row>
    <row r="43" spans="1:35" s="8" customFormat="1" x14ac:dyDescent="0.2">
      <c r="A43" s="246"/>
      <c r="B43" s="246"/>
      <c r="C43" s="246"/>
      <c r="D43" s="246"/>
      <c r="E43" s="246"/>
      <c r="F43" s="246"/>
      <c r="G43" s="247"/>
      <c r="H43" s="247"/>
      <c r="I43" s="247"/>
      <c r="J43" s="247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7"/>
      <c r="AH43" s="7"/>
      <c r="AI43" s="7"/>
    </row>
    <row r="44" spans="1:35" s="8" customFormat="1" x14ac:dyDescent="0.2">
      <c r="A44" s="254" t="s">
        <v>132</v>
      </c>
      <c r="B44" s="254" t="str">
        <f>Option3!A110</f>
        <v>sens1</v>
      </c>
      <c r="C44" s="254" t="str">
        <f>Option3!C110</f>
        <v>Capex 10% higher</v>
      </c>
      <c r="D44" s="254" t="str">
        <f t="shared" ref="D44:D51" si="5">A44&amp;B44</f>
        <v>Option 3sens1</v>
      </c>
      <c r="E44" s="255"/>
      <c r="F44" s="31">
        <f t="shared" si="4"/>
        <v>-3338707.5137145254</v>
      </c>
      <c r="G44" s="247"/>
      <c r="H44" s="31">
        <f>(INDEX(Option3!H$106:H$117, MATCH($D44, Option3!$G$106:$G$117,0)))*conv_2026*H$7</f>
        <v>0</v>
      </c>
      <c r="I44" s="31">
        <f>(INDEX(Option3!I$106:I$117, MATCH($D44, Option3!$G$106:$G$117,0)))*conv_2026*I$7</f>
        <v>0</v>
      </c>
      <c r="J44" s="31">
        <f>(INDEX(Option3!J$106:J$117, MATCH($D44, Option3!$G$106:$G$117,0)))*conv_2026*J$7</f>
        <v>0</v>
      </c>
      <c r="K44" s="31">
        <f>(INDEX(Option3!K$106:K$117, MATCH($D44, Option3!$G$106:$G$117,0)))*conv_2026*K$7</f>
        <v>0</v>
      </c>
      <c r="L44" s="31">
        <f>(INDEX(Option3!L$106:L$117, MATCH($D44, Option3!$G$106:$G$117,0)))*conv_2026*L$7</f>
        <v>0</v>
      </c>
      <c r="M44" s="31">
        <f>(INDEX(Option3!M$106:M$117, MATCH($D44, Option3!$G$106:$G$117,0)))*conv_2026*M$7</f>
        <v>-314478.8343203314</v>
      </c>
      <c r="N44" s="31">
        <f>(INDEX(Option3!N$106:N$117, MATCH($D44, Option3!$G$106:$G$117,0)))*conv_2026*N$7</f>
        <v>-308648.80009633244</v>
      </c>
      <c r="O44" s="31">
        <f>(INDEX(Option3!O$106:O$117, MATCH($D44, Option3!$G$106:$G$117,0)))*conv_2026*O$7</f>
        <v>-298649.33639512362</v>
      </c>
      <c r="P44" s="31">
        <f>(INDEX(Option3!P$106:P$117, MATCH($D44, Option3!$G$106:$G$117,0)))*conv_2026*P$7</f>
        <v>-287738.12775219936</v>
      </c>
      <c r="Q44" s="31">
        <f>(INDEX(Option3!Q$106:Q$117, MATCH($D44, Option3!$G$106:$G$117,0)))*conv_2026*Q$7</f>
        <v>-280761.23741050414</v>
      </c>
      <c r="R44" s="31">
        <f>(INDEX(Option3!R$106:R$117, MATCH($D44, Option3!$G$106:$G$117,0)))*conv_2026*R$7</f>
        <v>-278190.64069764217</v>
      </c>
      <c r="S44" s="31">
        <f>(INDEX(Option3!S$106:S$117, MATCH($D44, Option3!$G$106:$G$117,0)))*conv_2026*S$7</f>
        <v>-275620.04398477916</v>
      </c>
      <c r="T44" s="31">
        <f>(INDEX(Option3!T$106:T$117, MATCH($D44, Option3!$G$106:$G$117,0)))*conv_2026*T$7</f>
        <v>-273049.44727191707</v>
      </c>
      <c r="U44" s="31">
        <f>(INDEX(Option3!U$106:U$117, MATCH($D44, Option3!$G$106:$G$117,0)))*conv_2026*U$7</f>
        <v>-270478.85055905528</v>
      </c>
      <c r="V44" s="31">
        <f>(INDEX(Option3!V$106:V$117, MATCH($D44, Option3!$G$106:$G$117,0)))*conv_2026*V$7</f>
        <v>-267908.25384619221</v>
      </c>
      <c r="W44" s="31">
        <f>(INDEX(Option3!W$106:W$117, MATCH($D44, Option3!$G$106:$G$117,0)))*conv_2026*W$7</f>
        <v>-265337.65713333024</v>
      </c>
      <c r="X44" s="31">
        <f>(INDEX(Option3!X$106:X$117, MATCH($D44, Option3!$G$106:$G$117,0)))*conv_2026*X$7</f>
        <v>-262767.06042046833</v>
      </c>
      <c r="Y44" s="31">
        <f>(INDEX(Option3!Y$106:Y$117, MATCH($D44, Option3!$G$106:$G$117,0)))*conv_2026*Y$7</f>
        <v>-260196.46370760529</v>
      </c>
      <c r="Z44" s="31">
        <f>(INDEX(Option3!Z$106:Z$117, MATCH($D44, Option3!$G$106:$G$117,0)))*conv_2026*Z$7</f>
        <v>-257625.86699474318</v>
      </c>
      <c r="AA44" s="31">
        <f>(INDEX(Option3!AA$106:AA$117, MATCH($D44, Option3!$G$106:$G$117,0)))*conv_2026*AA$7</f>
        <v>-255055.27028188022</v>
      </c>
      <c r="AB44" s="31">
        <f>(INDEX(Option3!AB$106:AB$117, MATCH($D44, Option3!$G$106:$G$117,0)))*conv_2026*AB$7</f>
        <v>-252484.6735690184</v>
      </c>
      <c r="AC44" s="31">
        <f>(INDEX(Option3!AC$106:AC$117, MATCH($D44, Option3!$G$106:$G$117,0)))*conv_2026*AC$7</f>
        <v>-249914.07685615632</v>
      </c>
      <c r="AD44" s="31">
        <f>(INDEX(Option3!AD$106:AD$117, MATCH($D44, Option3!$G$106:$G$117,0)))*conv_2026*AD$7</f>
        <v>-247343.48014329333</v>
      </c>
      <c r="AE44" s="31">
        <f>(INDEX(Option3!AE$106:AE$117, MATCH($D44, Option3!$G$106:$G$117,0)))*conv_2026*AE$7</f>
        <v>-244772.88343043136</v>
      </c>
      <c r="AF44" s="31">
        <f>(INDEX(Option3!AF$106:AF$117, MATCH($D44, Option3!$G$106:$G$117,0)))*conv_2026*AF$7</f>
        <v>0</v>
      </c>
      <c r="AG44" s="31">
        <f>(INDEX(Option3!AG$106:AG$117, MATCH($D44, Option3!$G$106:$G$117,0)))*conv_2026*AG$7</f>
        <v>0</v>
      </c>
      <c r="AH44" s="7"/>
      <c r="AI44" s="7"/>
    </row>
    <row r="45" spans="1:35" s="8" customFormat="1" x14ac:dyDescent="0.2">
      <c r="A45" s="254" t="s">
        <v>132</v>
      </c>
      <c r="B45" s="254" t="str">
        <f>Option3!A111</f>
        <v>sens2</v>
      </c>
      <c r="C45" s="254" t="str">
        <f>Option3!C111</f>
        <v>Capex 10% lower</v>
      </c>
      <c r="D45" s="254" t="str">
        <f t="shared" si="5"/>
        <v>Option 3sens2</v>
      </c>
      <c r="E45" s="255"/>
      <c r="F45" s="31">
        <f t="shared" si="4"/>
        <v>-2153500.3198811742</v>
      </c>
      <c r="G45" s="254"/>
      <c r="H45" s="31">
        <f>(INDEX(Option3!H$106:H$117, MATCH($D45, Option3!$G$106:$G$117,0)))*conv_2026*H$7</f>
        <v>0</v>
      </c>
      <c r="I45" s="31">
        <f>(INDEX(Option3!I$106:I$117, MATCH($D45, Option3!$G$106:$G$117,0)))*conv_2026*I$7</f>
        <v>0</v>
      </c>
      <c r="J45" s="31">
        <f>(INDEX(Option3!J$106:J$117, MATCH($D45, Option3!$G$106:$G$117,0)))*conv_2026*J$7</f>
        <v>0</v>
      </c>
      <c r="K45" s="31">
        <f>(INDEX(Option3!K$106:K$117, MATCH($D45, Option3!$G$106:$G$117,0)))*conv_2026*K$7</f>
        <v>0</v>
      </c>
      <c r="L45" s="31">
        <f>(INDEX(Option3!L$106:L$117, MATCH($D45, Option3!$G$106:$G$117,0)))*conv_2026*L$7</f>
        <v>0</v>
      </c>
      <c r="M45" s="31">
        <f>(INDEX(Option3!M$106:M$117, MATCH($D45, Option3!$G$106:$G$117,0)))*conv_2026*M$7</f>
        <v>-216967.92676713303</v>
      </c>
      <c r="N45" s="31">
        <f>(INDEX(Option3!N$106:N$117, MATCH($D45, Option3!$G$106:$G$117,0)))*conv_2026*N$7</f>
        <v>-211137.89254313408</v>
      </c>
      <c r="O45" s="31">
        <f>(INDEX(Option3!O$106:O$117, MATCH($D45, Option3!$G$106:$G$117,0)))*conv_2026*O$7</f>
        <v>-201138.42884192526</v>
      </c>
      <c r="P45" s="31">
        <f>(INDEX(Option3!P$106:P$117, MATCH($D45, Option3!$G$106:$G$117,0)))*conv_2026*P$7</f>
        <v>-190227.22019900102</v>
      </c>
      <c r="Q45" s="31">
        <f>(INDEX(Option3!Q$106:Q$117, MATCH($D45, Option3!$G$106:$G$117,0)))*conv_2026*Q$7</f>
        <v>-183250.32985730577</v>
      </c>
      <c r="R45" s="31">
        <f>(INDEX(Option3!R$106:R$117, MATCH($D45, Option3!$G$106:$G$117,0)))*conv_2026*R$7</f>
        <v>-180679.73314444383</v>
      </c>
      <c r="S45" s="31">
        <f>(INDEX(Option3!S$106:S$117, MATCH($D45, Option3!$G$106:$G$117,0)))*conv_2026*S$7</f>
        <v>-178109.13643158079</v>
      </c>
      <c r="T45" s="31">
        <f>(INDEX(Option3!T$106:T$117, MATCH($D45, Option3!$G$106:$G$117,0)))*conv_2026*T$7</f>
        <v>-175538.53971871873</v>
      </c>
      <c r="U45" s="31">
        <f>(INDEX(Option3!U$106:U$117, MATCH($D45, Option3!$G$106:$G$117,0)))*conv_2026*U$7</f>
        <v>-172967.94300585691</v>
      </c>
      <c r="V45" s="31">
        <f>(INDEX(Option3!V$106:V$117, MATCH($D45, Option3!$G$106:$G$117,0)))*conv_2026*V$7</f>
        <v>-170397.34629299387</v>
      </c>
      <c r="W45" s="31">
        <f>(INDEX(Option3!W$106:W$117, MATCH($D45, Option3!$G$106:$G$117,0)))*conv_2026*W$7</f>
        <v>-167826.74958013187</v>
      </c>
      <c r="X45" s="31">
        <f>(INDEX(Option3!X$106:X$117, MATCH($D45, Option3!$G$106:$G$117,0)))*conv_2026*X$7</f>
        <v>-165256.15286726996</v>
      </c>
      <c r="Y45" s="31">
        <f>(INDEX(Option3!Y$106:Y$117, MATCH($D45, Option3!$G$106:$G$117,0)))*conv_2026*Y$7</f>
        <v>-162685.55615440692</v>
      </c>
      <c r="Z45" s="31">
        <f>(INDEX(Option3!Z$106:Z$117, MATCH($D45, Option3!$G$106:$G$117,0)))*conv_2026*Z$7</f>
        <v>-160114.95944154484</v>
      </c>
      <c r="AA45" s="31">
        <f>(INDEX(Option3!AA$106:AA$117, MATCH($D45, Option3!$G$106:$G$117,0)))*conv_2026*AA$7</f>
        <v>-157544.36272868185</v>
      </c>
      <c r="AB45" s="31">
        <f>(INDEX(Option3!AB$106:AB$117, MATCH($D45, Option3!$G$106:$G$117,0)))*conv_2026*AB$7</f>
        <v>-154973.76601582003</v>
      </c>
      <c r="AC45" s="31">
        <f>(INDEX(Option3!AC$106:AC$117, MATCH($D45, Option3!$G$106:$G$117,0)))*conv_2026*AC$7</f>
        <v>-152403.16930295798</v>
      </c>
      <c r="AD45" s="31">
        <f>(INDEX(Option3!AD$106:AD$117, MATCH($D45, Option3!$G$106:$G$117,0)))*conv_2026*AD$7</f>
        <v>-149832.57259009496</v>
      </c>
      <c r="AE45" s="31">
        <f>(INDEX(Option3!AE$106:AE$117, MATCH($D45, Option3!$G$106:$G$117,0)))*conv_2026*AE$7</f>
        <v>-147261.975877233</v>
      </c>
      <c r="AF45" s="31">
        <f>(INDEX(Option3!AF$106:AF$117, MATCH($D45, Option3!$G$106:$G$117,0)))*conv_2026*AF$7</f>
        <v>0</v>
      </c>
      <c r="AG45" s="31">
        <f>(INDEX(Option3!AG$106:AG$117, MATCH($D45, Option3!$G$106:$G$117,0)))*conv_2026*AG$7</f>
        <v>0</v>
      </c>
    </row>
    <row r="46" spans="1:35" s="8" customFormat="1" x14ac:dyDescent="0.2">
      <c r="A46" s="254" t="s">
        <v>132</v>
      </c>
      <c r="B46" s="254" t="str">
        <f>Option3!A112</f>
        <v>sens3</v>
      </c>
      <c r="C46" s="254" t="str">
        <f>Option3!C112</f>
        <v>Increasing wind escalation</v>
      </c>
      <c r="D46" s="254" t="str">
        <f t="shared" si="5"/>
        <v>Option 3sens3</v>
      </c>
      <c r="E46" s="255"/>
      <c r="F46" s="31">
        <f t="shared" si="4"/>
        <v>-2708356.9007210014</v>
      </c>
      <c r="H46" s="31">
        <f>(INDEX(Option3!H$106:H$117, MATCH($D46, Option3!$G$106:$G$117,0)))*conv_2026*H$7</f>
        <v>0</v>
      </c>
      <c r="I46" s="31">
        <f>(INDEX(Option3!I$106:I$117, MATCH($D46, Option3!$G$106:$G$117,0)))*conv_2026*I$7</f>
        <v>0</v>
      </c>
      <c r="J46" s="31">
        <f>(INDEX(Option3!J$106:J$117, MATCH($D46, Option3!$G$106:$G$117,0)))*conv_2026*J$7</f>
        <v>0</v>
      </c>
      <c r="K46" s="31">
        <f>(INDEX(Option3!K$106:K$117, MATCH($D46, Option3!$G$106:$G$117,0)))*conv_2026*K$7</f>
        <v>0</v>
      </c>
      <c r="L46" s="31">
        <f>(INDEX(Option3!L$106:L$117, MATCH($D46, Option3!$G$106:$G$117,0)))*conv_2026*L$7</f>
        <v>0</v>
      </c>
      <c r="M46" s="31">
        <f>(INDEX(Option3!M$106:M$117, MATCH($D46, Option3!$G$106:$G$117,0)))*conv_2026*M$7</f>
        <v>-249216.60311878007</v>
      </c>
      <c r="N46" s="31">
        <f>(INDEX(Option3!N$106:N$117, MATCH($D46, Option3!$G$106:$G$117,0)))*conv_2026*N$7</f>
        <v>-245033.93422545769</v>
      </c>
      <c r="O46" s="31">
        <f>(INDEX(Option3!O$106:O$117, MATCH($D46, Option3!$G$106:$G$117,0)))*conv_2026*O$7</f>
        <v>-236564.56562681863</v>
      </c>
      <c r="P46" s="31">
        <f>(INDEX(Option3!P$106:P$117, MATCH($D46, Option3!$G$106:$G$117,0)))*conv_2026*P$7</f>
        <v>-227207.64972587492</v>
      </c>
      <c r="Q46" s="31">
        <f>(INDEX(Option3!Q$106:Q$117, MATCH($D46, Option3!$G$106:$G$117,0)))*conv_2026*Q$7</f>
        <v>-221929.17156130151</v>
      </c>
      <c r="R46" s="31">
        <f>(INDEX(Option3!R$106:R$117, MATCH($D46, Option3!$G$106:$G$117,0)))*conv_2026*R$7</f>
        <v>-221158.73550111894</v>
      </c>
      <c r="S46" s="31">
        <f>(INDEX(Option3!S$106:S$117, MATCH($D46, Option3!$G$106:$G$117,0)))*conv_2026*S$7</f>
        <v>-220371.46821718171</v>
      </c>
      <c r="T46" s="31">
        <f>(INDEX(Option3!T$106:T$117, MATCH($D46, Option3!$G$106:$G$117,0)))*conv_2026*T$7</f>
        <v>-219567.60766901067</v>
      </c>
      <c r="U46" s="31">
        <f>(INDEX(Option3!U$106:U$117, MATCH($D46, Option3!$G$106:$G$117,0)))*conv_2026*U$7</f>
        <v>-218747.38735147659</v>
      </c>
      <c r="V46" s="31">
        <f>(INDEX(Option3!V$106:V$117, MATCH($D46, Option3!$G$106:$G$117,0)))*conv_2026*V$7</f>
        <v>-217911.03639901994</v>
      </c>
      <c r="W46" s="31">
        <f>(INDEX(Option3!W$106:W$117, MATCH($D46, Option3!$G$106:$G$117,0)))*conv_2026*W$7</f>
        <v>-217058.77968696717</v>
      </c>
      <c r="X46" s="31">
        <f>(INDEX(Option3!X$106:X$117, MATCH($D46, Option3!$G$106:$G$117,0)))*conv_2026*X$7</f>
        <v>-216190.8379300294</v>
      </c>
      <c r="Y46" s="31">
        <f>(INDEX(Option3!Y$106:Y$117, MATCH($D46, Option3!$G$106:$G$117,0)))*conv_2026*Y$7</f>
        <v>-215307.42777808485</v>
      </c>
      <c r="Z46" s="31">
        <f>(INDEX(Option3!Z$106:Z$117, MATCH($D46, Option3!$G$106:$G$117,0)))*conv_2026*Z$7</f>
        <v>-214408.76190932703</v>
      </c>
      <c r="AA46" s="31">
        <f>(INDEX(Option3!AA$106:AA$117, MATCH($D46, Option3!$G$106:$G$117,0)))*conv_2026*AA$7</f>
        <v>-213495.04912085956</v>
      </c>
      <c r="AB46" s="31">
        <f>(INDEX(Option3!AB$106:AB$117, MATCH($D46, Option3!$G$106:$G$117,0)))*conv_2026*AB$7</f>
        <v>-212566.49441682745</v>
      </c>
      <c r="AC46" s="31">
        <f>(INDEX(Option3!AC$106:AC$117, MATCH($D46, Option3!$G$106:$G$117,0)))*conv_2026*AC$7</f>
        <v>-211623.2990941529</v>
      </c>
      <c r="AD46" s="31">
        <f>(INDEX(Option3!AD$106:AD$117, MATCH($D46, Option3!$G$106:$G$117,0)))*conv_2026*AD$7</f>
        <v>-210665.66082595961</v>
      </c>
      <c r="AE46" s="31">
        <f>(INDEX(Option3!AE$106:AE$117, MATCH($D46, Option3!$G$106:$G$117,0)))*conv_2026*AE$7</f>
        <v>-209693.77374275378</v>
      </c>
      <c r="AF46" s="31">
        <f>(INDEX(Option3!AF$106:AF$117, MATCH($D46, Option3!$G$106:$G$117,0)))*conv_2026*AF$7</f>
        <v>0</v>
      </c>
      <c r="AG46" s="31">
        <f>(INDEX(Option3!AG$106:AG$117, MATCH($D46, Option3!$G$106:$G$117,0)))*conv_2026*AG$7</f>
        <v>0</v>
      </c>
    </row>
    <row r="47" spans="1:35" s="8" customFormat="1" x14ac:dyDescent="0.2">
      <c r="A47" s="254" t="s">
        <v>132</v>
      </c>
      <c r="B47" s="254" t="str">
        <f>Option3!A113</f>
        <v>sens4</v>
      </c>
      <c r="C47" s="254" t="str">
        <f>Option3!C113</f>
        <v/>
      </c>
      <c r="D47" s="254" t="str">
        <f t="shared" si="5"/>
        <v>Option 3sens4</v>
      </c>
      <c r="E47" s="255"/>
      <c r="F47" s="31">
        <f t="shared" si="4"/>
        <v>-2746103.9167978503</v>
      </c>
      <c r="H47" s="31">
        <f>(INDEX(Option3!H$106:H$117, MATCH($D47, Option3!$G$106:$G$117,0)))*conv_2026*H$7</f>
        <v>0</v>
      </c>
      <c r="I47" s="31">
        <f>(INDEX(Option3!I$106:I$117, MATCH($D47, Option3!$G$106:$G$117,0)))*conv_2026*I$7</f>
        <v>0</v>
      </c>
      <c r="J47" s="31">
        <f>(INDEX(Option3!J$106:J$117, MATCH($D47, Option3!$G$106:$G$117,0)))*conv_2026*J$7</f>
        <v>0</v>
      </c>
      <c r="K47" s="31">
        <f>(INDEX(Option3!K$106:K$117, MATCH($D47, Option3!$G$106:$G$117,0)))*conv_2026*K$7</f>
        <v>0</v>
      </c>
      <c r="L47" s="31">
        <f>(INDEX(Option3!L$106:L$117, MATCH($D47, Option3!$G$106:$G$117,0)))*conv_2026*L$7</f>
        <v>0</v>
      </c>
      <c r="M47" s="31">
        <f>(INDEX(Option3!M$106:M$117, MATCH($D47, Option3!$G$106:$G$117,0)))*conv_2026*M$7</f>
        <v>-265723.3805437322</v>
      </c>
      <c r="N47" s="31">
        <f>(INDEX(Option3!N$106:N$117, MATCH($D47, Option3!$G$106:$G$117,0)))*conv_2026*N$7</f>
        <v>-259893.34631973325</v>
      </c>
      <c r="O47" s="31">
        <f>(INDEX(Option3!O$106:O$117, MATCH($D47, Option3!$G$106:$G$117,0)))*conv_2026*O$7</f>
        <v>-249893.88261852443</v>
      </c>
      <c r="P47" s="31">
        <f>(INDEX(Option3!P$106:P$117, MATCH($D47, Option3!$G$106:$G$117,0)))*conv_2026*P$7</f>
        <v>-238982.67397560022</v>
      </c>
      <c r="Q47" s="31">
        <f>(INDEX(Option3!Q$106:Q$117, MATCH($D47, Option3!$G$106:$G$117,0)))*conv_2026*Q$7</f>
        <v>-232005.78363390494</v>
      </c>
      <c r="R47" s="31">
        <f>(INDEX(Option3!R$106:R$117, MATCH($D47, Option3!$G$106:$G$117,0)))*conv_2026*R$7</f>
        <v>-229435.186921043</v>
      </c>
      <c r="S47" s="31">
        <f>(INDEX(Option3!S$106:S$117, MATCH($D47, Option3!$G$106:$G$117,0)))*conv_2026*S$7</f>
        <v>-226864.59020817996</v>
      </c>
      <c r="T47" s="31">
        <f>(INDEX(Option3!T$106:T$117, MATCH($D47, Option3!$G$106:$G$117,0)))*conv_2026*T$7</f>
        <v>-224293.9934953179</v>
      </c>
      <c r="U47" s="31">
        <f>(INDEX(Option3!U$106:U$117, MATCH($D47, Option3!$G$106:$G$117,0)))*conv_2026*U$7</f>
        <v>-221723.39678245611</v>
      </c>
      <c r="V47" s="31">
        <f>(INDEX(Option3!V$106:V$117, MATCH($D47, Option3!$G$106:$G$117,0)))*conv_2026*V$7</f>
        <v>-219152.80006959304</v>
      </c>
      <c r="W47" s="31">
        <f>(INDEX(Option3!W$106:W$117, MATCH($D47, Option3!$G$106:$G$117,0)))*conv_2026*W$7</f>
        <v>-216582.20335673104</v>
      </c>
      <c r="X47" s="31">
        <f>(INDEX(Option3!X$106:X$117, MATCH($D47, Option3!$G$106:$G$117,0)))*conv_2026*X$7</f>
        <v>-214011.60664386913</v>
      </c>
      <c r="Y47" s="31">
        <f>(INDEX(Option3!Y$106:Y$117, MATCH($D47, Option3!$G$106:$G$117,0)))*conv_2026*Y$7</f>
        <v>-211441.00993100612</v>
      </c>
      <c r="Z47" s="31">
        <f>(INDEX(Option3!Z$106:Z$117, MATCH($D47, Option3!$G$106:$G$117,0)))*conv_2026*Z$7</f>
        <v>-208870.41321814401</v>
      </c>
      <c r="AA47" s="31">
        <f>(INDEX(Option3!AA$106:AA$117, MATCH($D47, Option3!$G$106:$G$117,0)))*conv_2026*AA$7</f>
        <v>-206299.81650528105</v>
      </c>
      <c r="AB47" s="31">
        <f>(INDEX(Option3!AB$106:AB$117, MATCH($D47, Option3!$G$106:$G$117,0)))*conv_2026*AB$7</f>
        <v>-203729.2197924192</v>
      </c>
      <c r="AC47" s="31">
        <f>(INDEX(Option3!AC$106:AC$117, MATCH($D47, Option3!$G$106:$G$117,0)))*conv_2026*AC$7</f>
        <v>-201158.62307955715</v>
      </c>
      <c r="AD47" s="31">
        <f>(INDEX(Option3!AD$106:AD$117, MATCH($D47, Option3!$G$106:$G$117,0)))*conv_2026*AD$7</f>
        <v>-198588.02636669413</v>
      </c>
      <c r="AE47" s="31">
        <f>(INDEX(Option3!AE$106:AE$117, MATCH($D47, Option3!$G$106:$G$117,0)))*conv_2026*AE$7</f>
        <v>-196017.42965383217</v>
      </c>
      <c r="AF47" s="31">
        <f>(INDEX(Option3!AF$106:AF$117, MATCH($D47, Option3!$G$106:$G$117,0)))*conv_2026*AF$7</f>
        <v>0</v>
      </c>
      <c r="AG47" s="31">
        <f>(INDEX(Option3!AG$106:AG$117, MATCH($D47, Option3!$G$106:$G$117,0)))*conv_2026*AG$7</f>
        <v>0</v>
      </c>
    </row>
    <row r="48" spans="1:35" s="8" customFormat="1" x14ac:dyDescent="0.2">
      <c r="A48" s="254" t="s">
        <v>132</v>
      </c>
      <c r="B48" s="254" t="str">
        <f>Option3!A114</f>
        <v>sens5</v>
      </c>
      <c r="C48" s="254" t="str">
        <f>Option3!C114</f>
        <v/>
      </c>
      <c r="D48" s="254" t="str">
        <f t="shared" si="5"/>
        <v>Option 3sens5</v>
      </c>
      <c r="E48" s="255"/>
      <c r="F48" s="31">
        <f t="shared" si="4"/>
        <v>-2746103.9167978503</v>
      </c>
      <c r="H48" s="31">
        <f>(INDEX(Option3!H$106:H$117, MATCH($D48, Option3!$G$106:$G$117,0)))*conv_2026*H$7</f>
        <v>0</v>
      </c>
      <c r="I48" s="31">
        <f>(INDEX(Option3!I$106:I$117, MATCH($D48, Option3!$G$106:$G$117,0)))*conv_2026*I$7</f>
        <v>0</v>
      </c>
      <c r="J48" s="31">
        <f>(INDEX(Option3!J$106:J$117, MATCH($D48, Option3!$G$106:$G$117,0)))*conv_2026*J$7</f>
        <v>0</v>
      </c>
      <c r="K48" s="31">
        <f>(INDEX(Option3!K$106:K$117, MATCH($D48, Option3!$G$106:$G$117,0)))*conv_2026*K$7</f>
        <v>0</v>
      </c>
      <c r="L48" s="31">
        <f>(INDEX(Option3!L$106:L$117, MATCH($D48, Option3!$G$106:$G$117,0)))*conv_2026*L$7</f>
        <v>0</v>
      </c>
      <c r="M48" s="31">
        <f>(INDEX(Option3!M$106:M$117, MATCH($D48, Option3!$G$106:$G$117,0)))*conv_2026*M$7</f>
        <v>-265723.3805437322</v>
      </c>
      <c r="N48" s="31">
        <f>(INDEX(Option3!N$106:N$117, MATCH($D48, Option3!$G$106:$G$117,0)))*conv_2026*N$7</f>
        <v>-259893.34631973325</v>
      </c>
      <c r="O48" s="31">
        <f>(INDEX(Option3!O$106:O$117, MATCH($D48, Option3!$G$106:$G$117,0)))*conv_2026*O$7</f>
        <v>-249893.88261852443</v>
      </c>
      <c r="P48" s="31">
        <f>(INDEX(Option3!P$106:P$117, MATCH($D48, Option3!$G$106:$G$117,0)))*conv_2026*P$7</f>
        <v>-238982.67397560022</v>
      </c>
      <c r="Q48" s="31">
        <f>(INDEX(Option3!Q$106:Q$117, MATCH($D48, Option3!$G$106:$G$117,0)))*conv_2026*Q$7</f>
        <v>-232005.78363390494</v>
      </c>
      <c r="R48" s="31">
        <f>(INDEX(Option3!R$106:R$117, MATCH($D48, Option3!$G$106:$G$117,0)))*conv_2026*R$7</f>
        <v>-229435.186921043</v>
      </c>
      <c r="S48" s="31">
        <f>(INDEX(Option3!S$106:S$117, MATCH($D48, Option3!$G$106:$G$117,0)))*conv_2026*S$7</f>
        <v>-226864.59020817996</v>
      </c>
      <c r="T48" s="31">
        <f>(INDEX(Option3!T$106:T$117, MATCH($D48, Option3!$G$106:$G$117,0)))*conv_2026*T$7</f>
        <v>-224293.9934953179</v>
      </c>
      <c r="U48" s="31">
        <f>(INDEX(Option3!U$106:U$117, MATCH($D48, Option3!$G$106:$G$117,0)))*conv_2026*U$7</f>
        <v>-221723.39678245611</v>
      </c>
      <c r="V48" s="31">
        <f>(INDEX(Option3!V$106:V$117, MATCH($D48, Option3!$G$106:$G$117,0)))*conv_2026*V$7</f>
        <v>-219152.80006959304</v>
      </c>
      <c r="W48" s="31">
        <f>(INDEX(Option3!W$106:W$117, MATCH($D48, Option3!$G$106:$G$117,0)))*conv_2026*W$7</f>
        <v>-216582.20335673104</v>
      </c>
      <c r="X48" s="31">
        <f>(INDEX(Option3!X$106:X$117, MATCH($D48, Option3!$G$106:$G$117,0)))*conv_2026*X$7</f>
        <v>-214011.60664386913</v>
      </c>
      <c r="Y48" s="31">
        <f>(INDEX(Option3!Y$106:Y$117, MATCH($D48, Option3!$G$106:$G$117,0)))*conv_2026*Y$7</f>
        <v>-211441.00993100612</v>
      </c>
      <c r="Z48" s="31">
        <f>(INDEX(Option3!Z$106:Z$117, MATCH($D48, Option3!$G$106:$G$117,0)))*conv_2026*Z$7</f>
        <v>-208870.41321814401</v>
      </c>
      <c r="AA48" s="31">
        <f>(INDEX(Option3!AA$106:AA$117, MATCH($D48, Option3!$G$106:$G$117,0)))*conv_2026*AA$7</f>
        <v>-206299.81650528105</v>
      </c>
      <c r="AB48" s="31">
        <f>(INDEX(Option3!AB$106:AB$117, MATCH($D48, Option3!$G$106:$G$117,0)))*conv_2026*AB$7</f>
        <v>-203729.2197924192</v>
      </c>
      <c r="AC48" s="31">
        <f>(INDEX(Option3!AC$106:AC$117, MATCH($D48, Option3!$G$106:$G$117,0)))*conv_2026*AC$7</f>
        <v>-201158.62307955715</v>
      </c>
      <c r="AD48" s="31">
        <f>(INDEX(Option3!AD$106:AD$117, MATCH($D48, Option3!$G$106:$G$117,0)))*conv_2026*AD$7</f>
        <v>-198588.02636669413</v>
      </c>
      <c r="AE48" s="31">
        <f>(INDEX(Option3!AE$106:AE$117, MATCH($D48, Option3!$G$106:$G$117,0)))*conv_2026*AE$7</f>
        <v>-196017.42965383217</v>
      </c>
      <c r="AF48" s="31">
        <f>(INDEX(Option3!AF$106:AF$117, MATCH($D48, Option3!$G$106:$G$117,0)))*conv_2026*AF$7</f>
        <v>0</v>
      </c>
      <c r="AG48" s="31">
        <f>(INDEX(Option3!AG$106:AG$117, MATCH($D48, Option3!$G$106:$G$117,0)))*conv_2026*AG$7</f>
        <v>0</v>
      </c>
    </row>
    <row r="49" spans="1:35" s="8" customFormat="1" x14ac:dyDescent="0.2">
      <c r="A49" s="254" t="s">
        <v>132</v>
      </c>
      <c r="B49" s="254" t="str">
        <f>Option3!A115</f>
        <v>sens</v>
      </c>
      <c r="C49" s="254">
        <f>Option3!C115</f>
        <v>0</v>
      </c>
      <c r="D49" s="254" t="str">
        <f t="shared" si="5"/>
        <v>Option 3sens</v>
      </c>
      <c r="E49" s="255"/>
      <c r="F49" s="31">
        <f t="shared" si="4"/>
        <v>-2746103.9167978503</v>
      </c>
      <c r="H49" s="31">
        <f>(INDEX(Option3!H$106:H$117, MATCH($D49, Option3!$G$106:$G$117,0)))*conv_2026*H$7</f>
        <v>0</v>
      </c>
      <c r="I49" s="31">
        <f>(INDEX(Option3!I$106:I$117, MATCH($D49, Option3!$G$106:$G$117,0)))*conv_2026*I$7</f>
        <v>0</v>
      </c>
      <c r="J49" s="31">
        <f>(INDEX(Option3!J$106:J$117, MATCH($D49, Option3!$G$106:$G$117,0)))*conv_2026*J$7</f>
        <v>0</v>
      </c>
      <c r="K49" s="31">
        <f>(INDEX(Option3!K$106:K$117, MATCH($D49, Option3!$G$106:$G$117,0)))*conv_2026*K$7</f>
        <v>0</v>
      </c>
      <c r="L49" s="31">
        <f>(INDEX(Option3!L$106:L$117, MATCH($D49, Option3!$G$106:$G$117,0)))*conv_2026*L$7</f>
        <v>0</v>
      </c>
      <c r="M49" s="31">
        <f>(INDEX(Option3!M$106:M$117, MATCH($D49, Option3!$G$106:$G$117,0)))*conv_2026*M$7</f>
        <v>-265723.3805437322</v>
      </c>
      <c r="N49" s="31">
        <f>(INDEX(Option3!N$106:N$117, MATCH($D49, Option3!$G$106:$G$117,0)))*conv_2026*N$7</f>
        <v>-259893.34631973325</v>
      </c>
      <c r="O49" s="31">
        <f>(INDEX(Option3!O$106:O$117, MATCH($D49, Option3!$G$106:$G$117,0)))*conv_2026*O$7</f>
        <v>-249893.88261852443</v>
      </c>
      <c r="P49" s="31">
        <f>(INDEX(Option3!P$106:P$117, MATCH($D49, Option3!$G$106:$G$117,0)))*conv_2026*P$7</f>
        <v>-238982.67397560022</v>
      </c>
      <c r="Q49" s="31">
        <f>(INDEX(Option3!Q$106:Q$117, MATCH($D49, Option3!$G$106:$G$117,0)))*conv_2026*Q$7</f>
        <v>-232005.78363390494</v>
      </c>
      <c r="R49" s="31">
        <f>(INDEX(Option3!R$106:R$117, MATCH($D49, Option3!$G$106:$G$117,0)))*conv_2026*R$7</f>
        <v>-229435.186921043</v>
      </c>
      <c r="S49" s="31">
        <f>(INDEX(Option3!S$106:S$117, MATCH($D49, Option3!$G$106:$G$117,0)))*conv_2026*S$7</f>
        <v>-226864.59020817996</v>
      </c>
      <c r="T49" s="31">
        <f>(INDEX(Option3!T$106:T$117, MATCH($D49, Option3!$G$106:$G$117,0)))*conv_2026*T$7</f>
        <v>-224293.9934953179</v>
      </c>
      <c r="U49" s="31">
        <f>(INDEX(Option3!U$106:U$117, MATCH($D49, Option3!$G$106:$G$117,0)))*conv_2026*U$7</f>
        <v>-221723.39678245611</v>
      </c>
      <c r="V49" s="31">
        <f>(INDEX(Option3!V$106:V$117, MATCH($D49, Option3!$G$106:$G$117,0)))*conv_2026*V$7</f>
        <v>-219152.80006959304</v>
      </c>
      <c r="W49" s="31">
        <f>(INDEX(Option3!W$106:W$117, MATCH($D49, Option3!$G$106:$G$117,0)))*conv_2026*W$7</f>
        <v>-216582.20335673104</v>
      </c>
      <c r="X49" s="31">
        <f>(INDEX(Option3!X$106:X$117, MATCH($D49, Option3!$G$106:$G$117,0)))*conv_2026*X$7</f>
        <v>-214011.60664386913</v>
      </c>
      <c r="Y49" s="31">
        <f>(INDEX(Option3!Y$106:Y$117, MATCH($D49, Option3!$G$106:$G$117,0)))*conv_2026*Y$7</f>
        <v>-211441.00993100612</v>
      </c>
      <c r="Z49" s="31">
        <f>(INDEX(Option3!Z$106:Z$117, MATCH($D49, Option3!$G$106:$G$117,0)))*conv_2026*Z$7</f>
        <v>-208870.41321814401</v>
      </c>
      <c r="AA49" s="31">
        <f>(INDEX(Option3!AA$106:AA$117, MATCH($D49, Option3!$G$106:$G$117,0)))*conv_2026*AA$7</f>
        <v>-206299.81650528105</v>
      </c>
      <c r="AB49" s="31">
        <f>(INDEX(Option3!AB$106:AB$117, MATCH($D49, Option3!$G$106:$G$117,0)))*conv_2026*AB$7</f>
        <v>-203729.2197924192</v>
      </c>
      <c r="AC49" s="31">
        <f>(INDEX(Option3!AC$106:AC$117, MATCH($D49, Option3!$G$106:$G$117,0)))*conv_2026*AC$7</f>
        <v>-201158.62307955715</v>
      </c>
      <c r="AD49" s="31">
        <f>(INDEX(Option3!AD$106:AD$117, MATCH($D49, Option3!$G$106:$G$117,0)))*conv_2026*AD$7</f>
        <v>-198588.02636669413</v>
      </c>
      <c r="AE49" s="31">
        <f>(INDEX(Option3!AE$106:AE$117, MATCH($D49, Option3!$G$106:$G$117,0)))*conv_2026*AE$7</f>
        <v>-196017.42965383217</v>
      </c>
      <c r="AF49" s="31">
        <f>(INDEX(Option3!AF$106:AF$117, MATCH($D49, Option3!$G$106:$G$117,0)))*conv_2026*AF$7</f>
        <v>0</v>
      </c>
      <c r="AG49" s="31">
        <f>(INDEX(Option3!AG$106:AG$117, MATCH($D49, Option3!$G$106:$G$117,0)))*conv_2026*AG$7</f>
        <v>0</v>
      </c>
    </row>
    <row r="50" spans="1:35" s="8" customFormat="1" x14ac:dyDescent="0.2">
      <c r="A50" s="254" t="s">
        <v>132</v>
      </c>
      <c r="B50" s="254" t="str">
        <f>Option3!A116</f>
        <v>sens</v>
      </c>
      <c r="C50" s="254">
        <f>Option3!C116</f>
        <v>0</v>
      </c>
      <c r="D50" s="254" t="str">
        <f t="shared" si="5"/>
        <v>Option 3sens</v>
      </c>
      <c r="E50" s="255"/>
      <c r="F50" s="31">
        <f t="shared" si="4"/>
        <v>-2746103.9167978503</v>
      </c>
      <c r="H50" s="31">
        <f>(INDEX(Option3!H$106:H$117, MATCH($D50, Option3!$G$106:$G$117,0)))*conv_2026*H$7</f>
        <v>0</v>
      </c>
      <c r="I50" s="31">
        <f>(INDEX(Option3!I$106:I$117, MATCH($D50, Option3!$G$106:$G$117,0)))*conv_2026*I$7</f>
        <v>0</v>
      </c>
      <c r="J50" s="31">
        <f>(INDEX(Option3!J$106:J$117, MATCH($D50, Option3!$G$106:$G$117,0)))*conv_2026*J$7</f>
        <v>0</v>
      </c>
      <c r="K50" s="31">
        <f>(INDEX(Option3!K$106:K$117, MATCH($D50, Option3!$G$106:$G$117,0)))*conv_2026*K$7</f>
        <v>0</v>
      </c>
      <c r="L50" s="31">
        <f>(INDEX(Option3!L$106:L$117, MATCH($D50, Option3!$G$106:$G$117,0)))*conv_2026*L$7</f>
        <v>0</v>
      </c>
      <c r="M50" s="31">
        <f>(INDEX(Option3!M$106:M$117, MATCH($D50, Option3!$G$106:$G$117,0)))*conv_2026*M$7</f>
        <v>-265723.3805437322</v>
      </c>
      <c r="N50" s="31">
        <f>(INDEX(Option3!N$106:N$117, MATCH($D50, Option3!$G$106:$G$117,0)))*conv_2026*N$7</f>
        <v>-259893.34631973325</v>
      </c>
      <c r="O50" s="31">
        <f>(INDEX(Option3!O$106:O$117, MATCH($D50, Option3!$G$106:$G$117,0)))*conv_2026*O$7</f>
        <v>-249893.88261852443</v>
      </c>
      <c r="P50" s="31">
        <f>(INDEX(Option3!P$106:P$117, MATCH($D50, Option3!$G$106:$G$117,0)))*conv_2026*P$7</f>
        <v>-238982.67397560022</v>
      </c>
      <c r="Q50" s="31">
        <f>(INDEX(Option3!Q$106:Q$117, MATCH($D50, Option3!$G$106:$G$117,0)))*conv_2026*Q$7</f>
        <v>-232005.78363390494</v>
      </c>
      <c r="R50" s="31">
        <f>(INDEX(Option3!R$106:R$117, MATCH($D50, Option3!$G$106:$G$117,0)))*conv_2026*R$7</f>
        <v>-229435.186921043</v>
      </c>
      <c r="S50" s="31">
        <f>(INDEX(Option3!S$106:S$117, MATCH($D50, Option3!$G$106:$G$117,0)))*conv_2026*S$7</f>
        <v>-226864.59020817996</v>
      </c>
      <c r="T50" s="31">
        <f>(INDEX(Option3!T$106:T$117, MATCH($D50, Option3!$G$106:$G$117,0)))*conv_2026*T$7</f>
        <v>-224293.9934953179</v>
      </c>
      <c r="U50" s="31">
        <f>(INDEX(Option3!U$106:U$117, MATCH($D50, Option3!$G$106:$G$117,0)))*conv_2026*U$7</f>
        <v>-221723.39678245611</v>
      </c>
      <c r="V50" s="31">
        <f>(INDEX(Option3!V$106:V$117, MATCH($D50, Option3!$G$106:$G$117,0)))*conv_2026*V$7</f>
        <v>-219152.80006959304</v>
      </c>
      <c r="W50" s="31">
        <f>(INDEX(Option3!W$106:W$117, MATCH($D50, Option3!$G$106:$G$117,0)))*conv_2026*W$7</f>
        <v>-216582.20335673104</v>
      </c>
      <c r="X50" s="31">
        <f>(INDEX(Option3!X$106:X$117, MATCH($D50, Option3!$G$106:$G$117,0)))*conv_2026*X$7</f>
        <v>-214011.60664386913</v>
      </c>
      <c r="Y50" s="31">
        <f>(INDEX(Option3!Y$106:Y$117, MATCH($D50, Option3!$G$106:$G$117,0)))*conv_2026*Y$7</f>
        <v>-211441.00993100612</v>
      </c>
      <c r="Z50" s="31">
        <f>(INDEX(Option3!Z$106:Z$117, MATCH($D50, Option3!$G$106:$G$117,0)))*conv_2026*Z$7</f>
        <v>-208870.41321814401</v>
      </c>
      <c r="AA50" s="31">
        <f>(INDEX(Option3!AA$106:AA$117, MATCH($D50, Option3!$G$106:$G$117,0)))*conv_2026*AA$7</f>
        <v>-206299.81650528105</v>
      </c>
      <c r="AB50" s="31">
        <f>(INDEX(Option3!AB$106:AB$117, MATCH($D50, Option3!$G$106:$G$117,0)))*conv_2026*AB$7</f>
        <v>-203729.2197924192</v>
      </c>
      <c r="AC50" s="31">
        <f>(INDEX(Option3!AC$106:AC$117, MATCH($D50, Option3!$G$106:$G$117,0)))*conv_2026*AC$7</f>
        <v>-201158.62307955715</v>
      </c>
      <c r="AD50" s="31">
        <f>(INDEX(Option3!AD$106:AD$117, MATCH($D50, Option3!$G$106:$G$117,0)))*conv_2026*AD$7</f>
        <v>-198588.02636669413</v>
      </c>
      <c r="AE50" s="31">
        <f>(INDEX(Option3!AE$106:AE$117, MATCH($D50, Option3!$G$106:$G$117,0)))*conv_2026*AE$7</f>
        <v>-196017.42965383217</v>
      </c>
      <c r="AF50" s="31">
        <f>(INDEX(Option3!AF$106:AF$117, MATCH($D50, Option3!$G$106:$G$117,0)))*conv_2026*AF$7</f>
        <v>0</v>
      </c>
      <c r="AG50" s="31">
        <f>(INDEX(Option3!AG$106:AG$117, MATCH($D50, Option3!$G$106:$G$117,0)))*conv_2026*AG$7</f>
        <v>0</v>
      </c>
    </row>
    <row r="51" spans="1:35" s="8" customFormat="1" x14ac:dyDescent="0.2">
      <c r="A51" s="254" t="s">
        <v>132</v>
      </c>
      <c r="B51" s="254" t="str">
        <f>Option3!A117</f>
        <v>sens</v>
      </c>
      <c r="C51" s="254">
        <f>Option3!C117</f>
        <v>0</v>
      </c>
      <c r="D51" s="254" t="str">
        <f t="shared" si="5"/>
        <v>Option 3sens</v>
      </c>
      <c r="E51" s="255"/>
      <c r="F51" s="31">
        <f t="shared" si="4"/>
        <v>-2746103.9167978503</v>
      </c>
      <c r="H51" s="31">
        <f>(INDEX(Option3!H$106:H$117, MATCH($D51, Option3!$G$106:$G$117,0)))*conv_2026*H$7</f>
        <v>0</v>
      </c>
      <c r="I51" s="31">
        <f>(INDEX(Option3!I$106:I$117, MATCH($D51, Option3!$G$106:$G$117,0)))*conv_2026*I$7</f>
        <v>0</v>
      </c>
      <c r="J51" s="31">
        <f>(INDEX(Option3!J$106:J$117, MATCH($D51, Option3!$G$106:$G$117,0)))*conv_2026*J$7</f>
        <v>0</v>
      </c>
      <c r="K51" s="31">
        <f>(INDEX(Option3!K$106:K$117, MATCH($D51, Option3!$G$106:$G$117,0)))*conv_2026*K$7</f>
        <v>0</v>
      </c>
      <c r="L51" s="31">
        <f>(INDEX(Option3!L$106:L$117, MATCH($D51, Option3!$G$106:$G$117,0)))*conv_2026*L$7</f>
        <v>0</v>
      </c>
      <c r="M51" s="31">
        <f>(INDEX(Option3!M$106:M$117, MATCH($D51, Option3!$G$106:$G$117,0)))*conv_2026*M$7</f>
        <v>-265723.3805437322</v>
      </c>
      <c r="N51" s="31">
        <f>(INDEX(Option3!N$106:N$117, MATCH($D51, Option3!$G$106:$G$117,0)))*conv_2026*N$7</f>
        <v>-259893.34631973325</v>
      </c>
      <c r="O51" s="31">
        <f>(INDEX(Option3!O$106:O$117, MATCH($D51, Option3!$G$106:$G$117,0)))*conv_2026*O$7</f>
        <v>-249893.88261852443</v>
      </c>
      <c r="P51" s="31">
        <f>(INDEX(Option3!P$106:P$117, MATCH($D51, Option3!$G$106:$G$117,0)))*conv_2026*P$7</f>
        <v>-238982.67397560022</v>
      </c>
      <c r="Q51" s="31">
        <f>(INDEX(Option3!Q$106:Q$117, MATCH($D51, Option3!$G$106:$G$117,0)))*conv_2026*Q$7</f>
        <v>-232005.78363390494</v>
      </c>
      <c r="R51" s="31">
        <f>(INDEX(Option3!R$106:R$117, MATCH($D51, Option3!$G$106:$G$117,0)))*conv_2026*R$7</f>
        <v>-229435.186921043</v>
      </c>
      <c r="S51" s="31">
        <f>(INDEX(Option3!S$106:S$117, MATCH($D51, Option3!$G$106:$G$117,0)))*conv_2026*S$7</f>
        <v>-226864.59020817996</v>
      </c>
      <c r="T51" s="31">
        <f>(INDEX(Option3!T$106:T$117, MATCH($D51, Option3!$G$106:$G$117,0)))*conv_2026*T$7</f>
        <v>-224293.9934953179</v>
      </c>
      <c r="U51" s="31">
        <f>(INDEX(Option3!U$106:U$117, MATCH($D51, Option3!$G$106:$G$117,0)))*conv_2026*U$7</f>
        <v>-221723.39678245611</v>
      </c>
      <c r="V51" s="31">
        <f>(INDEX(Option3!V$106:V$117, MATCH($D51, Option3!$G$106:$G$117,0)))*conv_2026*V$7</f>
        <v>-219152.80006959304</v>
      </c>
      <c r="W51" s="31">
        <f>(INDEX(Option3!W$106:W$117, MATCH($D51, Option3!$G$106:$G$117,0)))*conv_2026*W$7</f>
        <v>-216582.20335673104</v>
      </c>
      <c r="X51" s="31">
        <f>(INDEX(Option3!X$106:X$117, MATCH($D51, Option3!$G$106:$G$117,0)))*conv_2026*X$7</f>
        <v>-214011.60664386913</v>
      </c>
      <c r="Y51" s="31">
        <f>(INDEX(Option3!Y$106:Y$117, MATCH($D51, Option3!$G$106:$G$117,0)))*conv_2026*Y$7</f>
        <v>-211441.00993100612</v>
      </c>
      <c r="Z51" s="31">
        <f>(INDEX(Option3!Z$106:Z$117, MATCH($D51, Option3!$G$106:$G$117,0)))*conv_2026*Z$7</f>
        <v>-208870.41321814401</v>
      </c>
      <c r="AA51" s="31">
        <f>(INDEX(Option3!AA$106:AA$117, MATCH($D51, Option3!$G$106:$G$117,0)))*conv_2026*AA$7</f>
        <v>-206299.81650528105</v>
      </c>
      <c r="AB51" s="31">
        <f>(INDEX(Option3!AB$106:AB$117, MATCH($D51, Option3!$G$106:$G$117,0)))*conv_2026*AB$7</f>
        <v>-203729.2197924192</v>
      </c>
      <c r="AC51" s="31">
        <f>(INDEX(Option3!AC$106:AC$117, MATCH($D51, Option3!$G$106:$G$117,0)))*conv_2026*AC$7</f>
        <v>-201158.62307955715</v>
      </c>
      <c r="AD51" s="31">
        <f>(INDEX(Option3!AD$106:AD$117, MATCH($D51, Option3!$G$106:$G$117,0)))*conv_2026*AD$7</f>
        <v>-198588.02636669413</v>
      </c>
      <c r="AE51" s="31">
        <f>(INDEX(Option3!AE$106:AE$117, MATCH($D51, Option3!$G$106:$G$117,0)))*conv_2026*AE$7</f>
        <v>-196017.42965383217</v>
      </c>
      <c r="AF51" s="31">
        <f>(INDEX(Option3!AF$106:AF$117, MATCH($D51, Option3!$G$106:$G$117,0)))*conv_2026*AF$7</f>
        <v>0</v>
      </c>
      <c r="AG51" s="31">
        <f>(INDEX(Option3!AG$106:AG$117, MATCH($D51, Option3!$G$106:$G$117,0)))*conv_2026*AG$7</f>
        <v>0</v>
      </c>
    </row>
    <row r="52" spans="1:35" s="8" customFormat="1" x14ac:dyDescent="0.2">
      <c r="A52" s="254"/>
      <c r="B52" s="254"/>
      <c r="C52" s="254"/>
      <c r="D52" s="254"/>
      <c r="E52" s="254"/>
      <c r="F52" s="31"/>
      <c r="H52" s="254"/>
      <c r="I52" s="254"/>
      <c r="J52" s="254"/>
      <c r="K52" s="254"/>
      <c r="L52" s="254"/>
      <c r="M52" s="254"/>
      <c r="N52" s="254"/>
      <c r="O52" s="254"/>
      <c r="P52" s="254"/>
      <c r="Q52" s="254"/>
      <c r="R52" s="254"/>
      <c r="S52" s="254"/>
      <c r="T52" s="254"/>
      <c r="U52" s="254"/>
      <c r="V52" s="254"/>
      <c r="W52" s="254"/>
      <c r="X52" s="254"/>
      <c r="Y52" s="254"/>
      <c r="Z52" s="254"/>
      <c r="AA52" s="254"/>
      <c r="AB52" s="254"/>
      <c r="AC52" s="254"/>
      <c r="AD52" s="254"/>
      <c r="AE52" s="254"/>
      <c r="AF52" s="254"/>
      <c r="AG52" s="254"/>
    </row>
    <row r="53" spans="1:35" s="8" customFormat="1" x14ac:dyDescent="0.2">
      <c r="A53" s="254"/>
      <c r="B53" s="254"/>
      <c r="C53" s="254"/>
      <c r="D53" s="254"/>
      <c r="E53" s="254"/>
      <c r="F53" s="31"/>
      <c r="H53" s="254"/>
      <c r="I53" s="254"/>
      <c r="J53" s="254"/>
      <c r="K53" s="254"/>
      <c r="L53" s="254"/>
      <c r="M53" s="254"/>
      <c r="N53" s="254"/>
      <c r="O53" s="254"/>
      <c r="P53" s="254"/>
      <c r="Q53" s="254"/>
      <c r="R53" s="254"/>
      <c r="S53" s="254"/>
      <c r="T53" s="254"/>
      <c r="U53" s="254"/>
      <c r="V53" s="254"/>
      <c r="W53" s="254"/>
      <c r="X53" s="254"/>
      <c r="Y53" s="254"/>
      <c r="Z53" s="254"/>
      <c r="AA53" s="254"/>
      <c r="AB53" s="254"/>
      <c r="AC53" s="254"/>
      <c r="AD53" s="254"/>
      <c r="AE53" s="254"/>
      <c r="AF53" s="254"/>
      <c r="AG53" s="254"/>
    </row>
    <row r="54" spans="1:35" s="8" customFormat="1" x14ac:dyDescent="0.2">
      <c r="A54" s="254"/>
      <c r="B54" s="254"/>
      <c r="C54" s="254"/>
      <c r="D54" s="254"/>
      <c r="E54" s="254"/>
      <c r="F54" s="31"/>
      <c r="H54" s="254"/>
      <c r="I54" s="254"/>
      <c r="J54" s="254"/>
      <c r="K54" s="254"/>
      <c r="L54" s="254"/>
      <c r="M54" s="254"/>
      <c r="N54" s="254"/>
      <c r="O54" s="254"/>
      <c r="P54" s="254"/>
      <c r="Q54" s="254"/>
      <c r="R54" s="254"/>
      <c r="S54" s="254"/>
      <c r="T54" s="254"/>
      <c r="U54" s="254"/>
      <c r="V54" s="254"/>
      <c r="W54" s="254"/>
      <c r="X54" s="254"/>
      <c r="Y54" s="254"/>
      <c r="Z54" s="254"/>
      <c r="AA54" s="254"/>
      <c r="AB54" s="254"/>
      <c r="AC54" s="254"/>
      <c r="AD54" s="254"/>
      <c r="AE54" s="254"/>
      <c r="AF54" s="254"/>
      <c r="AG54" s="254"/>
    </row>
    <row r="55" spans="1:35" s="8" customFormat="1" x14ac:dyDescent="0.2">
      <c r="A55" s="254"/>
      <c r="B55" s="254"/>
      <c r="C55" s="254"/>
      <c r="D55" s="254"/>
      <c r="E55" s="254"/>
      <c r="F55" s="31"/>
      <c r="H55" s="254"/>
      <c r="I55" s="254"/>
      <c r="J55" s="254"/>
      <c r="K55" s="254"/>
      <c r="L55" s="254"/>
      <c r="M55" s="254"/>
      <c r="N55" s="254"/>
      <c r="O55" s="254"/>
      <c r="P55" s="254"/>
      <c r="Q55" s="254"/>
      <c r="R55" s="254"/>
      <c r="S55" s="254"/>
      <c r="T55" s="254"/>
      <c r="U55" s="254"/>
      <c r="V55" s="254"/>
      <c r="W55" s="254"/>
      <c r="X55" s="254"/>
      <c r="Y55" s="254"/>
      <c r="Z55" s="254"/>
      <c r="AA55" s="254"/>
      <c r="AB55" s="254"/>
      <c r="AC55" s="254"/>
      <c r="AD55" s="254"/>
      <c r="AE55" s="254"/>
      <c r="AF55" s="254"/>
      <c r="AG55" s="254"/>
    </row>
    <row r="56" spans="1:35" s="8" customFormat="1" x14ac:dyDescent="0.2">
      <c r="A56" s="254" t="s">
        <v>133</v>
      </c>
      <c r="B56" s="254" t="s">
        <v>119</v>
      </c>
      <c r="C56" s="254" t="s">
        <v>192</v>
      </c>
      <c r="D56" s="254" t="str">
        <f>A56&amp;B56</f>
        <v>Option 4NPV</v>
      </c>
      <c r="E56" s="255"/>
      <c r="F56" s="31">
        <f t="shared" ref="F56:F65" si="6">SUMPRODUCT($H56:$AG56, $H$5:$AG$5)</f>
        <v>0</v>
      </c>
      <c r="G56" s="247"/>
      <c r="H56" s="31">
        <f>(INDEX(Option4!H$106:H$117, MATCH($D56, Option4!$G$106:$G$117,0)))*conv_2026*H$7</f>
        <v>0</v>
      </c>
      <c r="I56" s="31">
        <f>(INDEX(Option4!I$106:I$117, MATCH($D56, Option4!$G$106:$G$117,0)))*conv_2026*I$7</f>
        <v>0</v>
      </c>
      <c r="J56" s="31">
        <f>(INDEX(Option4!J$106:J$117, MATCH($D56, Option4!$G$106:$G$117,0)))*conv_2026*J$7</f>
        <v>0</v>
      </c>
      <c r="K56" s="31">
        <f>(INDEX(Option4!K$106:K$117, MATCH($D56, Option4!$G$106:$G$117,0)))*conv_2026*K$7</f>
        <v>0</v>
      </c>
      <c r="L56" s="31">
        <f>(INDEX(Option4!L$106:L$117, MATCH($D56, Option4!$G$106:$G$117,0)))*conv_2026*L$7</f>
        <v>0</v>
      </c>
      <c r="M56" s="31">
        <f>(INDEX(Option4!M$106:M$117, MATCH($D56, Option4!$G$106:$G$117,0)))*conv_2026*M$7</f>
        <v>0</v>
      </c>
      <c r="N56" s="31">
        <f>(INDEX(Option4!N$106:N$117, MATCH($D56, Option4!$G$106:$G$117,0)))*conv_2026*N$7</f>
        <v>0</v>
      </c>
      <c r="O56" s="31">
        <f>(INDEX(Option4!O$106:O$117, MATCH($D56, Option4!$G$106:$G$117,0)))*conv_2026*O$7</f>
        <v>0</v>
      </c>
      <c r="P56" s="31">
        <f>(INDEX(Option4!P$106:P$117, MATCH($D56, Option4!$G$106:$G$117,0)))*conv_2026*P$7</f>
        <v>0</v>
      </c>
      <c r="Q56" s="31">
        <f>(INDEX(Option4!Q$106:Q$117, MATCH($D56, Option4!$G$106:$G$117,0)))*conv_2026*Q$7</f>
        <v>0</v>
      </c>
      <c r="R56" s="31">
        <f>(INDEX(Option4!R$106:R$117, MATCH($D56, Option4!$G$106:$G$117,0)))*conv_2026*R$7</f>
        <v>0</v>
      </c>
      <c r="S56" s="31">
        <f>(INDEX(Option4!S$106:S$117, MATCH($D56, Option4!$G$106:$G$117,0)))*conv_2026*S$7</f>
        <v>0</v>
      </c>
      <c r="T56" s="31">
        <f>(INDEX(Option4!T$106:T$117, MATCH($D56, Option4!$G$106:$G$117,0)))*conv_2026*T$7</f>
        <v>0</v>
      </c>
      <c r="U56" s="31">
        <f>(INDEX(Option4!U$106:U$117, MATCH($D56, Option4!$G$106:$G$117,0)))*conv_2026*U$7</f>
        <v>0</v>
      </c>
      <c r="V56" s="31">
        <f>(INDEX(Option4!V$106:V$117, MATCH($D56, Option4!$G$106:$G$117,0)))*conv_2026*V$7</f>
        <v>0</v>
      </c>
      <c r="W56" s="31">
        <f>(INDEX(Option4!W$106:W$117, MATCH($D56, Option4!$G$106:$G$117,0)))*conv_2026*W$7</f>
        <v>0</v>
      </c>
      <c r="X56" s="31">
        <f>(INDEX(Option4!X$106:X$117, MATCH($D56, Option4!$G$106:$G$117,0)))*conv_2026*X$7</f>
        <v>0</v>
      </c>
      <c r="Y56" s="31">
        <f>(INDEX(Option4!Y$106:Y$117, MATCH($D56, Option4!$G$106:$G$117,0)))*conv_2026*Y$7</f>
        <v>0</v>
      </c>
      <c r="Z56" s="31">
        <f>(INDEX(Option4!Z$106:Z$117, MATCH($D56, Option4!$G$106:$G$117,0)))*conv_2026*Z$7</f>
        <v>0</v>
      </c>
      <c r="AA56" s="31">
        <f>(INDEX(Option4!AA$106:AA$117, MATCH($D56, Option4!$G$106:$G$117,0)))*conv_2026*AA$7</f>
        <v>0</v>
      </c>
      <c r="AB56" s="31">
        <f>(INDEX(Option4!AB$106:AB$117, MATCH($D56, Option4!$G$106:$G$117,0)))*conv_2026*AB$7</f>
        <v>0</v>
      </c>
      <c r="AC56" s="31">
        <f>(INDEX(Option4!AC$106:AC$117, MATCH($D56, Option4!$G$106:$G$117,0)))*conv_2026*AC$7</f>
        <v>0</v>
      </c>
      <c r="AD56" s="31">
        <f>(INDEX(Option4!AD$106:AD$117, MATCH($D56, Option4!$G$106:$G$117,0)))*conv_2026*AD$7</f>
        <v>0</v>
      </c>
      <c r="AE56" s="31">
        <f>(INDEX(Option4!AE$106:AE$117, MATCH($D56, Option4!$G$106:$G$117,0)))*conv_2026*AE$7</f>
        <v>0</v>
      </c>
      <c r="AF56" s="31">
        <f>(INDEX(Option4!AF$106:AF$117, MATCH($D56, Option4!$G$106:$G$117,0)))*conv_2026*AF$7</f>
        <v>0</v>
      </c>
      <c r="AG56" s="31">
        <f>(INDEX(Option4!AG$106:AG$117, MATCH($D56, Option4!$G$106:$G$117,0)))*conv_2026*AG$7</f>
        <v>0</v>
      </c>
      <c r="AH56" s="7"/>
      <c r="AI56" s="7"/>
    </row>
    <row r="57" spans="1:35" s="8" customFormat="1" x14ac:dyDescent="0.2">
      <c r="A57" s="246"/>
      <c r="B57" s="246"/>
      <c r="C57" s="246"/>
      <c r="D57" s="246"/>
      <c r="E57" s="246"/>
      <c r="F57" s="246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7"/>
      <c r="AI57" s="7"/>
    </row>
    <row r="58" spans="1:35" s="8" customFormat="1" x14ac:dyDescent="0.2">
      <c r="A58" s="254" t="s">
        <v>133</v>
      </c>
      <c r="B58" s="254" t="str">
        <f>Option4!A110</f>
        <v>sens1</v>
      </c>
      <c r="C58" s="254" t="str">
        <f>Option4!C110</f>
        <v>Capex 10% higher</v>
      </c>
      <c r="D58" s="254" t="str">
        <f t="shared" ref="D58:D65" si="7">A58&amp;B58</f>
        <v>Option 4sens1</v>
      </c>
      <c r="E58" s="255"/>
      <c r="F58" s="31">
        <f t="shared" si="6"/>
        <v>0</v>
      </c>
      <c r="G58" s="247"/>
      <c r="H58" s="31">
        <f>(INDEX(Option4!H$106:H$117, MATCH($D58, Option4!$G$106:$G$117,0)))*conv_2026*H$7</f>
        <v>0</v>
      </c>
      <c r="I58" s="31">
        <f>(INDEX(Option4!I$106:I$117, MATCH($D58, Option4!$G$106:$G$117,0)))*conv_2026*I$7</f>
        <v>0</v>
      </c>
      <c r="J58" s="31">
        <f>(INDEX(Option4!J$106:J$117, MATCH($D58, Option4!$G$106:$G$117,0)))*conv_2026*J$7</f>
        <v>0</v>
      </c>
      <c r="K58" s="31">
        <f>(INDEX(Option4!K$106:K$117, MATCH($D58, Option4!$G$106:$G$117,0)))*conv_2026*K$7</f>
        <v>0</v>
      </c>
      <c r="L58" s="31">
        <f>(INDEX(Option4!L$106:L$117, MATCH($D58, Option4!$G$106:$G$117,0)))*conv_2026*L$7</f>
        <v>0</v>
      </c>
      <c r="M58" s="31">
        <f>(INDEX(Option4!M$106:M$117, MATCH($D58, Option4!$G$106:$G$117,0)))*conv_2026*M$7</f>
        <v>0</v>
      </c>
      <c r="N58" s="31">
        <f>(INDEX(Option4!N$106:N$117, MATCH($D58, Option4!$G$106:$G$117,0)))*conv_2026*N$7</f>
        <v>0</v>
      </c>
      <c r="O58" s="31">
        <f>(INDEX(Option4!O$106:O$117, MATCH($D58, Option4!$G$106:$G$117,0)))*conv_2026*O$7</f>
        <v>0</v>
      </c>
      <c r="P58" s="31">
        <f>(INDEX(Option4!P$106:P$117, MATCH($D58, Option4!$G$106:$G$117,0)))*conv_2026*P$7</f>
        <v>0</v>
      </c>
      <c r="Q58" s="31">
        <f>(INDEX(Option4!Q$106:Q$117, MATCH($D58, Option4!$G$106:$G$117,0)))*conv_2026*Q$7</f>
        <v>0</v>
      </c>
      <c r="R58" s="31">
        <f>(INDEX(Option4!R$106:R$117, MATCH($D58, Option4!$G$106:$G$117,0)))*conv_2026*R$7</f>
        <v>0</v>
      </c>
      <c r="S58" s="31">
        <f>(INDEX(Option4!S$106:S$117, MATCH($D58, Option4!$G$106:$G$117,0)))*conv_2026*S$7</f>
        <v>0</v>
      </c>
      <c r="T58" s="31">
        <f>(INDEX(Option4!T$106:T$117, MATCH($D58, Option4!$G$106:$G$117,0)))*conv_2026*T$7</f>
        <v>0</v>
      </c>
      <c r="U58" s="31">
        <f>(INDEX(Option4!U$106:U$117, MATCH($D58, Option4!$G$106:$G$117,0)))*conv_2026*U$7</f>
        <v>0</v>
      </c>
      <c r="V58" s="31">
        <f>(INDEX(Option4!V$106:V$117, MATCH($D58, Option4!$G$106:$G$117,0)))*conv_2026*V$7</f>
        <v>0</v>
      </c>
      <c r="W58" s="31">
        <f>(INDEX(Option4!W$106:W$117, MATCH($D58, Option4!$G$106:$G$117,0)))*conv_2026*W$7</f>
        <v>0</v>
      </c>
      <c r="X58" s="31">
        <f>(INDEX(Option4!X$106:X$117, MATCH($D58, Option4!$G$106:$G$117,0)))*conv_2026*X$7</f>
        <v>0</v>
      </c>
      <c r="Y58" s="31">
        <f>(INDEX(Option4!Y$106:Y$117, MATCH($D58, Option4!$G$106:$G$117,0)))*conv_2026*Y$7</f>
        <v>0</v>
      </c>
      <c r="Z58" s="31">
        <f>(INDEX(Option4!Z$106:Z$117, MATCH($D58, Option4!$G$106:$G$117,0)))*conv_2026*Z$7</f>
        <v>0</v>
      </c>
      <c r="AA58" s="31">
        <f>(INDEX(Option4!AA$106:AA$117, MATCH($D58, Option4!$G$106:$G$117,0)))*conv_2026*AA$7</f>
        <v>0</v>
      </c>
      <c r="AB58" s="31">
        <f>(INDEX(Option4!AB$106:AB$117, MATCH($D58, Option4!$G$106:$G$117,0)))*conv_2026*AB$7</f>
        <v>0</v>
      </c>
      <c r="AC58" s="31">
        <f>(INDEX(Option4!AC$106:AC$117, MATCH($D58, Option4!$G$106:$G$117,0)))*conv_2026*AC$7</f>
        <v>0</v>
      </c>
      <c r="AD58" s="31">
        <f>(INDEX(Option4!AD$106:AD$117, MATCH($D58, Option4!$G$106:$G$117,0)))*conv_2026*AD$7</f>
        <v>0</v>
      </c>
      <c r="AE58" s="31">
        <f>(INDEX(Option4!AE$106:AE$117, MATCH($D58, Option4!$G$106:$G$117,0)))*conv_2026*AE$7</f>
        <v>0</v>
      </c>
      <c r="AF58" s="31">
        <f>(INDEX(Option4!AF$106:AF$117, MATCH($D58, Option4!$G$106:$G$117,0)))*conv_2026*AF$7</f>
        <v>0</v>
      </c>
      <c r="AG58" s="31">
        <f>(INDEX(Option4!AG$106:AG$117, MATCH($D58, Option4!$G$106:$G$117,0)))*conv_2026*AG$7</f>
        <v>0</v>
      </c>
      <c r="AH58" s="7"/>
      <c r="AI58" s="7"/>
    </row>
    <row r="59" spans="1:35" s="8" customFormat="1" x14ac:dyDescent="0.2">
      <c r="A59" s="254" t="s">
        <v>133</v>
      </c>
      <c r="B59" s="254" t="str">
        <f>Option4!A111</f>
        <v>sens2</v>
      </c>
      <c r="C59" s="254" t="str">
        <f>Option4!C111</f>
        <v>Capex 10% lower</v>
      </c>
      <c r="D59" s="254" t="str">
        <f t="shared" si="7"/>
        <v>Option 4sens2</v>
      </c>
      <c r="E59" s="255"/>
      <c r="F59" s="31">
        <f t="shared" si="6"/>
        <v>0</v>
      </c>
      <c r="G59" s="254"/>
      <c r="H59" s="31">
        <f>(INDEX(Option4!H$106:H$117, MATCH($D59, Option4!$G$106:$G$117,0)))*conv_2026*H$7</f>
        <v>0</v>
      </c>
      <c r="I59" s="31">
        <f>(INDEX(Option4!I$106:I$117, MATCH($D59, Option4!$G$106:$G$117,0)))*conv_2026*I$7</f>
        <v>0</v>
      </c>
      <c r="J59" s="31">
        <f>(INDEX(Option4!J$106:J$117, MATCH($D59, Option4!$G$106:$G$117,0)))*conv_2026*J$7</f>
        <v>0</v>
      </c>
      <c r="K59" s="31">
        <f>(INDEX(Option4!K$106:K$117, MATCH($D59, Option4!$G$106:$G$117,0)))*conv_2026*K$7</f>
        <v>0</v>
      </c>
      <c r="L59" s="31">
        <f>(INDEX(Option4!L$106:L$117, MATCH($D59, Option4!$G$106:$G$117,0)))*conv_2026*L$7</f>
        <v>0</v>
      </c>
      <c r="M59" s="31">
        <f>(INDEX(Option4!M$106:M$117, MATCH($D59, Option4!$G$106:$G$117,0)))*conv_2026*M$7</f>
        <v>0</v>
      </c>
      <c r="N59" s="31">
        <f>(INDEX(Option4!N$106:N$117, MATCH($D59, Option4!$G$106:$G$117,0)))*conv_2026*N$7</f>
        <v>0</v>
      </c>
      <c r="O59" s="31">
        <f>(INDEX(Option4!O$106:O$117, MATCH($D59, Option4!$G$106:$G$117,0)))*conv_2026*O$7</f>
        <v>0</v>
      </c>
      <c r="P59" s="31">
        <f>(INDEX(Option4!P$106:P$117, MATCH($D59, Option4!$G$106:$G$117,0)))*conv_2026*P$7</f>
        <v>0</v>
      </c>
      <c r="Q59" s="31">
        <f>(INDEX(Option4!Q$106:Q$117, MATCH($D59, Option4!$G$106:$G$117,0)))*conv_2026*Q$7</f>
        <v>0</v>
      </c>
      <c r="R59" s="31">
        <f>(INDEX(Option4!R$106:R$117, MATCH($D59, Option4!$G$106:$G$117,0)))*conv_2026*R$7</f>
        <v>0</v>
      </c>
      <c r="S59" s="31">
        <f>(INDEX(Option4!S$106:S$117, MATCH($D59, Option4!$G$106:$G$117,0)))*conv_2026*S$7</f>
        <v>0</v>
      </c>
      <c r="T59" s="31">
        <f>(INDEX(Option4!T$106:T$117, MATCH($D59, Option4!$G$106:$G$117,0)))*conv_2026*T$7</f>
        <v>0</v>
      </c>
      <c r="U59" s="31">
        <f>(INDEX(Option4!U$106:U$117, MATCH($D59, Option4!$G$106:$G$117,0)))*conv_2026*U$7</f>
        <v>0</v>
      </c>
      <c r="V59" s="31">
        <f>(INDEX(Option4!V$106:V$117, MATCH($D59, Option4!$G$106:$G$117,0)))*conv_2026*V$7</f>
        <v>0</v>
      </c>
      <c r="W59" s="31">
        <f>(INDEX(Option4!W$106:W$117, MATCH($D59, Option4!$G$106:$G$117,0)))*conv_2026*W$7</f>
        <v>0</v>
      </c>
      <c r="X59" s="31">
        <f>(INDEX(Option4!X$106:X$117, MATCH($D59, Option4!$G$106:$G$117,0)))*conv_2026*X$7</f>
        <v>0</v>
      </c>
      <c r="Y59" s="31">
        <f>(INDEX(Option4!Y$106:Y$117, MATCH($D59, Option4!$G$106:$G$117,0)))*conv_2026*Y$7</f>
        <v>0</v>
      </c>
      <c r="Z59" s="31">
        <f>(INDEX(Option4!Z$106:Z$117, MATCH($D59, Option4!$G$106:$G$117,0)))*conv_2026*Z$7</f>
        <v>0</v>
      </c>
      <c r="AA59" s="31">
        <f>(INDEX(Option4!AA$106:AA$117, MATCH($D59, Option4!$G$106:$G$117,0)))*conv_2026*AA$7</f>
        <v>0</v>
      </c>
      <c r="AB59" s="31">
        <f>(INDEX(Option4!AB$106:AB$117, MATCH($D59, Option4!$G$106:$G$117,0)))*conv_2026*AB$7</f>
        <v>0</v>
      </c>
      <c r="AC59" s="31">
        <f>(INDEX(Option4!AC$106:AC$117, MATCH($D59, Option4!$G$106:$G$117,0)))*conv_2026*AC$7</f>
        <v>0</v>
      </c>
      <c r="AD59" s="31">
        <f>(INDEX(Option4!AD$106:AD$117, MATCH($D59, Option4!$G$106:$G$117,0)))*conv_2026*AD$7</f>
        <v>0</v>
      </c>
      <c r="AE59" s="31">
        <f>(INDEX(Option4!AE$106:AE$117, MATCH($D59, Option4!$G$106:$G$117,0)))*conv_2026*AE$7</f>
        <v>0</v>
      </c>
      <c r="AF59" s="31">
        <f>(INDEX(Option4!AF$106:AF$117, MATCH($D59, Option4!$G$106:$G$117,0)))*conv_2026*AF$7</f>
        <v>0</v>
      </c>
      <c r="AG59" s="31">
        <f>(INDEX(Option4!AG$106:AG$117, MATCH($D59, Option4!$G$106:$G$117,0)))*conv_2026*AG$7</f>
        <v>0</v>
      </c>
    </row>
    <row r="60" spans="1:35" s="8" customFormat="1" x14ac:dyDescent="0.2">
      <c r="A60" s="254" t="s">
        <v>133</v>
      </c>
      <c r="B60" s="254" t="str">
        <f>Option4!A112</f>
        <v>sens3</v>
      </c>
      <c r="C60" s="254" t="str">
        <f>Option4!C112</f>
        <v>Increasing wind escalation</v>
      </c>
      <c r="D60" s="254" t="str">
        <f t="shared" si="7"/>
        <v>Option 4sens3</v>
      </c>
      <c r="E60" s="255"/>
      <c r="F60" s="31">
        <f t="shared" si="6"/>
        <v>0</v>
      </c>
      <c r="H60" s="31">
        <f>(INDEX(Option4!H$106:H$117, MATCH($D60, Option4!$G$106:$G$117,0)))*conv_2026*H$7</f>
        <v>0</v>
      </c>
      <c r="I60" s="31">
        <f>(INDEX(Option4!I$106:I$117, MATCH($D60, Option4!$G$106:$G$117,0)))*conv_2026*I$7</f>
        <v>0</v>
      </c>
      <c r="J60" s="31">
        <f>(INDEX(Option4!J$106:J$117, MATCH($D60, Option4!$G$106:$G$117,0)))*conv_2026*J$7</f>
        <v>0</v>
      </c>
      <c r="K60" s="31">
        <f>(INDEX(Option4!K$106:K$117, MATCH($D60, Option4!$G$106:$G$117,0)))*conv_2026*K$7</f>
        <v>0</v>
      </c>
      <c r="L60" s="31">
        <f>(INDEX(Option4!L$106:L$117, MATCH($D60, Option4!$G$106:$G$117,0)))*conv_2026*L$7</f>
        <v>0</v>
      </c>
      <c r="M60" s="31">
        <f>(INDEX(Option4!M$106:M$117, MATCH($D60, Option4!$G$106:$G$117,0)))*conv_2026*M$7</f>
        <v>0</v>
      </c>
      <c r="N60" s="31">
        <f>(INDEX(Option4!N$106:N$117, MATCH($D60, Option4!$G$106:$G$117,0)))*conv_2026*N$7</f>
        <v>0</v>
      </c>
      <c r="O60" s="31">
        <f>(INDEX(Option4!O$106:O$117, MATCH($D60, Option4!$G$106:$G$117,0)))*conv_2026*O$7</f>
        <v>0</v>
      </c>
      <c r="P60" s="31">
        <f>(INDEX(Option4!P$106:P$117, MATCH($D60, Option4!$G$106:$G$117,0)))*conv_2026*P$7</f>
        <v>0</v>
      </c>
      <c r="Q60" s="31">
        <f>(INDEX(Option4!Q$106:Q$117, MATCH($D60, Option4!$G$106:$G$117,0)))*conv_2026*Q$7</f>
        <v>0</v>
      </c>
      <c r="R60" s="31">
        <f>(INDEX(Option4!R$106:R$117, MATCH($D60, Option4!$G$106:$G$117,0)))*conv_2026*R$7</f>
        <v>0</v>
      </c>
      <c r="S60" s="31">
        <f>(INDEX(Option4!S$106:S$117, MATCH($D60, Option4!$G$106:$G$117,0)))*conv_2026*S$7</f>
        <v>0</v>
      </c>
      <c r="T60" s="31">
        <f>(INDEX(Option4!T$106:T$117, MATCH($D60, Option4!$G$106:$G$117,0)))*conv_2026*T$7</f>
        <v>0</v>
      </c>
      <c r="U60" s="31">
        <f>(INDEX(Option4!U$106:U$117, MATCH($D60, Option4!$G$106:$G$117,0)))*conv_2026*U$7</f>
        <v>0</v>
      </c>
      <c r="V60" s="31">
        <f>(INDEX(Option4!V$106:V$117, MATCH($D60, Option4!$G$106:$G$117,0)))*conv_2026*V$7</f>
        <v>0</v>
      </c>
      <c r="W60" s="31">
        <f>(INDEX(Option4!W$106:W$117, MATCH($D60, Option4!$G$106:$G$117,0)))*conv_2026*W$7</f>
        <v>0</v>
      </c>
      <c r="X60" s="31">
        <f>(INDEX(Option4!X$106:X$117, MATCH($D60, Option4!$G$106:$G$117,0)))*conv_2026*X$7</f>
        <v>0</v>
      </c>
      <c r="Y60" s="31">
        <f>(INDEX(Option4!Y$106:Y$117, MATCH($D60, Option4!$G$106:$G$117,0)))*conv_2026*Y$7</f>
        <v>0</v>
      </c>
      <c r="Z60" s="31">
        <f>(INDEX(Option4!Z$106:Z$117, MATCH($D60, Option4!$G$106:$G$117,0)))*conv_2026*Z$7</f>
        <v>0</v>
      </c>
      <c r="AA60" s="31">
        <f>(INDEX(Option4!AA$106:AA$117, MATCH($D60, Option4!$G$106:$G$117,0)))*conv_2026*AA$7</f>
        <v>0</v>
      </c>
      <c r="AB60" s="31">
        <f>(INDEX(Option4!AB$106:AB$117, MATCH($D60, Option4!$G$106:$G$117,0)))*conv_2026*AB$7</f>
        <v>0</v>
      </c>
      <c r="AC60" s="31">
        <f>(INDEX(Option4!AC$106:AC$117, MATCH($D60, Option4!$G$106:$G$117,0)))*conv_2026*AC$7</f>
        <v>0</v>
      </c>
      <c r="AD60" s="31">
        <f>(INDEX(Option4!AD$106:AD$117, MATCH($D60, Option4!$G$106:$G$117,0)))*conv_2026*AD$7</f>
        <v>0</v>
      </c>
      <c r="AE60" s="31">
        <f>(INDEX(Option4!AE$106:AE$117, MATCH($D60, Option4!$G$106:$G$117,0)))*conv_2026*AE$7</f>
        <v>0</v>
      </c>
      <c r="AF60" s="31">
        <f>(INDEX(Option4!AF$106:AF$117, MATCH($D60, Option4!$G$106:$G$117,0)))*conv_2026*AF$7</f>
        <v>0</v>
      </c>
      <c r="AG60" s="31">
        <f>(INDEX(Option4!AG$106:AG$117, MATCH($D60, Option4!$G$106:$G$117,0)))*conv_2026*AG$7</f>
        <v>0</v>
      </c>
    </row>
    <row r="61" spans="1:35" s="8" customFormat="1" x14ac:dyDescent="0.2">
      <c r="A61" s="254" t="s">
        <v>133</v>
      </c>
      <c r="B61" s="254" t="str">
        <f>Option4!A113</f>
        <v>sens4</v>
      </c>
      <c r="C61" s="254" t="str">
        <f>Option4!C113</f>
        <v/>
      </c>
      <c r="D61" s="254" t="str">
        <f t="shared" si="7"/>
        <v>Option 4sens4</v>
      </c>
      <c r="E61" s="255"/>
      <c r="F61" s="31">
        <f t="shared" si="6"/>
        <v>0</v>
      </c>
      <c r="H61" s="31">
        <f>(INDEX(Option4!H$106:H$117, MATCH($D61, Option4!$G$106:$G$117,0)))*conv_2026*H$7</f>
        <v>0</v>
      </c>
      <c r="I61" s="31">
        <f>(INDEX(Option4!I$106:I$117, MATCH($D61, Option4!$G$106:$G$117,0)))*conv_2026*I$7</f>
        <v>0</v>
      </c>
      <c r="J61" s="31">
        <f>(INDEX(Option4!J$106:J$117, MATCH($D61, Option4!$G$106:$G$117,0)))*conv_2026*J$7</f>
        <v>0</v>
      </c>
      <c r="K61" s="31">
        <f>(INDEX(Option4!K$106:K$117, MATCH($D61, Option4!$G$106:$G$117,0)))*conv_2026*K$7</f>
        <v>0</v>
      </c>
      <c r="L61" s="31">
        <f>(INDEX(Option4!L$106:L$117, MATCH($D61, Option4!$G$106:$G$117,0)))*conv_2026*L$7</f>
        <v>0</v>
      </c>
      <c r="M61" s="31">
        <f>(INDEX(Option4!M$106:M$117, MATCH($D61, Option4!$G$106:$G$117,0)))*conv_2026*M$7</f>
        <v>0</v>
      </c>
      <c r="N61" s="31">
        <f>(INDEX(Option4!N$106:N$117, MATCH($D61, Option4!$G$106:$G$117,0)))*conv_2026*N$7</f>
        <v>0</v>
      </c>
      <c r="O61" s="31">
        <f>(INDEX(Option4!O$106:O$117, MATCH($D61, Option4!$G$106:$G$117,0)))*conv_2026*O$7</f>
        <v>0</v>
      </c>
      <c r="P61" s="31">
        <f>(INDEX(Option4!P$106:P$117, MATCH($D61, Option4!$G$106:$G$117,0)))*conv_2026*P$7</f>
        <v>0</v>
      </c>
      <c r="Q61" s="31">
        <f>(INDEX(Option4!Q$106:Q$117, MATCH($D61, Option4!$G$106:$G$117,0)))*conv_2026*Q$7</f>
        <v>0</v>
      </c>
      <c r="R61" s="31">
        <f>(INDEX(Option4!R$106:R$117, MATCH($D61, Option4!$G$106:$G$117,0)))*conv_2026*R$7</f>
        <v>0</v>
      </c>
      <c r="S61" s="31">
        <f>(INDEX(Option4!S$106:S$117, MATCH($D61, Option4!$G$106:$G$117,0)))*conv_2026*S$7</f>
        <v>0</v>
      </c>
      <c r="T61" s="31">
        <f>(INDEX(Option4!T$106:T$117, MATCH($D61, Option4!$G$106:$G$117,0)))*conv_2026*T$7</f>
        <v>0</v>
      </c>
      <c r="U61" s="31">
        <f>(INDEX(Option4!U$106:U$117, MATCH($D61, Option4!$G$106:$G$117,0)))*conv_2026*U$7</f>
        <v>0</v>
      </c>
      <c r="V61" s="31">
        <f>(INDEX(Option4!V$106:V$117, MATCH($D61, Option4!$G$106:$G$117,0)))*conv_2026*V$7</f>
        <v>0</v>
      </c>
      <c r="W61" s="31">
        <f>(INDEX(Option4!W$106:W$117, MATCH($D61, Option4!$G$106:$G$117,0)))*conv_2026*W$7</f>
        <v>0</v>
      </c>
      <c r="X61" s="31">
        <f>(INDEX(Option4!X$106:X$117, MATCH($D61, Option4!$G$106:$G$117,0)))*conv_2026*X$7</f>
        <v>0</v>
      </c>
      <c r="Y61" s="31">
        <f>(INDEX(Option4!Y$106:Y$117, MATCH($D61, Option4!$G$106:$G$117,0)))*conv_2026*Y$7</f>
        <v>0</v>
      </c>
      <c r="Z61" s="31">
        <f>(INDEX(Option4!Z$106:Z$117, MATCH($D61, Option4!$G$106:$G$117,0)))*conv_2026*Z$7</f>
        <v>0</v>
      </c>
      <c r="AA61" s="31">
        <f>(INDEX(Option4!AA$106:AA$117, MATCH($D61, Option4!$G$106:$G$117,0)))*conv_2026*AA$7</f>
        <v>0</v>
      </c>
      <c r="AB61" s="31">
        <f>(INDEX(Option4!AB$106:AB$117, MATCH($D61, Option4!$G$106:$G$117,0)))*conv_2026*AB$7</f>
        <v>0</v>
      </c>
      <c r="AC61" s="31">
        <f>(INDEX(Option4!AC$106:AC$117, MATCH($D61, Option4!$G$106:$G$117,0)))*conv_2026*AC$7</f>
        <v>0</v>
      </c>
      <c r="AD61" s="31">
        <f>(INDEX(Option4!AD$106:AD$117, MATCH($D61, Option4!$G$106:$G$117,0)))*conv_2026*AD$7</f>
        <v>0</v>
      </c>
      <c r="AE61" s="31">
        <f>(INDEX(Option4!AE$106:AE$117, MATCH($D61, Option4!$G$106:$G$117,0)))*conv_2026*AE$7</f>
        <v>0</v>
      </c>
      <c r="AF61" s="31">
        <f>(INDEX(Option4!AF$106:AF$117, MATCH($D61, Option4!$G$106:$G$117,0)))*conv_2026*AF$7</f>
        <v>0</v>
      </c>
      <c r="AG61" s="31">
        <f>(INDEX(Option4!AG$106:AG$117, MATCH($D61, Option4!$G$106:$G$117,0)))*conv_2026*AG$7</f>
        <v>0</v>
      </c>
    </row>
    <row r="62" spans="1:35" s="8" customFormat="1" x14ac:dyDescent="0.2">
      <c r="A62" s="254" t="s">
        <v>133</v>
      </c>
      <c r="B62" s="254" t="str">
        <f>Option4!A114</f>
        <v>sens5</v>
      </c>
      <c r="C62" s="254" t="str">
        <f>Option4!C114</f>
        <v/>
      </c>
      <c r="D62" s="254" t="str">
        <f t="shared" si="7"/>
        <v>Option 4sens5</v>
      </c>
      <c r="E62" s="255"/>
      <c r="F62" s="31">
        <f t="shared" si="6"/>
        <v>0</v>
      </c>
      <c r="H62" s="31">
        <f>(INDEX(Option4!H$106:H$117, MATCH($D62, Option4!$G$106:$G$117,0)))*conv_2026*H$7</f>
        <v>0</v>
      </c>
      <c r="I62" s="31">
        <f>(INDEX(Option4!I$106:I$117, MATCH($D62, Option4!$G$106:$G$117,0)))*conv_2026*I$7</f>
        <v>0</v>
      </c>
      <c r="J62" s="31">
        <f>(INDEX(Option4!J$106:J$117, MATCH($D62, Option4!$G$106:$G$117,0)))*conv_2026*J$7</f>
        <v>0</v>
      </c>
      <c r="K62" s="31">
        <f>(INDEX(Option4!K$106:K$117, MATCH($D62, Option4!$G$106:$G$117,0)))*conv_2026*K$7</f>
        <v>0</v>
      </c>
      <c r="L62" s="31">
        <f>(INDEX(Option4!L$106:L$117, MATCH($D62, Option4!$G$106:$G$117,0)))*conv_2026*L$7</f>
        <v>0</v>
      </c>
      <c r="M62" s="31">
        <f>(INDEX(Option4!M$106:M$117, MATCH($D62, Option4!$G$106:$G$117,0)))*conv_2026*M$7</f>
        <v>0</v>
      </c>
      <c r="N62" s="31">
        <f>(INDEX(Option4!N$106:N$117, MATCH($D62, Option4!$G$106:$G$117,0)))*conv_2026*N$7</f>
        <v>0</v>
      </c>
      <c r="O62" s="31">
        <f>(INDEX(Option4!O$106:O$117, MATCH($D62, Option4!$G$106:$G$117,0)))*conv_2026*O$7</f>
        <v>0</v>
      </c>
      <c r="P62" s="31">
        <f>(INDEX(Option4!P$106:P$117, MATCH($D62, Option4!$G$106:$G$117,0)))*conv_2026*P$7</f>
        <v>0</v>
      </c>
      <c r="Q62" s="31">
        <f>(INDEX(Option4!Q$106:Q$117, MATCH($D62, Option4!$G$106:$G$117,0)))*conv_2026*Q$7</f>
        <v>0</v>
      </c>
      <c r="R62" s="31">
        <f>(INDEX(Option4!R$106:R$117, MATCH($D62, Option4!$G$106:$G$117,0)))*conv_2026*R$7</f>
        <v>0</v>
      </c>
      <c r="S62" s="31">
        <f>(INDEX(Option4!S$106:S$117, MATCH($D62, Option4!$G$106:$G$117,0)))*conv_2026*S$7</f>
        <v>0</v>
      </c>
      <c r="T62" s="31">
        <f>(INDEX(Option4!T$106:T$117, MATCH($D62, Option4!$G$106:$G$117,0)))*conv_2026*T$7</f>
        <v>0</v>
      </c>
      <c r="U62" s="31">
        <f>(INDEX(Option4!U$106:U$117, MATCH($D62, Option4!$G$106:$G$117,0)))*conv_2026*U$7</f>
        <v>0</v>
      </c>
      <c r="V62" s="31">
        <f>(INDEX(Option4!V$106:V$117, MATCH($D62, Option4!$G$106:$G$117,0)))*conv_2026*V$7</f>
        <v>0</v>
      </c>
      <c r="W62" s="31">
        <f>(INDEX(Option4!W$106:W$117, MATCH($D62, Option4!$G$106:$G$117,0)))*conv_2026*W$7</f>
        <v>0</v>
      </c>
      <c r="X62" s="31">
        <f>(INDEX(Option4!X$106:X$117, MATCH($D62, Option4!$G$106:$G$117,0)))*conv_2026*X$7</f>
        <v>0</v>
      </c>
      <c r="Y62" s="31">
        <f>(INDEX(Option4!Y$106:Y$117, MATCH($D62, Option4!$G$106:$G$117,0)))*conv_2026*Y$7</f>
        <v>0</v>
      </c>
      <c r="Z62" s="31">
        <f>(INDEX(Option4!Z$106:Z$117, MATCH($D62, Option4!$G$106:$G$117,0)))*conv_2026*Z$7</f>
        <v>0</v>
      </c>
      <c r="AA62" s="31">
        <f>(INDEX(Option4!AA$106:AA$117, MATCH($D62, Option4!$G$106:$G$117,0)))*conv_2026*AA$7</f>
        <v>0</v>
      </c>
      <c r="AB62" s="31">
        <f>(INDEX(Option4!AB$106:AB$117, MATCH($D62, Option4!$G$106:$G$117,0)))*conv_2026*AB$7</f>
        <v>0</v>
      </c>
      <c r="AC62" s="31">
        <f>(INDEX(Option4!AC$106:AC$117, MATCH($D62, Option4!$G$106:$G$117,0)))*conv_2026*AC$7</f>
        <v>0</v>
      </c>
      <c r="AD62" s="31">
        <f>(INDEX(Option4!AD$106:AD$117, MATCH($D62, Option4!$G$106:$G$117,0)))*conv_2026*AD$7</f>
        <v>0</v>
      </c>
      <c r="AE62" s="31">
        <f>(INDEX(Option4!AE$106:AE$117, MATCH($D62, Option4!$G$106:$G$117,0)))*conv_2026*AE$7</f>
        <v>0</v>
      </c>
      <c r="AF62" s="31">
        <f>(INDEX(Option4!AF$106:AF$117, MATCH($D62, Option4!$G$106:$G$117,0)))*conv_2026*AF$7</f>
        <v>0</v>
      </c>
      <c r="AG62" s="31">
        <f>(INDEX(Option4!AG$106:AG$117, MATCH($D62, Option4!$G$106:$G$117,0)))*conv_2026*AG$7</f>
        <v>0</v>
      </c>
    </row>
    <row r="63" spans="1:35" s="8" customFormat="1" x14ac:dyDescent="0.2">
      <c r="A63" s="254" t="s">
        <v>133</v>
      </c>
      <c r="B63" s="254" t="str">
        <f>Option4!A115</f>
        <v>sens</v>
      </c>
      <c r="C63" s="254">
        <f>Option4!C115</f>
        <v>0</v>
      </c>
      <c r="D63" s="254" t="str">
        <f t="shared" si="7"/>
        <v>Option 4sens</v>
      </c>
      <c r="E63" s="255"/>
      <c r="F63" s="31">
        <f t="shared" si="6"/>
        <v>0</v>
      </c>
      <c r="H63" s="31">
        <f>(INDEX(Option4!H$106:H$117, MATCH($D63, Option4!$G$106:$G$117,0)))*conv_2026*H$7</f>
        <v>0</v>
      </c>
      <c r="I63" s="31">
        <f>(INDEX(Option4!I$106:I$117, MATCH($D63, Option4!$G$106:$G$117,0)))*conv_2026*I$7</f>
        <v>0</v>
      </c>
      <c r="J63" s="31">
        <f>(INDEX(Option4!J$106:J$117, MATCH($D63, Option4!$G$106:$G$117,0)))*conv_2026*J$7</f>
        <v>0</v>
      </c>
      <c r="K63" s="31">
        <f>(INDEX(Option4!K$106:K$117, MATCH($D63, Option4!$G$106:$G$117,0)))*conv_2026*K$7</f>
        <v>0</v>
      </c>
      <c r="L63" s="31">
        <f>(INDEX(Option4!L$106:L$117, MATCH($D63, Option4!$G$106:$G$117,0)))*conv_2026*L$7</f>
        <v>0</v>
      </c>
      <c r="M63" s="31">
        <f>(INDEX(Option4!M$106:M$117, MATCH($D63, Option4!$G$106:$G$117,0)))*conv_2026*M$7</f>
        <v>0</v>
      </c>
      <c r="N63" s="31">
        <f>(INDEX(Option4!N$106:N$117, MATCH($D63, Option4!$G$106:$G$117,0)))*conv_2026*N$7</f>
        <v>0</v>
      </c>
      <c r="O63" s="31">
        <f>(INDEX(Option4!O$106:O$117, MATCH($D63, Option4!$G$106:$G$117,0)))*conv_2026*O$7</f>
        <v>0</v>
      </c>
      <c r="P63" s="31">
        <f>(INDEX(Option4!P$106:P$117, MATCH($D63, Option4!$G$106:$G$117,0)))*conv_2026*P$7</f>
        <v>0</v>
      </c>
      <c r="Q63" s="31">
        <f>(INDEX(Option4!Q$106:Q$117, MATCH($D63, Option4!$G$106:$G$117,0)))*conv_2026*Q$7</f>
        <v>0</v>
      </c>
      <c r="R63" s="31">
        <f>(INDEX(Option4!R$106:R$117, MATCH($D63, Option4!$G$106:$G$117,0)))*conv_2026*R$7</f>
        <v>0</v>
      </c>
      <c r="S63" s="31">
        <f>(INDEX(Option4!S$106:S$117, MATCH($D63, Option4!$G$106:$G$117,0)))*conv_2026*S$7</f>
        <v>0</v>
      </c>
      <c r="T63" s="31">
        <f>(INDEX(Option4!T$106:T$117, MATCH($D63, Option4!$G$106:$G$117,0)))*conv_2026*T$7</f>
        <v>0</v>
      </c>
      <c r="U63" s="31">
        <f>(INDEX(Option4!U$106:U$117, MATCH($D63, Option4!$G$106:$G$117,0)))*conv_2026*U$7</f>
        <v>0</v>
      </c>
      <c r="V63" s="31">
        <f>(INDEX(Option4!V$106:V$117, MATCH($D63, Option4!$G$106:$G$117,0)))*conv_2026*V$7</f>
        <v>0</v>
      </c>
      <c r="W63" s="31">
        <f>(INDEX(Option4!W$106:W$117, MATCH($D63, Option4!$G$106:$G$117,0)))*conv_2026*W$7</f>
        <v>0</v>
      </c>
      <c r="X63" s="31">
        <f>(INDEX(Option4!X$106:X$117, MATCH($D63, Option4!$G$106:$G$117,0)))*conv_2026*X$7</f>
        <v>0</v>
      </c>
      <c r="Y63" s="31">
        <f>(INDEX(Option4!Y$106:Y$117, MATCH($D63, Option4!$G$106:$G$117,0)))*conv_2026*Y$7</f>
        <v>0</v>
      </c>
      <c r="Z63" s="31">
        <f>(INDEX(Option4!Z$106:Z$117, MATCH($D63, Option4!$G$106:$G$117,0)))*conv_2026*Z$7</f>
        <v>0</v>
      </c>
      <c r="AA63" s="31">
        <f>(INDEX(Option4!AA$106:AA$117, MATCH($D63, Option4!$G$106:$G$117,0)))*conv_2026*AA$7</f>
        <v>0</v>
      </c>
      <c r="AB63" s="31">
        <f>(INDEX(Option4!AB$106:AB$117, MATCH($D63, Option4!$G$106:$G$117,0)))*conv_2026*AB$7</f>
        <v>0</v>
      </c>
      <c r="AC63" s="31">
        <f>(INDEX(Option4!AC$106:AC$117, MATCH($D63, Option4!$G$106:$G$117,0)))*conv_2026*AC$7</f>
        <v>0</v>
      </c>
      <c r="AD63" s="31">
        <f>(INDEX(Option4!AD$106:AD$117, MATCH($D63, Option4!$G$106:$G$117,0)))*conv_2026*AD$7</f>
        <v>0</v>
      </c>
      <c r="AE63" s="31">
        <f>(INDEX(Option4!AE$106:AE$117, MATCH($D63, Option4!$G$106:$G$117,0)))*conv_2026*AE$7</f>
        <v>0</v>
      </c>
      <c r="AF63" s="31">
        <f>(INDEX(Option4!AF$106:AF$117, MATCH($D63, Option4!$G$106:$G$117,0)))*conv_2026*AF$7</f>
        <v>0</v>
      </c>
      <c r="AG63" s="31">
        <f>(INDEX(Option4!AG$106:AG$117, MATCH($D63, Option4!$G$106:$G$117,0)))*conv_2026*AG$7</f>
        <v>0</v>
      </c>
    </row>
    <row r="64" spans="1:35" s="8" customFormat="1" x14ac:dyDescent="0.2">
      <c r="A64" s="254" t="s">
        <v>133</v>
      </c>
      <c r="B64" s="254" t="str">
        <f>Option4!A116</f>
        <v>sens</v>
      </c>
      <c r="C64" s="254">
        <f>Option4!C116</f>
        <v>0</v>
      </c>
      <c r="D64" s="254" t="str">
        <f t="shared" si="7"/>
        <v>Option 4sens</v>
      </c>
      <c r="E64" s="255"/>
      <c r="F64" s="31">
        <f t="shared" si="6"/>
        <v>0</v>
      </c>
      <c r="H64" s="31">
        <f>(INDEX(Option4!H$106:H$117, MATCH($D64, Option4!$G$106:$G$117,0)))*conv_2026*H$7</f>
        <v>0</v>
      </c>
      <c r="I64" s="31">
        <f>(INDEX(Option4!I$106:I$117, MATCH($D64, Option4!$G$106:$G$117,0)))*conv_2026*I$7</f>
        <v>0</v>
      </c>
      <c r="J64" s="31">
        <f>(INDEX(Option4!J$106:J$117, MATCH($D64, Option4!$G$106:$G$117,0)))*conv_2026*J$7</f>
        <v>0</v>
      </c>
      <c r="K64" s="31">
        <f>(INDEX(Option4!K$106:K$117, MATCH($D64, Option4!$G$106:$G$117,0)))*conv_2026*K$7</f>
        <v>0</v>
      </c>
      <c r="L64" s="31">
        <f>(INDEX(Option4!L$106:L$117, MATCH($D64, Option4!$G$106:$G$117,0)))*conv_2026*L$7</f>
        <v>0</v>
      </c>
      <c r="M64" s="31">
        <f>(INDEX(Option4!M$106:M$117, MATCH($D64, Option4!$G$106:$G$117,0)))*conv_2026*M$7</f>
        <v>0</v>
      </c>
      <c r="N64" s="31">
        <f>(INDEX(Option4!N$106:N$117, MATCH($D64, Option4!$G$106:$G$117,0)))*conv_2026*N$7</f>
        <v>0</v>
      </c>
      <c r="O64" s="31">
        <f>(INDEX(Option4!O$106:O$117, MATCH($D64, Option4!$G$106:$G$117,0)))*conv_2026*O$7</f>
        <v>0</v>
      </c>
      <c r="P64" s="31">
        <f>(INDEX(Option4!P$106:P$117, MATCH($D64, Option4!$G$106:$G$117,0)))*conv_2026*P$7</f>
        <v>0</v>
      </c>
      <c r="Q64" s="31">
        <f>(INDEX(Option4!Q$106:Q$117, MATCH($D64, Option4!$G$106:$G$117,0)))*conv_2026*Q$7</f>
        <v>0</v>
      </c>
      <c r="R64" s="31">
        <f>(INDEX(Option4!R$106:R$117, MATCH($D64, Option4!$G$106:$G$117,0)))*conv_2026*R$7</f>
        <v>0</v>
      </c>
      <c r="S64" s="31">
        <f>(INDEX(Option4!S$106:S$117, MATCH($D64, Option4!$G$106:$G$117,0)))*conv_2026*S$7</f>
        <v>0</v>
      </c>
      <c r="T64" s="31">
        <f>(INDEX(Option4!T$106:T$117, MATCH($D64, Option4!$G$106:$G$117,0)))*conv_2026*T$7</f>
        <v>0</v>
      </c>
      <c r="U64" s="31">
        <f>(INDEX(Option4!U$106:U$117, MATCH($D64, Option4!$G$106:$G$117,0)))*conv_2026*U$7</f>
        <v>0</v>
      </c>
      <c r="V64" s="31">
        <f>(INDEX(Option4!V$106:V$117, MATCH($D64, Option4!$G$106:$G$117,0)))*conv_2026*V$7</f>
        <v>0</v>
      </c>
      <c r="W64" s="31">
        <f>(INDEX(Option4!W$106:W$117, MATCH($D64, Option4!$G$106:$G$117,0)))*conv_2026*W$7</f>
        <v>0</v>
      </c>
      <c r="X64" s="31">
        <f>(INDEX(Option4!X$106:X$117, MATCH($D64, Option4!$G$106:$G$117,0)))*conv_2026*X$7</f>
        <v>0</v>
      </c>
      <c r="Y64" s="31">
        <f>(INDEX(Option4!Y$106:Y$117, MATCH($D64, Option4!$G$106:$G$117,0)))*conv_2026*Y$7</f>
        <v>0</v>
      </c>
      <c r="Z64" s="31">
        <f>(INDEX(Option4!Z$106:Z$117, MATCH($D64, Option4!$G$106:$G$117,0)))*conv_2026*Z$7</f>
        <v>0</v>
      </c>
      <c r="AA64" s="31">
        <f>(INDEX(Option4!AA$106:AA$117, MATCH($D64, Option4!$G$106:$G$117,0)))*conv_2026*AA$7</f>
        <v>0</v>
      </c>
      <c r="AB64" s="31">
        <f>(INDEX(Option4!AB$106:AB$117, MATCH($D64, Option4!$G$106:$G$117,0)))*conv_2026*AB$7</f>
        <v>0</v>
      </c>
      <c r="AC64" s="31">
        <f>(INDEX(Option4!AC$106:AC$117, MATCH($D64, Option4!$G$106:$G$117,0)))*conv_2026*AC$7</f>
        <v>0</v>
      </c>
      <c r="AD64" s="31">
        <f>(INDEX(Option4!AD$106:AD$117, MATCH($D64, Option4!$G$106:$G$117,0)))*conv_2026*AD$7</f>
        <v>0</v>
      </c>
      <c r="AE64" s="31">
        <f>(INDEX(Option4!AE$106:AE$117, MATCH($D64, Option4!$G$106:$G$117,0)))*conv_2026*AE$7</f>
        <v>0</v>
      </c>
      <c r="AF64" s="31">
        <f>(INDEX(Option4!AF$106:AF$117, MATCH($D64, Option4!$G$106:$G$117,0)))*conv_2026*AF$7</f>
        <v>0</v>
      </c>
      <c r="AG64" s="31">
        <f>(INDEX(Option4!AG$106:AG$117, MATCH($D64, Option4!$G$106:$G$117,0)))*conv_2026*AG$7</f>
        <v>0</v>
      </c>
    </row>
    <row r="65" spans="1:35" s="8" customFormat="1" x14ac:dyDescent="0.2">
      <c r="A65" s="254" t="s">
        <v>133</v>
      </c>
      <c r="B65" s="254" t="str">
        <f>Option4!A117</f>
        <v>sens</v>
      </c>
      <c r="C65" s="254">
        <f>Option4!C117</f>
        <v>0</v>
      </c>
      <c r="D65" s="254" t="str">
        <f t="shared" si="7"/>
        <v>Option 4sens</v>
      </c>
      <c r="E65" s="255"/>
      <c r="F65" s="31">
        <f t="shared" si="6"/>
        <v>0</v>
      </c>
      <c r="H65" s="31">
        <f>(INDEX(Option4!H$106:H$117, MATCH($D65, Option4!$G$106:$G$117,0)))*conv_2026*H$7</f>
        <v>0</v>
      </c>
      <c r="I65" s="31">
        <f>(INDEX(Option4!I$106:I$117, MATCH($D65, Option4!$G$106:$G$117,0)))*conv_2026*I$7</f>
        <v>0</v>
      </c>
      <c r="J65" s="31">
        <f>(INDEX(Option4!J$106:J$117, MATCH($D65, Option4!$G$106:$G$117,0)))*conv_2026*J$7</f>
        <v>0</v>
      </c>
      <c r="K65" s="31">
        <f>(INDEX(Option4!K$106:K$117, MATCH($D65, Option4!$G$106:$G$117,0)))*conv_2026*K$7</f>
        <v>0</v>
      </c>
      <c r="L65" s="31">
        <f>(INDEX(Option4!L$106:L$117, MATCH($D65, Option4!$G$106:$G$117,0)))*conv_2026*L$7</f>
        <v>0</v>
      </c>
      <c r="M65" s="31">
        <f>(INDEX(Option4!M$106:M$117, MATCH($D65, Option4!$G$106:$G$117,0)))*conv_2026*M$7</f>
        <v>0</v>
      </c>
      <c r="N65" s="31">
        <f>(INDEX(Option4!N$106:N$117, MATCH($D65, Option4!$G$106:$G$117,0)))*conv_2026*N$7</f>
        <v>0</v>
      </c>
      <c r="O65" s="31">
        <f>(INDEX(Option4!O$106:O$117, MATCH($D65, Option4!$G$106:$G$117,0)))*conv_2026*O$7</f>
        <v>0</v>
      </c>
      <c r="P65" s="31">
        <f>(INDEX(Option4!P$106:P$117, MATCH($D65, Option4!$G$106:$G$117,0)))*conv_2026*P$7</f>
        <v>0</v>
      </c>
      <c r="Q65" s="31">
        <f>(INDEX(Option4!Q$106:Q$117, MATCH($D65, Option4!$G$106:$G$117,0)))*conv_2026*Q$7</f>
        <v>0</v>
      </c>
      <c r="R65" s="31">
        <f>(INDEX(Option4!R$106:R$117, MATCH($D65, Option4!$G$106:$G$117,0)))*conv_2026*R$7</f>
        <v>0</v>
      </c>
      <c r="S65" s="31">
        <f>(INDEX(Option4!S$106:S$117, MATCH($D65, Option4!$G$106:$G$117,0)))*conv_2026*S$7</f>
        <v>0</v>
      </c>
      <c r="T65" s="31">
        <f>(INDEX(Option4!T$106:T$117, MATCH($D65, Option4!$G$106:$G$117,0)))*conv_2026*T$7</f>
        <v>0</v>
      </c>
      <c r="U65" s="31">
        <f>(INDEX(Option4!U$106:U$117, MATCH($D65, Option4!$G$106:$G$117,0)))*conv_2026*U$7</f>
        <v>0</v>
      </c>
      <c r="V65" s="31">
        <f>(INDEX(Option4!V$106:V$117, MATCH($D65, Option4!$G$106:$G$117,0)))*conv_2026*V$7</f>
        <v>0</v>
      </c>
      <c r="W65" s="31">
        <f>(INDEX(Option4!W$106:W$117, MATCH($D65, Option4!$G$106:$G$117,0)))*conv_2026*W$7</f>
        <v>0</v>
      </c>
      <c r="X65" s="31">
        <f>(INDEX(Option4!X$106:X$117, MATCH($D65, Option4!$G$106:$G$117,0)))*conv_2026*X$7</f>
        <v>0</v>
      </c>
      <c r="Y65" s="31">
        <f>(INDEX(Option4!Y$106:Y$117, MATCH($D65, Option4!$G$106:$G$117,0)))*conv_2026*Y$7</f>
        <v>0</v>
      </c>
      <c r="Z65" s="31">
        <f>(INDEX(Option4!Z$106:Z$117, MATCH($D65, Option4!$G$106:$G$117,0)))*conv_2026*Z$7</f>
        <v>0</v>
      </c>
      <c r="AA65" s="31">
        <f>(INDEX(Option4!AA$106:AA$117, MATCH($D65, Option4!$G$106:$G$117,0)))*conv_2026*AA$7</f>
        <v>0</v>
      </c>
      <c r="AB65" s="31">
        <f>(INDEX(Option4!AB$106:AB$117, MATCH($D65, Option4!$G$106:$G$117,0)))*conv_2026*AB$7</f>
        <v>0</v>
      </c>
      <c r="AC65" s="31">
        <f>(INDEX(Option4!AC$106:AC$117, MATCH($D65, Option4!$G$106:$G$117,0)))*conv_2026*AC$7</f>
        <v>0</v>
      </c>
      <c r="AD65" s="31">
        <f>(INDEX(Option4!AD$106:AD$117, MATCH($D65, Option4!$G$106:$G$117,0)))*conv_2026*AD$7</f>
        <v>0</v>
      </c>
      <c r="AE65" s="31">
        <f>(INDEX(Option4!AE$106:AE$117, MATCH($D65, Option4!$G$106:$G$117,0)))*conv_2026*AE$7</f>
        <v>0</v>
      </c>
      <c r="AF65" s="31">
        <f>(INDEX(Option4!AF$106:AF$117, MATCH($D65, Option4!$G$106:$G$117,0)))*conv_2026*AF$7</f>
        <v>0</v>
      </c>
      <c r="AG65" s="31">
        <f>(INDEX(Option4!AG$106:AG$117, MATCH($D65, Option4!$G$106:$G$117,0)))*conv_2026*AG$7</f>
        <v>0</v>
      </c>
    </row>
    <row r="66" spans="1:35" s="8" customFormat="1" x14ac:dyDescent="0.2">
      <c r="A66" s="254"/>
      <c r="B66" s="254"/>
      <c r="C66" s="254"/>
      <c r="D66" s="254"/>
      <c r="E66" s="254"/>
      <c r="F66" s="31"/>
      <c r="H66" s="254"/>
      <c r="I66" s="254"/>
      <c r="J66" s="254"/>
      <c r="K66" s="254"/>
      <c r="L66" s="254"/>
      <c r="M66" s="254"/>
      <c r="N66" s="254"/>
      <c r="O66" s="254"/>
      <c r="P66" s="254"/>
      <c r="Q66" s="254"/>
      <c r="R66" s="254"/>
      <c r="S66" s="254"/>
      <c r="T66" s="254"/>
      <c r="U66" s="254"/>
      <c r="V66" s="254"/>
      <c r="W66" s="254"/>
      <c r="X66" s="254"/>
      <c r="Y66" s="254"/>
      <c r="Z66" s="254"/>
      <c r="AA66" s="254"/>
      <c r="AB66" s="254"/>
      <c r="AC66" s="254"/>
      <c r="AD66" s="254"/>
      <c r="AE66" s="254"/>
      <c r="AF66" s="254"/>
      <c r="AG66" s="254"/>
    </row>
    <row r="67" spans="1:35" s="8" customFormat="1" x14ac:dyDescent="0.2">
      <c r="A67" s="254"/>
      <c r="B67" s="254"/>
      <c r="C67" s="254"/>
      <c r="D67" s="254"/>
      <c r="E67" s="254"/>
      <c r="F67" s="31"/>
      <c r="H67" s="254"/>
      <c r="I67" s="254"/>
      <c r="J67" s="254"/>
      <c r="K67" s="254"/>
      <c r="L67" s="254"/>
      <c r="M67" s="254"/>
      <c r="N67" s="254"/>
      <c r="O67" s="254"/>
      <c r="P67" s="254"/>
      <c r="Q67" s="254"/>
      <c r="R67" s="254"/>
      <c r="S67" s="254"/>
      <c r="T67" s="254"/>
      <c r="U67" s="254"/>
      <c r="V67" s="254"/>
      <c r="W67" s="254"/>
      <c r="X67" s="254"/>
      <c r="Y67" s="254"/>
      <c r="Z67" s="254"/>
      <c r="AA67" s="254"/>
      <c r="AB67" s="254"/>
      <c r="AC67" s="254"/>
      <c r="AD67" s="254"/>
      <c r="AE67" s="254"/>
      <c r="AF67" s="254"/>
      <c r="AG67" s="254"/>
    </row>
    <row r="68" spans="1:35" s="8" customFormat="1" x14ac:dyDescent="0.2">
      <c r="A68" s="254"/>
      <c r="B68" s="254"/>
      <c r="C68" s="254"/>
      <c r="D68" s="254"/>
      <c r="E68" s="254"/>
      <c r="F68" s="31"/>
      <c r="H68" s="254"/>
      <c r="I68" s="254"/>
      <c r="J68" s="254"/>
      <c r="K68" s="254"/>
      <c r="L68" s="254"/>
      <c r="M68" s="254"/>
      <c r="N68" s="254"/>
      <c r="O68" s="254"/>
      <c r="P68" s="254"/>
      <c r="Q68" s="254"/>
      <c r="R68" s="254"/>
      <c r="S68" s="254"/>
      <c r="T68" s="254"/>
      <c r="U68" s="254"/>
      <c r="V68" s="254"/>
      <c r="W68" s="254"/>
      <c r="X68" s="254"/>
      <c r="Y68" s="254"/>
      <c r="Z68" s="254"/>
      <c r="AA68" s="254"/>
      <c r="AB68" s="254"/>
      <c r="AC68" s="254"/>
      <c r="AD68" s="254"/>
      <c r="AE68" s="254"/>
      <c r="AF68" s="254"/>
      <c r="AG68" s="254"/>
    </row>
    <row r="69" spans="1:35" s="8" customFormat="1" x14ac:dyDescent="0.2">
      <c r="A69" s="254"/>
      <c r="B69" s="254"/>
      <c r="C69" s="254"/>
      <c r="D69" s="254"/>
      <c r="E69" s="254"/>
      <c r="F69" s="31"/>
      <c r="H69" s="254"/>
      <c r="I69" s="254"/>
      <c r="J69" s="254"/>
      <c r="K69" s="254"/>
      <c r="L69" s="254"/>
      <c r="M69" s="254"/>
      <c r="N69" s="254"/>
      <c r="O69" s="254"/>
      <c r="P69" s="254"/>
      <c r="Q69" s="254"/>
      <c r="R69" s="254"/>
      <c r="S69" s="254"/>
      <c r="T69" s="254"/>
      <c r="U69" s="254"/>
      <c r="V69" s="254"/>
      <c r="W69" s="254"/>
      <c r="X69" s="254"/>
      <c r="Y69" s="254"/>
      <c r="Z69" s="254"/>
      <c r="AA69" s="254"/>
      <c r="AB69" s="254"/>
      <c r="AC69" s="254"/>
      <c r="AD69" s="254"/>
      <c r="AE69" s="254"/>
      <c r="AF69" s="254"/>
      <c r="AG69" s="254"/>
    </row>
    <row r="70" spans="1:35" s="8" customFormat="1" x14ac:dyDescent="0.2">
      <c r="A70" s="254" t="s">
        <v>158</v>
      </c>
      <c r="B70" s="254" t="s">
        <v>119</v>
      </c>
      <c r="C70" s="254" t="s">
        <v>192</v>
      </c>
      <c r="D70" s="254" t="str">
        <f>A70&amp;B70</f>
        <v>Option 5NPV</v>
      </c>
      <c r="E70" s="255"/>
      <c r="F70" s="31">
        <f t="shared" ref="F70:F79" si="8">SUMPRODUCT($H70:$AG70, $H$5:$AG$5)</f>
        <v>0</v>
      </c>
      <c r="G70" s="247"/>
      <c r="H70" s="31">
        <f>(INDEX(Option5!H$106:H$117, MATCH($D70, Option5!$G$106:$G$117,0)))*conv_2026*H$7</f>
        <v>0</v>
      </c>
      <c r="I70" s="31">
        <f>(INDEX(Option5!I$106:I$117, MATCH($D70, Option5!$G$106:$G$117,0)))*conv_2026*I$7</f>
        <v>0</v>
      </c>
      <c r="J70" s="31">
        <f>(INDEX(Option5!J$106:J$117, MATCH($D70, Option5!$G$106:$G$117,0)))*conv_2026*J$7</f>
        <v>0</v>
      </c>
      <c r="K70" s="31">
        <f>(INDEX(Option5!K$106:K$117, MATCH($D70, Option5!$G$106:$G$117,0)))*conv_2026*K$7</f>
        <v>0</v>
      </c>
      <c r="L70" s="31">
        <f>(INDEX(Option5!L$106:L$117, MATCH($D70, Option5!$G$106:$G$117,0)))*conv_2026*L$7</f>
        <v>0</v>
      </c>
      <c r="M70" s="31">
        <f>(INDEX(Option5!M$106:M$117, MATCH($D70, Option5!$G$106:$G$117,0)))*conv_2026*M$7</f>
        <v>0</v>
      </c>
      <c r="N70" s="31">
        <f>(INDEX(Option5!N$106:N$117, MATCH($D70, Option5!$G$106:$G$117,0)))*conv_2026*N$7</f>
        <v>0</v>
      </c>
      <c r="O70" s="31">
        <f>(INDEX(Option5!O$106:O$117, MATCH($D70, Option5!$G$106:$G$117,0)))*conv_2026*O$7</f>
        <v>0</v>
      </c>
      <c r="P70" s="31">
        <f>(INDEX(Option5!P$106:P$117, MATCH($D70, Option5!$G$106:$G$117,0)))*conv_2026*P$7</f>
        <v>0</v>
      </c>
      <c r="Q70" s="31">
        <f>(INDEX(Option5!Q$106:Q$117, MATCH($D70, Option5!$G$106:$G$117,0)))*conv_2026*Q$7</f>
        <v>0</v>
      </c>
      <c r="R70" s="31">
        <f>(INDEX(Option5!R$106:R$117, MATCH($D70, Option5!$G$106:$G$117,0)))*conv_2026*R$7</f>
        <v>0</v>
      </c>
      <c r="S70" s="31">
        <f>(INDEX(Option5!S$106:S$117, MATCH($D70, Option5!$G$106:$G$117,0)))*conv_2026*S$7</f>
        <v>0</v>
      </c>
      <c r="T70" s="31">
        <f>(INDEX(Option5!T$106:T$117, MATCH($D70, Option5!$G$106:$G$117,0)))*conv_2026*T$7</f>
        <v>0</v>
      </c>
      <c r="U70" s="31">
        <f>(INDEX(Option5!U$106:U$117, MATCH($D70, Option5!$G$106:$G$117,0)))*conv_2026*U$7</f>
        <v>0</v>
      </c>
      <c r="V70" s="31">
        <f>(INDEX(Option5!V$106:V$117, MATCH($D70, Option5!$G$106:$G$117,0)))*conv_2026*V$7</f>
        <v>0</v>
      </c>
      <c r="W70" s="31">
        <f>(INDEX(Option5!W$106:W$117, MATCH($D70, Option5!$G$106:$G$117,0)))*conv_2026*W$7</f>
        <v>0</v>
      </c>
      <c r="X70" s="31">
        <f>(INDEX(Option5!X$106:X$117, MATCH($D70, Option5!$G$106:$G$117,0)))*conv_2026*X$7</f>
        <v>0</v>
      </c>
      <c r="Y70" s="31">
        <f>(INDEX(Option5!Y$106:Y$117, MATCH($D70, Option5!$G$106:$G$117,0)))*conv_2026*Y$7</f>
        <v>0</v>
      </c>
      <c r="Z70" s="31">
        <f>(INDEX(Option5!Z$106:Z$117, MATCH($D70, Option5!$G$106:$G$117,0)))*conv_2026*Z$7</f>
        <v>0</v>
      </c>
      <c r="AA70" s="31">
        <f>(INDEX(Option5!AA$106:AA$117, MATCH($D70, Option5!$G$106:$G$117,0)))*conv_2026*AA$7</f>
        <v>0</v>
      </c>
      <c r="AB70" s="31">
        <f>(INDEX(Option5!AB$106:AB$117, MATCH($D70, Option5!$G$106:$G$117,0)))*conv_2026*AB$7</f>
        <v>0</v>
      </c>
      <c r="AC70" s="31">
        <f>(INDEX(Option5!AC$106:AC$117, MATCH($D70, Option5!$G$106:$G$117,0)))*conv_2026*AC$7</f>
        <v>0</v>
      </c>
      <c r="AD70" s="31">
        <f>(INDEX(Option5!AD$106:AD$117, MATCH($D70, Option5!$G$106:$G$117,0)))*conv_2026*AD$7</f>
        <v>0</v>
      </c>
      <c r="AE70" s="31">
        <f>(INDEX(Option5!AE$106:AE$117, MATCH($D70, Option5!$G$106:$G$117,0)))*conv_2026*AE$7</f>
        <v>0</v>
      </c>
      <c r="AF70" s="31">
        <f>(INDEX(Option5!AF$106:AF$117, MATCH($D70, Option5!$G$106:$G$117,0)))*conv_2026*AF$7</f>
        <v>0</v>
      </c>
      <c r="AG70" s="31">
        <f>(INDEX(Option5!AG$106:AG$117, MATCH($D70, Option5!$G$106:$G$117,0)))*conv_2026*AG$7</f>
        <v>0</v>
      </c>
      <c r="AH70" s="7"/>
      <c r="AI70" s="7"/>
    </row>
    <row r="71" spans="1:35" s="8" customFormat="1" x14ac:dyDescent="0.2">
      <c r="A71" s="246"/>
      <c r="B71" s="246"/>
      <c r="C71" s="246"/>
      <c r="D71" s="246"/>
      <c r="E71" s="246"/>
      <c r="F71" s="246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7"/>
      <c r="AI71" s="7"/>
    </row>
    <row r="72" spans="1:35" s="8" customFormat="1" x14ac:dyDescent="0.2">
      <c r="A72" s="254" t="s">
        <v>158</v>
      </c>
      <c r="B72" s="254" t="str">
        <f>Option5!A110</f>
        <v>sens1</v>
      </c>
      <c r="C72" s="254" t="str">
        <f>Option5!C110</f>
        <v>Capex 10% higher</v>
      </c>
      <c r="D72" s="254" t="str">
        <f t="shared" ref="D72:D79" si="9">A72&amp;B72</f>
        <v>Option 5sens1</v>
      </c>
      <c r="E72" s="255"/>
      <c r="F72" s="31">
        <f t="shared" si="8"/>
        <v>0</v>
      </c>
      <c r="G72" s="247"/>
      <c r="H72" s="31">
        <f>(INDEX(Option5!H$106:H$117, MATCH($D72, Option5!$G$106:$G$117,0)))*conv_2026*H$7</f>
        <v>0</v>
      </c>
      <c r="I72" s="31">
        <f>(INDEX(Option5!I$106:I$117, MATCH($D72, Option5!$G$106:$G$117,0)))*conv_2026*I$7</f>
        <v>0</v>
      </c>
      <c r="J72" s="31">
        <f>(INDEX(Option5!J$106:J$117, MATCH($D72, Option5!$G$106:$G$117,0)))*conv_2026*J$7</f>
        <v>0</v>
      </c>
      <c r="K72" s="31">
        <f>(INDEX(Option5!K$106:K$117, MATCH($D72, Option5!$G$106:$G$117,0)))*conv_2026*K$7</f>
        <v>0</v>
      </c>
      <c r="L72" s="31">
        <f>(INDEX(Option5!L$106:L$117, MATCH($D72, Option5!$G$106:$G$117,0)))*conv_2026*L$7</f>
        <v>0</v>
      </c>
      <c r="M72" s="31">
        <f>(INDEX(Option5!M$106:M$117, MATCH($D72, Option5!$G$106:$G$117,0)))*conv_2026*M$7</f>
        <v>0</v>
      </c>
      <c r="N72" s="31">
        <f>(INDEX(Option5!N$106:N$117, MATCH($D72, Option5!$G$106:$G$117,0)))*conv_2026*N$7</f>
        <v>0</v>
      </c>
      <c r="O72" s="31">
        <f>(INDEX(Option5!O$106:O$117, MATCH($D72, Option5!$G$106:$G$117,0)))*conv_2026*O$7</f>
        <v>0</v>
      </c>
      <c r="P72" s="31">
        <f>(INDEX(Option5!P$106:P$117, MATCH($D72, Option5!$G$106:$G$117,0)))*conv_2026*P$7</f>
        <v>0</v>
      </c>
      <c r="Q72" s="31">
        <f>(INDEX(Option5!Q$106:Q$117, MATCH($D72, Option5!$G$106:$G$117,0)))*conv_2026*Q$7</f>
        <v>0</v>
      </c>
      <c r="R72" s="31">
        <f>(INDEX(Option5!R$106:R$117, MATCH($D72, Option5!$G$106:$G$117,0)))*conv_2026*R$7</f>
        <v>0</v>
      </c>
      <c r="S72" s="31">
        <f>(INDEX(Option5!S$106:S$117, MATCH($D72, Option5!$G$106:$G$117,0)))*conv_2026*S$7</f>
        <v>0</v>
      </c>
      <c r="T72" s="31">
        <f>(INDEX(Option5!T$106:T$117, MATCH($D72, Option5!$G$106:$G$117,0)))*conv_2026*T$7</f>
        <v>0</v>
      </c>
      <c r="U72" s="31">
        <f>(INDEX(Option5!U$106:U$117, MATCH($D72, Option5!$G$106:$G$117,0)))*conv_2026*U$7</f>
        <v>0</v>
      </c>
      <c r="V72" s="31">
        <f>(INDEX(Option5!V$106:V$117, MATCH($D72, Option5!$G$106:$G$117,0)))*conv_2026*V$7</f>
        <v>0</v>
      </c>
      <c r="W72" s="31">
        <f>(INDEX(Option5!W$106:W$117, MATCH($D72, Option5!$G$106:$G$117,0)))*conv_2026*W$7</f>
        <v>0</v>
      </c>
      <c r="X72" s="31">
        <f>(INDEX(Option5!X$106:X$117, MATCH($D72, Option5!$G$106:$G$117,0)))*conv_2026*X$7</f>
        <v>0</v>
      </c>
      <c r="Y72" s="31">
        <f>(INDEX(Option5!Y$106:Y$117, MATCH($D72, Option5!$G$106:$G$117,0)))*conv_2026*Y$7</f>
        <v>0</v>
      </c>
      <c r="Z72" s="31">
        <f>(INDEX(Option5!Z$106:Z$117, MATCH($D72, Option5!$G$106:$G$117,0)))*conv_2026*Z$7</f>
        <v>0</v>
      </c>
      <c r="AA72" s="31">
        <f>(INDEX(Option5!AA$106:AA$117, MATCH($D72, Option5!$G$106:$G$117,0)))*conv_2026*AA$7</f>
        <v>0</v>
      </c>
      <c r="AB72" s="31">
        <f>(INDEX(Option5!AB$106:AB$117, MATCH($D72, Option5!$G$106:$G$117,0)))*conv_2026*AB$7</f>
        <v>0</v>
      </c>
      <c r="AC72" s="31">
        <f>(INDEX(Option5!AC$106:AC$117, MATCH($D72, Option5!$G$106:$G$117,0)))*conv_2026*AC$7</f>
        <v>0</v>
      </c>
      <c r="AD72" s="31">
        <f>(INDEX(Option5!AD$106:AD$117, MATCH($D72, Option5!$G$106:$G$117,0)))*conv_2026*AD$7</f>
        <v>0</v>
      </c>
      <c r="AE72" s="31">
        <f>(INDEX(Option5!AE$106:AE$117, MATCH($D72, Option5!$G$106:$G$117,0)))*conv_2026*AE$7</f>
        <v>0</v>
      </c>
      <c r="AF72" s="31">
        <f>(INDEX(Option5!AF$106:AF$117, MATCH($D72, Option5!$G$106:$G$117,0)))*conv_2026*AF$7</f>
        <v>0</v>
      </c>
      <c r="AG72" s="31">
        <f>(INDEX(Option5!AG$106:AG$117, MATCH($D72, Option5!$G$106:$G$117,0)))*conv_2026*AG$7</f>
        <v>0</v>
      </c>
      <c r="AH72" s="7"/>
      <c r="AI72" s="7"/>
    </row>
    <row r="73" spans="1:35" s="8" customFormat="1" x14ac:dyDescent="0.2">
      <c r="A73" s="254" t="s">
        <v>158</v>
      </c>
      <c r="B73" s="254" t="str">
        <f>Option5!A111</f>
        <v>sens2</v>
      </c>
      <c r="C73" s="254" t="str">
        <f>Option5!C111</f>
        <v>Capex 10% lower</v>
      </c>
      <c r="D73" s="254" t="str">
        <f t="shared" si="9"/>
        <v>Option 5sens2</v>
      </c>
      <c r="E73" s="255"/>
      <c r="F73" s="31">
        <f t="shared" si="8"/>
        <v>0</v>
      </c>
      <c r="G73" s="254"/>
      <c r="H73" s="31">
        <f>(INDEX(Option5!H$106:H$117, MATCH($D73, Option5!$G$106:$G$117,0)))*conv_2026*H$7</f>
        <v>0</v>
      </c>
      <c r="I73" s="31">
        <f>(INDEX(Option5!I$106:I$117, MATCH($D73, Option5!$G$106:$G$117,0)))*conv_2026*I$7</f>
        <v>0</v>
      </c>
      <c r="J73" s="31">
        <f>(INDEX(Option5!J$106:J$117, MATCH($D73, Option5!$G$106:$G$117,0)))*conv_2026*J$7</f>
        <v>0</v>
      </c>
      <c r="K73" s="31">
        <f>(INDEX(Option5!K$106:K$117, MATCH($D73, Option5!$G$106:$G$117,0)))*conv_2026*K$7</f>
        <v>0</v>
      </c>
      <c r="L73" s="31">
        <f>(INDEX(Option5!L$106:L$117, MATCH($D73, Option5!$G$106:$G$117,0)))*conv_2026*L$7</f>
        <v>0</v>
      </c>
      <c r="M73" s="31">
        <f>(INDEX(Option5!M$106:M$117, MATCH($D73, Option5!$G$106:$G$117,0)))*conv_2026*M$7</f>
        <v>0</v>
      </c>
      <c r="N73" s="31">
        <f>(INDEX(Option5!N$106:N$117, MATCH($D73, Option5!$G$106:$G$117,0)))*conv_2026*N$7</f>
        <v>0</v>
      </c>
      <c r="O73" s="31">
        <f>(INDEX(Option5!O$106:O$117, MATCH($D73, Option5!$G$106:$G$117,0)))*conv_2026*O$7</f>
        <v>0</v>
      </c>
      <c r="P73" s="31">
        <f>(INDEX(Option5!P$106:P$117, MATCH($D73, Option5!$G$106:$G$117,0)))*conv_2026*P$7</f>
        <v>0</v>
      </c>
      <c r="Q73" s="31">
        <f>(INDEX(Option5!Q$106:Q$117, MATCH($D73, Option5!$G$106:$G$117,0)))*conv_2026*Q$7</f>
        <v>0</v>
      </c>
      <c r="R73" s="31">
        <f>(INDEX(Option5!R$106:R$117, MATCH($D73, Option5!$G$106:$G$117,0)))*conv_2026*R$7</f>
        <v>0</v>
      </c>
      <c r="S73" s="31">
        <f>(INDEX(Option5!S$106:S$117, MATCH($D73, Option5!$G$106:$G$117,0)))*conv_2026*S$7</f>
        <v>0</v>
      </c>
      <c r="T73" s="31">
        <f>(INDEX(Option5!T$106:T$117, MATCH($D73, Option5!$G$106:$G$117,0)))*conv_2026*T$7</f>
        <v>0</v>
      </c>
      <c r="U73" s="31">
        <f>(INDEX(Option5!U$106:U$117, MATCH($D73, Option5!$G$106:$G$117,0)))*conv_2026*U$7</f>
        <v>0</v>
      </c>
      <c r="V73" s="31">
        <f>(INDEX(Option5!V$106:V$117, MATCH($D73, Option5!$G$106:$G$117,0)))*conv_2026*V$7</f>
        <v>0</v>
      </c>
      <c r="W73" s="31">
        <f>(INDEX(Option5!W$106:W$117, MATCH($D73, Option5!$G$106:$G$117,0)))*conv_2026*W$7</f>
        <v>0</v>
      </c>
      <c r="X73" s="31">
        <f>(INDEX(Option5!X$106:X$117, MATCH($D73, Option5!$G$106:$G$117,0)))*conv_2026*X$7</f>
        <v>0</v>
      </c>
      <c r="Y73" s="31">
        <f>(INDEX(Option5!Y$106:Y$117, MATCH($D73, Option5!$G$106:$G$117,0)))*conv_2026*Y$7</f>
        <v>0</v>
      </c>
      <c r="Z73" s="31">
        <f>(INDEX(Option5!Z$106:Z$117, MATCH($D73, Option5!$G$106:$G$117,0)))*conv_2026*Z$7</f>
        <v>0</v>
      </c>
      <c r="AA73" s="31">
        <f>(INDEX(Option5!AA$106:AA$117, MATCH($D73, Option5!$G$106:$G$117,0)))*conv_2026*AA$7</f>
        <v>0</v>
      </c>
      <c r="AB73" s="31">
        <f>(INDEX(Option5!AB$106:AB$117, MATCH($D73, Option5!$G$106:$G$117,0)))*conv_2026*AB$7</f>
        <v>0</v>
      </c>
      <c r="AC73" s="31">
        <f>(INDEX(Option5!AC$106:AC$117, MATCH($D73, Option5!$G$106:$G$117,0)))*conv_2026*AC$7</f>
        <v>0</v>
      </c>
      <c r="AD73" s="31">
        <f>(INDEX(Option5!AD$106:AD$117, MATCH($D73, Option5!$G$106:$G$117,0)))*conv_2026*AD$7</f>
        <v>0</v>
      </c>
      <c r="AE73" s="31">
        <f>(INDEX(Option5!AE$106:AE$117, MATCH($D73, Option5!$G$106:$G$117,0)))*conv_2026*AE$7</f>
        <v>0</v>
      </c>
      <c r="AF73" s="31">
        <f>(INDEX(Option5!AF$106:AF$117, MATCH($D73, Option5!$G$106:$G$117,0)))*conv_2026*AF$7</f>
        <v>0</v>
      </c>
      <c r="AG73" s="31">
        <f>(INDEX(Option5!AG$106:AG$117, MATCH($D73, Option5!$G$106:$G$117,0)))*conv_2026*AG$7</f>
        <v>0</v>
      </c>
    </row>
    <row r="74" spans="1:35" s="8" customFormat="1" x14ac:dyDescent="0.2">
      <c r="A74" s="254" t="s">
        <v>158</v>
      </c>
      <c r="B74" s="254" t="str">
        <f>Option5!A112</f>
        <v>sens3</v>
      </c>
      <c r="C74" s="254" t="str">
        <f>Option5!C112</f>
        <v>Increasing wind escalation</v>
      </c>
      <c r="D74" s="254" t="str">
        <f t="shared" si="9"/>
        <v>Option 5sens3</v>
      </c>
      <c r="E74" s="255"/>
      <c r="F74" s="31">
        <f t="shared" si="8"/>
        <v>0</v>
      </c>
      <c r="H74" s="31">
        <f>(INDEX(Option5!H$106:H$117, MATCH($D74, Option5!$G$106:$G$117,0)))*conv_2026*H$7</f>
        <v>0</v>
      </c>
      <c r="I74" s="31">
        <f>(INDEX(Option5!I$106:I$117, MATCH($D74, Option5!$G$106:$G$117,0)))*conv_2026*I$7</f>
        <v>0</v>
      </c>
      <c r="J74" s="31">
        <f>(INDEX(Option5!J$106:J$117, MATCH($D74, Option5!$G$106:$G$117,0)))*conv_2026*J$7</f>
        <v>0</v>
      </c>
      <c r="K74" s="31">
        <f>(INDEX(Option5!K$106:K$117, MATCH($D74, Option5!$G$106:$G$117,0)))*conv_2026*K$7</f>
        <v>0</v>
      </c>
      <c r="L74" s="31">
        <f>(INDEX(Option5!L$106:L$117, MATCH($D74, Option5!$G$106:$G$117,0)))*conv_2026*L$7</f>
        <v>0</v>
      </c>
      <c r="M74" s="31">
        <f>(INDEX(Option5!M$106:M$117, MATCH($D74, Option5!$G$106:$G$117,0)))*conv_2026*M$7</f>
        <v>0</v>
      </c>
      <c r="N74" s="31">
        <f>(INDEX(Option5!N$106:N$117, MATCH($D74, Option5!$G$106:$G$117,0)))*conv_2026*N$7</f>
        <v>0</v>
      </c>
      <c r="O74" s="31">
        <f>(INDEX(Option5!O$106:O$117, MATCH($D74, Option5!$G$106:$G$117,0)))*conv_2026*O$7</f>
        <v>0</v>
      </c>
      <c r="P74" s="31">
        <f>(INDEX(Option5!P$106:P$117, MATCH($D74, Option5!$G$106:$G$117,0)))*conv_2026*P$7</f>
        <v>0</v>
      </c>
      <c r="Q74" s="31">
        <f>(INDEX(Option5!Q$106:Q$117, MATCH($D74, Option5!$G$106:$G$117,0)))*conv_2026*Q$7</f>
        <v>0</v>
      </c>
      <c r="R74" s="31">
        <f>(INDEX(Option5!R$106:R$117, MATCH($D74, Option5!$G$106:$G$117,0)))*conv_2026*R$7</f>
        <v>0</v>
      </c>
      <c r="S74" s="31">
        <f>(INDEX(Option5!S$106:S$117, MATCH($D74, Option5!$G$106:$G$117,0)))*conv_2026*S$7</f>
        <v>0</v>
      </c>
      <c r="T74" s="31">
        <f>(INDEX(Option5!T$106:T$117, MATCH($D74, Option5!$G$106:$G$117,0)))*conv_2026*T$7</f>
        <v>0</v>
      </c>
      <c r="U74" s="31">
        <f>(INDEX(Option5!U$106:U$117, MATCH($D74, Option5!$G$106:$G$117,0)))*conv_2026*U$7</f>
        <v>0</v>
      </c>
      <c r="V74" s="31">
        <f>(INDEX(Option5!V$106:V$117, MATCH($D74, Option5!$G$106:$G$117,0)))*conv_2026*V$7</f>
        <v>0</v>
      </c>
      <c r="W74" s="31">
        <f>(INDEX(Option5!W$106:W$117, MATCH($D74, Option5!$G$106:$G$117,0)))*conv_2026*W$7</f>
        <v>0</v>
      </c>
      <c r="X74" s="31">
        <f>(INDEX(Option5!X$106:X$117, MATCH($D74, Option5!$G$106:$G$117,0)))*conv_2026*X$7</f>
        <v>0</v>
      </c>
      <c r="Y74" s="31">
        <f>(INDEX(Option5!Y$106:Y$117, MATCH($D74, Option5!$G$106:$G$117,0)))*conv_2026*Y$7</f>
        <v>0</v>
      </c>
      <c r="Z74" s="31">
        <f>(INDEX(Option5!Z$106:Z$117, MATCH($D74, Option5!$G$106:$G$117,0)))*conv_2026*Z$7</f>
        <v>0</v>
      </c>
      <c r="AA74" s="31">
        <f>(INDEX(Option5!AA$106:AA$117, MATCH($D74, Option5!$G$106:$G$117,0)))*conv_2026*AA$7</f>
        <v>0</v>
      </c>
      <c r="AB74" s="31">
        <f>(INDEX(Option5!AB$106:AB$117, MATCH($D74, Option5!$G$106:$G$117,0)))*conv_2026*AB$7</f>
        <v>0</v>
      </c>
      <c r="AC74" s="31">
        <f>(INDEX(Option5!AC$106:AC$117, MATCH($D74, Option5!$G$106:$G$117,0)))*conv_2026*AC$7</f>
        <v>0</v>
      </c>
      <c r="AD74" s="31">
        <f>(INDEX(Option5!AD$106:AD$117, MATCH($D74, Option5!$G$106:$G$117,0)))*conv_2026*AD$7</f>
        <v>0</v>
      </c>
      <c r="AE74" s="31">
        <f>(INDEX(Option5!AE$106:AE$117, MATCH($D74, Option5!$G$106:$G$117,0)))*conv_2026*AE$7</f>
        <v>0</v>
      </c>
      <c r="AF74" s="31">
        <f>(INDEX(Option5!AF$106:AF$117, MATCH($D74, Option5!$G$106:$G$117,0)))*conv_2026*AF$7</f>
        <v>0</v>
      </c>
      <c r="AG74" s="31">
        <f>(INDEX(Option5!AG$106:AG$117, MATCH($D74, Option5!$G$106:$G$117,0)))*conv_2026*AG$7</f>
        <v>0</v>
      </c>
    </row>
    <row r="75" spans="1:35" s="8" customFormat="1" x14ac:dyDescent="0.2">
      <c r="A75" s="254" t="s">
        <v>158</v>
      </c>
      <c r="B75" s="254" t="str">
        <f>Option5!A113</f>
        <v>sens4</v>
      </c>
      <c r="C75" s="254" t="str">
        <f>Option5!C113</f>
        <v/>
      </c>
      <c r="D75" s="254" t="str">
        <f t="shared" si="9"/>
        <v>Option 5sens4</v>
      </c>
      <c r="E75" s="255"/>
      <c r="F75" s="31">
        <f t="shared" si="8"/>
        <v>0</v>
      </c>
      <c r="H75" s="31">
        <f>(INDEX(Option5!H$106:H$117, MATCH($D75, Option5!$G$106:$G$117,0)))*conv_2026*H$7</f>
        <v>0</v>
      </c>
      <c r="I75" s="31">
        <f>(INDEX(Option5!I$106:I$117, MATCH($D75, Option5!$G$106:$G$117,0)))*conv_2026*I$7</f>
        <v>0</v>
      </c>
      <c r="J75" s="31">
        <f>(INDEX(Option5!J$106:J$117, MATCH($D75, Option5!$G$106:$G$117,0)))*conv_2026*J$7</f>
        <v>0</v>
      </c>
      <c r="K75" s="31">
        <f>(INDEX(Option5!K$106:K$117, MATCH($D75, Option5!$G$106:$G$117,0)))*conv_2026*K$7</f>
        <v>0</v>
      </c>
      <c r="L75" s="31">
        <f>(INDEX(Option5!L$106:L$117, MATCH($D75, Option5!$G$106:$G$117,0)))*conv_2026*L$7</f>
        <v>0</v>
      </c>
      <c r="M75" s="31">
        <f>(INDEX(Option5!M$106:M$117, MATCH($D75, Option5!$G$106:$G$117,0)))*conv_2026*M$7</f>
        <v>0</v>
      </c>
      <c r="N75" s="31">
        <f>(INDEX(Option5!N$106:N$117, MATCH($D75, Option5!$G$106:$G$117,0)))*conv_2026*N$7</f>
        <v>0</v>
      </c>
      <c r="O75" s="31">
        <f>(INDEX(Option5!O$106:O$117, MATCH($D75, Option5!$G$106:$G$117,0)))*conv_2026*O$7</f>
        <v>0</v>
      </c>
      <c r="P75" s="31">
        <f>(INDEX(Option5!P$106:P$117, MATCH($D75, Option5!$G$106:$G$117,0)))*conv_2026*P$7</f>
        <v>0</v>
      </c>
      <c r="Q75" s="31">
        <f>(INDEX(Option5!Q$106:Q$117, MATCH($D75, Option5!$G$106:$G$117,0)))*conv_2026*Q$7</f>
        <v>0</v>
      </c>
      <c r="R75" s="31">
        <f>(INDEX(Option5!R$106:R$117, MATCH($D75, Option5!$G$106:$G$117,0)))*conv_2026*R$7</f>
        <v>0</v>
      </c>
      <c r="S75" s="31">
        <f>(INDEX(Option5!S$106:S$117, MATCH($D75, Option5!$G$106:$G$117,0)))*conv_2026*S$7</f>
        <v>0</v>
      </c>
      <c r="T75" s="31">
        <f>(INDEX(Option5!T$106:T$117, MATCH($D75, Option5!$G$106:$G$117,0)))*conv_2026*T$7</f>
        <v>0</v>
      </c>
      <c r="U75" s="31">
        <f>(INDEX(Option5!U$106:U$117, MATCH($D75, Option5!$G$106:$G$117,0)))*conv_2026*U$7</f>
        <v>0</v>
      </c>
      <c r="V75" s="31">
        <f>(INDEX(Option5!V$106:V$117, MATCH($D75, Option5!$G$106:$G$117,0)))*conv_2026*V$7</f>
        <v>0</v>
      </c>
      <c r="W75" s="31">
        <f>(INDEX(Option5!W$106:W$117, MATCH($D75, Option5!$G$106:$G$117,0)))*conv_2026*W$7</f>
        <v>0</v>
      </c>
      <c r="X75" s="31">
        <f>(INDEX(Option5!X$106:X$117, MATCH($D75, Option5!$G$106:$G$117,0)))*conv_2026*X$7</f>
        <v>0</v>
      </c>
      <c r="Y75" s="31">
        <f>(INDEX(Option5!Y$106:Y$117, MATCH($D75, Option5!$G$106:$G$117,0)))*conv_2026*Y$7</f>
        <v>0</v>
      </c>
      <c r="Z75" s="31">
        <f>(INDEX(Option5!Z$106:Z$117, MATCH($D75, Option5!$G$106:$G$117,0)))*conv_2026*Z$7</f>
        <v>0</v>
      </c>
      <c r="AA75" s="31">
        <f>(INDEX(Option5!AA$106:AA$117, MATCH($D75, Option5!$G$106:$G$117,0)))*conv_2026*AA$7</f>
        <v>0</v>
      </c>
      <c r="AB75" s="31">
        <f>(INDEX(Option5!AB$106:AB$117, MATCH($D75, Option5!$G$106:$G$117,0)))*conv_2026*AB$7</f>
        <v>0</v>
      </c>
      <c r="AC75" s="31">
        <f>(INDEX(Option5!AC$106:AC$117, MATCH($D75, Option5!$G$106:$G$117,0)))*conv_2026*AC$7</f>
        <v>0</v>
      </c>
      <c r="AD75" s="31">
        <f>(INDEX(Option5!AD$106:AD$117, MATCH($D75, Option5!$G$106:$G$117,0)))*conv_2026*AD$7</f>
        <v>0</v>
      </c>
      <c r="AE75" s="31">
        <f>(INDEX(Option5!AE$106:AE$117, MATCH($D75, Option5!$G$106:$G$117,0)))*conv_2026*AE$7</f>
        <v>0</v>
      </c>
      <c r="AF75" s="31">
        <f>(INDEX(Option5!AF$106:AF$117, MATCH($D75, Option5!$G$106:$G$117,0)))*conv_2026*AF$7</f>
        <v>0</v>
      </c>
      <c r="AG75" s="31">
        <f>(INDEX(Option5!AG$106:AG$117, MATCH($D75, Option5!$G$106:$G$117,0)))*conv_2026*AG$7</f>
        <v>0</v>
      </c>
    </row>
    <row r="76" spans="1:35" s="8" customFormat="1" x14ac:dyDescent="0.2">
      <c r="A76" s="254" t="s">
        <v>158</v>
      </c>
      <c r="B76" s="254" t="str">
        <f>Option5!A114</f>
        <v>sens5</v>
      </c>
      <c r="C76" s="254" t="str">
        <f>Option5!C114</f>
        <v/>
      </c>
      <c r="D76" s="254" t="str">
        <f t="shared" si="9"/>
        <v>Option 5sens5</v>
      </c>
      <c r="E76" s="255"/>
      <c r="F76" s="31">
        <f t="shared" si="8"/>
        <v>0</v>
      </c>
      <c r="H76" s="31">
        <f>(INDEX(Option5!H$106:H$117, MATCH($D76, Option5!$G$106:$G$117,0)))*conv_2026*H$7</f>
        <v>0</v>
      </c>
      <c r="I76" s="31">
        <f>(INDEX(Option5!I$106:I$117, MATCH($D76, Option5!$G$106:$G$117,0)))*conv_2026*I$7</f>
        <v>0</v>
      </c>
      <c r="J76" s="31">
        <f>(INDEX(Option5!J$106:J$117, MATCH($D76, Option5!$G$106:$G$117,0)))*conv_2026*J$7</f>
        <v>0</v>
      </c>
      <c r="K76" s="31">
        <f>(INDEX(Option5!K$106:K$117, MATCH($D76, Option5!$G$106:$G$117,0)))*conv_2026*K$7</f>
        <v>0</v>
      </c>
      <c r="L76" s="31">
        <f>(INDEX(Option5!L$106:L$117, MATCH($D76, Option5!$G$106:$G$117,0)))*conv_2026*L$7</f>
        <v>0</v>
      </c>
      <c r="M76" s="31">
        <f>(INDEX(Option5!M$106:M$117, MATCH($D76, Option5!$G$106:$G$117,0)))*conv_2026*M$7</f>
        <v>0</v>
      </c>
      <c r="N76" s="31">
        <f>(INDEX(Option5!N$106:N$117, MATCH($D76, Option5!$G$106:$G$117,0)))*conv_2026*N$7</f>
        <v>0</v>
      </c>
      <c r="O76" s="31">
        <f>(INDEX(Option5!O$106:O$117, MATCH($D76, Option5!$G$106:$G$117,0)))*conv_2026*O$7</f>
        <v>0</v>
      </c>
      <c r="P76" s="31">
        <f>(INDEX(Option5!P$106:P$117, MATCH($D76, Option5!$G$106:$G$117,0)))*conv_2026*P$7</f>
        <v>0</v>
      </c>
      <c r="Q76" s="31">
        <f>(INDEX(Option5!Q$106:Q$117, MATCH($D76, Option5!$G$106:$G$117,0)))*conv_2026*Q$7</f>
        <v>0</v>
      </c>
      <c r="R76" s="31">
        <f>(INDEX(Option5!R$106:R$117, MATCH($D76, Option5!$G$106:$G$117,0)))*conv_2026*R$7</f>
        <v>0</v>
      </c>
      <c r="S76" s="31">
        <f>(INDEX(Option5!S$106:S$117, MATCH($D76, Option5!$G$106:$G$117,0)))*conv_2026*S$7</f>
        <v>0</v>
      </c>
      <c r="T76" s="31">
        <f>(INDEX(Option5!T$106:T$117, MATCH($D76, Option5!$G$106:$G$117,0)))*conv_2026*T$7</f>
        <v>0</v>
      </c>
      <c r="U76" s="31">
        <f>(INDEX(Option5!U$106:U$117, MATCH($D76, Option5!$G$106:$G$117,0)))*conv_2026*U$7</f>
        <v>0</v>
      </c>
      <c r="V76" s="31">
        <f>(INDEX(Option5!V$106:V$117, MATCH($D76, Option5!$G$106:$G$117,0)))*conv_2026*V$7</f>
        <v>0</v>
      </c>
      <c r="W76" s="31">
        <f>(INDEX(Option5!W$106:W$117, MATCH($D76, Option5!$G$106:$G$117,0)))*conv_2026*W$7</f>
        <v>0</v>
      </c>
      <c r="X76" s="31">
        <f>(INDEX(Option5!X$106:X$117, MATCH($D76, Option5!$G$106:$G$117,0)))*conv_2026*X$7</f>
        <v>0</v>
      </c>
      <c r="Y76" s="31">
        <f>(INDEX(Option5!Y$106:Y$117, MATCH($D76, Option5!$G$106:$G$117,0)))*conv_2026*Y$7</f>
        <v>0</v>
      </c>
      <c r="Z76" s="31">
        <f>(INDEX(Option5!Z$106:Z$117, MATCH($D76, Option5!$G$106:$G$117,0)))*conv_2026*Z$7</f>
        <v>0</v>
      </c>
      <c r="AA76" s="31">
        <f>(INDEX(Option5!AA$106:AA$117, MATCH($D76, Option5!$G$106:$G$117,0)))*conv_2026*AA$7</f>
        <v>0</v>
      </c>
      <c r="AB76" s="31">
        <f>(INDEX(Option5!AB$106:AB$117, MATCH($D76, Option5!$G$106:$G$117,0)))*conv_2026*AB$7</f>
        <v>0</v>
      </c>
      <c r="AC76" s="31">
        <f>(INDEX(Option5!AC$106:AC$117, MATCH($D76, Option5!$G$106:$G$117,0)))*conv_2026*AC$7</f>
        <v>0</v>
      </c>
      <c r="AD76" s="31">
        <f>(INDEX(Option5!AD$106:AD$117, MATCH($D76, Option5!$G$106:$G$117,0)))*conv_2026*AD$7</f>
        <v>0</v>
      </c>
      <c r="AE76" s="31">
        <f>(INDEX(Option5!AE$106:AE$117, MATCH($D76, Option5!$G$106:$G$117,0)))*conv_2026*AE$7</f>
        <v>0</v>
      </c>
      <c r="AF76" s="31">
        <f>(INDEX(Option5!AF$106:AF$117, MATCH($D76, Option5!$G$106:$G$117,0)))*conv_2026*AF$7</f>
        <v>0</v>
      </c>
      <c r="AG76" s="31">
        <f>(INDEX(Option5!AG$106:AG$117, MATCH($D76, Option5!$G$106:$G$117,0)))*conv_2026*AG$7</f>
        <v>0</v>
      </c>
    </row>
    <row r="77" spans="1:35" s="8" customFormat="1" x14ac:dyDescent="0.2">
      <c r="A77" s="254" t="s">
        <v>158</v>
      </c>
      <c r="B77" s="254" t="str">
        <f>Option5!A115</f>
        <v>sens</v>
      </c>
      <c r="C77" s="254">
        <f>Option5!C115</f>
        <v>0</v>
      </c>
      <c r="D77" s="254" t="str">
        <f t="shared" si="9"/>
        <v>Option 5sens</v>
      </c>
      <c r="E77" s="255"/>
      <c r="F77" s="31">
        <f t="shared" si="8"/>
        <v>0</v>
      </c>
      <c r="H77" s="31">
        <f>(INDEX(Option5!H$106:H$117, MATCH($D77, Option5!$G$106:$G$117,0)))*conv_2026*H$7</f>
        <v>0</v>
      </c>
      <c r="I77" s="31">
        <f>(INDEX(Option5!I$106:I$117, MATCH($D77, Option5!$G$106:$G$117,0)))*conv_2026*I$7</f>
        <v>0</v>
      </c>
      <c r="J77" s="31">
        <f>(INDEX(Option5!J$106:J$117, MATCH($D77, Option5!$G$106:$G$117,0)))*conv_2026*J$7</f>
        <v>0</v>
      </c>
      <c r="K77" s="31">
        <f>(INDEX(Option5!K$106:K$117, MATCH($D77, Option5!$G$106:$G$117,0)))*conv_2026*K$7</f>
        <v>0</v>
      </c>
      <c r="L77" s="31">
        <f>(INDEX(Option5!L$106:L$117, MATCH($D77, Option5!$G$106:$G$117,0)))*conv_2026*L$7</f>
        <v>0</v>
      </c>
      <c r="M77" s="31">
        <f>(INDEX(Option5!M$106:M$117, MATCH($D77, Option5!$G$106:$G$117,0)))*conv_2026*M$7</f>
        <v>0</v>
      </c>
      <c r="N77" s="31">
        <f>(INDEX(Option5!N$106:N$117, MATCH($D77, Option5!$G$106:$G$117,0)))*conv_2026*N$7</f>
        <v>0</v>
      </c>
      <c r="O77" s="31">
        <f>(INDEX(Option5!O$106:O$117, MATCH($D77, Option5!$G$106:$G$117,0)))*conv_2026*O$7</f>
        <v>0</v>
      </c>
      <c r="P77" s="31">
        <f>(INDEX(Option5!P$106:P$117, MATCH($D77, Option5!$G$106:$G$117,0)))*conv_2026*P$7</f>
        <v>0</v>
      </c>
      <c r="Q77" s="31">
        <f>(INDEX(Option5!Q$106:Q$117, MATCH($D77, Option5!$G$106:$G$117,0)))*conv_2026*Q$7</f>
        <v>0</v>
      </c>
      <c r="R77" s="31">
        <f>(INDEX(Option5!R$106:R$117, MATCH($D77, Option5!$G$106:$G$117,0)))*conv_2026*R$7</f>
        <v>0</v>
      </c>
      <c r="S77" s="31">
        <f>(INDEX(Option5!S$106:S$117, MATCH($D77, Option5!$G$106:$G$117,0)))*conv_2026*S$7</f>
        <v>0</v>
      </c>
      <c r="T77" s="31">
        <f>(INDEX(Option5!T$106:T$117, MATCH($D77, Option5!$G$106:$G$117,0)))*conv_2026*T$7</f>
        <v>0</v>
      </c>
      <c r="U77" s="31">
        <f>(INDEX(Option5!U$106:U$117, MATCH($D77, Option5!$G$106:$G$117,0)))*conv_2026*U$7</f>
        <v>0</v>
      </c>
      <c r="V77" s="31">
        <f>(INDEX(Option5!V$106:V$117, MATCH($D77, Option5!$G$106:$G$117,0)))*conv_2026*V$7</f>
        <v>0</v>
      </c>
      <c r="W77" s="31">
        <f>(INDEX(Option5!W$106:W$117, MATCH($D77, Option5!$G$106:$G$117,0)))*conv_2026*W$7</f>
        <v>0</v>
      </c>
      <c r="X77" s="31">
        <f>(INDEX(Option5!X$106:X$117, MATCH($D77, Option5!$G$106:$G$117,0)))*conv_2026*X$7</f>
        <v>0</v>
      </c>
      <c r="Y77" s="31">
        <f>(INDEX(Option5!Y$106:Y$117, MATCH($D77, Option5!$G$106:$G$117,0)))*conv_2026*Y$7</f>
        <v>0</v>
      </c>
      <c r="Z77" s="31">
        <f>(INDEX(Option5!Z$106:Z$117, MATCH($D77, Option5!$G$106:$G$117,0)))*conv_2026*Z$7</f>
        <v>0</v>
      </c>
      <c r="AA77" s="31">
        <f>(INDEX(Option5!AA$106:AA$117, MATCH($D77, Option5!$G$106:$G$117,0)))*conv_2026*AA$7</f>
        <v>0</v>
      </c>
      <c r="AB77" s="31">
        <f>(INDEX(Option5!AB$106:AB$117, MATCH($D77, Option5!$G$106:$G$117,0)))*conv_2026*AB$7</f>
        <v>0</v>
      </c>
      <c r="AC77" s="31">
        <f>(INDEX(Option5!AC$106:AC$117, MATCH($D77, Option5!$G$106:$G$117,0)))*conv_2026*AC$7</f>
        <v>0</v>
      </c>
      <c r="AD77" s="31">
        <f>(INDEX(Option5!AD$106:AD$117, MATCH($D77, Option5!$G$106:$G$117,0)))*conv_2026*AD$7</f>
        <v>0</v>
      </c>
      <c r="AE77" s="31">
        <f>(INDEX(Option5!AE$106:AE$117, MATCH($D77, Option5!$G$106:$G$117,0)))*conv_2026*AE$7</f>
        <v>0</v>
      </c>
      <c r="AF77" s="31">
        <f>(INDEX(Option5!AF$106:AF$117, MATCH($D77, Option5!$G$106:$G$117,0)))*conv_2026*AF$7</f>
        <v>0</v>
      </c>
      <c r="AG77" s="31">
        <f>(INDEX(Option5!AG$106:AG$117, MATCH($D77, Option5!$G$106:$G$117,0)))*conv_2026*AG$7</f>
        <v>0</v>
      </c>
    </row>
    <row r="78" spans="1:35" s="8" customFormat="1" x14ac:dyDescent="0.2">
      <c r="A78" s="254" t="s">
        <v>158</v>
      </c>
      <c r="B78" s="254" t="str">
        <f>Option5!A116</f>
        <v>sens</v>
      </c>
      <c r="C78" s="254">
        <f>Option5!C116</f>
        <v>0</v>
      </c>
      <c r="D78" s="254" t="str">
        <f t="shared" si="9"/>
        <v>Option 5sens</v>
      </c>
      <c r="E78" s="255"/>
      <c r="F78" s="31">
        <f t="shared" si="8"/>
        <v>0</v>
      </c>
      <c r="H78" s="31">
        <f>(INDEX(Option5!H$106:H$117, MATCH($D78, Option5!$G$106:$G$117,0)))*conv_2026*H$7</f>
        <v>0</v>
      </c>
      <c r="I78" s="31">
        <f>(INDEX(Option5!I$106:I$117, MATCH($D78, Option5!$G$106:$G$117,0)))*conv_2026*I$7</f>
        <v>0</v>
      </c>
      <c r="J78" s="31">
        <f>(INDEX(Option5!J$106:J$117, MATCH($D78, Option5!$G$106:$G$117,0)))*conv_2026*J$7</f>
        <v>0</v>
      </c>
      <c r="K78" s="31">
        <f>(INDEX(Option5!K$106:K$117, MATCH($D78, Option5!$G$106:$G$117,0)))*conv_2026*K$7</f>
        <v>0</v>
      </c>
      <c r="L78" s="31">
        <f>(INDEX(Option5!L$106:L$117, MATCH($D78, Option5!$G$106:$G$117,0)))*conv_2026*L$7</f>
        <v>0</v>
      </c>
      <c r="M78" s="31">
        <f>(INDEX(Option5!M$106:M$117, MATCH($D78, Option5!$G$106:$G$117,0)))*conv_2026*M$7</f>
        <v>0</v>
      </c>
      <c r="N78" s="31">
        <f>(INDEX(Option5!N$106:N$117, MATCH($D78, Option5!$G$106:$G$117,0)))*conv_2026*N$7</f>
        <v>0</v>
      </c>
      <c r="O78" s="31">
        <f>(INDEX(Option5!O$106:O$117, MATCH($D78, Option5!$G$106:$G$117,0)))*conv_2026*O$7</f>
        <v>0</v>
      </c>
      <c r="P78" s="31">
        <f>(INDEX(Option5!P$106:P$117, MATCH($D78, Option5!$G$106:$G$117,0)))*conv_2026*P$7</f>
        <v>0</v>
      </c>
      <c r="Q78" s="31">
        <f>(INDEX(Option5!Q$106:Q$117, MATCH($D78, Option5!$G$106:$G$117,0)))*conv_2026*Q$7</f>
        <v>0</v>
      </c>
      <c r="R78" s="31">
        <f>(INDEX(Option5!R$106:R$117, MATCH($D78, Option5!$G$106:$G$117,0)))*conv_2026*R$7</f>
        <v>0</v>
      </c>
      <c r="S78" s="31">
        <f>(INDEX(Option5!S$106:S$117, MATCH($D78, Option5!$G$106:$G$117,0)))*conv_2026*S$7</f>
        <v>0</v>
      </c>
      <c r="T78" s="31">
        <f>(INDEX(Option5!T$106:T$117, MATCH($D78, Option5!$G$106:$G$117,0)))*conv_2026*T$7</f>
        <v>0</v>
      </c>
      <c r="U78" s="31">
        <f>(INDEX(Option5!U$106:U$117, MATCH($D78, Option5!$G$106:$G$117,0)))*conv_2026*U$7</f>
        <v>0</v>
      </c>
      <c r="V78" s="31">
        <f>(INDEX(Option5!V$106:V$117, MATCH($D78, Option5!$G$106:$G$117,0)))*conv_2026*V$7</f>
        <v>0</v>
      </c>
      <c r="W78" s="31">
        <f>(INDEX(Option5!W$106:W$117, MATCH($D78, Option5!$G$106:$G$117,0)))*conv_2026*W$7</f>
        <v>0</v>
      </c>
      <c r="X78" s="31">
        <f>(INDEX(Option5!X$106:X$117, MATCH($D78, Option5!$G$106:$G$117,0)))*conv_2026*X$7</f>
        <v>0</v>
      </c>
      <c r="Y78" s="31">
        <f>(INDEX(Option5!Y$106:Y$117, MATCH($D78, Option5!$G$106:$G$117,0)))*conv_2026*Y$7</f>
        <v>0</v>
      </c>
      <c r="Z78" s="31">
        <f>(INDEX(Option5!Z$106:Z$117, MATCH($D78, Option5!$G$106:$G$117,0)))*conv_2026*Z$7</f>
        <v>0</v>
      </c>
      <c r="AA78" s="31">
        <f>(INDEX(Option5!AA$106:AA$117, MATCH($D78, Option5!$G$106:$G$117,0)))*conv_2026*AA$7</f>
        <v>0</v>
      </c>
      <c r="AB78" s="31">
        <f>(INDEX(Option5!AB$106:AB$117, MATCH($D78, Option5!$G$106:$G$117,0)))*conv_2026*AB$7</f>
        <v>0</v>
      </c>
      <c r="AC78" s="31">
        <f>(INDEX(Option5!AC$106:AC$117, MATCH($D78, Option5!$G$106:$G$117,0)))*conv_2026*AC$7</f>
        <v>0</v>
      </c>
      <c r="AD78" s="31">
        <f>(INDEX(Option5!AD$106:AD$117, MATCH($D78, Option5!$G$106:$G$117,0)))*conv_2026*AD$7</f>
        <v>0</v>
      </c>
      <c r="AE78" s="31">
        <f>(INDEX(Option5!AE$106:AE$117, MATCH($D78, Option5!$G$106:$G$117,0)))*conv_2026*AE$7</f>
        <v>0</v>
      </c>
      <c r="AF78" s="31">
        <f>(INDEX(Option5!AF$106:AF$117, MATCH($D78, Option5!$G$106:$G$117,0)))*conv_2026*AF$7</f>
        <v>0</v>
      </c>
      <c r="AG78" s="31">
        <f>(INDEX(Option5!AG$106:AG$117, MATCH($D78, Option5!$G$106:$G$117,0)))*conv_2026*AG$7</f>
        <v>0</v>
      </c>
    </row>
    <row r="79" spans="1:35" s="8" customFormat="1" x14ac:dyDescent="0.2">
      <c r="A79" s="254" t="s">
        <v>158</v>
      </c>
      <c r="B79" s="254" t="str">
        <f>Option5!A117</f>
        <v>sens</v>
      </c>
      <c r="C79" s="254">
        <f>Option5!C117</f>
        <v>0</v>
      </c>
      <c r="D79" s="254" t="str">
        <f t="shared" si="9"/>
        <v>Option 5sens</v>
      </c>
      <c r="E79" s="255"/>
      <c r="F79" s="31">
        <f t="shared" si="8"/>
        <v>0</v>
      </c>
      <c r="H79" s="31">
        <f>(INDEX(Option5!H$106:H$117, MATCH($D79, Option5!$G$106:$G$117,0)))*conv_2026*H$7</f>
        <v>0</v>
      </c>
      <c r="I79" s="31">
        <f>(INDEX(Option5!I$106:I$117, MATCH($D79, Option5!$G$106:$G$117,0)))*conv_2026*I$7</f>
        <v>0</v>
      </c>
      <c r="J79" s="31">
        <f>(INDEX(Option5!J$106:J$117, MATCH($D79, Option5!$G$106:$G$117,0)))*conv_2026*J$7</f>
        <v>0</v>
      </c>
      <c r="K79" s="31">
        <f>(INDEX(Option5!K$106:K$117, MATCH($D79, Option5!$G$106:$G$117,0)))*conv_2026*K$7</f>
        <v>0</v>
      </c>
      <c r="L79" s="31">
        <f>(INDEX(Option5!L$106:L$117, MATCH($D79, Option5!$G$106:$G$117,0)))*conv_2026*L$7</f>
        <v>0</v>
      </c>
      <c r="M79" s="31">
        <f>(INDEX(Option5!M$106:M$117, MATCH($D79, Option5!$G$106:$G$117,0)))*conv_2026*M$7</f>
        <v>0</v>
      </c>
      <c r="N79" s="31">
        <f>(INDEX(Option5!N$106:N$117, MATCH($D79, Option5!$G$106:$G$117,0)))*conv_2026*N$7</f>
        <v>0</v>
      </c>
      <c r="O79" s="31">
        <f>(INDEX(Option5!O$106:O$117, MATCH($D79, Option5!$G$106:$G$117,0)))*conv_2026*O$7</f>
        <v>0</v>
      </c>
      <c r="P79" s="31">
        <f>(INDEX(Option5!P$106:P$117, MATCH($D79, Option5!$G$106:$G$117,0)))*conv_2026*P$7</f>
        <v>0</v>
      </c>
      <c r="Q79" s="31">
        <f>(INDEX(Option5!Q$106:Q$117, MATCH($D79, Option5!$G$106:$G$117,0)))*conv_2026*Q$7</f>
        <v>0</v>
      </c>
      <c r="R79" s="31">
        <f>(INDEX(Option5!R$106:R$117, MATCH($D79, Option5!$G$106:$G$117,0)))*conv_2026*R$7</f>
        <v>0</v>
      </c>
      <c r="S79" s="31">
        <f>(INDEX(Option5!S$106:S$117, MATCH($D79, Option5!$G$106:$G$117,0)))*conv_2026*S$7</f>
        <v>0</v>
      </c>
      <c r="T79" s="31">
        <f>(INDEX(Option5!T$106:T$117, MATCH($D79, Option5!$G$106:$G$117,0)))*conv_2026*T$7</f>
        <v>0</v>
      </c>
      <c r="U79" s="31">
        <f>(INDEX(Option5!U$106:U$117, MATCH($D79, Option5!$G$106:$G$117,0)))*conv_2026*U$7</f>
        <v>0</v>
      </c>
      <c r="V79" s="31">
        <f>(INDEX(Option5!V$106:V$117, MATCH($D79, Option5!$G$106:$G$117,0)))*conv_2026*V$7</f>
        <v>0</v>
      </c>
      <c r="W79" s="31">
        <f>(INDEX(Option5!W$106:W$117, MATCH($D79, Option5!$G$106:$G$117,0)))*conv_2026*W$7</f>
        <v>0</v>
      </c>
      <c r="X79" s="31">
        <f>(INDEX(Option5!X$106:X$117, MATCH($D79, Option5!$G$106:$G$117,0)))*conv_2026*X$7</f>
        <v>0</v>
      </c>
      <c r="Y79" s="31">
        <f>(INDEX(Option5!Y$106:Y$117, MATCH($D79, Option5!$G$106:$G$117,0)))*conv_2026*Y$7</f>
        <v>0</v>
      </c>
      <c r="Z79" s="31">
        <f>(INDEX(Option5!Z$106:Z$117, MATCH($D79, Option5!$G$106:$G$117,0)))*conv_2026*Z$7</f>
        <v>0</v>
      </c>
      <c r="AA79" s="31">
        <f>(INDEX(Option5!AA$106:AA$117, MATCH($D79, Option5!$G$106:$G$117,0)))*conv_2026*AA$7</f>
        <v>0</v>
      </c>
      <c r="AB79" s="31">
        <f>(INDEX(Option5!AB$106:AB$117, MATCH($D79, Option5!$G$106:$G$117,0)))*conv_2026*AB$7</f>
        <v>0</v>
      </c>
      <c r="AC79" s="31">
        <f>(INDEX(Option5!AC$106:AC$117, MATCH($D79, Option5!$G$106:$G$117,0)))*conv_2026*AC$7</f>
        <v>0</v>
      </c>
      <c r="AD79" s="31">
        <f>(INDEX(Option5!AD$106:AD$117, MATCH($D79, Option5!$G$106:$G$117,0)))*conv_2026*AD$7</f>
        <v>0</v>
      </c>
      <c r="AE79" s="31">
        <f>(INDEX(Option5!AE$106:AE$117, MATCH($D79, Option5!$G$106:$G$117,0)))*conv_2026*AE$7</f>
        <v>0</v>
      </c>
      <c r="AF79" s="31">
        <f>(INDEX(Option5!AF$106:AF$117, MATCH($D79, Option5!$G$106:$G$117,0)))*conv_2026*AF$7</f>
        <v>0</v>
      </c>
      <c r="AG79" s="31">
        <f>(INDEX(Option5!AG$106:AG$117, MATCH($D79, Option5!$G$106:$G$117,0)))*conv_2026*AG$7</f>
        <v>0</v>
      </c>
    </row>
    <row r="80" spans="1:35" s="8" customFormat="1" x14ac:dyDescent="0.2">
      <c r="F80" s="250"/>
    </row>
    <row r="81" spans="1:34" s="8" customFormat="1" x14ac:dyDescent="0.2">
      <c r="F81" s="250"/>
    </row>
    <row r="82" spans="1:34" s="8" customFormat="1" x14ac:dyDescent="0.2">
      <c r="F82" s="250"/>
    </row>
    <row r="83" spans="1:34" s="8" customFormat="1" x14ac:dyDescent="0.2">
      <c r="F83" s="250"/>
    </row>
    <row r="84" spans="1:34" s="8" customFormat="1" ht="15" x14ac:dyDescent="0.25">
      <c r="A84" s="203" t="s">
        <v>163</v>
      </c>
      <c r="B84" s="54"/>
      <c r="C84" s="19"/>
      <c r="D84" s="19"/>
      <c r="E84" s="83"/>
      <c r="F84" s="19"/>
      <c r="G84" s="224"/>
      <c r="H84" s="200"/>
      <c r="I84" s="200"/>
      <c r="J84" s="200"/>
      <c r="K84" s="200"/>
      <c r="L84" s="200"/>
      <c r="M84" s="200"/>
      <c r="N84" s="200"/>
      <c r="O84" s="200"/>
      <c r="P84" s="200"/>
      <c r="Q84" s="200"/>
      <c r="R84" s="200"/>
      <c r="S84" s="200"/>
      <c r="T84" s="200"/>
      <c r="U84" s="200"/>
      <c r="V84" s="200"/>
      <c r="W84" s="200"/>
      <c r="X84" s="200"/>
      <c r="Y84" s="200"/>
      <c r="Z84" s="200"/>
      <c r="AA84" s="200"/>
      <c r="AB84" s="200"/>
      <c r="AC84" s="200"/>
      <c r="AD84" s="200"/>
      <c r="AE84" s="200"/>
      <c r="AF84" s="200"/>
      <c r="AG84" s="10"/>
      <c r="AH84" s="10"/>
    </row>
    <row r="85" spans="1:34" s="8" customFormat="1" x14ac:dyDescent="0.2">
      <c r="F85" s="250"/>
    </row>
    <row r="86" spans="1:34" s="8" customFormat="1" x14ac:dyDescent="0.2">
      <c r="F86" s="250"/>
    </row>
    <row r="87" spans="1:34" s="8" customFormat="1" x14ac:dyDescent="0.2">
      <c r="E87" s="250"/>
    </row>
    <row r="88" spans="1:34" s="8" customFormat="1" x14ac:dyDescent="0.2">
      <c r="C88" s="276" t="b" cm="1">
        <f t="array" ref="C88:G88">TRANSPOSE(Data!F9:F13)</f>
        <v>0</v>
      </c>
      <c r="D88" s="276" t="b">
        <v>0</v>
      </c>
      <c r="E88" s="277" t="b">
        <v>0</v>
      </c>
      <c r="F88" s="276" t="b">
        <v>1</v>
      </c>
      <c r="G88" s="276" t="b">
        <v>1</v>
      </c>
      <c r="K88" s="8" t="b">
        <f>AND(_xlfn.ANCHORARRAY(C88))</f>
        <v>0</v>
      </c>
    </row>
    <row r="89" spans="1:34" s="8" customFormat="1" x14ac:dyDescent="0.2">
      <c r="A89" s="59"/>
      <c r="B89" s="59"/>
      <c r="C89" s="278" t="str" cm="1">
        <f t="array" ref="C89:G89">TRANSPOSE(options)</f>
        <v>Option 1 (base case)</v>
      </c>
      <c r="D89" s="278" t="str">
        <v>Option 2</v>
      </c>
      <c r="E89" s="278" t="str">
        <v>Option 3</v>
      </c>
      <c r="F89" s="278" t="str">
        <v>Option 4</v>
      </c>
      <c r="G89" s="278" t="str">
        <v>Option 5</v>
      </c>
      <c r="I89" s="278" t="s">
        <v>230</v>
      </c>
      <c r="K89" s="284" t="s">
        <v>231</v>
      </c>
    </row>
    <row r="90" spans="1:34" s="8" customFormat="1" x14ac:dyDescent="0.2">
      <c r="A90" s="262" t="s">
        <v>119</v>
      </c>
      <c r="B90" s="262" t="s">
        <v>221</v>
      </c>
      <c r="C90" s="105">
        <f t="shared" ref="C90:G98" si="10">IF(OR($B90=0,C$88),"", INDEX($F$14:$F$81, MATCH(C$89&amp;$A90,$D$14:$D$81,0))/10^6)</f>
        <v>0</v>
      </c>
      <c r="D90" s="105">
        <f t="shared" si="10"/>
        <v>1.7246448568447574</v>
      </c>
      <c r="E90" s="105">
        <f t="shared" si="10"/>
        <v>-2.7461039167978503</v>
      </c>
      <c r="F90" s="105" t="str">
        <f t="shared" si="10"/>
        <v/>
      </c>
      <c r="G90" s="105" t="str">
        <f t="shared" si="10"/>
        <v/>
      </c>
      <c r="H90" s="187"/>
      <c r="I90" s="105">
        <f t="shared" ref="I90:I98" si="11">_xlfn.MAXIFS(C90:G90,_xlfn.ANCHORARRAY( C$88),FALSE)</f>
        <v>1.7246448568447574</v>
      </c>
      <c r="K90" s="8" t="str">
        <f t="shared" ref="K90:K98" si="12">IF(OR(B90=0,$K$88),"", INDEX(_xlfn.ANCHORARRAY($C$89), MATCH(I90, $C90:$G90,0)))</f>
        <v>Option 2</v>
      </c>
    </row>
    <row r="91" spans="1:34" s="8" customFormat="1" x14ac:dyDescent="0.2">
      <c r="A91" s="262" t="str">
        <f>"sens"&amp;Assumptions!B115</f>
        <v>sens1</v>
      </c>
      <c r="B91" s="262" t="str">
        <f>Assumptions!C115</f>
        <v>Capex 10% higher</v>
      </c>
      <c r="C91" s="105">
        <f t="shared" si="10"/>
        <v>0</v>
      </c>
      <c r="D91" s="105">
        <f t="shared" si="10"/>
        <v>1.4587256521776295</v>
      </c>
      <c r="E91" s="105">
        <f t="shared" si="10"/>
        <v>-3.3387075137145255</v>
      </c>
      <c r="F91" s="105" t="str">
        <f t="shared" si="10"/>
        <v/>
      </c>
      <c r="G91" s="105" t="str">
        <f t="shared" si="10"/>
        <v/>
      </c>
      <c r="H91" s="187"/>
      <c r="I91" s="105">
        <f t="shared" si="11"/>
        <v>1.4587256521776295</v>
      </c>
      <c r="K91" s="8" t="str">
        <f t="shared" si="12"/>
        <v>Option 2</v>
      </c>
    </row>
    <row r="92" spans="1:34" s="8" customFormat="1" x14ac:dyDescent="0.2">
      <c r="A92" s="262" t="str">
        <f>"sens"&amp;Assumptions!B116</f>
        <v>sens2</v>
      </c>
      <c r="B92" s="262" t="str">
        <f>Assumptions!C116</f>
        <v>Capex 10% lower</v>
      </c>
      <c r="C92" s="105">
        <f t="shared" si="10"/>
        <v>0</v>
      </c>
      <c r="D92" s="105">
        <f t="shared" si="10"/>
        <v>1.9905640615118854</v>
      </c>
      <c r="E92" s="105">
        <f t="shared" si="10"/>
        <v>-2.1535003198811742</v>
      </c>
      <c r="F92" s="105" t="str">
        <f t="shared" si="10"/>
        <v/>
      </c>
      <c r="G92" s="105" t="str">
        <f t="shared" si="10"/>
        <v/>
      </c>
      <c r="H92" s="187"/>
      <c r="I92" s="105">
        <f t="shared" si="11"/>
        <v>1.9905640615118854</v>
      </c>
      <c r="K92" s="8" t="str">
        <f t="shared" si="12"/>
        <v>Option 2</v>
      </c>
    </row>
    <row r="93" spans="1:34" s="8" customFormat="1" x14ac:dyDescent="0.2">
      <c r="A93" s="262" t="str">
        <f>"sens"&amp;Assumptions!B117</f>
        <v>sens3</v>
      </c>
      <c r="B93" s="262" t="str">
        <f>Assumptions!C117</f>
        <v>Increasing wind escalation</v>
      </c>
      <c r="C93" s="105">
        <f t="shared" si="10"/>
        <v>0</v>
      </c>
      <c r="D93" s="105">
        <f t="shared" si="10"/>
        <v>1.7623918729216062</v>
      </c>
      <c r="E93" s="105">
        <f t="shared" si="10"/>
        <v>-2.7083569007210015</v>
      </c>
      <c r="F93" s="105" t="str">
        <f t="shared" si="10"/>
        <v/>
      </c>
      <c r="G93" s="105" t="str">
        <f t="shared" si="10"/>
        <v/>
      </c>
      <c r="H93" s="187"/>
      <c r="I93" s="105">
        <f t="shared" si="11"/>
        <v>1.7623918729216062</v>
      </c>
      <c r="K93" s="8" t="str">
        <f t="shared" si="12"/>
        <v>Option 2</v>
      </c>
    </row>
    <row r="94" spans="1:34" s="8" customFormat="1" x14ac:dyDescent="0.2">
      <c r="A94" s="262" t="str">
        <f>"sens"&amp;Assumptions!B118</f>
        <v>sens4</v>
      </c>
      <c r="B94" s="262" t="str">
        <f>Assumptions!C118</f>
        <v/>
      </c>
      <c r="C94" s="105">
        <f t="shared" si="10"/>
        <v>0</v>
      </c>
      <c r="D94" s="105">
        <f t="shared" si="10"/>
        <v>1.7246448568447574</v>
      </c>
      <c r="E94" s="105">
        <f t="shared" si="10"/>
        <v>-2.7461039167978503</v>
      </c>
      <c r="F94" s="105" t="str">
        <f t="shared" si="10"/>
        <v/>
      </c>
      <c r="G94" s="105" t="str">
        <f t="shared" si="10"/>
        <v/>
      </c>
      <c r="H94" s="187"/>
      <c r="I94" s="105">
        <f t="shared" si="11"/>
        <v>1.7246448568447574</v>
      </c>
      <c r="K94" s="8" t="str">
        <f t="shared" si="12"/>
        <v>Option 2</v>
      </c>
    </row>
    <row r="95" spans="1:34" s="8" customFormat="1" x14ac:dyDescent="0.2">
      <c r="A95" s="262" t="str">
        <f>"sens"&amp;Assumptions!B119</f>
        <v>sens5</v>
      </c>
      <c r="B95" s="262" t="str">
        <f>Assumptions!C119</f>
        <v/>
      </c>
      <c r="C95" s="105">
        <f t="shared" si="10"/>
        <v>0</v>
      </c>
      <c r="D95" s="105">
        <f t="shared" si="10"/>
        <v>1.7246448568447574</v>
      </c>
      <c r="E95" s="105">
        <f t="shared" si="10"/>
        <v>-2.7461039167978503</v>
      </c>
      <c r="F95" s="105" t="str">
        <f t="shared" si="10"/>
        <v/>
      </c>
      <c r="G95" s="105" t="str">
        <f t="shared" si="10"/>
        <v/>
      </c>
      <c r="H95" s="187"/>
      <c r="I95" s="105">
        <f t="shared" si="11"/>
        <v>1.7246448568447574</v>
      </c>
      <c r="K95" s="8" t="str">
        <f t="shared" si="12"/>
        <v>Option 2</v>
      </c>
    </row>
    <row r="96" spans="1:34" s="8" customFormat="1" x14ac:dyDescent="0.2">
      <c r="A96" s="262" t="str">
        <f>"sens"&amp;Assumptions!B120</f>
        <v>sens</v>
      </c>
      <c r="B96" s="262">
        <f>Assumptions!C120</f>
        <v>0</v>
      </c>
      <c r="C96" s="105" t="str">
        <f t="shared" si="10"/>
        <v/>
      </c>
      <c r="D96" s="105" t="str">
        <f t="shared" si="10"/>
        <v/>
      </c>
      <c r="E96" s="105" t="str">
        <f t="shared" si="10"/>
        <v/>
      </c>
      <c r="F96" s="105" t="str">
        <f t="shared" si="10"/>
        <v/>
      </c>
      <c r="G96" s="105" t="str">
        <f t="shared" si="10"/>
        <v/>
      </c>
      <c r="H96" s="187"/>
      <c r="I96" s="105">
        <f t="shared" si="11"/>
        <v>0</v>
      </c>
      <c r="K96" s="8" t="str">
        <f t="shared" si="12"/>
        <v/>
      </c>
    </row>
    <row r="97" spans="1:11" x14ac:dyDescent="0.2">
      <c r="A97" s="262" t="str">
        <f>"sens"&amp;Assumptions!B121</f>
        <v>sens</v>
      </c>
      <c r="B97" s="262">
        <f>Assumptions!C121</f>
        <v>0</v>
      </c>
      <c r="C97" s="105" t="str">
        <f t="shared" si="10"/>
        <v/>
      </c>
      <c r="D97" s="105" t="str">
        <f t="shared" si="10"/>
        <v/>
      </c>
      <c r="E97" s="105" t="str">
        <f t="shared" si="10"/>
        <v/>
      </c>
      <c r="F97" s="105" t="str">
        <f t="shared" si="10"/>
        <v/>
      </c>
      <c r="G97" s="105" t="str">
        <f t="shared" si="10"/>
        <v/>
      </c>
      <c r="H97" s="283"/>
      <c r="I97" s="105">
        <f t="shared" si="11"/>
        <v>0</v>
      </c>
      <c r="K97" s="8" t="str">
        <f t="shared" si="12"/>
        <v/>
      </c>
    </row>
    <row r="98" spans="1:11" x14ac:dyDescent="0.2">
      <c r="A98" s="262" t="str">
        <f>"sens"&amp;Assumptions!B122</f>
        <v>sens</v>
      </c>
      <c r="B98" s="262">
        <f>Assumptions!C122</f>
        <v>0</v>
      </c>
      <c r="C98" s="105" t="str">
        <f t="shared" si="10"/>
        <v/>
      </c>
      <c r="D98" s="105" t="str">
        <f t="shared" si="10"/>
        <v/>
      </c>
      <c r="E98" s="105" t="str">
        <f t="shared" si="10"/>
        <v/>
      </c>
      <c r="F98" s="105" t="str">
        <f t="shared" si="10"/>
        <v/>
      </c>
      <c r="G98" s="105" t="str">
        <f t="shared" si="10"/>
        <v/>
      </c>
      <c r="H98" s="283"/>
      <c r="I98" s="105">
        <f t="shared" si="11"/>
        <v>0</v>
      </c>
      <c r="K98" s="8" t="str">
        <f t="shared" si="12"/>
        <v/>
      </c>
    </row>
    <row r="99" spans="1:11" x14ac:dyDescent="0.2">
      <c r="C99" s="31"/>
      <c r="E99"/>
      <c r="F99" s="10"/>
    </row>
    <row r="100" spans="1:11" x14ac:dyDescent="0.2">
      <c r="E100"/>
      <c r="F100" s="10"/>
    </row>
    <row r="101" spans="1:11" x14ac:dyDescent="0.2">
      <c r="E101"/>
      <c r="F101" s="10"/>
    </row>
    <row r="102" spans="1:11" x14ac:dyDescent="0.2">
      <c r="E102"/>
      <c r="F102" s="10"/>
    </row>
    <row r="103" spans="1:11" x14ac:dyDescent="0.2">
      <c r="E103"/>
      <c r="F103" s="10"/>
    </row>
    <row r="104" spans="1:11" x14ac:dyDescent="0.2">
      <c r="E104"/>
      <c r="F104" s="10"/>
    </row>
    <row r="105" spans="1:11" x14ac:dyDescent="0.2">
      <c r="E105"/>
      <c r="F105" s="10"/>
    </row>
    <row r="106" spans="1:11" x14ac:dyDescent="0.2"/>
    <row r="107" spans="1:11" x14ac:dyDescent="0.2"/>
    <row r="108" spans="1:11" x14ac:dyDescent="0.2"/>
    <row r="109" spans="1:11" x14ac:dyDescent="0.2"/>
    <row r="110" spans="1:11" x14ac:dyDescent="0.2"/>
    <row r="111" spans="1:11" x14ac:dyDescent="0.2"/>
    <row r="112" spans="1:11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x14ac:dyDescent="0.2"/>
    <row r="250" x14ac:dyDescent="0.2"/>
    <row r="251" x14ac:dyDescent="0.2"/>
    <row r="252" x14ac:dyDescent="0.2"/>
    <row r="253" x14ac:dyDescent="0.2"/>
    <row r="254" x14ac:dyDescent="0.2"/>
    <row r="255" x14ac:dyDescent="0.2"/>
    <row r="256" x14ac:dyDescent="0.2"/>
    <row r="257" x14ac:dyDescent="0.2"/>
    <row r="258" x14ac:dyDescent="0.2"/>
    <row r="259" x14ac:dyDescent="0.2"/>
    <row r="260" x14ac:dyDescent="0.2"/>
    <row r="261" x14ac:dyDescent="0.2"/>
    <row r="262" x14ac:dyDescent="0.2"/>
    <row r="263" x14ac:dyDescent="0.2"/>
    <row r="264" x14ac:dyDescent="0.2"/>
    <row r="265" x14ac:dyDescent="0.2"/>
    <row r="266" x14ac:dyDescent="0.2"/>
    <row r="267" x14ac:dyDescent="0.2"/>
    <row r="268" x14ac:dyDescent="0.2"/>
    <row r="269" x14ac:dyDescent="0.2"/>
    <row r="270" x14ac:dyDescent="0.2"/>
    <row r="271" x14ac:dyDescent="0.2"/>
    <row r="272" x14ac:dyDescent="0.2"/>
    <row r="273" x14ac:dyDescent="0.2"/>
    <row r="274" x14ac:dyDescent="0.2"/>
    <row r="275" x14ac:dyDescent="0.2"/>
    <row r="276" x14ac:dyDescent="0.2"/>
    <row r="277" x14ac:dyDescent="0.2"/>
    <row r="278" x14ac:dyDescent="0.2"/>
    <row r="279" x14ac:dyDescent="0.2"/>
    <row r="280" x14ac:dyDescent="0.2"/>
    <row r="281" x14ac:dyDescent="0.2"/>
    <row r="282" x14ac:dyDescent="0.2"/>
    <row r="283" x14ac:dyDescent="0.2"/>
    <row r="284" x14ac:dyDescent="0.2"/>
    <row r="285" x14ac:dyDescent="0.2"/>
    <row r="286" x14ac:dyDescent="0.2"/>
    <row r="287" x14ac:dyDescent="0.2"/>
    <row r="288" x14ac:dyDescent="0.2"/>
    <row r="289" x14ac:dyDescent="0.2"/>
    <row r="290" x14ac:dyDescent="0.2"/>
    <row r="291" x14ac:dyDescent="0.2"/>
    <row r="292" x14ac:dyDescent="0.2"/>
    <row r="293" x14ac:dyDescent="0.2"/>
    <row r="294" x14ac:dyDescent="0.2"/>
    <row r="295" x14ac:dyDescent="0.2"/>
    <row r="296" x14ac:dyDescent="0.2"/>
    <row r="297" x14ac:dyDescent="0.2"/>
    <row r="298" x14ac:dyDescent="0.2"/>
    <row r="299" x14ac:dyDescent="0.2"/>
    <row r="300" x14ac:dyDescent="0.2"/>
    <row r="301" x14ac:dyDescent="0.2"/>
    <row r="302" x14ac:dyDescent="0.2"/>
    <row r="303" x14ac:dyDescent="0.2"/>
    <row r="304" x14ac:dyDescent="0.2"/>
    <row r="305" x14ac:dyDescent="0.2"/>
    <row r="306" x14ac:dyDescent="0.2"/>
    <row r="307" x14ac:dyDescent="0.2"/>
    <row r="308" x14ac:dyDescent="0.2"/>
    <row r="309" x14ac:dyDescent="0.2"/>
    <row r="310" x14ac:dyDescent="0.2"/>
    <row r="311" x14ac:dyDescent="0.2"/>
    <row r="312" x14ac:dyDescent="0.2"/>
    <row r="313" x14ac:dyDescent="0.2"/>
    <row r="314" x14ac:dyDescent="0.2"/>
    <row r="315" x14ac:dyDescent="0.2"/>
    <row r="316" x14ac:dyDescent="0.2"/>
    <row r="317" x14ac:dyDescent="0.2"/>
    <row r="318" x14ac:dyDescent="0.2"/>
    <row r="319" x14ac:dyDescent="0.2"/>
    <row r="320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  <row r="329" x14ac:dyDescent="0.2"/>
    <row r="330" x14ac:dyDescent="0.2"/>
    <row r="331" x14ac:dyDescent="0.2"/>
    <row r="332" x14ac:dyDescent="0.2"/>
    <row r="333" x14ac:dyDescent="0.2"/>
    <row r="334" x14ac:dyDescent="0.2"/>
    <row r="335" x14ac:dyDescent="0.2"/>
    <row r="336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  <row r="350" x14ac:dyDescent="0.2"/>
    <row r="351" x14ac:dyDescent="0.2"/>
    <row r="352" x14ac:dyDescent="0.2"/>
    <row r="353" x14ac:dyDescent="0.2"/>
    <row r="354" x14ac:dyDescent="0.2"/>
    <row r="355" x14ac:dyDescent="0.2"/>
    <row r="356" x14ac:dyDescent="0.2"/>
    <row r="357" x14ac:dyDescent="0.2"/>
    <row r="358" x14ac:dyDescent="0.2"/>
    <row r="359" x14ac:dyDescent="0.2"/>
    <row r="360" x14ac:dyDescent="0.2"/>
    <row r="361" x14ac:dyDescent="0.2"/>
    <row r="362" x14ac:dyDescent="0.2"/>
    <row r="363" x14ac:dyDescent="0.2"/>
    <row r="364" x14ac:dyDescent="0.2"/>
    <row r="365" x14ac:dyDescent="0.2"/>
    <row r="366" x14ac:dyDescent="0.2"/>
    <row r="367" x14ac:dyDescent="0.2"/>
    <row r="368" x14ac:dyDescent="0.2"/>
    <row r="369" x14ac:dyDescent="0.2"/>
    <row r="370" x14ac:dyDescent="0.2"/>
    <row r="371" x14ac:dyDescent="0.2"/>
    <row r="372" x14ac:dyDescent="0.2"/>
    <row r="373" x14ac:dyDescent="0.2"/>
    <row r="374" x14ac:dyDescent="0.2"/>
    <row r="375" x14ac:dyDescent="0.2"/>
    <row r="376" x14ac:dyDescent="0.2"/>
    <row r="377" x14ac:dyDescent="0.2"/>
    <row r="378" x14ac:dyDescent="0.2"/>
    <row r="379" x14ac:dyDescent="0.2"/>
    <row r="380" x14ac:dyDescent="0.2"/>
    <row r="381" x14ac:dyDescent="0.2"/>
    <row r="382" x14ac:dyDescent="0.2"/>
    <row r="383" x14ac:dyDescent="0.2"/>
    <row r="384" x14ac:dyDescent="0.2"/>
    <row r="385" x14ac:dyDescent="0.2"/>
    <row r="386" x14ac:dyDescent="0.2"/>
    <row r="387" x14ac:dyDescent="0.2"/>
    <row r="388" x14ac:dyDescent="0.2"/>
    <row r="389" x14ac:dyDescent="0.2"/>
    <row r="390" x14ac:dyDescent="0.2"/>
    <row r="391" x14ac:dyDescent="0.2"/>
    <row r="392" x14ac:dyDescent="0.2"/>
    <row r="393" x14ac:dyDescent="0.2"/>
    <row r="394" x14ac:dyDescent="0.2"/>
    <row r="395" x14ac:dyDescent="0.2"/>
    <row r="396" x14ac:dyDescent="0.2"/>
    <row r="397" x14ac:dyDescent="0.2"/>
    <row r="398" x14ac:dyDescent="0.2"/>
    <row r="399" x14ac:dyDescent="0.2"/>
    <row r="400" x14ac:dyDescent="0.2"/>
    <row r="401" x14ac:dyDescent="0.2"/>
    <row r="402" x14ac:dyDescent="0.2"/>
    <row r="403" x14ac:dyDescent="0.2"/>
    <row r="404" x14ac:dyDescent="0.2"/>
    <row r="405" x14ac:dyDescent="0.2"/>
    <row r="406" x14ac:dyDescent="0.2"/>
    <row r="407" x14ac:dyDescent="0.2"/>
    <row r="408" x14ac:dyDescent="0.2"/>
    <row r="409" x14ac:dyDescent="0.2"/>
    <row r="410" x14ac:dyDescent="0.2"/>
    <row r="411" x14ac:dyDescent="0.2"/>
    <row r="412" x14ac:dyDescent="0.2"/>
    <row r="413" x14ac:dyDescent="0.2"/>
    <row r="414" x14ac:dyDescent="0.2"/>
    <row r="415" x14ac:dyDescent="0.2"/>
    <row r="416" x14ac:dyDescent="0.2"/>
    <row r="417" x14ac:dyDescent="0.2"/>
    <row r="418" x14ac:dyDescent="0.2"/>
    <row r="419" x14ac:dyDescent="0.2"/>
    <row r="420" x14ac:dyDescent="0.2"/>
    <row r="421" x14ac:dyDescent="0.2"/>
    <row r="422" x14ac:dyDescent="0.2"/>
    <row r="423" x14ac:dyDescent="0.2"/>
    <row r="424" x14ac:dyDescent="0.2"/>
    <row r="425" x14ac:dyDescent="0.2"/>
    <row r="426" x14ac:dyDescent="0.2"/>
    <row r="427" x14ac:dyDescent="0.2"/>
    <row r="428" x14ac:dyDescent="0.2"/>
    <row r="429" x14ac:dyDescent="0.2"/>
    <row r="430" x14ac:dyDescent="0.2"/>
    <row r="431" x14ac:dyDescent="0.2"/>
    <row r="432" x14ac:dyDescent="0.2"/>
    <row r="433" x14ac:dyDescent="0.2"/>
    <row r="434" x14ac:dyDescent="0.2"/>
    <row r="435" x14ac:dyDescent="0.2"/>
    <row r="436" x14ac:dyDescent="0.2"/>
    <row r="437" x14ac:dyDescent="0.2"/>
    <row r="438" x14ac:dyDescent="0.2"/>
    <row r="439" x14ac:dyDescent="0.2"/>
    <row r="440" x14ac:dyDescent="0.2"/>
    <row r="441" x14ac:dyDescent="0.2"/>
    <row r="442" x14ac:dyDescent="0.2"/>
    <row r="443" x14ac:dyDescent="0.2"/>
    <row r="444" x14ac:dyDescent="0.2"/>
    <row r="445" x14ac:dyDescent="0.2"/>
    <row r="446" x14ac:dyDescent="0.2"/>
    <row r="447" x14ac:dyDescent="0.2"/>
    <row r="448" x14ac:dyDescent="0.2"/>
    <row r="449" x14ac:dyDescent="0.2"/>
    <row r="450" x14ac:dyDescent="0.2"/>
    <row r="451" x14ac:dyDescent="0.2"/>
    <row r="452" x14ac:dyDescent="0.2"/>
    <row r="453" x14ac:dyDescent="0.2"/>
    <row r="454" x14ac:dyDescent="0.2"/>
    <row r="455" x14ac:dyDescent="0.2"/>
    <row r="456" x14ac:dyDescent="0.2"/>
    <row r="457" x14ac:dyDescent="0.2"/>
    <row r="458" x14ac:dyDescent="0.2"/>
    <row r="459" x14ac:dyDescent="0.2"/>
    <row r="460" x14ac:dyDescent="0.2"/>
    <row r="461" x14ac:dyDescent="0.2"/>
    <row r="462" x14ac:dyDescent="0.2"/>
    <row r="463" x14ac:dyDescent="0.2"/>
    <row r="464" x14ac:dyDescent="0.2"/>
    <row r="465" x14ac:dyDescent="0.2"/>
    <row r="466" x14ac:dyDescent="0.2"/>
    <row r="467" x14ac:dyDescent="0.2"/>
    <row r="468" x14ac:dyDescent="0.2"/>
    <row r="469" x14ac:dyDescent="0.2"/>
    <row r="470" x14ac:dyDescent="0.2"/>
    <row r="471" x14ac:dyDescent="0.2"/>
    <row r="472" x14ac:dyDescent="0.2"/>
    <row r="473" x14ac:dyDescent="0.2"/>
    <row r="474" x14ac:dyDescent="0.2"/>
    <row r="475" x14ac:dyDescent="0.2"/>
    <row r="476" x14ac:dyDescent="0.2"/>
    <row r="477" x14ac:dyDescent="0.2"/>
    <row r="478" x14ac:dyDescent="0.2"/>
    <row r="479" x14ac:dyDescent="0.2"/>
    <row r="480" x14ac:dyDescent="0.2"/>
    <row r="481" x14ac:dyDescent="0.2"/>
    <row r="482" x14ac:dyDescent="0.2"/>
    <row r="483" x14ac:dyDescent="0.2"/>
    <row r="484" x14ac:dyDescent="0.2"/>
    <row r="485" x14ac:dyDescent="0.2"/>
    <row r="486" x14ac:dyDescent="0.2"/>
    <row r="487" x14ac:dyDescent="0.2"/>
    <row r="488" x14ac:dyDescent="0.2"/>
    <row r="489" x14ac:dyDescent="0.2"/>
    <row r="490" x14ac:dyDescent="0.2"/>
    <row r="491" x14ac:dyDescent="0.2"/>
    <row r="492" x14ac:dyDescent="0.2"/>
    <row r="493" x14ac:dyDescent="0.2"/>
    <row r="494" x14ac:dyDescent="0.2"/>
    <row r="495" x14ac:dyDescent="0.2"/>
    <row r="496" x14ac:dyDescent="0.2"/>
    <row r="497" x14ac:dyDescent="0.2"/>
    <row r="498" x14ac:dyDescent="0.2"/>
    <row r="499" x14ac:dyDescent="0.2"/>
    <row r="500" x14ac:dyDescent="0.2"/>
    <row r="501" x14ac:dyDescent="0.2"/>
    <row r="502" x14ac:dyDescent="0.2"/>
    <row r="503" x14ac:dyDescent="0.2"/>
    <row r="504" x14ac:dyDescent="0.2"/>
    <row r="505" x14ac:dyDescent="0.2"/>
    <row r="506" x14ac:dyDescent="0.2"/>
    <row r="507" x14ac:dyDescent="0.2"/>
    <row r="508" x14ac:dyDescent="0.2"/>
    <row r="509" x14ac:dyDescent="0.2"/>
    <row r="510" x14ac:dyDescent="0.2"/>
    <row r="511" x14ac:dyDescent="0.2"/>
    <row r="512" x14ac:dyDescent="0.2"/>
    <row r="513" x14ac:dyDescent="0.2"/>
    <row r="514" x14ac:dyDescent="0.2"/>
    <row r="515" x14ac:dyDescent="0.2"/>
    <row r="516" x14ac:dyDescent="0.2"/>
    <row r="517" x14ac:dyDescent="0.2"/>
    <row r="518" x14ac:dyDescent="0.2"/>
    <row r="519" x14ac:dyDescent="0.2"/>
    <row r="520" x14ac:dyDescent="0.2"/>
    <row r="521" x14ac:dyDescent="0.2"/>
    <row r="522" x14ac:dyDescent="0.2"/>
    <row r="523" x14ac:dyDescent="0.2"/>
    <row r="524" x14ac:dyDescent="0.2"/>
    <row r="525" x14ac:dyDescent="0.2"/>
    <row r="526" x14ac:dyDescent="0.2"/>
    <row r="527" x14ac:dyDescent="0.2"/>
    <row r="528" x14ac:dyDescent="0.2"/>
    <row r="529" x14ac:dyDescent="0.2"/>
    <row r="530" x14ac:dyDescent="0.2"/>
    <row r="531" x14ac:dyDescent="0.2"/>
    <row r="532" x14ac:dyDescent="0.2"/>
    <row r="533" x14ac:dyDescent="0.2"/>
    <row r="534" x14ac:dyDescent="0.2"/>
    <row r="535" x14ac:dyDescent="0.2"/>
    <row r="536" x14ac:dyDescent="0.2"/>
    <row r="537" x14ac:dyDescent="0.2"/>
    <row r="538" x14ac:dyDescent="0.2"/>
    <row r="539" x14ac:dyDescent="0.2"/>
    <row r="540" x14ac:dyDescent="0.2"/>
    <row r="541" x14ac:dyDescent="0.2"/>
    <row r="542" x14ac:dyDescent="0.2"/>
    <row r="543" x14ac:dyDescent="0.2"/>
    <row r="544" x14ac:dyDescent="0.2"/>
    <row r="545" x14ac:dyDescent="0.2"/>
    <row r="546" x14ac:dyDescent="0.2"/>
    <row r="547" x14ac:dyDescent="0.2"/>
    <row r="548" x14ac:dyDescent="0.2"/>
    <row r="549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  <row r="558" x14ac:dyDescent="0.2"/>
    <row r="559" x14ac:dyDescent="0.2"/>
    <row r="560" x14ac:dyDescent="0.2"/>
    <row r="561" x14ac:dyDescent="0.2"/>
    <row r="562" x14ac:dyDescent="0.2"/>
    <row r="563" x14ac:dyDescent="0.2"/>
    <row r="564" x14ac:dyDescent="0.2"/>
    <row r="565" x14ac:dyDescent="0.2"/>
    <row r="566" x14ac:dyDescent="0.2"/>
    <row r="567" x14ac:dyDescent="0.2"/>
    <row r="568" x14ac:dyDescent="0.2"/>
    <row r="569" x14ac:dyDescent="0.2"/>
    <row r="570" x14ac:dyDescent="0.2"/>
    <row r="571" x14ac:dyDescent="0.2"/>
    <row r="572" x14ac:dyDescent="0.2"/>
    <row r="573" x14ac:dyDescent="0.2"/>
    <row r="574" x14ac:dyDescent="0.2"/>
    <row r="575" x14ac:dyDescent="0.2"/>
    <row r="576" x14ac:dyDescent="0.2"/>
    <row r="577" x14ac:dyDescent="0.2"/>
    <row r="578" x14ac:dyDescent="0.2"/>
    <row r="579" x14ac:dyDescent="0.2"/>
    <row r="580" x14ac:dyDescent="0.2"/>
    <row r="581" x14ac:dyDescent="0.2"/>
    <row r="582" x14ac:dyDescent="0.2"/>
    <row r="583" x14ac:dyDescent="0.2"/>
    <row r="584" x14ac:dyDescent="0.2"/>
    <row r="585" x14ac:dyDescent="0.2"/>
    <row r="586" x14ac:dyDescent="0.2"/>
    <row r="587" x14ac:dyDescent="0.2"/>
    <row r="588" x14ac:dyDescent="0.2"/>
    <row r="589" x14ac:dyDescent="0.2"/>
    <row r="590" x14ac:dyDescent="0.2"/>
    <row r="591" x14ac:dyDescent="0.2"/>
    <row r="592" x14ac:dyDescent="0.2"/>
    <row r="593" x14ac:dyDescent="0.2"/>
    <row r="594" x14ac:dyDescent="0.2"/>
    <row r="595" x14ac:dyDescent="0.2"/>
    <row r="596" x14ac:dyDescent="0.2"/>
    <row r="597" x14ac:dyDescent="0.2"/>
    <row r="598" x14ac:dyDescent="0.2"/>
    <row r="599" x14ac:dyDescent="0.2"/>
    <row r="600" x14ac:dyDescent="0.2"/>
    <row r="601" x14ac:dyDescent="0.2"/>
    <row r="602" x14ac:dyDescent="0.2"/>
    <row r="603" x14ac:dyDescent="0.2"/>
    <row r="604" x14ac:dyDescent="0.2"/>
    <row r="605" x14ac:dyDescent="0.2"/>
    <row r="606" x14ac:dyDescent="0.2"/>
    <row r="607" x14ac:dyDescent="0.2"/>
    <row r="608" x14ac:dyDescent="0.2"/>
    <row r="609" x14ac:dyDescent="0.2"/>
    <row r="610" x14ac:dyDescent="0.2"/>
    <row r="611" x14ac:dyDescent="0.2"/>
    <row r="612" x14ac:dyDescent="0.2"/>
    <row r="613" x14ac:dyDescent="0.2"/>
    <row r="614" x14ac:dyDescent="0.2"/>
    <row r="615" x14ac:dyDescent="0.2"/>
    <row r="616" x14ac:dyDescent="0.2"/>
    <row r="617" x14ac:dyDescent="0.2"/>
    <row r="618" x14ac:dyDescent="0.2"/>
    <row r="619" x14ac:dyDescent="0.2"/>
    <row r="620" x14ac:dyDescent="0.2"/>
    <row r="621" x14ac:dyDescent="0.2"/>
    <row r="622" x14ac:dyDescent="0.2"/>
    <row r="623" x14ac:dyDescent="0.2"/>
    <row r="624" x14ac:dyDescent="0.2"/>
    <row r="625" x14ac:dyDescent="0.2"/>
    <row r="626" x14ac:dyDescent="0.2"/>
    <row r="627" x14ac:dyDescent="0.2"/>
    <row r="628" x14ac:dyDescent="0.2"/>
    <row r="629" x14ac:dyDescent="0.2"/>
    <row r="630" x14ac:dyDescent="0.2"/>
    <row r="631" x14ac:dyDescent="0.2"/>
    <row r="632" x14ac:dyDescent="0.2"/>
    <row r="633" x14ac:dyDescent="0.2"/>
    <row r="634" x14ac:dyDescent="0.2"/>
    <row r="635" x14ac:dyDescent="0.2"/>
    <row r="636" x14ac:dyDescent="0.2"/>
    <row r="637" x14ac:dyDescent="0.2"/>
    <row r="638" x14ac:dyDescent="0.2"/>
    <row r="639" x14ac:dyDescent="0.2"/>
    <row r="640" x14ac:dyDescent="0.2"/>
    <row r="641" x14ac:dyDescent="0.2"/>
    <row r="642" x14ac:dyDescent="0.2"/>
    <row r="643" x14ac:dyDescent="0.2"/>
    <row r="644" x14ac:dyDescent="0.2"/>
    <row r="645" x14ac:dyDescent="0.2"/>
    <row r="646" x14ac:dyDescent="0.2"/>
    <row r="647" x14ac:dyDescent="0.2"/>
    <row r="648" x14ac:dyDescent="0.2"/>
    <row r="649" x14ac:dyDescent="0.2"/>
    <row r="650" x14ac:dyDescent="0.2"/>
    <row r="651" x14ac:dyDescent="0.2"/>
    <row r="652" x14ac:dyDescent="0.2"/>
    <row r="653" x14ac:dyDescent="0.2"/>
    <row r="654" x14ac:dyDescent="0.2"/>
    <row r="655" x14ac:dyDescent="0.2"/>
    <row r="656" x14ac:dyDescent="0.2"/>
    <row r="657" x14ac:dyDescent="0.2"/>
    <row r="658" x14ac:dyDescent="0.2"/>
    <row r="659" x14ac:dyDescent="0.2"/>
    <row r="660" x14ac:dyDescent="0.2"/>
    <row r="661" x14ac:dyDescent="0.2"/>
    <row r="662" x14ac:dyDescent="0.2"/>
    <row r="663" x14ac:dyDescent="0.2"/>
    <row r="664" x14ac:dyDescent="0.2"/>
    <row r="665" x14ac:dyDescent="0.2"/>
    <row r="666" x14ac:dyDescent="0.2"/>
    <row r="667" x14ac:dyDescent="0.2"/>
    <row r="668" x14ac:dyDescent="0.2"/>
    <row r="669" x14ac:dyDescent="0.2"/>
    <row r="670" x14ac:dyDescent="0.2"/>
    <row r="671" x14ac:dyDescent="0.2"/>
    <row r="672" x14ac:dyDescent="0.2"/>
    <row r="673" x14ac:dyDescent="0.2"/>
    <row r="674" x14ac:dyDescent="0.2"/>
    <row r="675" x14ac:dyDescent="0.2"/>
    <row r="676" x14ac:dyDescent="0.2"/>
    <row r="677" x14ac:dyDescent="0.2"/>
    <row r="678" x14ac:dyDescent="0.2"/>
    <row r="679" x14ac:dyDescent="0.2"/>
    <row r="680" x14ac:dyDescent="0.2"/>
    <row r="681" x14ac:dyDescent="0.2"/>
    <row r="682" x14ac:dyDescent="0.2"/>
    <row r="683" x14ac:dyDescent="0.2"/>
    <row r="684" x14ac:dyDescent="0.2"/>
    <row r="685" x14ac:dyDescent="0.2"/>
    <row r="686" x14ac:dyDescent="0.2"/>
    <row r="687" x14ac:dyDescent="0.2"/>
    <row r="688" x14ac:dyDescent="0.2"/>
    <row r="689" x14ac:dyDescent="0.2"/>
    <row r="690" x14ac:dyDescent="0.2"/>
    <row r="691" x14ac:dyDescent="0.2"/>
    <row r="692" x14ac:dyDescent="0.2"/>
    <row r="693" x14ac:dyDescent="0.2"/>
    <row r="694" x14ac:dyDescent="0.2"/>
    <row r="695" x14ac:dyDescent="0.2"/>
    <row r="696" x14ac:dyDescent="0.2"/>
    <row r="697" x14ac:dyDescent="0.2"/>
    <row r="698" x14ac:dyDescent="0.2"/>
    <row r="699" x14ac:dyDescent="0.2"/>
    <row r="700" x14ac:dyDescent="0.2"/>
    <row r="701" x14ac:dyDescent="0.2"/>
    <row r="702" x14ac:dyDescent="0.2"/>
    <row r="703" x14ac:dyDescent="0.2"/>
    <row r="704" x14ac:dyDescent="0.2"/>
    <row r="705" x14ac:dyDescent="0.2"/>
    <row r="706" x14ac:dyDescent="0.2"/>
    <row r="707" x14ac:dyDescent="0.2"/>
    <row r="708" x14ac:dyDescent="0.2"/>
    <row r="709" x14ac:dyDescent="0.2"/>
    <row r="710" x14ac:dyDescent="0.2"/>
    <row r="711" x14ac:dyDescent="0.2"/>
    <row r="712" x14ac:dyDescent="0.2"/>
    <row r="713" x14ac:dyDescent="0.2"/>
    <row r="714" x14ac:dyDescent="0.2"/>
    <row r="715" x14ac:dyDescent="0.2"/>
    <row r="716" x14ac:dyDescent="0.2"/>
    <row r="717" x14ac:dyDescent="0.2"/>
    <row r="718" x14ac:dyDescent="0.2"/>
    <row r="719" x14ac:dyDescent="0.2"/>
    <row r="720" x14ac:dyDescent="0.2"/>
    <row r="721" x14ac:dyDescent="0.2"/>
    <row r="722" x14ac:dyDescent="0.2"/>
    <row r="723" x14ac:dyDescent="0.2"/>
    <row r="724" x14ac:dyDescent="0.2"/>
    <row r="725" x14ac:dyDescent="0.2"/>
    <row r="726" x14ac:dyDescent="0.2"/>
    <row r="727" x14ac:dyDescent="0.2"/>
    <row r="728" x14ac:dyDescent="0.2"/>
    <row r="729" x14ac:dyDescent="0.2"/>
    <row r="730" x14ac:dyDescent="0.2"/>
    <row r="731" x14ac:dyDescent="0.2"/>
    <row r="732" x14ac:dyDescent="0.2"/>
    <row r="733" x14ac:dyDescent="0.2"/>
    <row r="734" x14ac:dyDescent="0.2"/>
    <row r="735" x14ac:dyDescent="0.2"/>
    <row r="736" x14ac:dyDescent="0.2"/>
    <row r="737" x14ac:dyDescent="0.2"/>
    <row r="738" x14ac:dyDescent="0.2"/>
    <row r="739" x14ac:dyDescent="0.2"/>
    <row r="740" x14ac:dyDescent="0.2"/>
    <row r="741" x14ac:dyDescent="0.2"/>
    <row r="742" x14ac:dyDescent="0.2"/>
    <row r="743" x14ac:dyDescent="0.2"/>
    <row r="744" x14ac:dyDescent="0.2"/>
    <row r="745" x14ac:dyDescent="0.2"/>
    <row r="746" x14ac:dyDescent="0.2"/>
    <row r="747" x14ac:dyDescent="0.2"/>
    <row r="748" x14ac:dyDescent="0.2"/>
    <row r="749" x14ac:dyDescent="0.2"/>
    <row r="750" x14ac:dyDescent="0.2"/>
    <row r="751" x14ac:dyDescent="0.2"/>
    <row r="752" x14ac:dyDescent="0.2"/>
    <row r="753" x14ac:dyDescent="0.2"/>
    <row r="754" x14ac:dyDescent="0.2"/>
    <row r="755" x14ac:dyDescent="0.2"/>
    <row r="756" x14ac:dyDescent="0.2"/>
    <row r="757" x14ac:dyDescent="0.2"/>
    <row r="758" x14ac:dyDescent="0.2"/>
    <row r="759" x14ac:dyDescent="0.2"/>
    <row r="760" x14ac:dyDescent="0.2"/>
    <row r="761" x14ac:dyDescent="0.2"/>
    <row r="762" x14ac:dyDescent="0.2"/>
    <row r="763" x14ac:dyDescent="0.2"/>
    <row r="764" x14ac:dyDescent="0.2"/>
    <row r="765" x14ac:dyDescent="0.2"/>
    <row r="766" x14ac:dyDescent="0.2"/>
    <row r="767" x14ac:dyDescent="0.2"/>
    <row r="768" x14ac:dyDescent="0.2"/>
    <row r="769" x14ac:dyDescent="0.2"/>
    <row r="770" x14ac:dyDescent="0.2"/>
    <row r="771" x14ac:dyDescent="0.2"/>
    <row r="772" x14ac:dyDescent="0.2"/>
    <row r="773" x14ac:dyDescent="0.2"/>
    <row r="774" x14ac:dyDescent="0.2"/>
    <row r="775" x14ac:dyDescent="0.2"/>
    <row r="776" x14ac:dyDescent="0.2"/>
    <row r="777" x14ac:dyDescent="0.2"/>
    <row r="778" x14ac:dyDescent="0.2"/>
    <row r="779" x14ac:dyDescent="0.2"/>
    <row r="780" x14ac:dyDescent="0.2"/>
    <row r="781" x14ac:dyDescent="0.2"/>
    <row r="782" x14ac:dyDescent="0.2"/>
    <row r="783" x14ac:dyDescent="0.2"/>
    <row r="784" x14ac:dyDescent="0.2"/>
    <row r="785" x14ac:dyDescent="0.2"/>
    <row r="786" x14ac:dyDescent="0.2"/>
    <row r="787" x14ac:dyDescent="0.2"/>
    <row r="788" x14ac:dyDescent="0.2"/>
    <row r="789" x14ac:dyDescent="0.2"/>
    <row r="790" x14ac:dyDescent="0.2"/>
    <row r="791" x14ac:dyDescent="0.2"/>
    <row r="792" x14ac:dyDescent="0.2"/>
    <row r="793" x14ac:dyDescent="0.2"/>
    <row r="794" x14ac:dyDescent="0.2"/>
    <row r="795" x14ac:dyDescent="0.2"/>
    <row r="796" x14ac:dyDescent="0.2"/>
    <row r="797" x14ac:dyDescent="0.2"/>
    <row r="798" x14ac:dyDescent="0.2"/>
    <row r="799" x14ac:dyDescent="0.2"/>
    <row r="800" x14ac:dyDescent="0.2"/>
    <row r="801" x14ac:dyDescent="0.2"/>
    <row r="802" x14ac:dyDescent="0.2"/>
    <row r="803" x14ac:dyDescent="0.2"/>
    <row r="804" x14ac:dyDescent="0.2"/>
    <row r="805" x14ac:dyDescent="0.2"/>
    <row r="806" x14ac:dyDescent="0.2"/>
    <row r="807" x14ac:dyDescent="0.2"/>
    <row r="808" x14ac:dyDescent="0.2"/>
    <row r="809" x14ac:dyDescent="0.2"/>
    <row r="810" x14ac:dyDescent="0.2"/>
    <row r="811" x14ac:dyDescent="0.2"/>
    <row r="812" x14ac:dyDescent="0.2"/>
    <row r="813" x14ac:dyDescent="0.2"/>
    <row r="814" x14ac:dyDescent="0.2"/>
    <row r="815" x14ac:dyDescent="0.2"/>
    <row r="816" x14ac:dyDescent="0.2"/>
    <row r="817" x14ac:dyDescent="0.2"/>
    <row r="818" x14ac:dyDescent="0.2"/>
    <row r="819" x14ac:dyDescent="0.2"/>
    <row r="820" x14ac:dyDescent="0.2"/>
    <row r="821" x14ac:dyDescent="0.2"/>
    <row r="822" x14ac:dyDescent="0.2"/>
    <row r="823" x14ac:dyDescent="0.2"/>
    <row r="824" x14ac:dyDescent="0.2"/>
    <row r="825" x14ac:dyDescent="0.2"/>
    <row r="826" x14ac:dyDescent="0.2"/>
    <row r="827" x14ac:dyDescent="0.2"/>
    <row r="828" x14ac:dyDescent="0.2"/>
    <row r="829" x14ac:dyDescent="0.2"/>
    <row r="830" x14ac:dyDescent="0.2"/>
    <row r="831" x14ac:dyDescent="0.2"/>
    <row r="832" x14ac:dyDescent="0.2"/>
    <row r="833" x14ac:dyDescent="0.2"/>
    <row r="834" x14ac:dyDescent="0.2"/>
    <row r="835" x14ac:dyDescent="0.2"/>
    <row r="836" x14ac:dyDescent="0.2"/>
    <row r="837" x14ac:dyDescent="0.2"/>
    <row r="838" x14ac:dyDescent="0.2"/>
    <row r="839" x14ac:dyDescent="0.2"/>
    <row r="840" x14ac:dyDescent="0.2"/>
    <row r="841" x14ac:dyDescent="0.2"/>
    <row r="842" x14ac:dyDescent="0.2"/>
    <row r="843" x14ac:dyDescent="0.2"/>
    <row r="844" x14ac:dyDescent="0.2"/>
    <row r="845" x14ac:dyDescent="0.2"/>
    <row r="846" x14ac:dyDescent="0.2"/>
    <row r="847" x14ac:dyDescent="0.2"/>
    <row r="848" x14ac:dyDescent="0.2"/>
    <row r="849" x14ac:dyDescent="0.2"/>
    <row r="850" x14ac:dyDescent="0.2"/>
    <row r="851" x14ac:dyDescent="0.2"/>
    <row r="852" x14ac:dyDescent="0.2"/>
    <row r="853" x14ac:dyDescent="0.2"/>
    <row r="854" x14ac:dyDescent="0.2"/>
    <row r="855" x14ac:dyDescent="0.2"/>
    <row r="856" x14ac:dyDescent="0.2"/>
    <row r="857" x14ac:dyDescent="0.2"/>
    <row r="858" x14ac:dyDescent="0.2"/>
    <row r="859" x14ac:dyDescent="0.2"/>
    <row r="860" x14ac:dyDescent="0.2"/>
    <row r="861" x14ac:dyDescent="0.2"/>
    <row r="862" x14ac:dyDescent="0.2"/>
    <row r="863" x14ac:dyDescent="0.2"/>
    <row r="864" x14ac:dyDescent="0.2"/>
    <row r="865" x14ac:dyDescent="0.2"/>
    <row r="866" x14ac:dyDescent="0.2"/>
    <row r="867" x14ac:dyDescent="0.2"/>
    <row r="868" x14ac:dyDescent="0.2"/>
    <row r="869" x14ac:dyDescent="0.2"/>
    <row r="870" x14ac:dyDescent="0.2"/>
    <row r="871" x14ac:dyDescent="0.2"/>
    <row r="872" x14ac:dyDescent="0.2"/>
    <row r="873" x14ac:dyDescent="0.2"/>
    <row r="874" x14ac:dyDescent="0.2"/>
    <row r="875" x14ac:dyDescent="0.2"/>
    <row r="876" x14ac:dyDescent="0.2"/>
    <row r="877" x14ac:dyDescent="0.2"/>
    <row r="878" x14ac:dyDescent="0.2"/>
    <row r="879" x14ac:dyDescent="0.2"/>
    <row r="880" x14ac:dyDescent="0.2"/>
    <row r="881" x14ac:dyDescent="0.2"/>
    <row r="882" x14ac:dyDescent="0.2"/>
    <row r="883" x14ac:dyDescent="0.2"/>
    <row r="884" x14ac:dyDescent="0.2"/>
    <row r="885" x14ac:dyDescent="0.2"/>
    <row r="886" x14ac:dyDescent="0.2"/>
    <row r="887" x14ac:dyDescent="0.2"/>
    <row r="888" x14ac:dyDescent="0.2"/>
    <row r="889" x14ac:dyDescent="0.2"/>
    <row r="890" x14ac:dyDescent="0.2"/>
    <row r="891" x14ac:dyDescent="0.2"/>
    <row r="892" x14ac:dyDescent="0.2"/>
    <row r="893" x14ac:dyDescent="0.2"/>
    <row r="894" x14ac:dyDescent="0.2"/>
    <row r="895" x14ac:dyDescent="0.2"/>
    <row r="896" x14ac:dyDescent="0.2"/>
    <row r="897" x14ac:dyDescent="0.2"/>
    <row r="898" x14ac:dyDescent="0.2"/>
    <row r="899" x14ac:dyDescent="0.2"/>
    <row r="900" x14ac:dyDescent="0.2"/>
    <row r="901" x14ac:dyDescent="0.2"/>
    <row r="902" x14ac:dyDescent="0.2"/>
    <row r="903" x14ac:dyDescent="0.2"/>
    <row r="904" x14ac:dyDescent="0.2"/>
    <row r="905" x14ac:dyDescent="0.2"/>
    <row r="906" x14ac:dyDescent="0.2"/>
    <row r="907" x14ac:dyDescent="0.2"/>
    <row r="908" x14ac:dyDescent="0.2"/>
    <row r="909" x14ac:dyDescent="0.2"/>
    <row r="910" x14ac:dyDescent="0.2"/>
    <row r="911" x14ac:dyDescent="0.2"/>
    <row r="912" x14ac:dyDescent="0.2"/>
    <row r="913" x14ac:dyDescent="0.2"/>
    <row r="914" x14ac:dyDescent="0.2"/>
    <row r="915" x14ac:dyDescent="0.2"/>
    <row r="916" x14ac:dyDescent="0.2"/>
    <row r="917" x14ac:dyDescent="0.2"/>
    <row r="918" x14ac:dyDescent="0.2"/>
    <row r="919" x14ac:dyDescent="0.2"/>
    <row r="920" x14ac:dyDescent="0.2"/>
    <row r="921" x14ac:dyDescent="0.2"/>
    <row r="922" x14ac:dyDescent="0.2"/>
    <row r="923" x14ac:dyDescent="0.2"/>
    <row r="924" x14ac:dyDescent="0.2"/>
    <row r="925" x14ac:dyDescent="0.2"/>
    <row r="926" x14ac:dyDescent="0.2"/>
    <row r="927" x14ac:dyDescent="0.2"/>
    <row r="928" x14ac:dyDescent="0.2"/>
    <row r="929" x14ac:dyDescent="0.2"/>
    <row r="930" x14ac:dyDescent="0.2"/>
    <row r="931" x14ac:dyDescent="0.2"/>
    <row r="932" x14ac:dyDescent="0.2"/>
    <row r="933" x14ac:dyDescent="0.2"/>
    <row r="934" x14ac:dyDescent="0.2"/>
    <row r="935" x14ac:dyDescent="0.2"/>
    <row r="936" x14ac:dyDescent="0.2"/>
    <row r="937" x14ac:dyDescent="0.2"/>
    <row r="938" x14ac:dyDescent="0.2"/>
    <row r="939" x14ac:dyDescent="0.2"/>
    <row r="940" x14ac:dyDescent="0.2"/>
    <row r="941" x14ac:dyDescent="0.2"/>
    <row r="942" x14ac:dyDescent="0.2"/>
    <row r="943" x14ac:dyDescent="0.2"/>
    <row r="944" x14ac:dyDescent="0.2"/>
    <row r="945" x14ac:dyDescent="0.2"/>
    <row r="946" x14ac:dyDescent="0.2"/>
    <row r="947" x14ac:dyDescent="0.2"/>
    <row r="948" x14ac:dyDescent="0.2"/>
    <row r="949" x14ac:dyDescent="0.2"/>
    <row r="950" x14ac:dyDescent="0.2"/>
    <row r="951" x14ac:dyDescent="0.2"/>
    <row r="952" x14ac:dyDescent="0.2"/>
    <row r="953" x14ac:dyDescent="0.2"/>
    <row r="954" x14ac:dyDescent="0.2"/>
    <row r="955" x14ac:dyDescent="0.2"/>
    <row r="956" x14ac:dyDescent="0.2"/>
    <row r="957" x14ac:dyDescent="0.2"/>
    <row r="958" x14ac:dyDescent="0.2"/>
    <row r="959" x14ac:dyDescent="0.2"/>
    <row r="960" x14ac:dyDescent="0.2"/>
    <row r="961" x14ac:dyDescent="0.2"/>
    <row r="962" x14ac:dyDescent="0.2"/>
    <row r="963" x14ac:dyDescent="0.2"/>
    <row r="964" x14ac:dyDescent="0.2"/>
    <row r="965" x14ac:dyDescent="0.2"/>
    <row r="966" x14ac:dyDescent="0.2"/>
    <row r="967" x14ac:dyDescent="0.2"/>
    <row r="968" x14ac:dyDescent="0.2"/>
    <row r="969" x14ac:dyDescent="0.2"/>
    <row r="970" x14ac:dyDescent="0.2"/>
    <row r="971" x14ac:dyDescent="0.2"/>
    <row r="972" x14ac:dyDescent="0.2"/>
    <row r="973" x14ac:dyDescent="0.2"/>
    <row r="974" x14ac:dyDescent="0.2"/>
    <row r="975" x14ac:dyDescent="0.2"/>
    <row r="976" x14ac:dyDescent="0.2"/>
    <row r="977" x14ac:dyDescent="0.2"/>
    <row r="978" x14ac:dyDescent="0.2"/>
    <row r="979" x14ac:dyDescent="0.2"/>
    <row r="980" x14ac:dyDescent="0.2"/>
    <row r="981" x14ac:dyDescent="0.2"/>
    <row r="982" x14ac:dyDescent="0.2"/>
    <row r="983" x14ac:dyDescent="0.2"/>
    <row r="984" x14ac:dyDescent="0.2"/>
    <row r="985" x14ac:dyDescent="0.2"/>
    <row r="986" x14ac:dyDescent="0.2"/>
    <row r="987" x14ac:dyDescent="0.2"/>
    <row r="988" x14ac:dyDescent="0.2"/>
    <row r="989" x14ac:dyDescent="0.2"/>
    <row r="990" x14ac:dyDescent="0.2"/>
    <row r="991" x14ac:dyDescent="0.2"/>
    <row r="992" x14ac:dyDescent="0.2"/>
    <row r="993" x14ac:dyDescent="0.2"/>
    <row r="994" x14ac:dyDescent="0.2"/>
    <row r="995" x14ac:dyDescent="0.2"/>
    <row r="996" x14ac:dyDescent="0.2"/>
    <row r="997" x14ac:dyDescent="0.2"/>
    <row r="998" x14ac:dyDescent="0.2"/>
    <row r="999" x14ac:dyDescent="0.2"/>
    <row r="1000" x14ac:dyDescent="0.2"/>
    <row r="1001" x14ac:dyDescent="0.2"/>
    <row r="1002" x14ac:dyDescent="0.2"/>
    <row r="1003" x14ac:dyDescent="0.2"/>
    <row r="1004" x14ac:dyDescent="0.2"/>
    <row r="1005" x14ac:dyDescent="0.2"/>
    <row r="1006" x14ac:dyDescent="0.2"/>
    <row r="1007" x14ac:dyDescent="0.2"/>
    <row r="1008" x14ac:dyDescent="0.2"/>
    <row r="1009" x14ac:dyDescent="0.2"/>
    <row r="1010" x14ac:dyDescent="0.2"/>
    <row r="1011" x14ac:dyDescent="0.2"/>
    <row r="1012" x14ac:dyDescent="0.2"/>
    <row r="1013" x14ac:dyDescent="0.2"/>
    <row r="1014" x14ac:dyDescent="0.2"/>
    <row r="1015" x14ac:dyDescent="0.2"/>
    <row r="1016" x14ac:dyDescent="0.2"/>
    <row r="1017" x14ac:dyDescent="0.2"/>
    <row r="1018" x14ac:dyDescent="0.2"/>
    <row r="1019" x14ac:dyDescent="0.2"/>
    <row r="1020" x14ac:dyDescent="0.2"/>
    <row r="1021" x14ac:dyDescent="0.2"/>
    <row r="1022" x14ac:dyDescent="0.2"/>
    <row r="1023" x14ac:dyDescent="0.2"/>
    <row r="1024" x14ac:dyDescent="0.2"/>
    <row r="1025" x14ac:dyDescent="0.2"/>
    <row r="1026" x14ac:dyDescent="0.2"/>
    <row r="1027" x14ac:dyDescent="0.2"/>
    <row r="1028" x14ac:dyDescent="0.2"/>
    <row r="1029" x14ac:dyDescent="0.2"/>
    <row r="1030" x14ac:dyDescent="0.2"/>
    <row r="1031" x14ac:dyDescent="0.2"/>
    <row r="1032" x14ac:dyDescent="0.2"/>
    <row r="1033" x14ac:dyDescent="0.2"/>
    <row r="1034" x14ac:dyDescent="0.2"/>
    <row r="1035" x14ac:dyDescent="0.2"/>
    <row r="1036" x14ac:dyDescent="0.2"/>
    <row r="1037" x14ac:dyDescent="0.2"/>
    <row r="1038" x14ac:dyDescent="0.2"/>
    <row r="1039" x14ac:dyDescent="0.2"/>
    <row r="1040" x14ac:dyDescent="0.2"/>
    <row r="1041" x14ac:dyDescent="0.2"/>
    <row r="1042" x14ac:dyDescent="0.2"/>
    <row r="1043" x14ac:dyDescent="0.2"/>
    <row r="1044" x14ac:dyDescent="0.2"/>
    <row r="1045" x14ac:dyDescent="0.2"/>
    <row r="1046" x14ac:dyDescent="0.2"/>
    <row r="1047" x14ac:dyDescent="0.2"/>
    <row r="1048" x14ac:dyDescent="0.2"/>
    <row r="1049" x14ac:dyDescent="0.2"/>
    <row r="1050" x14ac:dyDescent="0.2"/>
    <row r="1051" x14ac:dyDescent="0.2"/>
    <row r="1052" x14ac:dyDescent="0.2"/>
    <row r="1053" x14ac:dyDescent="0.2"/>
    <row r="1054" x14ac:dyDescent="0.2"/>
    <row r="1055" x14ac:dyDescent="0.2"/>
    <row r="1056" x14ac:dyDescent="0.2"/>
    <row r="1057" x14ac:dyDescent="0.2"/>
    <row r="1058" x14ac:dyDescent="0.2"/>
    <row r="1059" x14ac:dyDescent="0.2"/>
    <row r="1060" x14ac:dyDescent="0.2"/>
    <row r="1061" x14ac:dyDescent="0.2"/>
    <row r="1062" x14ac:dyDescent="0.2"/>
    <row r="1063" x14ac:dyDescent="0.2"/>
    <row r="1064" x14ac:dyDescent="0.2"/>
    <row r="1065" x14ac:dyDescent="0.2"/>
    <row r="1066" x14ac:dyDescent="0.2"/>
    <row r="1067" x14ac:dyDescent="0.2"/>
    <row r="1068" x14ac:dyDescent="0.2"/>
    <row r="1069" x14ac:dyDescent="0.2"/>
    <row r="1070" x14ac:dyDescent="0.2"/>
    <row r="1071" x14ac:dyDescent="0.2"/>
    <row r="1072" x14ac:dyDescent="0.2"/>
    <row r="1073" x14ac:dyDescent="0.2"/>
    <row r="1074" x14ac:dyDescent="0.2"/>
    <row r="1075" x14ac:dyDescent="0.2"/>
    <row r="1076" x14ac:dyDescent="0.2"/>
    <row r="1077" x14ac:dyDescent="0.2"/>
    <row r="1078" x14ac:dyDescent="0.2"/>
    <row r="1079" x14ac:dyDescent="0.2"/>
    <row r="1080" x14ac:dyDescent="0.2"/>
    <row r="1081" x14ac:dyDescent="0.2"/>
    <row r="1082" x14ac:dyDescent="0.2"/>
    <row r="1083" x14ac:dyDescent="0.2"/>
    <row r="1084" x14ac:dyDescent="0.2"/>
    <row r="1085" x14ac:dyDescent="0.2"/>
    <row r="1086" x14ac:dyDescent="0.2"/>
    <row r="1087" x14ac:dyDescent="0.2"/>
    <row r="1088" x14ac:dyDescent="0.2"/>
    <row r="1089" x14ac:dyDescent="0.2"/>
    <row r="1090" x14ac:dyDescent="0.2"/>
    <row r="1091" x14ac:dyDescent="0.2"/>
    <row r="1092" x14ac:dyDescent="0.2"/>
    <row r="1093" x14ac:dyDescent="0.2"/>
    <row r="1094" x14ac:dyDescent="0.2"/>
    <row r="1095" x14ac:dyDescent="0.2"/>
    <row r="1096" x14ac:dyDescent="0.2"/>
    <row r="1097" x14ac:dyDescent="0.2"/>
    <row r="1098" x14ac:dyDescent="0.2"/>
    <row r="1099" x14ac:dyDescent="0.2"/>
    <row r="1100" x14ac:dyDescent="0.2"/>
    <row r="1101" x14ac:dyDescent="0.2"/>
    <row r="1102" x14ac:dyDescent="0.2"/>
    <row r="1103" x14ac:dyDescent="0.2"/>
    <row r="1104" x14ac:dyDescent="0.2"/>
    <row r="1105" x14ac:dyDescent="0.2"/>
    <row r="1106" x14ac:dyDescent="0.2"/>
    <row r="1107" x14ac:dyDescent="0.2"/>
    <row r="1108" x14ac:dyDescent="0.2"/>
    <row r="1109" x14ac:dyDescent="0.2"/>
    <row r="1110" x14ac:dyDescent="0.2"/>
    <row r="1111" x14ac:dyDescent="0.2"/>
    <row r="1112" x14ac:dyDescent="0.2"/>
    <row r="1113" x14ac:dyDescent="0.2"/>
    <row r="1114" x14ac:dyDescent="0.2"/>
    <row r="1115" x14ac:dyDescent="0.2"/>
    <row r="1116" x14ac:dyDescent="0.2"/>
    <row r="1117" x14ac:dyDescent="0.2"/>
    <row r="1118" x14ac:dyDescent="0.2"/>
    <row r="1119" x14ac:dyDescent="0.2"/>
    <row r="1120" x14ac:dyDescent="0.2"/>
    <row r="1121" x14ac:dyDescent="0.2"/>
    <row r="1122" x14ac:dyDescent="0.2"/>
    <row r="1123" x14ac:dyDescent="0.2"/>
    <row r="1124" x14ac:dyDescent="0.2"/>
    <row r="1125" x14ac:dyDescent="0.2"/>
    <row r="1126" x14ac:dyDescent="0.2"/>
    <row r="1127" x14ac:dyDescent="0.2"/>
    <row r="1128" x14ac:dyDescent="0.2"/>
    <row r="1129" x14ac:dyDescent="0.2"/>
    <row r="1130" x14ac:dyDescent="0.2"/>
    <row r="1131" x14ac:dyDescent="0.2"/>
    <row r="1132" x14ac:dyDescent="0.2"/>
    <row r="1133" x14ac:dyDescent="0.2"/>
    <row r="1134" x14ac:dyDescent="0.2"/>
    <row r="1135" x14ac:dyDescent="0.2"/>
    <row r="1136" x14ac:dyDescent="0.2"/>
    <row r="1137" x14ac:dyDescent="0.2"/>
    <row r="1138" x14ac:dyDescent="0.2"/>
    <row r="1139" x14ac:dyDescent="0.2"/>
    <row r="1140" x14ac:dyDescent="0.2"/>
    <row r="1141" x14ac:dyDescent="0.2"/>
    <row r="1142" x14ac:dyDescent="0.2"/>
    <row r="1143" x14ac:dyDescent="0.2"/>
    <row r="1144" x14ac:dyDescent="0.2"/>
    <row r="1145" x14ac:dyDescent="0.2"/>
    <row r="1146" x14ac:dyDescent="0.2"/>
    <row r="1147" x14ac:dyDescent="0.2"/>
    <row r="1148" x14ac:dyDescent="0.2"/>
    <row r="1149" x14ac:dyDescent="0.2"/>
    <row r="1150" x14ac:dyDescent="0.2"/>
    <row r="1151" x14ac:dyDescent="0.2"/>
    <row r="1152" x14ac:dyDescent="0.2"/>
    <row r="1153" x14ac:dyDescent="0.2"/>
    <row r="1154" x14ac:dyDescent="0.2"/>
    <row r="1155" x14ac:dyDescent="0.2"/>
    <row r="1156" x14ac:dyDescent="0.2"/>
    <row r="1157" x14ac:dyDescent="0.2"/>
    <row r="1158" x14ac:dyDescent="0.2"/>
    <row r="1159" x14ac:dyDescent="0.2"/>
    <row r="1160" x14ac:dyDescent="0.2"/>
    <row r="1161" x14ac:dyDescent="0.2"/>
    <row r="1162" x14ac:dyDescent="0.2"/>
    <row r="1163" x14ac:dyDescent="0.2"/>
    <row r="1164" x14ac:dyDescent="0.2"/>
    <row r="1165" x14ac:dyDescent="0.2"/>
    <row r="1166" x14ac:dyDescent="0.2"/>
    <row r="1167" x14ac:dyDescent="0.2"/>
    <row r="1168" x14ac:dyDescent="0.2"/>
    <row r="1169" x14ac:dyDescent="0.2"/>
    <row r="1170" x14ac:dyDescent="0.2"/>
    <row r="1171" x14ac:dyDescent="0.2"/>
    <row r="1172" x14ac:dyDescent="0.2"/>
    <row r="1173" x14ac:dyDescent="0.2"/>
    <row r="1174" x14ac:dyDescent="0.2"/>
    <row r="1175" x14ac:dyDescent="0.2"/>
    <row r="1176" x14ac:dyDescent="0.2"/>
    <row r="1177" x14ac:dyDescent="0.2"/>
    <row r="1178" x14ac:dyDescent="0.2"/>
    <row r="1179" x14ac:dyDescent="0.2"/>
    <row r="1180" x14ac:dyDescent="0.2"/>
    <row r="1181" x14ac:dyDescent="0.2"/>
    <row r="1182" x14ac:dyDescent="0.2"/>
    <row r="1183" x14ac:dyDescent="0.2"/>
    <row r="1184" x14ac:dyDescent="0.2"/>
    <row r="1185" x14ac:dyDescent="0.2"/>
    <row r="1186" x14ac:dyDescent="0.2"/>
    <row r="1187" x14ac:dyDescent="0.2"/>
    <row r="1188" x14ac:dyDescent="0.2"/>
    <row r="1189" x14ac:dyDescent="0.2"/>
    <row r="1190" x14ac:dyDescent="0.2"/>
    <row r="1191" x14ac:dyDescent="0.2"/>
    <row r="1192" x14ac:dyDescent="0.2"/>
    <row r="1193" x14ac:dyDescent="0.2"/>
    <row r="1194" x14ac:dyDescent="0.2"/>
    <row r="1195" x14ac:dyDescent="0.2"/>
    <row r="1196" x14ac:dyDescent="0.2"/>
    <row r="1197" x14ac:dyDescent="0.2"/>
    <row r="1198" x14ac:dyDescent="0.2"/>
    <row r="1199" x14ac:dyDescent="0.2"/>
    <row r="1200" x14ac:dyDescent="0.2"/>
    <row r="1201" x14ac:dyDescent="0.2"/>
    <row r="1202" x14ac:dyDescent="0.2"/>
    <row r="1203" x14ac:dyDescent="0.2"/>
    <row r="1204" x14ac:dyDescent="0.2"/>
    <row r="1205" x14ac:dyDescent="0.2"/>
    <row r="1206" x14ac:dyDescent="0.2"/>
    <row r="1207" x14ac:dyDescent="0.2"/>
    <row r="1208" x14ac:dyDescent="0.2"/>
    <row r="1209" x14ac:dyDescent="0.2"/>
    <row r="1210" x14ac:dyDescent="0.2"/>
    <row r="1211" x14ac:dyDescent="0.2"/>
    <row r="1212" x14ac:dyDescent="0.2"/>
    <row r="1213" x14ac:dyDescent="0.2"/>
    <row r="1214" x14ac:dyDescent="0.2"/>
    <row r="1215" x14ac:dyDescent="0.2"/>
    <row r="1216" x14ac:dyDescent="0.2"/>
    <row r="1217" x14ac:dyDescent="0.2"/>
    <row r="1218" x14ac:dyDescent="0.2"/>
    <row r="1219" x14ac:dyDescent="0.2"/>
    <row r="1220" x14ac:dyDescent="0.2"/>
    <row r="1221" x14ac:dyDescent="0.2"/>
    <row r="1222" x14ac:dyDescent="0.2"/>
    <row r="1223" x14ac:dyDescent="0.2"/>
    <row r="1224" x14ac:dyDescent="0.2"/>
    <row r="1225" x14ac:dyDescent="0.2"/>
    <row r="1226" x14ac:dyDescent="0.2"/>
    <row r="1227" x14ac:dyDescent="0.2"/>
    <row r="1228" x14ac:dyDescent="0.2"/>
    <row r="1229" x14ac:dyDescent="0.2"/>
    <row r="1230" x14ac:dyDescent="0.2"/>
    <row r="1231" x14ac:dyDescent="0.2"/>
    <row r="1232" x14ac:dyDescent="0.2"/>
    <row r="1233" x14ac:dyDescent="0.2"/>
    <row r="1234" x14ac:dyDescent="0.2"/>
    <row r="1235" x14ac:dyDescent="0.2"/>
    <row r="1236" x14ac:dyDescent="0.2"/>
    <row r="1237" x14ac:dyDescent="0.2"/>
    <row r="1238" x14ac:dyDescent="0.2"/>
    <row r="1239" x14ac:dyDescent="0.2"/>
    <row r="1240" x14ac:dyDescent="0.2"/>
    <row r="1241" x14ac:dyDescent="0.2"/>
    <row r="1242" x14ac:dyDescent="0.2"/>
    <row r="1243" x14ac:dyDescent="0.2"/>
    <row r="1244" x14ac:dyDescent="0.2"/>
    <row r="1245" x14ac:dyDescent="0.2"/>
    <row r="1246" x14ac:dyDescent="0.2"/>
    <row r="1247" x14ac:dyDescent="0.2"/>
    <row r="1248" x14ac:dyDescent="0.2"/>
    <row r="1249" x14ac:dyDescent="0.2"/>
    <row r="1250" x14ac:dyDescent="0.2"/>
    <row r="1251" x14ac:dyDescent="0.2"/>
    <row r="1252" x14ac:dyDescent="0.2"/>
    <row r="1253" x14ac:dyDescent="0.2"/>
    <row r="1254" x14ac:dyDescent="0.2"/>
    <row r="1255" x14ac:dyDescent="0.2"/>
    <row r="1256" x14ac:dyDescent="0.2"/>
    <row r="1257" x14ac:dyDescent="0.2"/>
    <row r="1258" x14ac:dyDescent="0.2"/>
    <row r="1259" x14ac:dyDescent="0.2"/>
    <row r="1260" x14ac:dyDescent="0.2"/>
    <row r="1261" x14ac:dyDescent="0.2"/>
    <row r="1262" x14ac:dyDescent="0.2"/>
    <row r="1263" x14ac:dyDescent="0.2"/>
    <row r="1264" x14ac:dyDescent="0.2"/>
    <row r="1265" x14ac:dyDescent="0.2"/>
    <row r="1266" x14ac:dyDescent="0.2"/>
    <row r="1267" x14ac:dyDescent="0.2"/>
    <row r="1268" x14ac:dyDescent="0.2"/>
    <row r="1269" x14ac:dyDescent="0.2"/>
    <row r="1270" x14ac:dyDescent="0.2"/>
    <row r="1271" x14ac:dyDescent="0.2"/>
    <row r="1272" x14ac:dyDescent="0.2"/>
    <row r="1273" x14ac:dyDescent="0.2"/>
    <row r="1274" x14ac:dyDescent="0.2"/>
    <row r="1275" x14ac:dyDescent="0.2"/>
    <row r="1276" x14ac:dyDescent="0.2"/>
    <row r="1277" x14ac:dyDescent="0.2"/>
    <row r="1278" x14ac:dyDescent="0.2"/>
    <row r="1279" x14ac:dyDescent="0.2"/>
    <row r="1280" x14ac:dyDescent="0.2"/>
    <row r="1281" x14ac:dyDescent="0.2"/>
    <row r="1282" x14ac:dyDescent="0.2"/>
    <row r="1283" x14ac:dyDescent="0.2"/>
    <row r="1284" x14ac:dyDescent="0.2"/>
    <row r="1285" x14ac:dyDescent="0.2"/>
    <row r="1286" x14ac:dyDescent="0.2"/>
    <row r="1287" x14ac:dyDescent="0.2"/>
    <row r="1288" x14ac:dyDescent="0.2"/>
    <row r="1289" x14ac:dyDescent="0.2"/>
    <row r="1290" x14ac:dyDescent="0.2"/>
    <row r="1291" x14ac:dyDescent="0.2"/>
    <row r="1292" x14ac:dyDescent="0.2"/>
    <row r="1293" x14ac:dyDescent="0.2"/>
    <row r="1294" x14ac:dyDescent="0.2"/>
    <row r="1295" x14ac:dyDescent="0.2"/>
    <row r="1296" x14ac:dyDescent="0.2"/>
    <row r="1297" x14ac:dyDescent="0.2"/>
    <row r="1298" x14ac:dyDescent="0.2"/>
    <row r="1299" x14ac:dyDescent="0.2"/>
    <row r="1300" x14ac:dyDescent="0.2"/>
    <row r="1301" x14ac:dyDescent="0.2"/>
    <row r="1302" x14ac:dyDescent="0.2"/>
    <row r="1303" x14ac:dyDescent="0.2"/>
    <row r="1304" x14ac:dyDescent="0.2"/>
    <row r="1305" x14ac:dyDescent="0.2"/>
    <row r="1306" x14ac:dyDescent="0.2"/>
    <row r="1307" x14ac:dyDescent="0.2"/>
    <row r="1308" x14ac:dyDescent="0.2"/>
    <row r="1309" x14ac:dyDescent="0.2"/>
    <row r="1310" x14ac:dyDescent="0.2"/>
    <row r="1311" x14ac:dyDescent="0.2"/>
    <row r="1312" x14ac:dyDescent="0.2"/>
    <row r="1313" x14ac:dyDescent="0.2"/>
    <row r="1314" x14ac:dyDescent="0.2"/>
    <row r="1315" x14ac:dyDescent="0.2"/>
    <row r="1316" x14ac:dyDescent="0.2"/>
    <row r="1317" x14ac:dyDescent="0.2"/>
    <row r="1318" x14ac:dyDescent="0.2"/>
    <row r="1319" x14ac:dyDescent="0.2"/>
    <row r="1320" x14ac:dyDescent="0.2"/>
    <row r="1321" x14ac:dyDescent="0.2"/>
    <row r="1322" x14ac:dyDescent="0.2"/>
    <row r="1323" x14ac:dyDescent="0.2"/>
    <row r="1324" x14ac:dyDescent="0.2"/>
    <row r="1325" x14ac:dyDescent="0.2"/>
    <row r="1326" x14ac:dyDescent="0.2"/>
    <row r="1327" x14ac:dyDescent="0.2"/>
    <row r="1328" x14ac:dyDescent="0.2"/>
  </sheetData>
  <pageMargins left="0.25" right="0.25" top="0.75" bottom="0.75" header="0.3" footer="0.3"/>
  <pageSetup paperSize="9" scale="3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D94DF-4BA3-4282-8C08-1C9DB42D834F}">
  <sheetPr codeName="Sheet4">
    <tabColor rgb="FFFFFF00"/>
  </sheetPr>
  <dimension ref="A1:AQ83"/>
  <sheetViews>
    <sheetView showGridLines="0" workbookViewId="0">
      <selection activeCell="H9" sqref="H9"/>
    </sheetView>
  </sheetViews>
  <sheetFormatPr defaultColWidth="8" defaultRowHeight="12.75" x14ac:dyDescent="0.2"/>
  <cols>
    <col min="1" max="1" width="2.625" style="1" customWidth="1"/>
    <col min="2" max="2" width="5.25" style="1" customWidth="1"/>
    <col min="3" max="3" width="10.75" style="1" customWidth="1"/>
    <col min="4" max="4" width="7.625" style="1" customWidth="1"/>
    <col min="5" max="5" width="25" style="1" customWidth="1"/>
    <col min="6" max="6" width="15.125" style="1" customWidth="1"/>
    <col min="7" max="7" width="14" style="1" customWidth="1"/>
    <col min="8" max="8" width="14.75" style="1" customWidth="1"/>
    <col min="9" max="28" width="8.625" style="1" customWidth="1"/>
    <col min="29" max="16384" width="8" style="1"/>
  </cols>
  <sheetData>
    <row r="1" spans="1:39" ht="18.75" x14ac:dyDescent="0.3">
      <c r="A1" s="15" t="str">
        <f>bus</f>
        <v>Powercor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39" ht="18.75" x14ac:dyDescent="0.3">
      <c r="A2" s="56" t="str">
        <f>proj</f>
        <v>Apollo Bay microgrid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39" ht="18.75" x14ac:dyDescent="0.3">
      <c r="A3" s="5" t="s">
        <v>398</v>
      </c>
      <c r="B3" s="323"/>
      <c r="C3" s="5"/>
      <c r="D3" s="5"/>
    </row>
    <row r="5" spans="1:39" ht="15" x14ac:dyDescent="0.2">
      <c r="A5" s="324"/>
      <c r="B5" s="324"/>
      <c r="C5" s="324"/>
      <c r="D5" s="324"/>
      <c r="E5" s="324"/>
      <c r="F5" s="324"/>
      <c r="G5" s="324"/>
      <c r="H5" s="324"/>
      <c r="I5" s="324"/>
      <c r="J5" s="324"/>
      <c r="K5" s="324"/>
      <c r="L5" s="324"/>
      <c r="M5" s="324"/>
      <c r="N5" s="324"/>
      <c r="O5" s="324"/>
      <c r="P5" s="324"/>
      <c r="Q5" s="324"/>
      <c r="R5" s="324"/>
      <c r="S5" s="324"/>
      <c r="T5" s="324"/>
      <c r="U5" s="324"/>
      <c r="V5" s="324"/>
      <c r="W5" s="324"/>
      <c r="X5" s="324"/>
      <c r="Y5" s="324"/>
      <c r="Z5" s="324"/>
      <c r="AA5" s="324"/>
      <c r="AB5" s="324"/>
      <c r="AC5" s="324"/>
      <c r="AD5" s="324"/>
      <c r="AE5" s="324"/>
      <c r="AF5" s="324"/>
      <c r="AG5" s="324"/>
    </row>
    <row r="6" spans="1:39" x14ac:dyDescent="0.2">
      <c r="C6" s="3"/>
      <c r="D6" s="3"/>
    </row>
    <row r="8" spans="1:39" s="168" customFormat="1" x14ac:dyDescent="0.2">
      <c r="A8" s="115"/>
      <c r="B8" s="115"/>
      <c r="C8" s="115" t="s">
        <v>408</v>
      </c>
      <c r="E8" s="363" t="s">
        <v>409</v>
      </c>
      <c r="I8" s="364">
        <v>1.053890733824788</v>
      </c>
      <c r="J8" s="364">
        <v>1.0666217120447248</v>
      </c>
      <c r="K8" s="364">
        <v>1.0878827711997192</v>
      </c>
      <c r="L8" s="364">
        <v>1.1077331824357628</v>
      </c>
      <c r="M8" s="364">
        <v>1.1171437781363887</v>
      </c>
      <c r="N8" s="364">
        <v>1.1263510236297967</v>
      </c>
      <c r="O8" s="364">
        <v>1.1466801028433204</v>
      </c>
      <c r="P8" s="364">
        <v>1.1692135652496427</v>
      </c>
      <c r="Q8" s="364">
        <v>1.1810121451120461</v>
      </c>
      <c r="R8" s="364">
        <v>1.1810121451120461</v>
      </c>
      <c r="S8" s="364">
        <v>1.1810121451120461</v>
      </c>
      <c r="T8" s="364">
        <v>1.1810121451120461</v>
      </c>
      <c r="U8" s="364">
        <v>1.1810121451120461</v>
      </c>
      <c r="V8" s="364">
        <v>1.1810121451120461</v>
      </c>
      <c r="W8" s="364">
        <v>1.1810121451120461</v>
      </c>
      <c r="X8" s="364">
        <v>1.1810121451120461</v>
      </c>
      <c r="Y8" s="364">
        <v>1.1810121451120461</v>
      </c>
      <c r="Z8" s="364">
        <v>1.1810121451120461</v>
      </c>
      <c r="AA8" s="364">
        <v>1.1810121451120461</v>
      </c>
      <c r="AB8" s="364">
        <v>1.1810121451120461</v>
      </c>
      <c r="AC8" s="364">
        <v>1.1810121451120461</v>
      </c>
      <c r="AD8" s="364">
        <v>1.1810121451120461</v>
      </c>
      <c r="AE8" s="364">
        <v>1.1810121451120461</v>
      </c>
      <c r="AF8" s="364">
        <v>1.1810121451120461</v>
      </c>
      <c r="AG8" s="364">
        <v>1.1810121451120461</v>
      </c>
    </row>
    <row r="10" spans="1:39" x14ac:dyDescent="0.2">
      <c r="C10" s="8" t="s">
        <v>410</v>
      </c>
      <c r="F10" s="345">
        <v>0.42599999999999999</v>
      </c>
    </row>
    <row r="11" spans="1:39" x14ac:dyDescent="0.2">
      <c r="C11" s="326" t="s">
        <v>401</v>
      </c>
      <c r="D11" s="327"/>
      <c r="F11" s="330">
        <v>0</v>
      </c>
    </row>
    <row r="12" spans="1:39" s="8" customFormat="1" x14ac:dyDescent="0.2">
      <c r="I12" s="66"/>
      <c r="J12" s="66"/>
    </row>
    <row r="13" spans="1:39" s="8" customFormat="1" x14ac:dyDescent="0.2">
      <c r="C13" s="8" t="s">
        <v>430</v>
      </c>
      <c r="F13" s="347">
        <f>F10*(1+solar_demand_correction)</f>
        <v>0.42599999999999999</v>
      </c>
      <c r="H13" s="43"/>
      <c r="I13" s="43"/>
      <c r="J13" s="43"/>
    </row>
    <row r="14" spans="1:39" s="8" customFormat="1" x14ac:dyDescent="0.2">
      <c r="C14" s="8" t="s">
        <v>429</v>
      </c>
      <c r="F14" s="348">
        <v>428</v>
      </c>
      <c r="H14" s="43"/>
      <c r="I14" s="43"/>
      <c r="J14" s="43"/>
    </row>
    <row r="15" spans="1:39" s="8" customFormat="1" x14ac:dyDescent="0.2">
      <c r="C15" s="8" t="s">
        <v>411</v>
      </c>
      <c r="D15" s="14"/>
      <c r="F15" s="348">
        <v>2</v>
      </c>
      <c r="G15" s="346" t="s">
        <v>412</v>
      </c>
      <c r="H15" s="43"/>
      <c r="I15" s="43"/>
      <c r="J15" s="43"/>
    </row>
    <row r="16" spans="1:39" x14ac:dyDescent="0.2">
      <c r="C16" s="6"/>
      <c r="D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 spans="1:43" x14ac:dyDescent="0.2">
      <c r="C17" s="6"/>
      <c r="D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 spans="1:43" ht="12.75" customHeight="1" x14ac:dyDescent="0.2">
      <c r="A18" s="325"/>
      <c r="B18" s="325"/>
      <c r="C18" s="326" t="s">
        <v>403</v>
      </c>
      <c r="D18" s="343"/>
      <c r="F18" s="349">
        <v>25.1</v>
      </c>
      <c r="G18" s="344"/>
      <c r="H18" s="343"/>
      <c r="I18" s="343"/>
      <c r="J18" s="343"/>
      <c r="K18" s="343"/>
      <c r="L18" s="343"/>
      <c r="M18" s="343"/>
      <c r="N18" s="343"/>
      <c r="O18" s="343"/>
      <c r="P18" s="343"/>
      <c r="Q18" s="343"/>
      <c r="R18" s="343"/>
      <c r="S18" s="343"/>
      <c r="T18" s="343"/>
      <c r="U18" s="343"/>
      <c r="V18" s="343"/>
      <c r="W18" s="343"/>
      <c r="X18" s="343"/>
      <c r="Y18" s="343"/>
      <c r="Z18" s="343"/>
      <c r="AA18" s="343"/>
      <c r="AB18" s="343"/>
      <c r="AC18" s="343"/>
      <c r="AD18" s="343"/>
      <c r="AE18" s="343"/>
      <c r="AF18" s="343"/>
      <c r="AG18" s="343"/>
      <c r="AH18" s="8"/>
      <c r="AI18" s="8"/>
      <c r="AJ18" s="8"/>
      <c r="AK18" s="8"/>
      <c r="AL18" s="8"/>
      <c r="AM18" s="8"/>
      <c r="AN18"/>
      <c r="AO18"/>
      <c r="AP18"/>
      <c r="AQ18"/>
    </row>
    <row r="19" spans="1:43" ht="12.75" customHeight="1" x14ac:dyDescent="0.2">
      <c r="A19" s="325"/>
      <c r="B19" s="325"/>
      <c r="C19" s="326" t="s">
        <v>404</v>
      </c>
      <c r="D19" s="343"/>
      <c r="F19" s="350">
        <f>'Reliability data'!K4/60</f>
        <v>14.616666666666667</v>
      </c>
      <c r="G19" s="344"/>
      <c r="H19" s="343"/>
      <c r="I19" s="343"/>
      <c r="J19" s="343"/>
      <c r="K19" s="343"/>
      <c r="L19" s="343"/>
      <c r="M19" s="343"/>
      <c r="N19" s="343"/>
      <c r="O19" s="343"/>
      <c r="P19" s="343"/>
      <c r="Q19" s="343"/>
      <c r="R19" s="343"/>
      <c r="S19" s="343"/>
      <c r="T19" s="343"/>
      <c r="U19" s="343"/>
      <c r="V19" s="343"/>
      <c r="W19" s="343"/>
      <c r="X19" s="343"/>
      <c r="Y19" s="343"/>
      <c r="Z19" s="343"/>
      <c r="AA19" s="343"/>
      <c r="AB19" s="343"/>
      <c r="AC19" s="343"/>
      <c r="AD19" s="343"/>
      <c r="AE19" s="343"/>
      <c r="AF19" s="343"/>
      <c r="AG19" s="343"/>
      <c r="AH19" s="8"/>
      <c r="AI19" s="8"/>
      <c r="AJ19" s="8"/>
      <c r="AK19" s="8"/>
      <c r="AL19" s="8"/>
      <c r="AM19" s="8"/>
      <c r="AN19"/>
      <c r="AO19"/>
      <c r="AP19"/>
      <c r="AQ19"/>
    </row>
    <row r="20" spans="1:43" ht="12.75" customHeight="1" x14ac:dyDescent="0.2">
      <c r="A20" s="325"/>
      <c r="B20" s="325"/>
      <c r="C20" s="343"/>
      <c r="D20" s="343"/>
      <c r="F20" s="343"/>
      <c r="G20" s="343"/>
      <c r="H20" s="343"/>
      <c r="I20" s="343"/>
      <c r="J20" s="343"/>
      <c r="K20" s="343"/>
      <c r="L20" s="343"/>
      <c r="M20" s="343"/>
      <c r="N20" s="343"/>
      <c r="O20" s="343"/>
      <c r="P20" s="343"/>
      <c r="Q20" s="343"/>
      <c r="R20" s="343"/>
      <c r="S20" s="343"/>
      <c r="T20" s="343"/>
      <c r="U20" s="343"/>
      <c r="V20" s="343"/>
      <c r="W20" s="343"/>
      <c r="X20" s="343"/>
      <c r="Y20" s="343"/>
      <c r="Z20" s="343"/>
      <c r="AA20" s="343"/>
      <c r="AB20" s="343"/>
      <c r="AC20" s="343"/>
      <c r="AD20" s="343"/>
      <c r="AE20" s="343"/>
      <c r="AF20" s="343"/>
      <c r="AG20" s="343"/>
      <c r="AH20" s="8"/>
      <c r="AI20" s="8"/>
      <c r="AJ20" s="8"/>
      <c r="AK20" s="8"/>
      <c r="AL20" s="8"/>
      <c r="AM20" s="8"/>
      <c r="AN20"/>
      <c r="AO20"/>
      <c r="AP20"/>
      <c r="AQ20"/>
    </row>
    <row r="21" spans="1:43" ht="12.75" customHeight="1" x14ac:dyDescent="0.2">
      <c r="A21" s="325"/>
      <c r="B21" s="325"/>
      <c r="C21" s="326" t="s">
        <v>402</v>
      </c>
      <c r="D21" s="343"/>
      <c r="F21" s="330">
        <v>0</v>
      </c>
      <c r="G21" s="6"/>
      <c r="H21" s="343"/>
      <c r="I21" s="343"/>
      <c r="J21" s="343"/>
      <c r="K21" s="343"/>
      <c r="L21" s="343"/>
      <c r="M21" s="343"/>
      <c r="N21" s="343"/>
      <c r="O21" s="343"/>
      <c r="P21" s="343"/>
      <c r="Q21" s="343"/>
      <c r="R21" s="343"/>
      <c r="S21" s="343"/>
      <c r="T21" s="343"/>
      <c r="U21" s="343"/>
      <c r="V21" s="343"/>
      <c r="W21" s="343"/>
      <c r="X21" s="343"/>
      <c r="Y21" s="343"/>
      <c r="Z21" s="343"/>
      <c r="AA21" s="343"/>
      <c r="AB21" s="343"/>
      <c r="AC21" s="343"/>
      <c r="AD21" s="343"/>
      <c r="AE21" s="343"/>
      <c r="AF21" s="343"/>
      <c r="AG21" s="343"/>
      <c r="AH21" s="8"/>
      <c r="AI21" s="8"/>
      <c r="AJ21" s="8"/>
      <c r="AK21" s="8"/>
      <c r="AL21" s="8"/>
      <c r="AM21" s="8"/>
      <c r="AN21"/>
      <c r="AO21"/>
      <c r="AP21"/>
      <c r="AQ21"/>
    </row>
    <row r="22" spans="1:43" x14ac:dyDescent="0.2">
      <c r="C22" s="6"/>
      <c r="D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spans="1:43" x14ac:dyDescent="0.2">
      <c r="C23" s="6"/>
      <c r="D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43" x14ac:dyDescent="0.2">
      <c r="C24" s="30"/>
      <c r="D24" s="30"/>
      <c r="E24" s="30"/>
      <c r="F24" s="30"/>
      <c r="G24" s="30"/>
      <c r="H24" s="30"/>
      <c r="I24" s="70" t="str">
        <f>'Option1 (base case)'!I$9</f>
        <v>2026-27</v>
      </c>
      <c r="J24" s="70" t="str">
        <f>'Option1 (base case)'!J$9</f>
        <v>2027-28</v>
      </c>
      <c r="K24" s="70" t="str">
        <f>'Option1 (base case)'!K$9</f>
        <v>2028-29</v>
      </c>
      <c r="L24" s="70" t="str">
        <f>'Option1 (base case)'!L$9</f>
        <v>2029-30</v>
      </c>
      <c r="M24" s="70" t="str">
        <f>'Option1 (base case)'!M$9</f>
        <v>2030-31</v>
      </c>
      <c r="N24" s="70" t="str">
        <f>'Option1 (base case)'!N$9</f>
        <v>2031-32</v>
      </c>
      <c r="O24" s="70" t="str">
        <f>'Option1 (base case)'!O$9</f>
        <v>2032-33</v>
      </c>
      <c r="P24" s="70" t="str">
        <f>'Option1 (base case)'!P$9</f>
        <v>2033-34</v>
      </c>
      <c r="Q24" s="70" t="str">
        <f>'Option1 (base case)'!Q$9</f>
        <v>2034-35</v>
      </c>
      <c r="R24" s="70" t="str">
        <f>'Option1 (base case)'!R$9</f>
        <v>2035-36</v>
      </c>
      <c r="S24" s="70" t="str">
        <f>'Option1 (base case)'!S$9</f>
        <v>2036-37</v>
      </c>
      <c r="T24" s="70" t="str">
        <f>'Option1 (base case)'!T$9</f>
        <v>2037-38</v>
      </c>
      <c r="U24" s="70" t="str">
        <f>'Option1 (base case)'!U$9</f>
        <v>2038-39</v>
      </c>
      <c r="V24" s="70" t="str">
        <f>'Option1 (base case)'!V$9</f>
        <v>2039-40</v>
      </c>
      <c r="W24" s="70" t="str">
        <f>'Option1 (base case)'!W$9</f>
        <v>2040-41</v>
      </c>
      <c r="X24" s="70" t="str">
        <f>'Option1 (base case)'!X$9</f>
        <v>2041-42</v>
      </c>
      <c r="Y24" s="70" t="str">
        <f>'Option1 (base case)'!Y$9</f>
        <v>2042-43</v>
      </c>
      <c r="Z24" s="70" t="str">
        <f>'Option1 (base case)'!Z$9</f>
        <v>2043-44</v>
      </c>
      <c r="AA24" s="70" t="str">
        <f>'Option1 (base case)'!AA$9</f>
        <v>2044-45</v>
      </c>
      <c r="AB24" s="70" t="str">
        <f>'Option1 (base case)'!AB$9</f>
        <v>2045-46</v>
      </c>
      <c r="AC24" s="70" t="str">
        <f>'Option1 (base case)'!AC$9</f>
        <v>2046-47</v>
      </c>
      <c r="AD24" s="70" t="str">
        <f>'Option1 (base case)'!AD$9</f>
        <v>2047-48</v>
      </c>
      <c r="AE24" s="70" t="str">
        <f>'Option1 (base case)'!AE$9</f>
        <v>2048-49</v>
      </c>
      <c r="AF24" s="70" t="str">
        <f>'Option1 (base case)'!AF$9</f>
        <v>2049-50</v>
      </c>
      <c r="AG24" s="70" t="str">
        <f>'Option1 (base case)'!AG$9</f>
        <v>2050-51</v>
      </c>
      <c r="AH24" s="6"/>
      <c r="AI24" s="6"/>
      <c r="AJ24" s="6"/>
      <c r="AK24" s="6"/>
      <c r="AL24" s="6"/>
      <c r="AM24" s="6"/>
    </row>
    <row r="25" spans="1:43" ht="12.75" customHeight="1" x14ac:dyDescent="0.2">
      <c r="C25" s="353" t="s">
        <v>405</v>
      </c>
      <c r="D25" s="351"/>
      <c r="E25" s="351"/>
      <c r="F25" s="351"/>
      <c r="G25" s="254"/>
      <c r="H25" s="351"/>
      <c r="I25" s="254">
        <v>1</v>
      </c>
      <c r="J25" s="254">
        <f t="shared" ref="J25:AG25" si="0">I25+$F$21/(2046-2026)</f>
        <v>1</v>
      </c>
      <c r="K25" s="254">
        <f t="shared" si="0"/>
        <v>1</v>
      </c>
      <c r="L25" s="254">
        <f t="shared" si="0"/>
        <v>1</v>
      </c>
      <c r="M25" s="254">
        <f t="shared" si="0"/>
        <v>1</v>
      </c>
      <c r="N25" s="254">
        <f t="shared" si="0"/>
        <v>1</v>
      </c>
      <c r="O25" s="254">
        <f t="shared" si="0"/>
        <v>1</v>
      </c>
      <c r="P25" s="254">
        <f t="shared" si="0"/>
        <v>1</v>
      </c>
      <c r="Q25" s="254">
        <f t="shared" si="0"/>
        <v>1</v>
      </c>
      <c r="R25" s="254">
        <f t="shared" si="0"/>
        <v>1</v>
      </c>
      <c r="S25" s="254">
        <f t="shared" si="0"/>
        <v>1</v>
      </c>
      <c r="T25" s="254">
        <f t="shared" si="0"/>
        <v>1</v>
      </c>
      <c r="U25" s="254">
        <f t="shared" si="0"/>
        <v>1</v>
      </c>
      <c r="V25" s="254">
        <f t="shared" si="0"/>
        <v>1</v>
      </c>
      <c r="W25" s="254">
        <f t="shared" si="0"/>
        <v>1</v>
      </c>
      <c r="X25" s="254">
        <f t="shared" si="0"/>
        <v>1</v>
      </c>
      <c r="Y25" s="254">
        <f t="shared" si="0"/>
        <v>1</v>
      </c>
      <c r="Z25" s="254">
        <f t="shared" si="0"/>
        <v>1</v>
      </c>
      <c r="AA25" s="254">
        <f t="shared" si="0"/>
        <v>1</v>
      </c>
      <c r="AB25" s="254">
        <f t="shared" si="0"/>
        <v>1</v>
      </c>
      <c r="AC25" s="254">
        <f t="shared" si="0"/>
        <v>1</v>
      </c>
      <c r="AD25" s="254">
        <f t="shared" si="0"/>
        <v>1</v>
      </c>
      <c r="AE25" s="254">
        <f t="shared" si="0"/>
        <v>1</v>
      </c>
      <c r="AF25" s="254">
        <f t="shared" si="0"/>
        <v>1</v>
      </c>
      <c r="AG25" s="254">
        <f t="shared" si="0"/>
        <v>1</v>
      </c>
      <c r="AH25" s="8"/>
      <c r="AI25" s="8"/>
      <c r="AJ25" s="8"/>
      <c r="AK25" s="8"/>
      <c r="AL25" s="8"/>
      <c r="AM25" s="8"/>
      <c r="AN25"/>
      <c r="AO25"/>
      <c r="AP25"/>
      <c r="AQ25"/>
    </row>
    <row r="26" spans="1:43" ht="12.75" customHeight="1" x14ac:dyDescent="0.2">
      <c r="A26" s="325"/>
      <c r="B26" s="325"/>
      <c r="C26" s="353" t="s">
        <v>406</v>
      </c>
      <c r="D26" s="254"/>
      <c r="E26" s="351"/>
      <c r="F26" s="352"/>
      <c r="G26" s="254"/>
      <c r="H26" s="351"/>
      <c r="I26" s="354">
        <v>6.4323964000000001E-3</v>
      </c>
      <c r="J26" s="354">
        <v>6.4492007999999998E-3</v>
      </c>
      <c r="K26" s="354">
        <v>6.4660051999999996E-3</v>
      </c>
      <c r="L26" s="354">
        <v>6.4828095999999993E-3</v>
      </c>
      <c r="M26" s="354">
        <v>6.499613999999999E-3</v>
      </c>
      <c r="N26" s="354">
        <v>6.4634383999999994E-3</v>
      </c>
      <c r="O26" s="354">
        <v>6.4272627999999998E-3</v>
      </c>
      <c r="P26" s="354">
        <v>6.3910872000000002E-3</v>
      </c>
      <c r="Q26" s="354">
        <v>6.3549116000000006E-3</v>
      </c>
      <c r="R26" s="354">
        <v>6.318736000000001E-3</v>
      </c>
      <c r="S26" s="354">
        <v>6.2825604000000014E-3</v>
      </c>
      <c r="T26" s="354">
        <v>6.2463848000000018E-3</v>
      </c>
      <c r="U26" s="354">
        <v>6.2102092000000022E-3</v>
      </c>
      <c r="V26" s="354">
        <v>6.1740336000000026E-3</v>
      </c>
      <c r="W26" s="354">
        <v>6.137858000000003E-3</v>
      </c>
      <c r="X26" s="354">
        <v>6.1016824000000034E-3</v>
      </c>
      <c r="Y26" s="354">
        <v>6.0655068000000038E-3</v>
      </c>
      <c r="Z26" s="354">
        <v>6.0293312000000042E-3</v>
      </c>
      <c r="AA26" s="354">
        <v>5.9931556000000046E-3</v>
      </c>
      <c r="AB26" s="354">
        <v>5.9569800000000049E-3</v>
      </c>
      <c r="AC26" s="354">
        <v>5.9208044000000053E-3</v>
      </c>
      <c r="AD26" s="354">
        <v>5.8846288000000057E-3</v>
      </c>
      <c r="AE26" s="354">
        <v>5.8484532000000061E-3</v>
      </c>
      <c r="AF26" s="354">
        <v>5.8122776000000065E-3</v>
      </c>
      <c r="AG26" s="354">
        <v>5.7761020000000069E-3</v>
      </c>
      <c r="AH26" s="8"/>
      <c r="AI26" s="8"/>
      <c r="AJ26" s="8"/>
      <c r="AK26" s="8"/>
      <c r="AL26" s="8"/>
      <c r="AM26" s="8"/>
      <c r="AN26"/>
      <c r="AO26"/>
      <c r="AP26"/>
      <c r="AQ26"/>
    </row>
    <row r="27" spans="1:43" ht="12.75" customHeight="1" x14ac:dyDescent="0.2">
      <c r="A27" s="325"/>
      <c r="B27" s="325"/>
      <c r="C27" s="353" t="s">
        <v>407</v>
      </c>
      <c r="D27" s="254"/>
      <c r="E27" s="351"/>
      <c r="F27" s="254"/>
      <c r="G27" s="351"/>
      <c r="H27" s="351"/>
      <c r="I27" s="355">
        <v>1</v>
      </c>
      <c r="J27" s="355">
        <v>0.99123807770421746</v>
      </c>
      <c r="K27" s="355">
        <v>0.9824761554084348</v>
      </c>
      <c r="L27" s="355">
        <v>0.97371423311265604</v>
      </c>
      <c r="M27" s="355">
        <v>0.96495231081687349</v>
      </c>
      <c r="N27" s="355">
        <v>0.96965493640287259</v>
      </c>
      <c r="O27" s="355">
        <v>0.97435756198886792</v>
      </c>
      <c r="P27" s="355">
        <v>0.97906018757486513</v>
      </c>
      <c r="Q27" s="355">
        <v>0.98376281316086045</v>
      </c>
      <c r="R27" s="355">
        <v>0.98846543874685577</v>
      </c>
      <c r="S27" s="355">
        <v>0.99316806433285298</v>
      </c>
      <c r="T27" s="355">
        <v>0.99787068991884831</v>
      </c>
      <c r="U27" s="355">
        <v>1.0025733155048435</v>
      </c>
      <c r="V27" s="355">
        <v>1.0072759410908407</v>
      </c>
      <c r="W27" s="355">
        <v>1.0119785666768362</v>
      </c>
      <c r="X27" s="355">
        <v>1.0166811922628314</v>
      </c>
      <c r="Y27" s="355">
        <v>1.0213838178488286</v>
      </c>
      <c r="Z27" s="355">
        <v>1.026086443434824</v>
      </c>
      <c r="AA27" s="355">
        <v>1.0307890690208212</v>
      </c>
      <c r="AB27" s="355">
        <v>1.0354916946068164</v>
      </c>
      <c r="AC27" s="355">
        <v>1.0401943201928119</v>
      </c>
      <c r="AD27" s="355">
        <v>1.0448969457788091</v>
      </c>
      <c r="AE27" s="355">
        <v>1.0495995713648043</v>
      </c>
      <c r="AF27" s="355">
        <v>1.0543021969507997</v>
      </c>
      <c r="AG27" s="355">
        <v>1.059004822536797</v>
      </c>
      <c r="AH27" s="8"/>
      <c r="AI27" s="8"/>
      <c r="AJ27" s="8"/>
      <c r="AK27" s="8"/>
      <c r="AL27" s="8"/>
      <c r="AM27" s="8"/>
      <c r="AN27"/>
      <c r="AO27"/>
      <c r="AP27"/>
      <c r="AQ27"/>
    </row>
    <row r="28" spans="1:43" x14ac:dyDescent="0.2">
      <c r="C28" s="351" t="s">
        <v>431</v>
      </c>
      <c r="D28" s="351"/>
      <c r="E28" s="64"/>
      <c r="F28" s="351"/>
      <c r="G28" s="351"/>
      <c r="H28" s="351"/>
      <c r="I28" s="351"/>
      <c r="J28" s="351">
        <f>J25/J27-1</f>
        <v>8.839372188037542E-3</v>
      </c>
      <c r="K28" s="351">
        <f t="shared" ref="K28:AG28" si="1">K25/K27-1</f>
        <v>1.7836407016188716E-2</v>
      </c>
      <c r="L28" s="351">
        <f t="shared" si="1"/>
        <v>2.6995360644279209E-2</v>
      </c>
      <c r="M28" s="351">
        <f t="shared" si="1"/>
        <v>3.632064381861233E-2</v>
      </c>
      <c r="N28" s="351">
        <f t="shared" si="1"/>
        <v>3.129470336086615E-2</v>
      </c>
      <c r="O28" s="351">
        <f t="shared" si="1"/>
        <v>2.6317277159311425E-2</v>
      </c>
      <c r="P28" s="351">
        <f t="shared" si="1"/>
        <v>2.1387666142367534E-2</v>
      </c>
      <c r="Q28" s="351">
        <f t="shared" si="1"/>
        <v>1.6505184605391854E-2</v>
      </c>
      <c r="R28" s="351">
        <f t="shared" si="1"/>
        <v>1.1669159892699232E-2</v>
      </c>
      <c r="S28" s="351">
        <f t="shared" si="1"/>
        <v>6.8789320886353256E-3</v>
      </c>
      <c r="T28" s="351">
        <f t="shared" si="1"/>
        <v>2.1338537173838379E-3</v>
      </c>
      <c r="U28" s="351">
        <f t="shared" si="1"/>
        <v>-2.5667105487918729E-3</v>
      </c>
      <c r="V28" s="351">
        <f t="shared" si="1"/>
        <v>-7.2233841731206283E-3</v>
      </c>
      <c r="W28" s="351">
        <f t="shared" si="1"/>
        <v>-1.1836779029986477E-2</v>
      </c>
      <c r="X28" s="351">
        <f t="shared" si="1"/>
        <v>-1.6407495672959183E-2</v>
      </c>
      <c r="Y28" s="351">
        <f t="shared" si="1"/>
        <v>-2.0936123595403866E-2</v>
      </c>
      <c r="Z28" s="351">
        <f t="shared" si="1"/>
        <v>-2.5423241483923831E-2</v>
      </c>
      <c r="AA28" s="351">
        <f t="shared" si="1"/>
        <v>-2.9869417464883252E-2</v>
      </c>
      <c r="AB28" s="351">
        <f t="shared" si="1"/>
        <v>-3.4275209344187818E-2</v>
      </c>
      <c r="AC28" s="351">
        <f t="shared" si="1"/>
        <v>-3.8641164840586106E-2</v>
      </c>
      <c r="AD28" s="351">
        <f t="shared" si="1"/>
        <v>-4.2967821812652907E-2</v>
      </c>
      <c r="AE28" s="351">
        <f t="shared" si="1"/>
        <v>-4.725570847967242E-2</v>
      </c>
      <c r="AF28" s="351">
        <f t="shared" si="1"/>
        <v>-5.1505343636625067E-2</v>
      </c>
      <c r="AG28" s="351">
        <f t="shared" si="1"/>
        <v>-5.5717236863429553E-2</v>
      </c>
      <c r="AH28" s="6"/>
      <c r="AI28" s="6"/>
      <c r="AJ28" s="6"/>
      <c r="AK28" s="6"/>
      <c r="AL28" s="6"/>
      <c r="AM28" s="6"/>
    </row>
    <row r="29" spans="1:43" x14ac:dyDescent="0.2">
      <c r="C29" s="6"/>
      <c r="D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spans="1:43" x14ac:dyDescent="0.2">
      <c r="C30" s="6"/>
      <c r="D30" s="6"/>
      <c r="F30" s="6"/>
      <c r="G30" s="6"/>
      <c r="H30" s="6"/>
      <c r="AH30" s="6"/>
      <c r="AI30" s="6"/>
      <c r="AJ30" s="6"/>
      <c r="AK30" s="6"/>
      <c r="AL30" s="6"/>
      <c r="AM30" s="6"/>
    </row>
    <row r="31" spans="1:43" x14ac:dyDescent="0.2">
      <c r="C31" s="6" t="s">
        <v>399</v>
      </c>
      <c r="D31" s="6"/>
      <c r="F31" s="6"/>
      <c r="G31" s="6"/>
      <c r="H31" s="6"/>
      <c r="I31" s="356">
        <f>'Reliability data'!$K$8*Workings_risks!I27</f>
        <v>864.8</v>
      </c>
      <c r="J31" s="356">
        <f>'Reliability data'!$K$8*Workings_risks!J27</f>
        <v>857.22268959860719</v>
      </c>
      <c r="K31" s="356">
        <f>'Reliability data'!$K$8*Workings_risks!K27</f>
        <v>849.64537919721442</v>
      </c>
      <c r="L31" s="356">
        <f>'Reliability data'!$K$8*Workings_risks!L27</f>
        <v>842.06806879582484</v>
      </c>
      <c r="M31" s="356">
        <f>'Reliability data'!$K$8*Workings_risks!M27</f>
        <v>834.49075839443219</v>
      </c>
      <c r="N31" s="356">
        <f>'Reliability data'!$K$8*Workings_risks!N27</f>
        <v>838.55758900120418</v>
      </c>
      <c r="O31" s="356">
        <f>'Reliability data'!$K$8*Workings_risks!O27</f>
        <v>842.62441960797298</v>
      </c>
      <c r="P31" s="356">
        <f>'Reliability data'!$K$8*Workings_risks!P27</f>
        <v>846.69125021474326</v>
      </c>
      <c r="Q31" s="356">
        <f>'Reliability data'!$K$8*Workings_risks!Q27</f>
        <v>850.75808082151207</v>
      </c>
      <c r="R31" s="356">
        <f>'Reliability data'!$K$8*Workings_risks!R27</f>
        <v>854.82491142828087</v>
      </c>
      <c r="S31" s="356">
        <f>'Reliability data'!$K$8*Workings_risks!S27</f>
        <v>858.89174203505127</v>
      </c>
      <c r="T31" s="356">
        <f>'Reliability data'!$K$8*Workings_risks!T27</f>
        <v>862.95857264181996</v>
      </c>
      <c r="U31" s="356">
        <f>'Reliability data'!$K$8*Workings_risks!U27</f>
        <v>867.02540324858865</v>
      </c>
      <c r="V31" s="356">
        <f>'Reliability data'!$K$8*Workings_risks!V27</f>
        <v>871.09223385535904</v>
      </c>
      <c r="W31" s="356">
        <f>'Reliability data'!$K$8*Workings_risks!W27</f>
        <v>875.15906446212784</v>
      </c>
      <c r="X31" s="356">
        <f>'Reliability data'!$K$8*Workings_risks!X27</f>
        <v>879.22589506889653</v>
      </c>
      <c r="Y31" s="356">
        <f>'Reliability data'!$K$8*Workings_risks!Y27</f>
        <v>883.29272567566693</v>
      </c>
      <c r="Z31" s="356">
        <f>'Reliability data'!$K$8*Workings_risks!Z27</f>
        <v>887.35955628243573</v>
      </c>
      <c r="AA31" s="356">
        <f>'Reliability data'!$K$8*Workings_risks!AA27</f>
        <v>891.42638688920613</v>
      </c>
      <c r="AB31" s="356">
        <f>'Reliability data'!$K$8*Workings_risks!AB27</f>
        <v>895.49321749597482</v>
      </c>
      <c r="AC31" s="356">
        <f>'Reliability data'!$K$8*Workings_risks!AC27</f>
        <v>899.56004810274362</v>
      </c>
      <c r="AD31" s="356">
        <f>'Reliability data'!$K$8*Workings_risks!AD27</f>
        <v>903.62687870951402</v>
      </c>
      <c r="AE31" s="356">
        <f>'Reliability data'!$K$8*Workings_risks!AE27</f>
        <v>907.69370931628271</v>
      </c>
      <c r="AF31" s="356">
        <f>'Reliability data'!$K$8*Workings_risks!AF27</f>
        <v>911.76053992305162</v>
      </c>
      <c r="AG31" s="356">
        <f>'Reliability data'!$K$8*Workings_risks!AG27</f>
        <v>915.82737052982191</v>
      </c>
      <c r="AH31" s="6"/>
      <c r="AI31" s="6"/>
      <c r="AJ31" s="6"/>
      <c r="AK31" s="6"/>
      <c r="AL31" s="6"/>
      <c r="AM31" s="6"/>
    </row>
    <row r="32" spans="1:43" x14ac:dyDescent="0.2">
      <c r="C32" s="6" t="s">
        <v>400</v>
      </c>
      <c r="D32" s="6"/>
      <c r="F32" s="6"/>
      <c r="G32" s="6"/>
      <c r="H32" s="6"/>
      <c r="I32" s="356">
        <f>'Reliability data'!$K$8*Workings_risks!I25</f>
        <v>864.8</v>
      </c>
      <c r="J32" s="356">
        <f>'Reliability data'!$K$8*Workings_risks!J25</f>
        <v>864.8</v>
      </c>
      <c r="K32" s="356">
        <f>'Reliability data'!$K$8*Workings_risks!K25</f>
        <v>864.8</v>
      </c>
      <c r="L32" s="356">
        <f>'Reliability data'!$K$8*Workings_risks!L25</f>
        <v>864.8</v>
      </c>
      <c r="M32" s="356">
        <f>'Reliability data'!$K$8*Workings_risks!M25</f>
        <v>864.8</v>
      </c>
      <c r="N32" s="356">
        <f>'Reliability data'!$K$8*Workings_risks!N25</f>
        <v>864.8</v>
      </c>
      <c r="O32" s="356">
        <f>'Reliability data'!$K$8*Workings_risks!O25</f>
        <v>864.8</v>
      </c>
      <c r="P32" s="356">
        <f>'Reliability data'!$K$8*Workings_risks!P25</f>
        <v>864.8</v>
      </c>
      <c r="Q32" s="356">
        <f>'Reliability data'!$K$8*Workings_risks!Q25</f>
        <v>864.8</v>
      </c>
      <c r="R32" s="356">
        <f>'Reliability data'!$K$8*Workings_risks!R25</f>
        <v>864.8</v>
      </c>
      <c r="S32" s="356">
        <f>'Reliability data'!$K$8*Workings_risks!S25</f>
        <v>864.8</v>
      </c>
      <c r="T32" s="356">
        <f>'Reliability data'!$K$8*Workings_risks!T25</f>
        <v>864.8</v>
      </c>
      <c r="U32" s="356">
        <f>'Reliability data'!$K$8*Workings_risks!U25</f>
        <v>864.8</v>
      </c>
      <c r="V32" s="356">
        <f>'Reliability data'!$K$8*Workings_risks!V25</f>
        <v>864.8</v>
      </c>
      <c r="W32" s="356">
        <f>'Reliability data'!$K$8*Workings_risks!W25</f>
        <v>864.8</v>
      </c>
      <c r="X32" s="356">
        <f>'Reliability data'!$K$8*Workings_risks!X25</f>
        <v>864.8</v>
      </c>
      <c r="Y32" s="356">
        <f>'Reliability data'!$K$8*Workings_risks!Y25</f>
        <v>864.8</v>
      </c>
      <c r="Z32" s="356">
        <f>'Reliability data'!$K$8*Workings_risks!Z25</f>
        <v>864.8</v>
      </c>
      <c r="AA32" s="356">
        <f>'Reliability data'!$K$8*Workings_risks!AA25</f>
        <v>864.8</v>
      </c>
      <c r="AB32" s="356">
        <f>'Reliability data'!$K$8*Workings_risks!AB25</f>
        <v>864.8</v>
      </c>
      <c r="AC32" s="356">
        <f>'Reliability data'!$K$8*Workings_risks!AC25</f>
        <v>864.8</v>
      </c>
      <c r="AD32" s="356">
        <f>'Reliability data'!$K$8*Workings_risks!AD25</f>
        <v>864.8</v>
      </c>
      <c r="AE32" s="356">
        <f>'Reliability data'!$K$8*Workings_risks!AE25</f>
        <v>864.8</v>
      </c>
      <c r="AF32" s="356">
        <f>'Reliability data'!$K$8*Workings_risks!AF25</f>
        <v>864.8</v>
      </c>
      <c r="AG32" s="356">
        <f>'Reliability data'!$K$8*Workings_risks!AG25</f>
        <v>864.8</v>
      </c>
      <c r="AH32" s="6"/>
      <c r="AI32" s="6"/>
      <c r="AJ32" s="6"/>
      <c r="AK32" s="6"/>
      <c r="AL32" s="6"/>
      <c r="AM32" s="6"/>
    </row>
    <row r="33" spans="3:39" x14ac:dyDescent="0.2">
      <c r="C33" s="6"/>
      <c r="D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 spans="3:39" x14ac:dyDescent="0.2">
      <c r="C34" s="6"/>
      <c r="D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spans="3:39" x14ac:dyDescent="0.2">
      <c r="C35" s="6"/>
      <c r="D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 spans="3:39" x14ac:dyDescent="0.2"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 spans="3:39" x14ac:dyDescent="0.2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 spans="3:39" x14ac:dyDescent="0.2"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 spans="3:39" x14ac:dyDescent="0.2"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 spans="3:39" x14ac:dyDescent="0.2"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 spans="3:39" x14ac:dyDescent="0.2"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 spans="3:39" x14ac:dyDescent="0.2"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 spans="3:39" x14ac:dyDescent="0.2"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spans="3:39" x14ac:dyDescent="0.2"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 spans="3:39" x14ac:dyDescent="0.2"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 spans="3:39" x14ac:dyDescent="0.2"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 spans="3:39" x14ac:dyDescent="0.2"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 spans="3:39" x14ac:dyDescent="0.2"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 spans="3:39" x14ac:dyDescent="0.2"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 spans="3:39" x14ac:dyDescent="0.2"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spans="3:39" x14ac:dyDescent="0.2"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 spans="3:39" x14ac:dyDescent="0.2"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spans="3:39" x14ac:dyDescent="0.2"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spans="3:39" x14ac:dyDescent="0.2"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spans="3:39" x14ac:dyDescent="0.2"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 spans="3:39" x14ac:dyDescent="0.2"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 spans="3:39" x14ac:dyDescent="0.2"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 spans="3:39" x14ac:dyDescent="0.2"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 spans="3:39" x14ac:dyDescent="0.2"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 spans="3:39" x14ac:dyDescent="0.2"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 spans="3:39" x14ac:dyDescent="0.2"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 spans="3:39" x14ac:dyDescent="0.2"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 spans="3:39" x14ac:dyDescent="0.2"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 spans="3:39" x14ac:dyDescent="0.2"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 spans="3:39" x14ac:dyDescent="0.2"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 spans="3:39" x14ac:dyDescent="0.2"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 spans="3:39" x14ac:dyDescent="0.2"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 spans="3:39" x14ac:dyDescent="0.2"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 spans="3:39" x14ac:dyDescent="0.2"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 spans="3:39" x14ac:dyDescent="0.2"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 spans="3:39" x14ac:dyDescent="0.2"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 spans="3:39" x14ac:dyDescent="0.2"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 spans="3:39" x14ac:dyDescent="0.2"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 spans="3:39" x14ac:dyDescent="0.2"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 spans="3:39" x14ac:dyDescent="0.2"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 spans="3:39" x14ac:dyDescent="0.2"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 spans="3:39" x14ac:dyDescent="0.2"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 spans="3:39" x14ac:dyDescent="0.2"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 spans="3:39" x14ac:dyDescent="0.2"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 spans="3:39" x14ac:dyDescent="0.2"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  <row r="81" spans="3:39" x14ac:dyDescent="0.2"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</row>
    <row r="82" spans="3:39" x14ac:dyDescent="0.2"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</row>
    <row r="83" spans="3:39" x14ac:dyDescent="0.2"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</row>
  </sheetData>
  <pageMargins left="0.7" right="0.7" top="0.75" bottom="0.75" header="0.3" footer="0.3"/>
  <pageSetup paperSize="9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7FF3F-DF2E-4A90-9A01-5DEC80DA1C20}">
  <sheetPr codeName="Sheet10"/>
  <dimension ref="A3:K59"/>
  <sheetViews>
    <sheetView showGridLines="0" zoomScale="85" zoomScaleNormal="85" workbookViewId="0"/>
  </sheetViews>
  <sheetFormatPr defaultRowHeight="12.75" x14ac:dyDescent="0.2"/>
  <cols>
    <col min="1" max="2" width="15.875" style="257" bestFit="1" customWidth="1"/>
    <col min="3" max="3" width="10.625" style="257" bestFit="1" customWidth="1"/>
    <col min="4" max="4" width="29.625" style="257" bestFit="1" customWidth="1"/>
    <col min="5" max="5" width="9.125" style="257" bestFit="1" customWidth="1"/>
    <col min="6" max="6" width="17.125" style="257" customWidth="1"/>
    <col min="7" max="9" width="9" style="257"/>
    <col min="10" max="10" width="52.625" style="257" bestFit="1" customWidth="1"/>
    <col min="11" max="12" width="9" style="257"/>
    <col min="13" max="13" width="34.625" style="257" customWidth="1"/>
    <col min="14" max="14" width="18.5" style="257" customWidth="1"/>
    <col min="15" max="16384" width="9" style="257"/>
  </cols>
  <sheetData>
    <row r="3" spans="1:11" x14ac:dyDescent="0.2">
      <c r="A3" s="341" t="s">
        <v>247</v>
      </c>
      <c r="B3" s="341" t="s">
        <v>248</v>
      </c>
      <c r="C3" s="341" t="s">
        <v>249</v>
      </c>
      <c r="D3" s="341" t="s">
        <v>250</v>
      </c>
      <c r="E3" s="342" t="s">
        <v>428</v>
      </c>
      <c r="F3" s="342" t="s">
        <v>427</v>
      </c>
      <c r="J3" s="260" t="s">
        <v>251</v>
      </c>
    </row>
    <row r="4" spans="1:11" x14ac:dyDescent="0.2">
      <c r="A4" s="339" t="s">
        <v>263</v>
      </c>
      <c r="B4" s="339" t="s">
        <v>264</v>
      </c>
      <c r="C4" s="339" t="s">
        <v>265</v>
      </c>
      <c r="D4" s="339" t="s">
        <v>266</v>
      </c>
      <c r="E4" s="340">
        <v>34</v>
      </c>
      <c r="F4" s="340">
        <v>34</v>
      </c>
      <c r="J4" s="257" t="s">
        <v>254</v>
      </c>
      <c r="K4" s="257">
        <f>SUM(F4:F59)/5</f>
        <v>877</v>
      </c>
    </row>
    <row r="5" spans="1:11" x14ac:dyDescent="0.2">
      <c r="A5" s="339" t="s">
        <v>268</v>
      </c>
      <c r="B5" s="339" t="s">
        <v>269</v>
      </c>
      <c r="C5" s="339" t="s">
        <v>255</v>
      </c>
      <c r="D5" s="339" t="s">
        <v>270</v>
      </c>
      <c r="E5" s="340">
        <v>83</v>
      </c>
      <c r="F5" s="340">
        <v>83</v>
      </c>
    </row>
    <row r="6" spans="1:11" x14ac:dyDescent="0.2">
      <c r="A6" s="339" t="s">
        <v>271</v>
      </c>
      <c r="B6" s="339" t="s">
        <v>272</v>
      </c>
      <c r="C6" s="339" t="s">
        <v>255</v>
      </c>
      <c r="D6" s="339" t="s">
        <v>273</v>
      </c>
      <c r="E6" s="340">
        <v>61</v>
      </c>
      <c r="F6" s="340">
        <v>61</v>
      </c>
      <c r="J6" s="260"/>
    </row>
    <row r="7" spans="1:11" x14ac:dyDescent="0.2">
      <c r="A7" s="339" t="s">
        <v>274</v>
      </c>
      <c r="B7" s="339" t="s">
        <v>275</v>
      </c>
      <c r="C7" s="339" t="s">
        <v>257</v>
      </c>
      <c r="D7" s="339" t="s">
        <v>276</v>
      </c>
      <c r="E7" s="340">
        <v>57</v>
      </c>
      <c r="F7" s="340">
        <v>57</v>
      </c>
      <c r="J7" s="337" t="s">
        <v>258</v>
      </c>
      <c r="K7" s="336"/>
    </row>
    <row r="8" spans="1:11" x14ac:dyDescent="0.2">
      <c r="A8" s="339" t="s">
        <v>278</v>
      </c>
      <c r="B8" s="339" t="s">
        <v>279</v>
      </c>
      <c r="C8" s="339" t="s">
        <v>257</v>
      </c>
      <c r="D8" s="339" t="s">
        <v>280</v>
      </c>
      <c r="E8" s="340">
        <v>38</v>
      </c>
      <c r="F8" s="340">
        <v>38</v>
      </c>
      <c r="J8" s="357" t="s">
        <v>261</v>
      </c>
      <c r="K8" s="357">
        <f>(SUMIF(F4:F59,"&lt;720")+COUNTIF(F4:F59,"&gt;720")*720)/5</f>
        <v>864.8</v>
      </c>
    </row>
    <row r="9" spans="1:11" x14ac:dyDescent="0.2">
      <c r="A9" s="339" t="s">
        <v>282</v>
      </c>
      <c r="B9" s="339" t="s">
        <v>283</v>
      </c>
      <c r="C9" s="339" t="s">
        <v>252</v>
      </c>
      <c r="D9" s="339" t="s">
        <v>256</v>
      </c>
      <c r="E9" s="340">
        <v>156</v>
      </c>
      <c r="F9" s="340">
        <v>156</v>
      </c>
      <c r="J9" s="338" t="s">
        <v>262</v>
      </c>
      <c r="K9" s="338">
        <f>K8-500</f>
        <v>364.79999999999995</v>
      </c>
    </row>
    <row r="10" spans="1:11" x14ac:dyDescent="0.2">
      <c r="A10" s="339" t="s">
        <v>285</v>
      </c>
      <c r="B10" s="339" t="s">
        <v>286</v>
      </c>
      <c r="C10" s="339" t="s">
        <v>259</v>
      </c>
      <c r="D10" s="339" t="s">
        <v>260</v>
      </c>
      <c r="E10" s="340">
        <v>41</v>
      </c>
      <c r="F10" s="340">
        <v>41</v>
      </c>
      <c r="J10" s="338" t="s">
        <v>267</v>
      </c>
      <c r="K10" s="338">
        <f>K9/60</f>
        <v>6.0799999999999992</v>
      </c>
    </row>
    <row r="11" spans="1:11" x14ac:dyDescent="0.2">
      <c r="A11" s="339" t="s">
        <v>288</v>
      </c>
      <c r="B11" s="339" t="s">
        <v>289</v>
      </c>
      <c r="C11" s="339" t="s">
        <v>252</v>
      </c>
      <c r="D11" s="339" t="s">
        <v>253</v>
      </c>
      <c r="E11" s="340">
        <v>48</v>
      </c>
      <c r="F11" s="340">
        <v>48</v>
      </c>
      <c r="J11" s="338"/>
      <c r="K11" s="338"/>
    </row>
    <row r="12" spans="1:11" x14ac:dyDescent="0.2">
      <c r="A12" s="339" t="s">
        <v>291</v>
      </c>
      <c r="B12" s="339" t="s">
        <v>292</v>
      </c>
      <c r="C12" s="339" t="s">
        <v>257</v>
      </c>
      <c r="D12" s="339" t="s">
        <v>293</v>
      </c>
      <c r="E12" s="340">
        <v>24</v>
      </c>
      <c r="F12" s="340">
        <v>24</v>
      </c>
      <c r="J12" s="338"/>
      <c r="K12" s="338"/>
    </row>
    <row r="13" spans="1:11" x14ac:dyDescent="0.2">
      <c r="A13" s="339" t="s">
        <v>294</v>
      </c>
      <c r="B13" s="339" t="s">
        <v>295</v>
      </c>
      <c r="C13" s="339" t="s">
        <v>257</v>
      </c>
      <c r="D13" s="339" t="s">
        <v>293</v>
      </c>
      <c r="E13" s="340">
        <v>9</v>
      </c>
      <c r="F13" s="340">
        <v>9</v>
      </c>
      <c r="J13" s="337" t="s">
        <v>277</v>
      </c>
      <c r="K13" s="336"/>
    </row>
    <row r="14" spans="1:11" x14ac:dyDescent="0.2">
      <c r="A14" s="339" t="s">
        <v>297</v>
      </c>
      <c r="B14" s="339" t="s">
        <v>298</v>
      </c>
      <c r="C14" s="339" t="s">
        <v>257</v>
      </c>
      <c r="D14" s="339" t="s">
        <v>293</v>
      </c>
      <c r="E14" s="340">
        <v>1</v>
      </c>
      <c r="F14" s="340">
        <v>1</v>
      </c>
      <c r="J14" s="338" t="s">
        <v>281</v>
      </c>
      <c r="K14" s="358">
        <f>(SUMIF(F4:F59,"&gt;=720")-COUNTIF(F4:F59,"&gt;=720")*720)/5</f>
        <v>12.2</v>
      </c>
    </row>
    <row r="15" spans="1:11" x14ac:dyDescent="0.2">
      <c r="A15" s="339" t="s">
        <v>300</v>
      </c>
      <c r="B15" s="339" t="s">
        <v>301</v>
      </c>
      <c r="C15" s="339" t="s">
        <v>257</v>
      </c>
      <c r="D15" s="339" t="s">
        <v>293</v>
      </c>
      <c r="E15" s="340">
        <v>1</v>
      </c>
      <c r="F15" s="340">
        <v>1</v>
      </c>
      <c r="J15" s="338" t="s">
        <v>284</v>
      </c>
      <c r="K15" s="358">
        <f>K14-K16</f>
        <v>12.2</v>
      </c>
    </row>
    <row r="16" spans="1:11" x14ac:dyDescent="0.2">
      <c r="A16" s="339" t="s">
        <v>302</v>
      </c>
      <c r="B16" s="339" t="s">
        <v>303</v>
      </c>
      <c r="C16" s="339" t="s">
        <v>259</v>
      </c>
      <c r="D16" s="339" t="s">
        <v>260</v>
      </c>
      <c r="E16" s="340">
        <v>176</v>
      </c>
      <c r="F16" s="340">
        <v>176</v>
      </c>
      <c r="J16" s="338" t="s">
        <v>287</v>
      </c>
      <c r="K16" s="358">
        <f>(SUMIF(F4:F59,"&gt;1440")-COUNTIF(F4:F59,"&gt;1440")*1440)/5</f>
        <v>0</v>
      </c>
    </row>
    <row r="17" spans="1:11" x14ac:dyDescent="0.2">
      <c r="A17" s="339" t="s">
        <v>305</v>
      </c>
      <c r="B17" s="339" t="s">
        <v>306</v>
      </c>
      <c r="C17" s="339" t="s">
        <v>255</v>
      </c>
      <c r="D17" s="339" t="s">
        <v>270</v>
      </c>
      <c r="E17" s="340">
        <v>232</v>
      </c>
      <c r="F17" s="340">
        <v>232</v>
      </c>
      <c r="J17" s="338" t="s">
        <v>290</v>
      </c>
      <c r="K17" s="358">
        <f>(SUMIF(F4:F59,"&gt;4320")-COUNTIF(F4:F59,"&gt;4320")*4320)/5</f>
        <v>0</v>
      </c>
    </row>
    <row r="18" spans="1:11" x14ac:dyDescent="0.2">
      <c r="A18" s="339" t="s">
        <v>308</v>
      </c>
      <c r="B18" s="339" t="s">
        <v>309</v>
      </c>
      <c r="C18" s="339" t="s">
        <v>252</v>
      </c>
      <c r="D18" s="339" t="s">
        <v>310</v>
      </c>
      <c r="E18" s="340">
        <v>40</v>
      </c>
      <c r="F18" s="340">
        <v>40</v>
      </c>
      <c r="J18" s="338"/>
      <c r="K18" s="358"/>
    </row>
    <row r="19" spans="1:11" x14ac:dyDescent="0.2">
      <c r="A19" s="339" t="s">
        <v>311</v>
      </c>
      <c r="B19" s="339" t="s">
        <v>312</v>
      </c>
      <c r="C19" s="339" t="s">
        <v>257</v>
      </c>
      <c r="D19" s="339" t="s">
        <v>280</v>
      </c>
      <c r="E19" s="340">
        <v>36</v>
      </c>
      <c r="F19" s="340">
        <v>36</v>
      </c>
      <c r="J19" s="338" t="s">
        <v>296</v>
      </c>
      <c r="K19" s="358">
        <f>K15/60</f>
        <v>0.20333333333333331</v>
      </c>
    </row>
    <row r="20" spans="1:11" x14ac:dyDescent="0.2">
      <c r="A20" s="339" t="s">
        <v>313</v>
      </c>
      <c r="B20" s="339" t="s">
        <v>314</v>
      </c>
      <c r="C20" s="339" t="s">
        <v>257</v>
      </c>
      <c r="D20" s="339" t="s">
        <v>280</v>
      </c>
      <c r="E20" s="340">
        <v>2</v>
      </c>
      <c r="F20" s="340">
        <v>2</v>
      </c>
      <c r="J20" s="338" t="s">
        <v>299</v>
      </c>
      <c r="K20" s="358">
        <f>SUM(K16:K17)/60</f>
        <v>0</v>
      </c>
    </row>
    <row r="21" spans="1:11" x14ac:dyDescent="0.2">
      <c r="A21" s="339" t="s">
        <v>315</v>
      </c>
      <c r="B21" s="339" t="s">
        <v>316</v>
      </c>
      <c r="C21" s="339" t="s">
        <v>252</v>
      </c>
      <c r="D21" s="339" t="s">
        <v>255</v>
      </c>
      <c r="E21" s="340">
        <v>19</v>
      </c>
      <c r="F21" s="340">
        <v>19</v>
      </c>
      <c r="J21" s="338"/>
      <c r="K21" s="358"/>
    </row>
    <row r="22" spans="1:11" x14ac:dyDescent="0.2">
      <c r="A22" s="339" t="s">
        <v>317</v>
      </c>
      <c r="B22" s="339" t="s">
        <v>318</v>
      </c>
      <c r="C22" s="339" t="s">
        <v>255</v>
      </c>
      <c r="D22" s="339" t="s">
        <v>273</v>
      </c>
      <c r="E22" s="340">
        <v>6</v>
      </c>
      <c r="F22" s="340">
        <v>6</v>
      </c>
      <c r="J22" s="338" t="s">
        <v>304</v>
      </c>
      <c r="K22" s="358">
        <f>K15/60</f>
        <v>0.20333333333333331</v>
      </c>
    </row>
    <row r="23" spans="1:11" x14ac:dyDescent="0.2">
      <c r="A23" s="339" t="s">
        <v>319</v>
      </c>
      <c r="B23" s="339" t="s">
        <v>320</v>
      </c>
      <c r="C23" s="339" t="s">
        <v>255</v>
      </c>
      <c r="D23" s="339" t="s">
        <v>270</v>
      </c>
      <c r="E23" s="340">
        <v>205</v>
      </c>
      <c r="F23" s="340">
        <v>205</v>
      </c>
      <c r="J23" s="359" t="s">
        <v>307</v>
      </c>
      <c r="K23" s="360">
        <f>K17/60</f>
        <v>0</v>
      </c>
    </row>
    <row r="24" spans="1:11" x14ac:dyDescent="0.2">
      <c r="A24" s="339" t="s">
        <v>321</v>
      </c>
      <c r="B24" s="339" t="s">
        <v>322</v>
      </c>
      <c r="C24" s="339" t="s">
        <v>255</v>
      </c>
      <c r="D24" s="339" t="s">
        <v>270</v>
      </c>
      <c r="E24" s="340">
        <v>3</v>
      </c>
      <c r="F24" s="340">
        <v>3</v>
      </c>
    </row>
    <row r="25" spans="1:11" x14ac:dyDescent="0.2">
      <c r="A25" s="339" t="s">
        <v>323</v>
      </c>
      <c r="B25" s="339" t="s">
        <v>324</v>
      </c>
      <c r="C25" s="339" t="s">
        <v>255</v>
      </c>
      <c r="D25" s="339" t="s">
        <v>270</v>
      </c>
      <c r="E25" s="340">
        <v>19</v>
      </c>
      <c r="F25" s="340">
        <v>19</v>
      </c>
    </row>
    <row r="26" spans="1:11" x14ac:dyDescent="0.2">
      <c r="A26" s="339" t="s">
        <v>325</v>
      </c>
      <c r="B26" s="339" t="s">
        <v>326</v>
      </c>
      <c r="C26" s="339" t="s">
        <v>259</v>
      </c>
      <c r="D26" s="339" t="s">
        <v>260</v>
      </c>
      <c r="E26" s="340">
        <v>26</v>
      </c>
      <c r="F26" s="340">
        <v>26</v>
      </c>
    </row>
    <row r="27" spans="1:11" x14ac:dyDescent="0.2">
      <c r="A27" s="339" t="s">
        <v>327</v>
      </c>
      <c r="B27" s="339" t="s">
        <v>328</v>
      </c>
      <c r="C27" s="339" t="s">
        <v>257</v>
      </c>
      <c r="D27" s="339" t="s">
        <v>293</v>
      </c>
      <c r="E27" s="340">
        <v>3</v>
      </c>
      <c r="F27" s="340">
        <v>3</v>
      </c>
    </row>
    <row r="28" spans="1:11" x14ac:dyDescent="0.2">
      <c r="A28" s="339" t="s">
        <v>329</v>
      </c>
      <c r="B28" s="339" t="s">
        <v>330</v>
      </c>
      <c r="C28" s="339" t="s">
        <v>255</v>
      </c>
      <c r="D28" s="339" t="s">
        <v>273</v>
      </c>
      <c r="E28" s="340">
        <v>31</v>
      </c>
      <c r="F28" s="340">
        <v>31</v>
      </c>
    </row>
    <row r="29" spans="1:11" x14ac:dyDescent="0.2">
      <c r="A29" s="339" t="s">
        <v>331</v>
      </c>
      <c r="B29" s="339" t="s">
        <v>332</v>
      </c>
      <c r="C29" s="339" t="s">
        <v>259</v>
      </c>
      <c r="D29" s="339" t="s">
        <v>260</v>
      </c>
      <c r="E29" s="340">
        <v>46</v>
      </c>
      <c r="F29" s="340">
        <v>46</v>
      </c>
    </row>
    <row r="30" spans="1:11" x14ac:dyDescent="0.2">
      <c r="A30" s="339" t="s">
        <v>333</v>
      </c>
      <c r="B30" s="339" t="s">
        <v>334</v>
      </c>
      <c r="C30" s="339" t="s">
        <v>265</v>
      </c>
      <c r="D30" s="339" t="s">
        <v>335</v>
      </c>
      <c r="E30" s="340">
        <v>664</v>
      </c>
      <c r="F30" s="340">
        <v>664</v>
      </c>
    </row>
    <row r="31" spans="1:11" x14ac:dyDescent="0.2">
      <c r="A31" s="339" t="s">
        <v>336</v>
      </c>
      <c r="B31" s="339" t="s">
        <v>337</v>
      </c>
      <c r="C31" s="339" t="s">
        <v>265</v>
      </c>
      <c r="D31" s="339" t="s">
        <v>338</v>
      </c>
      <c r="E31" s="340">
        <v>4</v>
      </c>
      <c r="F31" s="340">
        <v>4</v>
      </c>
    </row>
    <row r="32" spans="1:11" x14ac:dyDescent="0.2">
      <c r="A32" s="339" t="s">
        <v>339</v>
      </c>
      <c r="B32" s="339" t="s">
        <v>340</v>
      </c>
      <c r="C32" s="339" t="s">
        <v>259</v>
      </c>
      <c r="D32" s="339" t="s">
        <v>260</v>
      </c>
      <c r="E32" s="340">
        <v>40</v>
      </c>
      <c r="F32" s="340">
        <v>40</v>
      </c>
    </row>
    <row r="33" spans="1:6" x14ac:dyDescent="0.2">
      <c r="A33" s="339" t="s">
        <v>341</v>
      </c>
      <c r="B33" s="339" t="s">
        <v>342</v>
      </c>
      <c r="C33" s="339" t="s">
        <v>255</v>
      </c>
      <c r="D33" s="339" t="s">
        <v>343</v>
      </c>
      <c r="E33" s="340">
        <v>781</v>
      </c>
      <c r="F33" s="340">
        <v>781</v>
      </c>
    </row>
    <row r="34" spans="1:6" x14ac:dyDescent="0.2">
      <c r="A34" s="339" t="s">
        <v>344</v>
      </c>
      <c r="B34" s="339" t="s">
        <v>345</v>
      </c>
      <c r="C34" s="339" t="s">
        <v>252</v>
      </c>
      <c r="D34" s="339" t="s">
        <v>253</v>
      </c>
      <c r="E34" s="340">
        <v>9</v>
      </c>
      <c r="F34" s="340">
        <v>9</v>
      </c>
    </row>
    <row r="35" spans="1:6" x14ac:dyDescent="0.2">
      <c r="A35" s="339" t="s">
        <v>346</v>
      </c>
      <c r="B35" s="339" t="s">
        <v>347</v>
      </c>
      <c r="C35" s="339" t="s">
        <v>259</v>
      </c>
      <c r="D35" s="339" t="s">
        <v>260</v>
      </c>
      <c r="E35" s="340">
        <v>6</v>
      </c>
      <c r="F35" s="340">
        <v>6</v>
      </c>
    </row>
    <row r="36" spans="1:6" x14ac:dyDescent="0.2">
      <c r="A36" s="339" t="s">
        <v>348</v>
      </c>
      <c r="B36" s="339" t="s">
        <v>349</v>
      </c>
      <c r="C36" s="339" t="s">
        <v>252</v>
      </c>
      <c r="D36" s="339" t="s">
        <v>253</v>
      </c>
      <c r="E36" s="340">
        <v>228</v>
      </c>
      <c r="F36" s="340">
        <v>228</v>
      </c>
    </row>
    <row r="37" spans="1:6" x14ac:dyDescent="0.2">
      <c r="A37" s="339" t="s">
        <v>350</v>
      </c>
      <c r="B37" s="339" t="s">
        <v>351</v>
      </c>
      <c r="C37" s="339" t="s">
        <v>255</v>
      </c>
      <c r="D37" s="339" t="s">
        <v>270</v>
      </c>
      <c r="E37" s="340">
        <v>86</v>
      </c>
      <c r="F37" s="340">
        <v>86</v>
      </c>
    </row>
    <row r="38" spans="1:6" x14ac:dyDescent="0.2">
      <c r="A38" s="339" t="s">
        <v>352</v>
      </c>
      <c r="B38" s="339" t="s">
        <v>353</v>
      </c>
      <c r="C38" s="339" t="s">
        <v>252</v>
      </c>
      <c r="D38" s="339" t="s">
        <v>310</v>
      </c>
      <c r="E38" s="340">
        <v>58</v>
      </c>
      <c r="F38" s="340">
        <v>58</v>
      </c>
    </row>
    <row r="39" spans="1:6" x14ac:dyDescent="0.2">
      <c r="A39" s="339" t="s">
        <v>354</v>
      </c>
      <c r="B39" s="339" t="s">
        <v>355</v>
      </c>
      <c r="C39" s="339" t="s">
        <v>252</v>
      </c>
      <c r="D39" s="339" t="s">
        <v>310</v>
      </c>
      <c r="E39" s="340">
        <v>30</v>
      </c>
      <c r="F39" s="340">
        <v>30</v>
      </c>
    </row>
    <row r="40" spans="1:6" x14ac:dyDescent="0.2">
      <c r="A40" s="339" t="s">
        <v>356</v>
      </c>
      <c r="B40" s="339" t="s">
        <v>357</v>
      </c>
      <c r="C40" s="339" t="s">
        <v>358</v>
      </c>
      <c r="D40" s="339" t="s">
        <v>359</v>
      </c>
      <c r="E40" s="340">
        <v>58</v>
      </c>
      <c r="F40" s="340">
        <v>58</v>
      </c>
    </row>
    <row r="41" spans="1:6" x14ac:dyDescent="0.2">
      <c r="A41" s="339" t="s">
        <v>360</v>
      </c>
      <c r="B41" s="339" t="s">
        <v>361</v>
      </c>
      <c r="C41" s="339" t="s">
        <v>252</v>
      </c>
      <c r="D41" s="339" t="s">
        <v>253</v>
      </c>
      <c r="E41" s="340">
        <v>91</v>
      </c>
      <c r="F41" s="340">
        <v>91</v>
      </c>
    </row>
    <row r="42" spans="1:6" x14ac:dyDescent="0.2">
      <c r="A42" s="339" t="s">
        <v>362</v>
      </c>
      <c r="B42" s="339" t="s">
        <v>363</v>
      </c>
      <c r="C42" s="339" t="s">
        <v>252</v>
      </c>
      <c r="D42" s="339" t="s">
        <v>256</v>
      </c>
      <c r="E42" s="340">
        <v>16</v>
      </c>
      <c r="F42" s="340">
        <v>16</v>
      </c>
    </row>
    <row r="43" spans="1:6" x14ac:dyDescent="0.2">
      <c r="A43" s="339" t="s">
        <v>362</v>
      </c>
      <c r="B43" s="339" t="s">
        <v>363</v>
      </c>
      <c r="C43" s="339" t="s">
        <v>252</v>
      </c>
      <c r="D43" s="339" t="s">
        <v>256</v>
      </c>
      <c r="E43" s="340">
        <v>16</v>
      </c>
      <c r="F43" s="340">
        <v>16</v>
      </c>
    </row>
    <row r="44" spans="1:6" x14ac:dyDescent="0.2">
      <c r="A44" s="339" t="s">
        <v>364</v>
      </c>
      <c r="B44" s="339" t="s">
        <v>365</v>
      </c>
      <c r="C44" s="339" t="s">
        <v>252</v>
      </c>
      <c r="D44" s="339" t="s">
        <v>253</v>
      </c>
      <c r="E44" s="340">
        <v>4</v>
      </c>
      <c r="F44" s="340">
        <v>4</v>
      </c>
    </row>
    <row r="45" spans="1:6" x14ac:dyDescent="0.2">
      <c r="A45" s="339" t="s">
        <v>366</v>
      </c>
      <c r="B45" s="339" t="s">
        <v>367</v>
      </c>
      <c r="C45" s="339" t="s">
        <v>252</v>
      </c>
      <c r="D45" s="339" t="s">
        <v>255</v>
      </c>
      <c r="E45" s="340">
        <v>38</v>
      </c>
      <c r="F45" s="340">
        <v>38</v>
      </c>
    </row>
    <row r="46" spans="1:6" x14ac:dyDescent="0.2">
      <c r="A46" s="339" t="s">
        <v>368</v>
      </c>
      <c r="B46" s="339" t="s">
        <v>369</v>
      </c>
      <c r="C46" s="339" t="s">
        <v>257</v>
      </c>
      <c r="D46" s="339" t="s">
        <v>370</v>
      </c>
      <c r="E46" s="340">
        <v>325</v>
      </c>
      <c r="F46" s="340">
        <v>325</v>
      </c>
    </row>
    <row r="47" spans="1:6" x14ac:dyDescent="0.2">
      <c r="A47" s="339" t="s">
        <v>371</v>
      </c>
      <c r="B47" s="339" t="s">
        <v>372</v>
      </c>
      <c r="C47" s="339" t="s">
        <v>255</v>
      </c>
      <c r="D47" s="339" t="s">
        <v>270</v>
      </c>
      <c r="E47" s="340">
        <v>157</v>
      </c>
      <c r="F47" s="340">
        <v>157</v>
      </c>
    </row>
    <row r="48" spans="1:6" x14ac:dyDescent="0.2">
      <c r="A48" s="339" t="s">
        <v>373</v>
      </c>
      <c r="B48" s="339" t="s">
        <v>374</v>
      </c>
      <c r="C48" s="339" t="s">
        <v>259</v>
      </c>
      <c r="D48" s="339" t="s">
        <v>260</v>
      </c>
      <c r="E48" s="340">
        <v>32</v>
      </c>
      <c r="F48" s="340">
        <v>32</v>
      </c>
    </row>
    <row r="49" spans="1:6" x14ac:dyDescent="0.2">
      <c r="A49" s="339" t="s">
        <v>375</v>
      </c>
      <c r="B49" s="339" t="s">
        <v>376</v>
      </c>
      <c r="C49" s="339" t="s">
        <v>252</v>
      </c>
      <c r="D49" s="339" t="s">
        <v>253</v>
      </c>
      <c r="E49" s="340">
        <v>41</v>
      </c>
      <c r="F49" s="340">
        <v>41</v>
      </c>
    </row>
    <row r="50" spans="1:6" x14ac:dyDescent="0.2">
      <c r="A50" s="339" t="s">
        <v>377</v>
      </c>
      <c r="B50" s="339" t="s">
        <v>378</v>
      </c>
      <c r="C50" s="339" t="s">
        <v>252</v>
      </c>
      <c r="D50" s="339" t="s">
        <v>256</v>
      </c>
      <c r="E50" s="340">
        <v>4</v>
      </c>
      <c r="F50" s="340">
        <v>4</v>
      </c>
    </row>
    <row r="51" spans="1:6" x14ac:dyDescent="0.2">
      <c r="A51" s="339" t="s">
        <v>379</v>
      </c>
      <c r="B51" s="339" t="s">
        <v>380</v>
      </c>
      <c r="C51" s="339" t="s">
        <v>259</v>
      </c>
      <c r="D51" s="339" t="s">
        <v>381</v>
      </c>
      <c r="E51" s="340">
        <v>12</v>
      </c>
      <c r="F51" s="340">
        <v>12</v>
      </c>
    </row>
    <row r="52" spans="1:6" x14ac:dyDescent="0.2">
      <c r="A52" s="339" t="s">
        <v>382</v>
      </c>
      <c r="B52" s="339" t="s">
        <v>383</v>
      </c>
      <c r="C52" s="339" t="s">
        <v>255</v>
      </c>
      <c r="D52" s="339" t="s">
        <v>270</v>
      </c>
      <c r="E52" s="340">
        <v>26</v>
      </c>
      <c r="F52" s="340">
        <v>26</v>
      </c>
    </row>
    <row r="53" spans="1:6" x14ac:dyDescent="0.2">
      <c r="A53" s="339" t="s">
        <v>384</v>
      </c>
      <c r="B53" s="339" t="s">
        <v>385</v>
      </c>
      <c r="C53" s="339" t="s">
        <v>257</v>
      </c>
      <c r="D53" s="339" t="s">
        <v>276</v>
      </c>
      <c r="E53" s="340">
        <v>156</v>
      </c>
      <c r="F53" s="340">
        <v>156</v>
      </c>
    </row>
    <row r="54" spans="1:6" x14ac:dyDescent="0.2">
      <c r="A54" s="339" t="s">
        <v>386</v>
      </c>
      <c r="B54" s="339" t="s">
        <v>387</v>
      </c>
      <c r="C54" s="339" t="s">
        <v>257</v>
      </c>
      <c r="D54" s="339" t="s">
        <v>276</v>
      </c>
      <c r="E54" s="340">
        <v>4</v>
      </c>
      <c r="F54" s="340">
        <v>4</v>
      </c>
    </row>
    <row r="55" spans="1:6" x14ac:dyDescent="0.2">
      <c r="A55" s="339" t="s">
        <v>388</v>
      </c>
      <c r="B55" s="339" t="s">
        <v>389</v>
      </c>
      <c r="C55" s="339" t="s">
        <v>259</v>
      </c>
      <c r="D55" s="339" t="s">
        <v>260</v>
      </c>
      <c r="E55" s="340">
        <v>22</v>
      </c>
      <c r="F55" s="340">
        <v>22</v>
      </c>
    </row>
    <row r="56" spans="1:6" x14ac:dyDescent="0.2">
      <c r="A56" s="339" t="s">
        <v>390</v>
      </c>
      <c r="B56" s="339" t="s">
        <v>391</v>
      </c>
      <c r="C56" s="339" t="s">
        <v>259</v>
      </c>
      <c r="D56" s="339" t="s">
        <v>260</v>
      </c>
      <c r="E56" s="340">
        <v>20</v>
      </c>
      <c r="F56" s="340">
        <v>20</v>
      </c>
    </row>
    <row r="57" spans="1:6" x14ac:dyDescent="0.2">
      <c r="A57" s="339" t="s">
        <v>392</v>
      </c>
      <c r="B57" s="339" t="s">
        <v>393</v>
      </c>
      <c r="C57" s="339" t="s">
        <v>259</v>
      </c>
      <c r="D57" s="339" t="s">
        <v>260</v>
      </c>
      <c r="E57" s="340">
        <v>7</v>
      </c>
      <c r="F57" s="340">
        <v>7</v>
      </c>
    </row>
    <row r="58" spans="1:6" x14ac:dyDescent="0.2">
      <c r="A58" s="339" t="s">
        <v>394</v>
      </c>
      <c r="B58" s="339" t="s">
        <v>395</v>
      </c>
      <c r="C58" s="339" t="s">
        <v>259</v>
      </c>
      <c r="D58" s="339" t="s">
        <v>260</v>
      </c>
      <c r="E58" s="340">
        <v>31</v>
      </c>
      <c r="F58" s="340">
        <v>31</v>
      </c>
    </row>
    <row r="59" spans="1:6" x14ac:dyDescent="0.2">
      <c r="A59" s="339" t="s">
        <v>396</v>
      </c>
      <c r="B59" s="339" t="s">
        <v>397</v>
      </c>
      <c r="C59" s="339" t="s">
        <v>255</v>
      </c>
      <c r="D59" s="339" t="s">
        <v>270</v>
      </c>
      <c r="E59" s="340">
        <v>22</v>
      </c>
      <c r="F59" s="340">
        <v>22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5BE28-7759-4AD8-93D9-96655D9E0FC5}">
  <sheetPr codeName="Sheet8">
    <tabColor rgb="FFFFFFCC"/>
  </sheetPr>
  <dimension ref="A1:AH76"/>
  <sheetViews>
    <sheetView showGridLines="0" zoomScale="70" zoomScaleNormal="70" workbookViewId="0"/>
  </sheetViews>
  <sheetFormatPr defaultRowHeight="12.75" x14ac:dyDescent="0.2"/>
  <cols>
    <col min="2" max="2" width="21.375" customWidth="1"/>
    <col min="3" max="3" width="20.5" customWidth="1"/>
    <col min="4" max="4" width="14.5" style="49" customWidth="1"/>
    <col min="5" max="5" width="14.5" customWidth="1"/>
    <col min="8" max="11" width="14.375" customWidth="1"/>
    <col min="12" max="12" width="15.75" customWidth="1"/>
    <col min="13" max="18" width="14.375" customWidth="1"/>
  </cols>
  <sheetData>
    <row r="1" spans="1:23" ht="18.75" x14ac:dyDescent="0.3">
      <c r="A1" s="15" t="str">
        <f>bus</f>
        <v>Powercor</v>
      </c>
      <c r="B1" s="15"/>
      <c r="C1" s="15"/>
      <c r="D1" s="48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23" ht="18.75" x14ac:dyDescent="0.3">
      <c r="A2" s="56" t="str">
        <f>proj</f>
        <v>Apollo Bay microgrid</v>
      </c>
      <c r="B2" s="15"/>
      <c r="C2" s="15"/>
      <c r="D2" s="48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spans="1:23" ht="15.75" x14ac:dyDescent="0.25">
      <c r="A3" s="5"/>
    </row>
    <row r="4" spans="1:23" s="1" customFormat="1" ht="15" x14ac:dyDescent="0.2">
      <c r="A4" s="18" t="s">
        <v>205</v>
      </c>
      <c r="B4" s="18"/>
      <c r="C4" s="16"/>
      <c r="D4" s="16"/>
      <c r="E4" s="16"/>
      <c r="F4" s="16"/>
      <c r="G4" s="16"/>
      <c r="H4" s="16"/>
      <c r="I4" s="16"/>
      <c r="J4" s="16"/>
      <c r="K4" s="16"/>
      <c r="L4" s="16"/>
      <c r="M4" s="17"/>
      <c r="N4" s="17"/>
      <c r="O4" s="17"/>
      <c r="P4" s="17"/>
      <c r="Q4" s="17"/>
      <c r="R4" s="17"/>
    </row>
    <row r="5" spans="1:23" s="1" customFormat="1" x14ac:dyDescent="0.2"/>
    <row r="6" spans="1:23" s="1" customFormat="1" x14ac:dyDescent="0.2">
      <c r="B6" s="77" t="s">
        <v>128</v>
      </c>
      <c r="C6" s="77"/>
      <c r="D6" s="50"/>
      <c r="E6" s="30"/>
      <c r="F6" s="46"/>
      <c r="G6" s="30"/>
      <c r="H6" s="47">
        <v>44377</v>
      </c>
      <c r="I6" s="45">
        <f>IF(EOMONTH(H6,12)&gt;output_dollars, output_dollars, EOMONTH(H6,12))</f>
        <v>44742</v>
      </c>
      <c r="J6" s="45">
        <f>IF(EOMONTH(I6,12)&gt;output_dollars, output_dollars, EOMONTH(I6,12))</f>
        <v>45107</v>
      </c>
      <c r="K6" s="45">
        <f>IF(EOMONTH(J6,12)&gt;output_dollars, output_dollars, EOMONTH(J6,12))</f>
        <v>45473</v>
      </c>
      <c r="L6" s="45">
        <f>IF(EOMONTH(K6,12)&gt;output_dollars, output_dollars, EOMONTH(K6,12))</f>
        <v>45838</v>
      </c>
      <c r="M6" s="45">
        <f>IF(EOMONTH(L6,12)&gt;output_dollars, output_dollars, EOMONTH(L6,12))</f>
        <v>46203</v>
      </c>
    </row>
    <row r="7" spans="1:23" s="22" customFormat="1" x14ac:dyDescent="0.2">
      <c r="D7" s="51"/>
      <c r="N7" s="1"/>
      <c r="O7"/>
      <c r="P7"/>
      <c r="Q7"/>
      <c r="R7"/>
      <c r="S7"/>
      <c r="T7"/>
      <c r="U7"/>
      <c r="V7"/>
      <c r="W7"/>
    </row>
    <row r="8" spans="1:23" s="22" customFormat="1" x14ac:dyDescent="0.2">
      <c r="B8" s="22" t="s">
        <v>35</v>
      </c>
      <c r="D8" s="51"/>
      <c r="H8" s="40">
        <v>0</v>
      </c>
      <c r="I8" s="40">
        <v>8.6058519793459354E-3</v>
      </c>
      <c r="J8" s="40">
        <v>3.4982935153583528E-2</v>
      </c>
      <c r="K8" s="40">
        <v>7.8318219291014124E-2</v>
      </c>
      <c r="L8" s="40">
        <v>4.0519877675840865E-2</v>
      </c>
      <c r="M8" s="40">
        <v>0.03</v>
      </c>
      <c r="N8" s="1"/>
      <c r="O8"/>
      <c r="P8"/>
      <c r="Q8"/>
      <c r="R8"/>
      <c r="S8"/>
      <c r="T8"/>
      <c r="U8"/>
      <c r="V8"/>
      <c r="W8"/>
    </row>
    <row r="9" spans="1:23" s="1" customFormat="1" x14ac:dyDescent="0.2">
      <c r="D9" s="12"/>
      <c r="O9"/>
      <c r="P9"/>
      <c r="Q9"/>
      <c r="R9"/>
      <c r="S9"/>
      <c r="T9"/>
      <c r="U9"/>
      <c r="V9"/>
      <c r="W9"/>
    </row>
    <row r="10" spans="1:23" s="1" customFormat="1" x14ac:dyDescent="0.2">
      <c r="D10" s="12"/>
      <c r="K10" s="64"/>
      <c r="L10" s="64"/>
      <c r="M10" s="64"/>
      <c r="O10"/>
      <c r="P10"/>
      <c r="Q10"/>
      <c r="R10"/>
      <c r="S10"/>
      <c r="T10"/>
      <c r="U10"/>
      <c r="V10"/>
      <c r="W10"/>
    </row>
    <row r="11" spans="1:23" s="1" customFormat="1" x14ac:dyDescent="0.2">
      <c r="A11"/>
      <c r="B11" s="22" t="s">
        <v>74</v>
      </c>
      <c r="C11"/>
      <c r="D11"/>
      <c r="E11"/>
      <c r="F11"/>
      <c r="G11"/>
      <c r="H11" s="78">
        <f>H6</f>
        <v>44377</v>
      </c>
      <c r="I11" s="78">
        <f>EOMONTH(H11,6)</f>
        <v>44561</v>
      </c>
      <c r="J11" s="78">
        <f>EOMONTH(I11,6)</f>
        <v>44742</v>
      </c>
      <c r="K11" s="78">
        <f t="shared" ref="K11:Q11" si="0">EOMONTH(J11,6)</f>
        <v>44926</v>
      </c>
      <c r="L11" s="78">
        <f t="shared" si="0"/>
        <v>45107</v>
      </c>
      <c r="M11" s="78">
        <f t="shared" si="0"/>
        <v>45291</v>
      </c>
      <c r="N11" s="78">
        <f t="shared" si="0"/>
        <v>45473</v>
      </c>
      <c r="O11" s="78">
        <f t="shared" si="0"/>
        <v>45657</v>
      </c>
      <c r="P11" s="78">
        <f t="shared" si="0"/>
        <v>45838</v>
      </c>
      <c r="Q11" s="78">
        <f t="shared" si="0"/>
        <v>46022</v>
      </c>
      <c r="R11" s="78">
        <f>EOMONTH(Q11,6)</f>
        <v>46203</v>
      </c>
      <c r="S11"/>
      <c r="T11"/>
      <c r="U11"/>
      <c r="V11"/>
      <c r="W11"/>
    </row>
    <row r="12" spans="1:23" s="1" customFormat="1" x14ac:dyDescent="0.2">
      <c r="A12"/>
      <c r="B12" s="22" t="s">
        <v>75</v>
      </c>
      <c r="C12"/>
      <c r="D12"/>
      <c r="E12"/>
      <c r="F12"/>
      <c r="G12"/>
      <c r="H12" s="76">
        <f t="shared" ref="H12:R12" si="1">IF(MONTH(H11)=12, EOMONTH(H11,6), H11)</f>
        <v>44377</v>
      </c>
      <c r="I12" s="76">
        <f t="shared" si="1"/>
        <v>44742</v>
      </c>
      <c r="J12" s="76">
        <f t="shared" si="1"/>
        <v>44742</v>
      </c>
      <c r="K12" s="76">
        <f t="shared" si="1"/>
        <v>45107</v>
      </c>
      <c r="L12" s="76">
        <f t="shared" si="1"/>
        <v>45107</v>
      </c>
      <c r="M12" s="76">
        <f t="shared" si="1"/>
        <v>45473</v>
      </c>
      <c r="N12" s="76">
        <f t="shared" si="1"/>
        <v>45473</v>
      </c>
      <c r="O12" s="76">
        <f t="shared" si="1"/>
        <v>45838</v>
      </c>
      <c r="P12" s="76">
        <f t="shared" si="1"/>
        <v>45838</v>
      </c>
      <c r="Q12" s="76">
        <f t="shared" si="1"/>
        <v>46203</v>
      </c>
      <c r="R12" s="76">
        <f t="shared" si="1"/>
        <v>46203</v>
      </c>
      <c r="S12"/>
      <c r="T12"/>
      <c r="U12"/>
      <c r="V12"/>
      <c r="W12"/>
    </row>
    <row r="13" spans="1:23" s="1" customFormat="1" x14ac:dyDescent="0.2">
      <c r="A13"/>
      <c r="B13" s="22" t="s">
        <v>35</v>
      </c>
      <c r="C13"/>
      <c r="D13"/>
      <c r="E13"/>
      <c r="F13"/>
      <c r="G13"/>
      <c r="H13" s="79">
        <f t="shared" ref="H13:R13" si="2">IF(output_dollars&lt;H12,0,INDEX($H$8:$M$8,MATCH(H12,CY_years,0)))</f>
        <v>0</v>
      </c>
      <c r="I13" s="79">
        <f t="shared" si="2"/>
        <v>8.6058519793459354E-3</v>
      </c>
      <c r="J13" s="79">
        <f t="shared" si="2"/>
        <v>8.6058519793459354E-3</v>
      </c>
      <c r="K13" s="79">
        <f t="shared" si="2"/>
        <v>3.4982935153583528E-2</v>
      </c>
      <c r="L13" s="79">
        <f t="shared" si="2"/>
        <v>3.4982935153583528E-2</v>
      </c>
      <c r="M13" s="79">
        <f t="shared" si="2"/>
        <v>7.8318219291014124E-2</v>
      </c>
      <c r="N13" s="79">
        <f t="shared" si="2"/>
        <v>7.8318219291014124E-2</v>
      </c>
      <c r="O13" s="79">
        <f t="shared" si="2"/>
        <v>4.0519877675840865E-2</v>
      </c>
      <c r="P13" s="79">
        <f t="shared" si="2"/>
        <v>4.0519877675840865E-2</v>
      </c>
      <c r="Q13" s="79">
        <f t="shared" si="2"/>
        <v>0.03</v>
      </c>
      <c r="R13" s="79">
        <f t="shared" si="2"/>
        <v>0.03</v>
      </c>
      <c r="S13"/>
      <c r="T13"/>
      <c r="U13"/>
      <c r="V13"/>
      <c r="W13"/>
    </row>
    <row r="14" spans="1:23" s="1" customFormat="1" x14ac:dyDescent="0.2">
      <c r="A14"/>
      <c r="B14"/>
      <c r="C14"/>
      <c r="D14"/>
      <c r="E14"/>
      <c r="F14"/>
      <c r="G14"/>
      <c r="S14"/>
      <c r="T14"/>
      <c r="U14"/>
      <c r="V14"/>
      <c r="W14"/>
    </row>
    <row r="15" spans="1:23" s="22" customFormat="1" x14ac:dyDescent="0.2">
      <c r="A15"/>
      <c r="B15" s="22" t="s">
        <v>76</v>
      </c>
      <c r="C15"/>
      <c r="D15"/>
      <c r="E15"/>
      <c r="F15"/>
      <c r="G15"/>
      <c r="H15" s="42">
        <v>1</v>
      </c>
      <c r="I15" s="41">
        <f t="shared" ref="I15:R15" si="3">H15*(1+I$13)^0.5</f>
        <v>1.0042937080253693</v>
      </c>
      <c r="J15" s="41">
        <f t="shared" si="3"/>
        <v>1.0086058519793457</v>
      </c>
      <c r="K15" s="41">
        <f t="shared" si="3"/>
        <v>1.0260961975293987</v>
      </c>
      <c r="L15" s="41">
        <f t="shared" si="3"/>
        <v>1.0438898450946641</v>
      </c>
      <c r="M15" s="41">
        <f t="shared" si="3"/>
        <v>1.0839971599793141</v>
      </c>
      <c r="N15" s="41">
        <f t="shared" si="3"/>
        <v>1.1256454388984505</v>
      </c>
      <c r="O15" s="41">
        <f t="shared" si="3"/>
        <v>1.1482244927118261</v>
      </c>
      <c r="P15" s="41">
        <f t="shared" si="3"/>
        <v>1.1712564543889838</v>
      </c>
      <c r="Q15" s="41">
        <f t="shared" si="3"/>
        <v>1.1886954750508179</v>
      </c>
      <c r="R15" s="41">
        <f t="shared" si="3"/>
        <v>1.2063941480206535</v>
      </c>
      <c r="S15"/>
      <c r="T15"/>
      <c r="U15"/>
      <c r="V15"/>
      <c r="W15"/>
    </row>
    <row r="16" spans="1:23" s="22" customFormat="1" x14ac:dyDescent="0.2">
      <c r="A16"/>
      <c r="B16" s="80" t="s">
        <v>190</v>
      </c>
      <c r="C16" s="67">
        <f>input_dollars</f>
        <v>45291</v>
      </c>
      <c r="D16" s="41">
        <f>INDEX(hy_escalation, MATCH(C16,hy_dates,0))</f>
        <v>1.0839971599793141</v>
      </c>
      <c r="E16"/>
      <c r="F16"/>
      <c r="G16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/>
      <c r="T16"/>
      <c r="U16"/>
      <c r="V16"/>
      <c r="W16"/>
    </row>
    <row r="17" spans="1:34" s="22" customFormat="1" x14ac:dyDescent="0.2">
      <c r="A17"/>
      <c r="B17" s="80" t="s">
        <v>191</v>
      </c>
      <c r="C17" s="67">
        <f>output_dollars</f>
        <v>46203</v>
      </c>
      <c r="D17" s="41">
        <f>INDEX(hy_escalation, MATCH(C17,hy_dates,0))</f>
        <v>1.2063941480206535</v>
      </c>
      <c r="E17"/>
      <c r="F17"/>
      <c r="G17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/>
      <c r="T17"/>
      <c r="U17"/>
      <c r="V17"/>
      <c r="W17"/>
    </row>
    <row r="18" spans="1:34" s="1" customFormat="1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</row>
    <row r="19" spans="1:34" x14ac:dyDescent="0.2">
      <c r="B19" s="81" t="s">
        <v>77</v>
      </c>
      <c r="D19" s="41">
        <f>D17/D16</f>
        <v>1.1129126464165968</v>
      </c>
      <c r="L19" s="293"/>
    </row>
    <row r="20" spans="1:34" x14ac:dyDescent="0.2">
      <c r="B20" s="81"/>
      <c r="D20" s="41"/>
    </row>
    <row r="21" spans="1:34" x14ac:dyDescent="0.2">
      <c r="B21" s="80" t="s">
        <v>214</v>
      </c>
      <c r="C21" s="67">
        <f>vcr_date</f>
        <v>45291</v>
      </c>
      <c r="D21" s="41">
        <f>INDEX(hy_escalation, MATCH(C21,hy_dates,0))</f>
        <v>1.0839971599793141</v>
      </c>
    </row>
    <row r="22" spans="1:34" x14ac:dyDescent="0.2">
      <c r="B22" s="80" t="s">
        <v>215</v>
      </c>
      <c r="C22" s="67">
        <f>input_dollars</f>
        <v>45291</v>
      </c>
      <c r="D22" s="41">
        <f>INDEX(hy_escalation, MATCH(C22,hy_dates,0))</f>
        <v>1.0839971599793141</v>
      </c>
    </row>
    <row r="23" spans="1:34" x14ac:dyDescent="0.2">
      <c r="B23" s="81" t="s">
        <v>216</v>
      </c>
      <c r="D23" s="41">
        <f>D22/D21</f>
        <v>1</v>
      </c>
    </row>
    <row r="25" spans="1:34" x14ac:dyDescent="0.2">
      <c r="B25" s="81" t="s">
        <v>240</v>
      </c>
      <c r="C25" s="8" t="str">
        <f>start</f>
        <v>2026-27</v>
      </c>
    </row>
    <row r="28" spans="1:34" s="1" customFormat="1" ht="15" x14ac:dyDescent="0.2">
      <c r="A28" s="18" t="s">
        <v>212</v>
      </c>
      <c r="B28" s="18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</row>
    <row r="31" spans="1:34" x14ac:dyDescent="0.2">
      <c r="B31" s="193" t="s">
        <v>1</v>
      </c>
      <c r="C31" s="194" t="s">
        <v>197</v>
      </c>
      <c r="D31" s="195" t="s">
        <v>204</v>
      </c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</row>
    <row r="32" spans="1:34" x14ac:dyDescent="0.2">
      <c r="B32" s="136" t="s">
        <v>131</v>
      </c>
      <c r="C32" s="192">
        <f>Option2!$G$92</f>
        <v>4</v>
      </c>
      <c r="D32" s="10" t="b">
        <f>NOT(Data!C10)</f>
        <v>1</v>
      </c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</row>
    <row r="33" spans="1:34" x14ac:dyDescent="0.2">
      <c r="B33" s="136" t="s">
        <v>132</v>
      </c>
      <c r="C33" s="192">
        <f>Option3!$G$92</f>
        <v>4</v>
      </c>
      <c r="D33" s="10" t="b">
        <f>NOT(Data!C11)</f>
        <v>1</v>
      </c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</row>
    <row r="34" spans="1:34" x14ac:dyDescent="0.2">
      <c r="B34" s="136" t="s">
        <v>133</v>
      </c>
      <c r="C34" s="192" t="str">
        <f>Option4!$G$92</f>
        <v>Not used</v>
      </c>
      <c r="D34" s="10" t="b">
        <f>NOT(Data!C12)</f>
        <v>0</v>
      </c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</row>
    <row r="35" spans="1:34" x14ac:dyDescent="0.2">
      <c r="B35" s="136" t="s">
        <v>158</v>
      </c>
      <c r="C35" s="192" t="str">
        <f>Option5!$G$92</f>
        <v>Not used</v>
      </c>
      <c r="D35" s="10" t="b">
        <f>NOT(Data!C13)</f>
        <v>0</v>
      </c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</row>
    <row r="36" spans="1:34" x14ac:dyDescent="0.2">
      <c r="B36" s="10"/>
      <c r="C36" s="84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</row>
    <row r="37" spans="1:34" x14ac:dyDescent="0.2">
      <c r="B37" s="10"/>
      <c r="C37" s="84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</row>
    <row r="38" spans="1:34" x14ac:dyDescent="0.2">
      <c r="B38" s="196" t="s">
        <v>197</v>
      </c>
      <c r="C38" s="196" cm="1">
        <f t="array" ref="C38">IF(OR(NOT(Data!$C$10:$C$13)), _xlfn.MINIFS($C$32:$C$35,$D$32:$D$35,TRUE), 0)</f>
        <v>4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</row>
    <row r="39" spans="1:34" x14ac:dyDescent="0.2">
      <c r="B39" s="10"/>
      <c r="C39" s="84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</row>
    <row r="40" spans="1:34" x14ac:dyDescent="0.2">
      <c r="A40" s="10"/>
      <c r="B40" s="10"/>
      <c r="C40" s="84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</row>
    <row r="41" spans="1:34" x14ac:dyDescent="0.2">
      <c r="B41" t="str">
        <f>Assumptions!E41</f>
        <v>Weighted average VCR</v>
      </c>
      <c r="D41"/>
    </row>
    <row r="42" spans="1:34" x14ac:dyDescent="0.2">
      <c r="D42"/>
    </row>
    <row r="43" spans="1:34" x14ac:dyDescent="0.2">
      <c r="B43" t="str">
        <f>IF(B41=0,0, INDEX(Data!$D$107:$D$109, MATCH(bus, Data!$B$107:$B$109,0))&amp;Assumptions!E41)</f>
        <v>PAL:Weighted average VCR</v>
      </c>
      <c r="C43" s="132" t="e">
        <f>IF(B43=0,0,INDEX(#REF!,MATCH($B43,#REF!, 0)))</f>
        <v>#REF!</v>
      </c>
      <c r="D43"/>
    </row>
    <row r="44" spans="1:34" x14ac:dyDescent="0.2">
      <c r="D44"/>
    </row>
    <row r="45" spans="1:34" x14ac:dyDescent="0.2">
      <c r="D45"/>
    </row>
    <row r="46" spans="1:34" s="1" customFormat="1" ht="15" x14ac:dyDescent="0.2">
      <c r="A46" s="18" t="s">
        <v>246</v>
      </c>
      <c r="B46" s="18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7"/>
      <c r="N46" s="17"/>
      <c r="O46" s="17"/>
      <c r="P46" s="17"/>
      <c r="Q46" s="17"/>
      <c r="R46" s="17"/>
    </row>
    <row r="49" spans="2:4" x14ac:dyDescent="0.2">
      <c r="B49" t="s">
        <v>147</v>
      </c>
      <c r="C49" t="b">
        <f>AND(SUM('Option1 (base case)'!$I14:$AG14)&lt;&gt;0, 'Option1 (base case)'!E14=0)</f>
        <v>0</v>
      </c>
      <c r="D49" s="49" t="b">
        <f>OR(C49:C51)</f>
        <v>0</v>
      </c>
    </row>
    <row r="50" spans="2:4" x14ac:dyDescent="0.2">
      <c r="C50" t="b">
        <f>AND(SUM('Option1 (base case)'!$I15:$AG15)&lt;&gt;0, 'Option1 (base case)'!E15=0)</f>
        <v>0</v>
      </c>
    </row>
    <row r="51" spans="2:4" x14ac:dyDescent="0.2">
      <c r="C51" t="b">
        <f>AND(SUM('Option1 (base case)'!$I16:$AG16)&lt;&gt;0, 'Option1 (base case)'!E16=0)</f>
        <v>0</v>
      </c>
    </row>
    <row r="53" spans="2:4" x14ac:dyDescent="0.2">
      <c r="B53" t="s">
        <v>131</v>
      </c>
      <c r="C53" t="b">
        <f>AND(SUM(Option2!$I14:$AG14)&lt;&gt;0, Option2!E14=0)</f>
        <v>0</v>
      </c>
      <c r="D53" s="49" t="b">
        <f>OR(C53:C55)</f>
        <v>0</v>
      </c>
    </row>
    <row r="54" spans="2:4" x14ac:dyDescent="0.2">
      <c r="C54" t="b">
        <f>AND(SUM(Option2!$I15:$AG15)&lt;&gt;0, Option2!E15=0)</f>
        <v>0</v>
      </c>
    </row>
    <row r="55" spans="2:4" x14ac:dyDescent="0.2">
      <c r="C55" t="b">
        <f>AND(SUM(Option2!$I16:$AG16)&lt;&gt;0, Option2!E16=0)</f>
        <v>0</v>
      </c>
    </row>
    <row r="57" spans="2:4" x14ac:dyDescent="0.2">
      <c r="B57" t="s">
        <v>132</v>
      </c>
      <c r="C57" t="b">
        <f>AND(SUM(Option3!$I14:$AG14)&lt;&gt;0, Option3!E14=0)</f>
        <v>0</v>
      </c>
      <c r="D57" s="49" t="b">
        <f>OR(C57:C59)</f>
        <v>0</v>
      </c>
    </row>
    <row r="58" spans="2:4" x14ac:dyDescent="0.2">
      <c r="C58" t="b">
        <f>AND(SUM(Option3!$I15:$AG15)&lt;&gt;0, Option3!E15=0)</f>
        <v>0</v>
      </c>
    </row>
    <row r="59" spans="2:4" x14ac:dyDescent="0.2">
      <c r="C59" t="b">
        <f>AND(SUM(Option3!$I16:$AG16)&lt;&gt;0, Option3!E16=0)</f>
        <v>0</v>
      </c>
    </row>
    <row r="61" spans="2:4" x14ac:dyDescent="0.2">
      <c r="B61" t="s">
        <v>133</v>
      </c>
      <c r="C61" t="b">
        <f>AND(SUM(Option4!$I14:$AG14)&lt;&gt;0, Option4!E14=0)</f>
        <v>0</v>
      </c>
      <c r="D61" s="49" t="b">
        <f>OR(C61:C63)</f>
        <v>0</v>
      </c>
    </row>
    <row r="62" spans="2:4" x14ac:dyDescent="0.2">
      <c r="C62" t="b">
        <f>AND(SUM(Option4!$I15:$AG15)&lt;&gt;0, Option4!E15=0)</f>
        <v>0</v>
      </c>
    </row>
    <row r="63" spans="2:4" x14ac:dyDescent="0.2">
      <c r="C63" t="b">
        <f>AND(SUM(Option4!$I16:$AG16)&lt;&gt;0, Option4!E16=0)</f>
        <v>0</v>
      </c>
    </row>
    <row r="65" spans="1:4" x14ac:dyDescent="0.2">
      <c r="B65" t="s">
        <v>158</v>
      </c>
      <c r="C65" t="b">
        <f>AND(SUM(Option5!$I14:$AG14)&lt;&gt;0, Option5!E14=0)</f>
        <v>0</v>
      </c>
      <c r="D65" s="49" t="b">
        <f>OR(C65:C67)</f>
        <v>0</v>
      </c>
    </row>
    <row r="66" spans="1:4" x14ac:dyDescent="0.2">
      <c r="C66" t="b">
        <f>AND(SUM(Option5!$I15:$AG15)&lt;&gt;0, Option5!E15=0)</f>
        <v>0</v>
      </c>
    </row>
    <row r="67" spans="1:4" x14ac:dyDescent="0.2">
      <c r="C67" t="b">
        <f>AND(SUM(Option5!$I16:$AG16)&lt;&gt;0, Option5!E16=0)</f>
        <v>0</v>
      </c>
    </row>
    <row r="70" spans="1:4" x14ac:dyDescent="0.2">
      <c r="A70" t="s">
        <v>168</v>
      </c>
      <c r="B70" s="240" t="s">
        <v>213</v>
      </c>
    </row>
    <row r="74" spans="1:4" x14ac:dyDescent="0.2">
      <c r="B74" s="239" t="str">
        <f>IF(AND(SUM(E73:AC73)&lt;&gt;0, A74=0), "!", "")</f>
        <v/>
      </c>
    </row>
    <row r="76" spans="1:4" x14ac:dyDescent="0.2">
      <c r="B76" t="s">
        <v>211</v>
      </c>
    </row>
  </sheetData>
  <pageMargins left="0.7" right="0.7" top="0.75" bottom="0.75" header="0.3" footer="0.3"/>
  <pageSetup paperSize="9" orientation="portrait" horizontalDpi="90" verticalDpi="9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1E31B-D919-4625-B2CD-E9F193C9DE73}">
  <sheetPr codeName="Sheet9">
    <tabColor rgb="FFFFFFCC"/>
  </sheetPr>
  <dimension ref="A1:AA323"/>
  <sheetViews>
    <sheetView showGridLines="0" topLeftCell="A48" zoomScale="80" zoomScaleNormal="80" workbookViewId="0">
      <selection activeCell="A48" sqref="A48"/>
    </sheetView>
  </sheetViews>
  <sheetFormatPr defaultColWidth="9" defaultRowHeight="12.75" x14ac:dyDescent="0.2"/>
  <cols>
    <col min="1" max="1" width="5.375" style="8" customWidth="1"/>
    <col min="2" max="2" width="24.5" style="8" customWidth="1"/>
    <col min="3" max="3" width="9" style="8"/>
    <col min="4" max="4" width="9.875" style="8" bestFit="1" customWidth="1"/>
    <col min="5" max="5" width="10.875" style="8" customWidth="1"/>
    <col min="6" max="14" width="9" style="8"/>
    <col min="15" max="15" width="30.125" style="8" customWidth="1"/>
    <col min="16" max="16" width="43.25" style="8" customWidth="1"/>
    <col min="17" max="20" width="9" style="8"/>
    <col min="21" max="21" width="11.375" style="8" bestFit="1" customWidth="1"/>
    <col min="22" max="26" width="9" style="8"/>
    <col min="27" max="27" width="19.125" style="8" customWidth="1"/>
    <col min="28" max="16384" width="9" style="8"/>
  </cols>
  <sheetData>
    <row r="1" spans="1:27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48"/>
      <c r="L1" s="48"/>
      <c r="M1" s="48"/>
      <c r="N1" s="15"/>
      <c r="O1" s="15"/>
      <c r="P1" s="15"/>
      <c r="Q1" s="15"/>
      <c r="R1" s="15"/>
      <c r="S1" s="15"/>
      <c r="T1"/>
      <c r="U1" s="147"/>
      <c r="V1"/>
      <c r="W1"/>
    </row>
    <row r="2" spans="1:27" ht="18.75" x14ac:dyDescent="0.3">
      <c r="A2" s="56" t="str">
        <f>proj</f>
        <v>Apollo Bay microgrid</v>
      </c>
      <c r="B2" s="56"/>
      <c r="C2" s="56"/>
      <c r="D2" s="56"/>
      <c r="E2" s="56"/>
      <c r="F2" s="56"/>
      <c r="G2" s="15"/>
      <c r="H2" s="15"/>
      <c r="I2" s="15"/>
      <c r="J2" s="15"/>
      <c r="K2" s="48"/>
      <c r="L2" s="48"/>
      <c r="M2" s="48"/>
      <c r="N2" s="15"/>
      <c r="O2" s="15"/>
      <c r="P2" s="15"/>
      <c r="Q2" s="15"/>
      <c r="R2" s="15"/>
      <c r="S2" s="15"/>
      <c r="T2"/>
      <c r="U2"/>
      <c r="V2"/>
      <c r="W2"/>
    </row>
    <row r="3" spans="1:27" ht="15.75" x14ac:dyDescent="0.25">
      <c r="A3" s="5"/>
      <c r="B3" s="5"/>
      <c r="C3" s="5"/>
      <c r="D3" s="5"/>
      <c r="E3" s="5"/>
      <c r="F3" s="5"/>
      <c r="T3"/>
      <c r="U3"/>
      <c r="V3"/>
      <c r="W3"/>
    </row>
    <row r="4" spans="1:27" x14ac:dyDescent="0.2">
      <c r="T4"/>
      <c r="U4"/>
      <c r="V4"/>
    </row>
    <row r="5" spans="1:27" ht="15" x14ac:dyDescent="0.25">
      <c r="A5" s="19" t="s">
        <v>51</v>
      </c>
      <c r="B5" s="19"/>
      <c r="C5" s="19"/>
      <c r="D5" s="19"/>
      <c r="E5" s="19"/>
      <c r="F5" s="20"/>
      <c r="G5" s="19"/>
      <c r="H5" s="19"/>
      <c r="I5" s="19"/>
      <c r="J5" s="20"/>
      <c r="K5" s="20"/>
      <c r="L5" s="20"/>
      <c r="M5" s="20"/>
      <c r="N5" s="20"/>
      <c r="O5" s="20"/>
      <c r="P5" s="20"/>
      <c r="Q5" s="20"/>
      <c r="R5" s="20"/>
      <c r="S5" s="20"/>
      <c r="T5"/>
      <c r="U5"/>
      <c r="V5"/>
    </row>
    <row r="6" spans="1:27" x14ac:dyDescent="0.2">
      <c r="T6"/>
      <c r="U6"/>
      <c r="V6"/>
    </row>
    <row r="7" spans="1:27" x14ac:dyDescent="0.2">
      <c r="A7" s="14" t="s">
        <v>80</v>
      </c>
      <c r="T7"/>
      <c r="U7"/>
      <c r="V7"/>
    </row>
    <row r="8" spans="1:27" x14ac:dyDescent="0.2">
      <c r="A8" s="59"/>
      <c r="B8" s="59"/>
      <c r="C8" s="53" t="s">
        <v>83</v>
      </c>
      <c r="D8" s="53" t="s">
        <v>203</v>
      </c>
      <c r="F8" s="8" t="s">
        <v>229</v>
      </c>
      <c r="T8"/>
      <c r="U8"/>
      <c r="V8"/>
    </row>
    <row r="9" spans="1:27" x14ac:dyDescent="0.2">
      <c r="A9" s="27" t="s">
        <v>148</v>
      </c>
      <c r="B9" s="86" t="s">
        <v>147</v>
      </c>
      <c r="C9" s="87" t="b">
        <v>0</v>
      </c>
      <c r="D9" s="8" t="str">
        <f>IF(C9, $C$8, "")</f>
        <v/>
      </c>
      <c r="E9" s="8" t="str">
        <f>B9&amp;": "&amp;Assumptions!E14</f>
        <v>Option 1 (base case): No change to existing practices</v>
      </c>
      <c r="F9" s="8" t="b">
        <f>compliance</f>
        <v>0</v>
      </c>
      <c r="T9"/>
      <c r="U9"/>
      <c r="V9"/>
      <c r="W9"/>
    </row>
    <row r="10" spans="1:27" x14ac:dyDescent="0.2">
      <c r="A10" s="27" t="s">
        <v>149</v>
      </c>
      <c r="B10" s="86" t="s">
        <v>131</v>
      </c>
      <c r="C10" s="87" t="b">
        <f>SUM(Option2!I$17:AB$17, Option2!I$19:AB$19)=0</f>
        <v>0</v>
      </c>
      <c r="D10" s="8" t="str">
        <f>IF(C10, $C$8, "")</f>
        <v/>
      </c>
      <c r="F10" s="8" t="b">
        <f>C10</f>
        <v>0</v>
      </c>
      <c r="T10"/>
      <c r="U10"/>
      <c r="V10"/>
      <c r="W10"/>
      <c r="Z10"/>
      <c r="AA10"/>
    </row>
    <row r="11" spans="1:27" x14ac:dyDescent="0.2">
      <c r="A11" s="27" t="s">
        <v>150</v>
      </c>
      <c r="B11" s="86" t="s">
        <v>132</v>
      </c>
      <c r="C11" s="87" t="b">
        <f>SUM(Option3!I$17:AB$17, Option3!I$19:AB$19)=0</f>
        <v>0</v>
      </c>
      <c r="D11" s="8" t="str">
        <f>IF(C11, $C$8, "")</f>
        <v/>
      </c>
      <c r="F11" s="8" t="b">
        <f>C11</f>
        <v>0</v>
      </c>
      <c r="T11"/>
      <c r="U11"/>
      <c r="V11"/>
      <c r="W11"/>
      <c r="Z11"/>
      <c r="AA11"/>
    </row>
    <row r="12" spans="1:27" x14ac:dyDescent="0.2">
      <c r="A12" s="27" t="s">
        <v>151</v>
      </c>
      <c r="B12" s="86" t="s">
        <v>133</v>
      </c>
      <c r="C12" s="87" t="b">
        <f>SUM(Option4!I$17:AB$17, Option4!I$19:AB$19)=0</f>
        <v>1</v>
      </c>
      <c r="D12" s="8" t="str">
        <f>IF(C12, $C$8, "")</f>
        <v>Not used</v>
      </c>
      <c r="F12" s="8" t="b">
        <f>C12</f>
        <v>1</v>
      </c>
      <c r="T12"/>
      <c r="U12"/>
      <c r="V12"/>
      <c r="W12"/>
      <c r="Z12"/>
      <c r="AA12"/>
    </row>
    <row r="13" spans="1:27" x14ac:dyDescent="0.2">
      <c r="A13" s="27" t="s">
        <v>159</v>
      </c>
      <c r="B13" s="86" t="s">
        <v>158</v>
      </c>
      <c r="C13" s="87" t="b">
        <f>SUM(Option5!I$17:AB$17, Option5!I$19:AB$19)=0</f>
        <v>1</v>
      </c>
      <c r="D13" s="8" t="str">
        <f>IF(C13, $C$8, "")</f>
        <v>Not used</v>
      </c>
      <c r="F13" s="8" t="b">
        <f>C13</f>
        <v>1</v>
      </c>
      <c r="T13"/>
      <c r="U13"/>
      <c r="V13"/>
      <c r="W13"/>
      <c r="Z13"/>
      <c r="AA13"/>
    </row>
    <row r="14" spans="1:27" x14ac:dyDescent="0.2">
      <c r="T14"/>
      <c r="U14"/>
      <c r="V14"/>
      <c r="W14"/>
      <c r="Z14"/>
      <c r="AA14"/>
    </row>
    <row r="15" spans="1:27" x14ac:dyDescent="0.2">
      <c r="T15"/>
      <c r="U15"/>
      <c r="V15"/>
      <c r="W15"/>
      <c r="Z15"/>
      <c r="AA15"/>
    </row>
    <row r="16" spans="1:27" x14ac:dyDescent="0.2">
      <c r="A16" s="8" t="s">
        <v>225</v>
      </c>
      <c r="D16" s="23" t="s">
        <v>227</v>
      </c>
      <c r="E16" s="8" t="b">
        <f>Assumptions!E20=Data!D16</f>
        <v>0</v>
      </c>
      <c r="T16"/>
      <c r="U16"/>
      <c r="V16"/>
      <c r="W16"/>
      <c r="Z16"/>
      <c r="AA16"/>
    </row>
    <row r="17" spans="1:27" x14ac:dyDescent="0.2">
      <c r="T17"/>
      <c r="U17"/>
      <c r="V17"/>
      <c r="W17"/>
      <c r="Z17"/>
      <c r="AA17"/>
    </row>
    <row r="18" spans="1:27" x14ac:dyDescent="0.2">
      <c r="T18"/>
      <c r="U18"/>
      <c r="V18"/>
      <c r="W18"/>
      <c r="Z18"/>
      <c r="AA18"/>
    </row>
    <row r="19" spans="1:27" x14ac:dyDescent="0.2">
      <c r="B19" s="86" t="s">
        <v>58</v>
      </c>
      <c r="C19" s="87"/>
      <c r="T19"/>
      <c r="U19"/>
      <c r="V19"/>
      <c r="W19"/>
      <c r="Z19"/>
      <c r="AA19"/>
    </row>
    <row r="20" spans="1:27" x14ac:dyDescent="0.2">
      <c r="B20" s="86" t="s">
        <v>95</v>
      </c>
      <c r="C20" s="87"/>
      <c r="T20"/>
      <c r="U20"/>
      <c r="V20"/>
      <c r="W20"/>
      <c r="Z20"/>
      <c r="AA20"/>
    </row>
    <row r="21" spans="1:27" x14ac:dyDescent="0.2">
      <c r="B21" s="86" t="s">
        <v>96</v>
      </c>
      <c r="T21"/>
      <c r="U21"/>
      <c r="V21"/>
      <c r="W21"/>
      <c r="Z21"/>
      <c r="AA21"/>
    </row>
    <row r="22" spans="1:27" x14ac:dyDescent="0.2">
      <c r="T22"/>
      <c r="U22"/>
      <c r="V22"/>
      <c r="W22"/>
      <c r="Z22"/>
      <c r="AA22"/>
    </row>
    <row r="23" spans="1:27" x14ac:dyDescent="0.2">
      <c r="T23"/>
      <c r="U23"/>
      <c r="V23"/>
      <c r="W23"/>
    </row>
    <row r="24" spans="1:27" x14ac:dyDescent="0.2">
      <c r="A24" s="8" t="s">
        <v>223</v>
      </c>
      <c r="B24" s="102"/>
      <c r="T24"/>
      <c r="U24"/>
      <c r="V24"/>
      <c r="W24"/>
    </row>
    <row r="25" spans="1:27" x14ac:dyDescent="0.2">
      <c r="B25" s="23" t="s">
        <v>57</v>
      </c>
      <c r="T25"/>
      <c r="U25"/>
      <c r="V25"/>
      <c r="W25"/>
    </row>
    <row r="26" spans="1:27" x14ac:dyDescent="0.2">
      <c r="T26"/>
      <c r="U26"/>
      <c r="V26"/>
      <c r="W26"/>
    </row>
    <row r="27" spans="1:27" x14ac:dyDescent="0.2">
      <c r="T27"/>
      <c r="U27"/>
      <c r="V27"/>
      <c r="W27"/>
    </row>
    <row r="28" spans="1:27" x14ac:dyDescent="0.2">
      <c r="A28" s="14" t="s">
        <v>85</v>
      </c>
      <c r="T28"/>
      <c r="U28"/>
      <c r="V28"/>
      <c r="W28"/>
    </row>
    <row r="29" spans="1:27" x14ac:dyDescent="0.2">
      <c r="A29" s="14"/>
      <c r="B29" s="53"/>
      <c r="C29" s="53" t="s">
        <v>87</v>
      </c>
      <c r="T29"/>
      <c r="U29"/>
      <c r="V29"/>
      <c r="W29"/>
    </row>
    <row r="30" spans="1:27" x14ac:dyDescent="0.2">
      <c r="B30" s="23" t="s">
        <v>30</v>
      </c>
      <c r="C30" s="23">
        <v>-1</v>
      </c>
      <c r="T30"/>
      <c r="U30"/>
      <c r="V30"/>
      <c r="W30"/>
    </row>
    <row r="31" spans="1:27" x14ac:dyDescent="0.2">
      <c r="B31" s="23" t="s">
        <v>91</v>
      </c>
      <c r="C31" s="23">
        <v>-1</v>
      </c>
      <c r="T31"/>
      <c r="U31"/>
      <c r="V31"/>
      <c r="W31"/>
      <c r="AA31" s="66"/>
    </row>
    <row r="32" spans="1:27" x14ac:dyDescent="0.2">
      <c r="B32" s="23" t="s">
        <v>31</v>
      </c>
      <c r="C32" s="23">
        <v>-1</v>
      </c>
      <c r="T32"/>
      <c r="U32"/>
      <c r="V32"/>
      <c r="W32"/>
      <c r="AA32" s="66"/>
    </row>
    <row r="33" spans="1:23" x14ac:dyDescent="0.2">
      <c r="B33" s="23" t="s">
        <v>142</v>
      </c>
      <c r="C33" s="23">
        <v>1</v>
      </c>
      <c r="T33"/>
      <c r="U33"/>
      <c r="V33"/>
      <c r="W33"/>
    </row>
    <row r="34" spans="1:23" x14ac:dyDescent="0.2">
      <c r="B34" s="23" t="s">
        <v>122</v>
      </c>
      <c r="C34" s="23">
        <v>1</v>
      </c>
      <c r="T34"/>
      <c r="U34"/>
      <c r="V34"/>
      <c r="W34"/>
    </row>
    <row r="35" spans="1:23" x14ac:dyDescent="0.2">
      <c r="B35" s="23" t="s">
        <v>192</v>
      </c>
      <c r="C35" s="23">
        <v>1</v>
      </c>
      <c r="T35"/>
      <c r="U35"/>
      <c r="V35"/>
      <c r="W35"/>
    </row>
    <row r="36" spans="1:23" x14ac:dyDescent="0.2">
      <c r="B36" s="23" t="s">
        <v>176</v>
      </c>
      <c r="C36" s="23">
        <v>1</v>
      </c>
      <c r="T36"/>
      <c r="U36"/>
      <c r="V36"/>
      <c r="W36"/>
    </row>
    <row r="37" spans="1:23" x14ac:dyDescent="0.2">
      <c r="T37"/>
      <c r="U37"/>
      <c r="V37"/>
      <c r="W37"/>
    </row>
    <row r="38" spans="1:23" x14ac:dyDescent="0.2">
      <c r="T38"/>
      <c r="U38"/>
      <c r="V38"/>
      <c r="W38"/>
    </row>
    <row r="39" spans="1:23" x14ac:dyDescent="0.2">
      <c r="T39"/>
      <c r="U39"/>
      <c r="V39"/>
      <c r="W39"/>
    </row>
    <row r="40" spans="1:23" x14ac:dyDescent="0.2">
      <c r="T40"/>
      <c r="U40"/>
      <c r="V40"/>
      <c r="W40"/>
    </row>
    <row r="41" spans="1:23" x14ac:dyDescent="0.2">
      <c r="A41" s="14" t="s">
        <v>54</v>
      </c>
      <c r="T41"/>
      <c r="U41"/>
      <c r="V41"/>
      <c r="W41"/>
    </row>
    <row r="42" spans="1:23" x14ac:dyDescent="0.2">
      <c r="A42" s="59"/>
      <c r="B42" s="59"/>
      <c r="C42" s="53" t="s">
        <v>87</v>
      </c>
      <c r="D42" s="53" t="s">
        <v>81</v>
      </c>
      <c r="E42" s="53" t="s">
        <v>25</v>
      </c>
      <c r="F42" s="8" t="s">
        <v>110</v>
      </c>
      <c r="T42"/>
      <c r="U42"/>
      <c r="V42"/>
      <c r="W42"/>
    </row>
    <row r="43" spans="1:23" x14ac:dyDescent="0.2">
      <c r="A43" s="27">
        <v>1</v>
      </c>
      <c r="B43" s="27" t="s">
        <v>106</v>
      </c>
      <c r="C43" s="27" t="s">
        <v>23</v>
      </c>
      <c r="D43" s="27" t="b">
        <v>0</v>
      </c>
      <c r="E43" s="23" t="s">
        <v>40</v>
      </c>
      <c r="F43" s="27" t="b">
        <v>0</v>
      </c>
      <c r="T43"/>
      <c r="U43"/>
      <c r="V43"/>
      <c r="W43"/>
    </row>
    <row r="44" spans="1:23" x14ac:dyDescent="0.2">
      <c r="A44" s="27">
        <f>A43+1</f>
        <v>2</v>
      </c>
      <c r="B44" s="27" t="s">
        <v>97</v>
      </c>
      <c r="C44" s="27" t="s">
        <v>97</v>
      </c>
      <c r="D44" s="27" t="b">
        <v>0</v>
      </c>
      <c r="E44" s="23" t="s">
        <v>104</v>
      </c>
      <c r="F44" s="27" t="b">
        <v>1</v>
      </c>
      <c r="T44"/>
      <c r="U44"/>
      <c r="V44"/>
      <c r="W44"/>
    </row>
    <row r="45" spans="1:23" x14ac:dyDescent="0.2">
      <c r="A45" s="27">
        <f t="shared" ref="A45:A55" si="0">A44+1</f>
        <v>3</v>
      </c>
      <c r="B45" s="27" t="s">
        <v>108</v>
      </c>
      <c r="C45" s="27" t="s">
        <v>107</v>
      </c>
      <c r="D45" s="27" t="b">
        <v>0</v>
      </c>
      <c r="E45" s="23" t="s">
        <v>104</v>
      </c>
      <c r="F45" s="27" t="b">
        <v>1</v>
      </c>
      <c r="T45"/>
      <c r="U45"/>
      <c r="V45"/>
      <c r="W45"/>
    </row>
    <row r="46" spans="1:23" x14ac:dyDescent="0.2">
      <c r="A46" s="27">
        <f t="shared" si="0"/>
        <v>4</v>
      </c>
      <c r="B46" s="27" t="s">
        <v>105</v>
      </c>
      <c r="C46" s="27" t="s">
        <v>109</v>
      </c>
      <c r="D46" s="27" t="b">
        <v>0</v>
      </c>
      <c r="E46" s="23" t="s">
        <v>104</v>
      </c>
      <c r="F46" s="27" t="b">
        <v>1</v>
      </c>
      <c r="T46"/>
      <c r="U46"/>
      <c r="V46"/>
      <c r="W46"/>
    </row>
    <row r="47" spans="1:23" ht="13.5" x14ac:dyDescent="0.25">
      <c r="A47" s="27">
        <f t="shared" si="0"/>
        <v>5</v>
      </c>
      <c r="B47" s="27" t="s">
        <v>59</v>
      </c>
      <c r="C47" s="27" t="s">
        <v>60</v>
      </c>
      <c r="D47" s="27" t="b">
        <v>1</v>
      </c>
      <c r="E47" s="23" t="s">
        <v>40</v>
      </c>
      <c r="F47" s="27" t="b">
        <v>0</v>
      </c>
      <c r="T47"/>
      <c r="U47"/>
      <c r="V47"/>
      <c r="W47"/>
    </row>
    <row r="48" spans="1:23" x14ac:dyDescent="0.2">
      <c r="A48" s="27">
        <f t="shared" si="0"/>
        <v>6</v>
      </c>
      <c r="B48" s="27" t="s">
        <v>14</v>
      </c>
      <c r="C48" s="27" t="s">
        <v>18</v>
      </c>
      <c r="D48" s="27" t="b">
        <v>1</v>
      </c>
      <c r="E48" s="23" t="s">
        <v>40</v>
      </c>
      <c r="F48" s="27" t="b">
        <v>0</v>
      </c>
      <c r="I48"/>
      <c r="T48"/>
      <c r="U48"/>
      <c r="V48"/>
      <c r="W48"/>
    </row>
    <row r="49" spans="1:23" x14ac:dyDescent="0.2">
      <c r="A49" s="27">
        <f t="shared" si="0"/>
        <v>7</v>
      </c>
      <c r="B49" s="27" t="s">
        <v>4</v>
      </c>
      <c r="C49" s="27" t="s">
        <v>18</v>
      </c>
      <c r="D49" s="27" t="b">
        <v>1</v>
      </c>
      <c r="E49" s="23" t="s">
        <v>40</v>
      </c>
      <c r="F49" s="27" t="b">
        <v>0</v>
      </c>
      <c r="T49"/>
      <c r="U49"/>
      <c r="V49"/>
      <c r="W49"/>
    </row>
    <row r="50" spans="1:23" x14ac:dyDescent="0.2">
      <c r="A50" s="27">
        <f t="shared" si="0"/>
        <v>8</v>
      </c>
      <c r="B50" s="27" t="s">
        <v>5</v>
      </c>
      <c r="C50" s="27" t="s">
        <v>18</v>
      </c>
      <c r="D50" s="27" t="b">
        <v>1</v>
      </c>
      <c r="E50" s="23" t="s">
        <v>40</v>
      </c>
      <c r="F50" s="27" t="b">
        <v>0</v>
      </c>
      <c r="T50"/>
      <c r="U50"/>
      <c r="V50"/>
      <c r="W50"/>
    </row>
    <row r="51" spans="1:23" x14ac:dyDescent="0.2">
      <c r="A51" s="27">
        <f t="shared" si="0"/>
        <v>9</v>
      </c>
      <c r="B51" s="27" t="s">
        <v>15</v>
      </c>
      <c r="C51" s="27" t="s">
        <v>18</v>
      </c>
      <c r="D51" s="27" t="b">
        <v>1</v>
      </c>
      <c r="E51" s="23" t="s">
        <v>48</v>
      </c>
      <c r="F51" s="27" t="b">
        <v>0</v>
      </c>
      <c r="T51"/>
      <c r="U51"/>
      <c r="V51"/>
      <c r="W51"/>
    </row>
    <row r="52" spans="1:23" x14ac:dyDescent="0.2">
      <c r="A52" s="27">
        <f t="shared" si="0"/>
        <v>10</v>
      </c>
      <c r="B52" s="27" t="s">
        <v>9</v>
      </c>
      <c r="C52" s="27" t="s">
        <v>18</v>
      </c>
      <c r="D52" s="27" t="b">
        <v>1</v>
      </c>
      <c r="E52" s="23" t="s">
        <v>82</v>
      </c>
      <c r="F52" s="27" t="b">
        <v>0</v>
      </c>
      <c r="T52"/>
      <c r="U52"/>
      <c r="V52"/>
      <c r="W52"/>
    </row>
    <row r="53" spans="1:23" x14ac:dyDescent="0.2">
      <c r="A53" s="27">
        <f t="shared" si="0"/>
        <v>11</v>
      </c>
      <c r="B53" s="27" t="s">
        <v>10</v>
      </c>
      <c r="C53" s="27" t="s">
        <v>18</v>
      </c>
      <c r="D53" s="27" t="b">
        <v>1</v>
      </c>
      <c r="E53" s="23" t="s">
        <v>82</v>
      </c>
      <c r="F53" s="27" t="b">
        <v>0</v>
      </c>
      <c r="T53"/>
      <c r="U53"/>
      <c r="V53"/>
      <c r="W53"/>
    </row>
    <row r="54" spans="1:23" x14ac:dyDescent="0.2">
      <c r="A54" s="27">
        <f t="shared" si="0"/>
        <v>12</v>
      </c>
      <c r="B54" s="27" t="s">
        <v>6</v>
      </c>
      <c r="C54" s="27" t="s">
        <v>18</v>
      </c>
      <c r="D54" s="27" t="b">
        <v>1</v>
      </c>
      <c r="E54" s="23" t="s">
        <v>48</v>
      </c>
      <c r="F54" s="27" t="b">
        <v>0</v>
      </c>
      <c r="O54"/>
      <c r="P54"/>
      <c r="Q54"/>
      <c r="R54"/>
      <c r="S54"/>
      <c r="T54"/>
      <c r="U54"/>
      <c r="V54"/>
      <c r="W54"/>
    </row>
    <row r="55" spans="1:23" x14ac:dyDescent="0.2">
      <c r="A55" s="27">
        <f t="shared" si="0"/>
        <v>13</v>
      </c>
      <c r="B55" s="27" t="s">
        <v>7</v>
      </c>
      <c r="C55" s="27" t="s">
        <v>18</v>
      </c>
      <c r="D55" s="27" t="b">
        <v>1</v>
      </c>
      <c r="E55" s="23" t="s">
        <v>48</v>
      </c>
      <c r="F55" s="27" t="b">
        <v>0</v>
      </c>
      <c r="O55"/>
      <c r="P55"/>
      <c r="Q55"/>
      <c r="R55"/>
      <c r="S55"/>
      <c r="T55"/>
      <c r="U55"/>
      <c r="V55"/>
      <c r="W55"/>
    </row>
    <row r="56" spans="1:23" x14ac:dyDescent="0.2">
      <c r="O56"/>
      <c r="P56"/>
      <c r="Q56"/>
      <c r="R56"/>
      <c r="S56"/>
      <c r="T56"/>
      <c r="U56"/>
      <c r="V56"/>
      <c r="W56"/>
    </row>
    <row r="57" spans="1:23" x14ac:dyDescent="0.2">
      <c r="O57"/>
      <c r="P57"/>
      <c r="Q57"/>
      <c r="R57"/>
      <c r="S57"/>
      <c r="T57"/>
      <c r="U57"/>
      <c r="V57"/>
      <c r="W57"/>
    </row>
    <row r="58" spans="1:23" x14ac:dyDescent="0.2">
      <c r="A58" s="14" t="s">
        <v>84</v>
      </c>
      <c r="O58"/>
      <c r="P58"/>
      <c r="Q58"/>
      <c r="R58"/>
      <c r="S58"/>
      <c r="T58"/>
      <c r="U58"/>
      <c r="V58"/>
      <c r="W58"/>
    </row>
    <row r="59" spans="1:23" x14ac:dyDescent="0.2">
      <c r="A59" s="53"/>
      <c r="B59" s="53"/>
      <c r="C59" s="88"/>
      <c r="D59" s="53" t="s">
        <v>3</v>
      </c>
      <c r="H59"/>
      <c r="I59"/>
      <c r="J59"/>
      <c r="O59"/>
      <c r="P59"/>
      <c r="Q59"/>
      <c r="R59"/>
      <c r="S59"/>
      <c r="T59"/>
      <c r="U59"/>
      <c r="V59"/>
      <c r="W59"/>
    </row>
    <row r="60" spans="1:23" x14ac:dyDescent="0.2">
      <c r="B60" s="27" t="s">
        <v>14</v>
      </c>
      <c r="C60" s="27" t="s">
        <v>53</v>
      </c>
      <c r="D60" s="96">
        <v>151432.81740793545</v>
      </c>
      <c r="H60"/>
      <c r="I60"/>
      <c r="J60"/>
      <c r="O60"/>
      <c r="P60"/>
      <c r="Q60"/>
      <c r="R60"/>
      <c r="S60"/>
      <c r="T60"/>
      <c r="U60"/>
      <c r="V60"/>
      <c r="W60"/>
    </row>
    <row r="61" spans="1:23" x14ac:dyDescent="0.2">
      <c r="B61" s="27" t="s">
        <v>4</v>
      </c>
      <c r="C61" s="27" t="s">
        <v>53</v>
      </c>
      <c r="D61" s="96">
        <v>24590</v>
      </c>
      <c r="H61"/>
      <c r="I61"/>
      <c r="J61"/>
      <c r="O61"/>
      <c r="P61"/>
      <c r="Q61"/>
      <c r="R61"/>
      <c r="S61"/>
      <c r="T61"/>
      <c r="U61"/>
      <c r="V61"/>
      <c r="W61"/>
    </row>
    <row r="62" spans="1:23" x14ac:dyDescent="0.2">
      <c r="B62" s="27" t="s">
        <v>5</v>
      </c>
      <c r="C62" s="27" t="s">
        <v>53</v>
      </c>
      <c r="D62" s="96">
        <v>88.357719508603083</v>
      </c>
      <c r="H62"/>
      <c r="I62"/>
      <c r="J62"/>
      <c r="O62"/>
      <c r="P62"/>
      <c r="Q62"/>
      <c r="R62"/>
      <c r="S62"/>
      <c r="T62"/>
      <c r="U62"/>
      <c r="V62"/>
      <c r="W62"/>
    </row>
    <row r="63" spans="1:23" x14ac:dyDescent="0.2">
      <c r="B63" s="27" t="s">
        <v>15</v>
      </c>
      <c r="C63" s="27" t="s">
        <v>34</v>
      </c>
      <c r="D63" s="96">
        <v>0</v>
      </c>
      <c r="H63"/>
      <c r="I63"/>
      <c r="J63"/>
      <c r="O63"/>
      <c r="P63"/>
      <c r="Q63"/>
      <c r="R63"/>
      <c r="S63"/>
      <c r="T63"/>
      <c r="U63"/>
      <c r="V63"/>
      <c r="W63"/>
    </row>
    <row r="64" spans="1:23" x14ac:dyDescent="0.2">
      <c r="B64" s="27" t="s">
        <v>9</v>
      </c>
      <c r="C64" s="27" t="s">
        <v>33</v>
      </c>
      <c r="D64" s="96">
        <v>0.35181336539087127</v>
      </c>
      <c r="H64"/>
      <c r="I64"/>
      <c r="J64"/>
      <c r="O64"/>
      <c r="P64"/>
      <c r="Q64"/>
      <c r="R64"/>
      <c r="S64"/>
      <c r="T64"/>
      <c r="U64"/>
      <c r="V64"/>
      <c r="W64"/>
    </row>
    <row r="65" spans="1:23" x14ac:dyDescent="0.2">
      <c r="B65" s="27" t="s">
        <v>10</v>
      </c>
      <c r="C65" s="27" t="s">
        <v>33</v>
      </c>
      <c r="D65" s="96">
        <v>0.35181336539087127</v>
      </c>
      <c r="H65"/>
      <c r="I65"/>
      <c r="J65"/>
      <c r="O65"/>
      <c r="P65"/>
      <c r="Q65"/>
      <c r="R65"/>
      <c r="S65"/>
      <c r="T65"/>
      <c r="U65"/>
      <c r="V65"/>
      <c r="W65"/>
    </row>
    <row r="66" spans="1:23" x14ac:dyDescent="0.2">
      <c r="B66" s="27" t="s">
        <v>6</v>
      </c>
      <c r="C66" s="27" t="s">
        <v>34</v>
      </c>
      <c r="D66" s="96">
        <v>0</v>
      </c>
      <c r="H66"/>
      <c r="I66"/>
      <c r="J66"/>
      <c r="O66"/>
      <c r="P66"/>
      <c r="Q66"/>
      <c r="R66"/>
      <c r="S66"/>
      <c r="T66"/>
      <c r="U66"/>
      <c r="V66"/>
      <c r="W66"/>
    </row>
    <row r="67" spans="1:23" x14ac:dyDescent="0.2">
      <c r="B67" s="27" t="s">
        <v>7</v>
      </c>
      <c r="C67" s="27" t="s">
        <v>34</v>
      </c>
      <c r="D67" s="96">
        <v>0</v>
      </c>
      <c r="H67"/>
      <c r="I67"/>
      <c r="J67"/>
      <c r="O67"/>
      <c r="P67"/>
      <c r="Q67"/>
      <c r="R67"/>
      <c r="S67"/>
      <c r="T67"/>
      <c r="U67"/>
      <c r="V67"/>
      <c r="W67"/>
    </row>
    <row r="68" spans="1:23" x14ac:dyDescent="0.2">
      <c r="H68"/>
      <c r="I68"/>
      <c r="J68"/>
      <c r="O68"/>
      <c r="P68"/>
      <c r="Q68"/>
      <c r="R68"/>
      <c r="S68"/>
      <c r="T68"/>
      <c r="U68"/>
      <c r="V68"/>
      <c r="W68"/>
    </row>
    <row r="69" spans="1:23" x14ac:dyDescent="0.2">
      <c r="A69" s="8" t="s">
        <v>164</v>
      </c>
      <c r="O69"/>
      <c r="P69"/>
      <c r="Q69"/>
      <c r="R69"/>
      <c r="S69"/>
      <c r="T69"/>
      <c r="U69"/>
      <c r="V69"/>
      <c r="W69"/>
    </row>
    <row r="70" spans="1:23" x14ac:dyDescent="0.2">
      <c r="B70" s="8" t="s">
        <v>165</v>
      </c>
      <c r="C70" s="95">
        <v>1000</v>
      </c>
      <c r="O70"/>
      <c r="P70"/>
      <c r="Q70"/>
      <c r="R70"/>
      <c r="S70"/>
      <c r="T70"/>
      <c r="U70"/>
      <c r="V70"/>
      <c r="W70"/>
    </row>
    <row r="71" spans="1:23" x14ac:dyDescent="0.2">
      <c r="B71" s="8" t="s">
        <v>166</v>
      </c>
      <c r="C71" s="95">
        <v>1000000</v>
      </c>
      <c r="O71"/>
      <c r="P71"/>
      <c r="Q71"/>
      <c r="R71"/>
      <c r="S71"/>
      <c r="T71"/>
      <c r="U71"/>
      <c r="V71"/>
      <c r="W71"/>
    </row>
    <row r="72" spans="1:23" x14ac:dyDescent="0.2">
      <c r="O72"/>
      <c r="P72"/>
      <c r="Q72"/>
      <c r="R72"/>
      <c r="S72"/>
      <c r="T72"/>
      <c r="U72"/>
      <c r="V72"/>
      <c r="W72"/>
    </row>
    <row r="73" spans="1:23" x14ac:dyDescent="0.2">
      <c r="O73"/>
      <c r="P73"/>
      <c r="Q73"/>
      <c r="R73"/>
      <c r="S73"/>
      <c r="T73"/>
      <c r="U73"/>
      <c r="V73"/>
      <c r="W73"/>
    </row>
    <row r="74" spans="1:23" x14ac:dyDescent="0.2">
      <c r="A74" s="8" t="s">
        <v>168</v>
      </c>
      <c r="O74"/>
      <c r="P74"/>
      <c r="Q74"/>
      <c r="R74"/>
      <c r="S74"/>
      <c r="T74"/>
      <c r="U74"/>
      <c r="V74"/>
      <c r="W74"/>
    </row>
    <row r="75" spans="1:23" x14ac:dyDescent="0.2">
      <c r="B75" s="8" t="s">
        <v>168</v>
      </c>
      <c r="C75" s="154" t="s">
        <v>167</v>
      </c>
      <c r="O75"/>
      <c r="P75"/>
      <c r="Q75"/>
      <c r="R75"/>
      <c r="S75"/>
      <c r="T75"/>
      <c r="U75"/>
      <c r="V75"/>
      <c r="W75"/>
    </row>
    <row r="76" spans="1:23" x14ac:dyDescent="0.2">
      <c r="O76"/>
      <c r="P76"/>
      <c r="Q76"/>
      <c r="R76"/>
      <c r="S76"/>
      <c r="T76"/>
      <c r="U76"/>
      <c r="V76"/>
      <c r="W76"/>
    </row>
    <row r="77" spans="1:23" x14ac:dyDescent="0.2">
      <c r="O77"/>
      <c r="P77"/>
      <c r="Q77"/>
      <c r="R77"/>
      <c r="S77"/>
      <c r="T77"/>
      <c r="U77"/>
      <c r="V77"/>
      <c r="W77"/>
    </row>
    <row r="78" spans="1:23" x14ac:dyDescent="0.2">
      <c r="A78" s="8" t="s">
        <v>195</v>
      </c>
      <c r="C78" s="8" t="s">
        <v>196</v>
      </c>
      <c r="O78"/>
      <c r="P78"/>
      <c r="Q78"/>
      <c r="R78"/>
      <c r="S78"/>
      <c r="T78"/>
      <c r="U78"/>
      <c r="V78"/>
      <c r="W78"/>
    </row>
    <row r="79" spans="1:23" x14ac:dyDescent="0.2">
      <c r="O79"/>
      <c r="P79"/>
      <c r="Q79"/>
      <c r="R79"/>
      <c r="S79"/>
      <c r="T79"/>
      <c r="U79"/>
      <c r="V79"/>
      <c r="W79"/>
    </row>
    <row r="80" spans="1:23" x14ac:dyDescent="0.2">
      <c r="O80"/>
      <c r="P80"/>
      <c r="Q80"/>
      <c r="R80"/>
      <c r="S80"/>
      <c r="T80"/>
      <c r="U80"/>
      <c r="V80"/>
      <c r="W80"/>
    </row>
    <row r="81" spans="1:23" x14ac:dyDescent="0.2">
      <c r="O81"/>
      <c r="P81"/>
      <c r="Q81"/>
      <c r="R81"/>
      <c r="S81"/>
      <c r="T81"/>
      <c r="U81"/>
      <c r="V81"/>
      <c r="W81"/>
    </row>
    <row r="82" spans="1:23" x14ac:dyDescent="0.2">
      <c r="A82" s="1"/>
      <c r="B82" s="1"/>
      <c r="C82" s="1"/>
      <c r="D82" s="1"/>
      <c r="E82" s="1"/>
      <c r="F82" s="1"/>
      <c r="K82" s="1"/>
      <c r="L82" s="1"/>
      <c r="M82" s="1"/>
      <c r="N82" s="1"/>
      <c r="O82"/>
      <c r="P82"/>
      <c r="Q82"/>
      <c r="R82"/>
      <c r="S82"/>
      <c r="T82"/>
      <c r="U82"/>
      <c r="V82"/>
      <c r="W82"/>
    </row>
    <row r="83" spans="1:23" x14ac:dyDescent="0.2">
      <c r="A83" s="14" t="s">
        <v>98</v>
      </c>
      <c r="B83" s="14"/>
      <c r="K83" s="1"/>
      <c r="L83" s="1"/>
      <c r="M83" s="1"/>
      <c r="N83" s="1"/>
      <c r="O83"/>
      <c r="P83"/>
      <c r="Q83"/>
      <c r="R83"/>
      <c r="S83"/>
      <c r="T83"/>
      <c r="U83"/>
      <c r="V83"/>
      <c r="W83"/>
    </row>
    <row r="84" spans="1:23" x14ac:dyDescent="0.2">
      <c r="A84" s="14"/>
      <c r="B84" s="63" t="s">
        <v>50</v>
      </c>
      <c r="F84" s="156">
        <v>0</v>
      </c>
      <c r="K84" s="1"/>
      <c r="L84" s="1"/>
      <c r="M84" s="1"/>
      <c r="N84" s="1"/>
      <c r="O84"/>
      <c r="P84"/>
      <c r="Q84"/>
      <c r="R84"/>
      <c r="S84"/>
      <c r="T84"/>
      <c r="U84"/>
      <c r="V84"/>
      <c r="W84"/>
    </row>
    <row r="85" spans="1:23" x14ac:dyDescent="0.2">
      <c r="A85" s="1"/>
      <c r="B85" s="8" t="s">
        <v>99</v>
      </c>
      <c r="F85" s="156">
        <v>1</v>
      </c>
      <c r="K85" s="1"/>
      <c r="L85" s="1"/>
      <c r="M85" s="1"/>
      <c r="N85" s="1"/>
      <c r="O85"/>
      <c r="P85"/>
      <c r="Q85"/>
      <c r="R85"/>
      <c r="S85"/>
      <c r="T85"/>
      <c r="U85"/>
      <c r="V85"/>
      <c r="W85"/>
    </row>
    <row r="86" spans="1:23" x14ac:dyDescent="0.2">
      <c r="A86" s="1"/>
      <c r="B86" s="8" t="s">
        <v>100</v>
      </c>
      <c r="F86" s="156">
        <v>1</v>
      </c>
      <c r="K86" s="1"/>
      <c r="L86" s="1"/>
      <c r="M86" s="1"/>
      <c r="N86" s="1"/>
      <c r="O86"/>
      <c r="P86"/>
      <c r="Q86"/>
      <c r="R86"/>
      <c r="S86"/>
      <c r="T86"/>
      <c r="U86"/>
      <c r="V86"/>
      <c r="W86"/>
    </row>
    <row r="87" spans="1:23" x14ac:dyDescent="0.2">
      <c r="A87" s="1"/>
      <c r="B87" s="8" t="s">
        <v>101</v>
      </c>
      <c r="F87" s="156">
        <v>1</v>
      </c>
      <c r="K87" s="1"/>
      <c r="L87" s="1"/>
      <c r="M87" s="1"/>
      <c r="N87" s="1"/>
      <c r="O87"/>
      <c r="P87"/>
      <c r="Q87"/>
      <c r="R87"/>
      <c r="S87"/>
      <c r="T87"/>
      <c r="U87"/>
      <c r="V87"/>
      <c r="W87"/>
    </row>
    <row r="88" spans="1:23" x14ac:dyDescent="0.2">
      <c r="A88" s="1"/>
      <c r="B88" s="8" t="s">
        <v>102</v>
      </c>
      <c r="F88" s="156">
        <v>1</v>
      </c>
      <c r="K88" s="1"/>
      <c r="L88" s="1"/>
      <c r="M88" s="1"/>
      <c r="N88" s="1"/>
      <c r="O88"/>
      <c r="P88"/>
      <c r="Q88"/>
      <c r="R88"/>
      <c r="S88"/>
      <c r="T88"/>
      <c r="U88"/>
      <c r="V88"/>
      <c r="W88"/>
    </row>
    <row r="89" spans="1:23" x14ac:dyDescent="0.2">
      <c r="A89" s="1"/>
      <c r="B89" s="8" t="s">
        <v>111</v>
      </c>
      <c r="F89" s="156">
        <v>3</v>
      </c>
      <c r="K89" s="1"/>
      <c r="L89" s="1"/>
      <c r="M89" s="1"/>
      <c r="N89" s="1"/>
      <c r="O89"/>
      <c r="P89"/>
      <c r="Q89"/>
      <c r="R89"/>
      <c r="S89"/>
      <c r="T89"/>
      <c r="U89"/>
      <c r="V89"/>
      <c r="W89"/>
    </row>
    <row r="90" spans="1:23" x14ac:dyDescent="0.2">
      <c r="A90" s="1"/>
      <c r="B90" s="8" t="s">
        <v>103</v>
      </c>
      <c r="F90" s="156">
        <v>3</v>
      </c>
      <c r="K90" s="1"/>
      <c r="L90" s="1"/>
      <c r="M90" s="1"/>
      <c r="N90" s="1"/>
      <c r="O90" s="1"/>
    </row>
    <row r="91" spans="1:23" x14ac:dyDescent="0.2">
      <c r="A91" s="1"/>
      <c r="B91" s="8" t="s">
        <v>112</v>
      </c>
      <c r="F91" s="156">
        <v>6</v>
      </c>
      <c r="K91" s="1"/>
      <c r="L91" s="1"/>
      <c r="M91" s="1"/>
      <c r="N91" s="1"/>
      <c r="O91" s="1"/>
    </row>
    <row r="92" spans="1:23" x14ac:dyDescent="0.2">
      <c r="A92" s="1"/>
      <c r="B92" s="8" t="s">
        <v>182</v>
      </c>
      <c r="F92" s="156">
        <v>6</v>
      </c>
      <c r="K92" s="1"/>
      <c r="L92" s="1"/>
      <c r="M92" s="1"/>
      <c r="N92" s="1"/>
      <c r="O92" s="1"/>
    </row>
    <row r="93" spans="1:23" x14ac:dyDescent="0.2">
      <c r="A93" s="1"/>
      <c r="B93" s="8" t="s">
        <v>183</v>
      </c>
      <c r="F93" s="156">
        <v>10</v>
      </c>
      <c r="K93" s="1"/>
      <c r="L93" s="1"/>
      <c r="M93" s="1"/>
      <c r="N93" s="1"/>
      <c r="O93" s="1"/>
    </row>
    <row r="94" spans="1:23" x14ac:dyDescent="0.2">
      <c r="A94" s="1"/>
      <c r="B94" s="1"/>
      <c r="C94" s="1"/>
      <c r="D94" s="1"/>
      <c r="E94" s="1"/>
      <c r="F94" s="1"/>
      <c r="K94" s="1"/>
      <c r="L94" s="1"/>
      <c r="M94" s="1"/>
      <c r="N94" s="1"/>
      <c r="O94" s="1"/>
    </row>
    <row r="95" spans="1:23" x14ac:dyDescent="0.2">
      <c r="A95" s="1"/>
      <c r="B95" s="1"/>
      <c r="C95" s="1"/>
      <c r="D95" s="1"/>
      <c r="E95" s="1"/>
      <c r="F95" s="1"/>
      <c r="K95" s="1"/>
      <c r="L95" s="1"/>
      <c r="M95" s="1"/>
      <c r="N95" s="1"/>
      <c r="O95" s="1"/>
    </row>
    <row r="96" spans="1:23" x14ac:dyDescent="0.2">
      <c r="A96" s="1"/>
      <c r="B96" s="1"/>
      <c r="C96" s="1"/>
      <c r="D96" s="1"/>
      <c r="E96" s="1"/>
      <c r="F96" s="1"/>
      <c r="K96" s="1"/>
      <c r="L96" s="1"/>
      <c r="M96" s="1"/>
      <c r="N96" s="1"/>
      <c r="O96" s="1"/>
    </row>
    <row r="97" spans="1:25" x14ac:dyDescent="0.2">
      <c r="A97" s="1"/>
      <c r="B97" s="146" t="s">
        <v>161</v>
      </c>
      <c r="C97" s="1"/>
      <c r="D97" s="1"/>
      <c r="E97" s="1"/>
      <c r="F97" s="1"/>
      <c r="K97" s="1"/>
      <c r="L97" s="1"/>
      <c r="M97" s="1"/>
      <c r="N97" s="1"/>
      <c r="O97" s="1"/>
    </row>
    <row r="98" spans="1:25" x14ac:dyDescent="0.2">
      <c r="A98" s="1"/>
      <c r="B98" s="146" t="s">
        <v>124</v>
      </c>
      <c r="C98" s="1"/>
      <c r="D98" s="1"/>
      <c r="E98" s="1"/>
      <c r="F98" s="1"/>
      <c r="K98" s="1"/>
      <c r="L98" s="1"/>
      <c r="M98" s="1"/>
      <c r="N98" s="1"/>
      <c r="O98" s="1"/>
    </row>
    <row r="99" spans="1:25" x14ac:dyDescent="0.2">
      <c r="A99" s="1"/>
      <c r="B99" s="146" t="s">
        <v>125</v>
      </c>
      <c r="C99" s="1"/>
      <c r="D99" s="1"/>
      <c r="E99" s="1"/>
      <c r="F99" s="1"/>
      <c r="K99" s="1"/>
      <c r="L99" s="1"/>
      <c r="M99" s="1"/>
      <c r="N99" s="1"/>
      <c r="O99" s="1"/>
    </row>
    <row r="100" spans="1:25" x14ac:dyDescent="0.2">
      <c r="A100" s="1"/>
      <c r="B100" s="1"/>
      <c r="C100" s="1"/>
      <c r="D100" s="1"/>
      <c r="E100" s="1"/>
      <c r="F100" s="1"/>
      <c r="K100" s="1"/>
      <c r="L100" s="1"/>
      <c r="M100" s="1"/>
      <c r="N100" s="1"/>
      <c r="O100" s="1"/>
    </row>
    <row r="101" spans="1:25" x14ac:dyDescent="0.2">
      <c r="A101" s="1"/>
      <c r="B101" s="1"/>
      <c r="C101" s="1"/>
      <c r="D101" s="1"/>
      <c r="E101" s="1"/>
      <c r="F101" s="1"/>
      <c r="K101" s="1"/>
      <c r="L101" s="1"/>
      <c r="M101" s="1"/>
      <c r="N101" s="1"/>
      <c r="O101" s="1"/>
    </row>
    <row r="102" spans="1:25" x14ac:dyDescent="0.2">
      <c r="T102"/>
      <c r="U102"/>
      <c r="V102"/>
      <c r="W102"/>
    </row>
    <row r="103" spans="1:25" x14ac:dyDescent="0.2">
      <c r="T103"/>
      <c r="U103"/>
      <c r="V103"/>
      <c r="W103"/>
    </row>
    <row r="104" spans="1:25" ht="15" x14ac:dyDescent="0.25">
      <c r="A104" s="19" t="s">
        <v>86</v>
      </c>
      <c r="B104" s="19"/>
      <c r="C104" s="19"/>
      <c r="D104" s="19"/>
      <c r="E104" s="19"/>
      <c r="F104" s="20"/>
      <c r="G104" s="19"/>
      <c r="H104" s="19"/>
      <c r="I104" s="19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5" x14ac:dyDescent="0.2">
      <c r="U105"/>
      <c r="V105"/>
      <c r="W105"/>
      <c r="X105"/>
      <c r="Y105"/>
    </row>
    <row r="106" spans="1:25" x14ac:dyDescent="0.2">
      <c r="B106" s="8" t="s">
        <v>41</v>
      </c>
      <c r="F106" s="8" t="s">
        <v>49</v>
      </c>
      <c r="H106" s="8" t="s">
        <v>52</v>
      </c>
      <c r="J106" s="8" t="s">
        <v>26</v>
      </c>
      <c r="N106" s="8" t="s">
        <v>89</v>
      </c>
      <c r="P106" s="8" t="s">
        <v>164</v>
      </c>
      <c r="R106" s="8" t="s">
        <v>27</v>
      </c>
      <c r="T106" s="8" t="s">
        <v>226</v>
      </c>
      <c r="U106"/>
      <c r="V106" s="8" t="s">
        <v>237</v>
      </c>
      <c r="W106"/>
      <c r="Y106"/>
    </row>
    <row r="107" spans="1:25" x14ac:dyDescent="0.2">
      <c r="B107" s="25" t="s">
        <v>42</v>
      </c>
      <c r="C107" s="131" t="s">
        <v>136</v>
      </c>
      <c r="D107" s="131" t="s">
        <v>232</v>
      </c>
      <c r="F107" s="63" t="s">
        <v>50</v>
      </c>
      <c r="H107" s="25" t="b">
        <v>0</v>
      </c>
      <c r="J107" s="25" t="s">
        <v>45</v>
      </c>
      <c r="K107" s="44">
        <v>6</v>
      </c>
      <c r="L107" s="44" t="s">
        <v>37</v>
      </c>
      <c r="N107" s="44" t="s">
        <v>83</v>
      </c>
      <c r="Q107" s="24"/>
      <c r="R107" s="23">
        <v>2026</v>
      </c>
      <c r="T107" s="23" t="s">
        <v>228</v>
      </c>
      <c r="U107"/>
      <c r="V107" s="23" t="s">
        <v>19</v>
      </c>
      <c r="W107"/>
    </row>
    <row r="108" spans="1:25" x14ac:dyDescent="0.2">
      <c r="B108" s="25" t="s">
        <v>3</v>
      </c>
      <c r="C108" s="131" t="s">
        <v>137</v>
      </c>
      <c r="D108" s="131" t="s">
        <v>233</v>
      </c>
      <c r="F108" s="25" t="s">
        <v>17</v>
      </c>
      <c r="H108" s="25" t="b">
        <v>1</v>
      </c>
      <c r="J108" s="25" t="s">
        <v>36</v>
      </c>
      <c r="K108" s="44">
        <v>12</v>
      </c>
      <c r="L108" s="44" t="s">
        <v>38</v>
      </c>
      <c r="Q108" s="24"/>
      <c r="R108" s="23">
        <f>R107-1</f>
        <v>2025</v>
      </c>
      <c r="T108" s="23" t="s">
        <v>227</v>
      </c>
      <c r="U108"/>
      <c r="V108" s="23" t="s">
        <v>47</v>
      </c>
      <c r="W108"/>
    </row>
    <row r="109" spans="1:25" x14ac:dyDescent="0.2">
      <c r="B109" s="25" t="s">
        <v>43</v>
      </c>
      <c r="C109" s="131" t="s">
        <v>139</v>
      </c>
      <c r="D109" s="131" t="s">
        <v>234</v>
      </c>
      <c r="F109" s="25" t="s">
        <v>2</v>
      </c>
      <c r="J109" s="21"/>
      <c r="K109" s="21"/>
      <c r="L109" s="24"/>
      <c r="Q109" s="24"/>
      <c r="R109" s="23">
        <f t="shared" ref="R109:R113" si="1">R108-1</f>
        <v>2024</v>
      </c>
      <c r="T109" s="23" t="s">
        <v>96</v>
      </c>
      <c r="U109"/>
      <c r="V109" s="23" t="s">
        <v>238</v>
      </c>
      <c r="W109"/>
      <c r="X109"/>
      <c r="Y109"/>
    </row>
    <row r="110" spans="1:25" x14ac:dyDescent="0.2">
      <c r="C110" s="127"/>
      <c r="D110" s="127"/>
      <c r="F110" s="25"/>
      <c r="J110" s="21"/>
      <c r="K110" s="21"/>
      <c r="Q110" s="24"/>
      <c r="R110" s="23">
        <f t="shared" si="1"/>
        <v>2023</v>
      </c>
      <c r="U110"/>
      <c r="V110" s="23"/>
      <c r="W110"/>
      <c r="X110"/>
      <c r="Y110"/>
    </row>
    <row r="111" spans="1:25" x14ac:dyDescent="0.2">
      <c r="C111" s="127"/>
      <c r="D111" s="127"/>
      <c r="J111" s="21"/>
      <c r="K111" s="21"/>
      <c r="R111" s="23">
        <f t="shared" si="1"/>
        <v>2022</v>
      </c>
      <c r="U111"/>
      <c r="W111"/>
      <c r="X111"/>
      <c r="Y111"/>
    </row>
    <row r="112" spans="1:25" x14ac:dyDescent="0.2">
      <c r="J112" s="21"/>
      <c r="K112" s="21"/>
      <c r="R112" s="23">
        <f t="shared" si="1"/>
        <v>2021</v>
      </c>
      <c r="U112"/>
      <c r="W112"/>
      <c r="X112"/>
      <c r="Y112"/>
    </row>
    <row r="113" spans="18:25" x14ac:dyDescent="0.2">
      <c r="R113" s="23">
        <f t="shared" si="1"/>
        <v>2020</v>
      </c>
      <c r="U113"/>
      <c r="V113" s="251"/>
      <c r="W113"/>
      <c r="X113"/>
      <c r="Y113"/>
    </row>
    <row r="114" spans="18:25" x14ac:dyDescent="0.2">
      <c r="R114" s="23"/>
      <c r="U114"/>
      <c r="V114" s="251"/>
      <c r="W114"/>
      <c r="X114"/>
      <c r="Y114"/>
    </row>
    <row r="115" spans="18:25" x14ac:dyDescent="0.2">
      <c r="U115"/>
      <c r="V115" s="251"/>
      <c r="W115"/>
      <c r="X115"/>
      <c r="Y115"/>
    </row>
    <row r="116" spans="18:25" x14ac:dyDescent="0.2">
      <c r="U116"/>
      <c r="V116" s="252"/>
      <c r="W116"/>
      <c r="X116"/>
      <c r="Y116"/>
    </row>
    <row r="117" spans="18:25" x14ac:dyDescent="0.2">
      <c r="U117"/>
      <c r="V117"/>
      <c r="W117"/>
      <c r="X117"/>
      <c r="Y117"/>
    </row>
    <row r="118" spans="18:25" x14ac:dyDescent="0.2">
      <c r="U118"/>
      <c r="V118"/>
      <c r="W118"/>
      <c r="X118"/>
    </row>
    <row r="119" spans="18:25" x14ac:dyDescent="0.2">
      <c r="U119"/>
      <c r="V119"/>
      <c r="W119"/>
      <c r="X119"/>
    </row>
    <row r="120" spans="18:25" x14ac:dyDescent="0.2">
      <c r="V120"/>
      <c r="W120"/>
      <c r="X120"/>
    </row>
    <row r="121" spans="18:25" x14ac:dyDescent="0.2">
      <c r="U121"/>
      <c r="V121"/>
      <c r="W121"/>
      <c r="X121"/>
    </row>
    <row r="122" spans="18:25" x14ac:dyDescent="0.2">
      <c r="U122"/>
      <c r="V122"/>
      <c r="W122"/>
      <c r="X122"/>
    </row>
    <row r="123" spans="18:25" x14ac:dyDescent="0.2">
      <c r="U123"/>
      <c r="V123"/>
      <c r="W123"/>
      <c r="X123"/>
    </row>
    <row r="124" spans="18:25" x14ac:dyDescent="0.2">
      <c r="U124"/>
      <c r="V124"/>
      <c r="W124"/>
      <c r="X124"/>
    </row>
    <row r="125" spans="18:25" x14ac:dyDescent="0.2">
      <c r="U125"/>
      <c r="V125"/>
      <c r="W125"/>
      <c r="X125"/>
    </row>
    <row r="126" spans="18:25" x14ac:dyDescent="0.2">
      <c r="U126"/>
      <c r="V126"/>
      <c r="W126"/>
      <c r="X126"/>
    </row>
    <row r="127" spans="18:25" x14ac:dyDescent="0.2">
      <c r="T127"/>
      <c r="U127"/>
      <c r="V127"/>
      <c r="W127"/>
    </row>
    <row r="128" spans="18:25" x14ac:dyDescent="0.2">
      <c r="T128"/>
      <c r="U128"/>
      <c r="V128"/>
      <c r="W128"/>
    </row>
    <row r="129" spans="20:23" x14ac:dyDescent="0.2">
      <c r="T129"/>
      <c r="U129"/>
      <c r="V129"/>
      <c r="W129"/>
    </row>
    <row r="130" spans="20:23" x14ac:dyDescent="0.2">
      <c r="T130"/>
      <c r="U130"/>
      <c r="V130"/>
      <c r="W130"/>
    </row>
    <row r="131" spans="20:23" x14ac:dyDescent="0.2">
      <c r="T131"/>
      <c r="U131"/>
      <c r="V131"/>
      <c r="W131"/>
    </row>
    <row r="132" spans="20:23" x14ac:dyDescent="0.2">
      <c r="T132"/>
      <c r="U132"/>
      <c r="V132"/>
      <c r="W132"/>
    </row>
    <row r="133" spans="20:23" x14ac:dyDescent="0.2">
      <c r="T133"/>
      <c r="U133"/>
      <c r="V133"/>
      <c r="W133"/>
    </row>
    <row r="134" spans="20:23" x14ac:dyDescent="0.2">
      <c r="T134"/>
      <c r="U134"/>
      <c r="V134"/>
      <c r="W134"/>
    </row>
    <row r="135" spans="20:23" x14ac:dyDescent="0.2">
      <c r="T135"/>
      <c r="U135"/>
      <c r="V135"/>
      <c r="W135"/>
    </row>
    <row r="136" spans="20:23" x14ac:dyDescent="0.2">
      <c r="T136"/>
      <c r="U136"/>
      <c r="V136"/>
      <c r="W136"/>
    </row>
    <row r="137" spans="20:23" x14ac:dyDescent="0.2">
      <c r="T137"/>
      <c r="U137"/>
      <c r="V137"/>
      <c r="W137"/>
    </row>
    <row r="138" spans="20:23" x14ac:dyDescent="0.2">
      <c r="T138"/>
      <c r="U138"/>
      <c r="V138"/>
      <c r="W138"/>
    </row>
    <row r="139" spans="20:23" x14ac:dyDescent="0.2">
      <c r="T139"/>
      <c r="U139"/>
      <c r="V139"/>
      <c r="W139"/>
    </row>
    <row r="140" spans="20:23" x14ac:dyDescent="0.2">
      <c r="T140"/>
      <c r="U140"/>
      <c r="V140"/>
      <c r="W140"/>
    </row>
    <row r="141" spans="20:23" x14ac:dyDescent="0.2">
      <c r="T141"/>
      <c r="U141"/>
      <c r="V141"/>
      <c r="W141"/>
    </row>
    <row r="142" spans="20:23" x14ac:dyDescent="0.2">
      <c r="T142"/>
      <c r="U142"/>
      <c r="V142"/>
      <c r="W142"/>
    </row>
    <row r="143" spans="20:23" x14ac:dyDescent="0.2">
      <c r="T143"/>
      <c r="U143"/>
      <c r="V143"/>
      <c r="W143"/>
    </row>
    <row r="144" spans="20:23" x14ac:dyDescent="0.2">
      <c r="T144"/>
      <c r="U144"/>
      <c r="V144"/>
      <c r="W144"/>
    </row>
    <row r="145" spans="20:23" x14ac:dyDescent="0.2">
      <c r="T145"/>
      <c r="U145"/>
      <c r="V145"/>
      <c r="W145"/>
    </row>
    <row r="146" spans="20:23" x14ac:dyDescent="0.2">
      <c r="T146"/>
      <c r="U146"/>
      <c r="V146"/>
      <c r="W146"/>
    </row>
    <row r="147" spans="20:23" x14ac:dyDescent="0.2">
      <c r="T147"/>
      <c r="U147"/>
      <c r="V147"/>
      <c r="W147"/>
    </row>
    <row r="148" spans="20:23" x14ac:dyDescent="0.2">
      <c r="T148"/>
      <c r="U148"/>
      <c r="V148"/>
      <c r="W148"/>
    </row>
    <row r="149" spans="20:23" x14ac:dyDescent="0.2">
      <c r="T149"/>
      <c r="U149"/>
      <c r="V149"/>
      <c r="W149"/>
    </row>
    <row r="150" spans="20:23" x14ac:dyDescent="0.2">
      <c r="T150"/>
      <c r="U150"/>
      <c r="V150"/>
      <c r="W150"/>
    </row>
    <row r="151" spans="20:23" x14ac:dyDescent="0.2">
      <c r="T151"/>
      <c r="U151"/>
      <c r="V151"/>
      <c r="W151"/>
    </row>
    <row r="152" spans="20:23" x14ac:dyDescent="0.2">
      <c r="T152"/>
      <c r="U152"/>
      <c r="V152"/>
      <c r="W152"/>
    </row>
    <row r="153" spans="20:23" x14ac:dyDescent="0.2">
      <c r="T153"/>
      <c r="U153"/>
      <c r="V153"/>
      <c r="W153"/>
    </row>
    <row r="154" spans="20:23" x14ac:dyDescent="0.2">
      <c r="T154"/>
      <c r="U154"/>
      <c r="V154"/>
      <c r="W154"/>
    </row>
    <row r="155" spans="20:23" x14ac:dyDescent="0.2">
      <c r="T155"/>
      <c r="U155"/>
      <c r="V155"/>
      <c r="W155"/>
    </row>
    <row r="156" spans="20:23" x14ac:dyDescent="0.2">
      <c r="T156"/>
      <c r="U156"/>
      <c r="V156"/>
      <c r="W156"/>
    </row>
    <row r="157" spans="20:23" x14ac:dyDescent="0.2">
      <c r="T157"/>
      <c r="U157"/>
      <c r="V157"/>
      <c r="W157"/>
    </row>
    <row r="158" spans="20:23" x14ac:dyDescent="0.2">
      <c r="T158"/>
      <c r="U158"/>
      <c r="V158"/>
      <c r="W158"/>
    </row>
    <row r="159" spans="20:23" x14ac:dyDescent="0.2">
      <c r="T159"/>
      <c r="U159"/>
      <c r="V159"/>
      <c r="W159"/>
    </row>
    <row r="160" spans="20:23" x14ac:dyDescent="0.2">
      <c r="T160"/>
      <c r="U160"/>
      <c r="V160"/>
      <c r="W160"/>
    </row>
    <row r="161" spans="20:23" x14ac:dyDescent="0.2">
      <c r="T161"/>
      <c r="U161"/>
      <c r="V161"/>
      <c r="W161"/>
    </row>
    <row r="162" spans="20:23" x14ac:dyDescent="0.2">
      <c r="T162"/>
      <c r="U162"/>
      <c r="V162"/>
      <c r="W162"/>
    </row>
    <row r="163" spans="20:23" x14ac:dyDescent="0.2">
      <c r="T163"/>
      <c r="U163"/>
      <c r="V163"/>
      <c r="W163"/>
    </row>
    <row r="164" spans="20:23" x14ac:dyDescent="0.2">
      <c r="T164"/>
      <c r="U164"/>
      <c r="V164"/>
      <c r="W164"/>
    </row>
    <row r="165" spans="20:23" x14ac:dyDescent="0.2">
      <c r="T165"/>
      <c r="U165"/>
      <c r="V165"/>
      <c r="W165"/>
    </row>
    <row r="166" spans="20:23" x14ac:dyDescent="0.2">
      <c r="T166"/>
      <c r="U166"/>
      <c r="V166"/>
      <c r="W166"/>
    </row>
    <row r="167" spans="20:23" x14ac:dyDescent="0.2">
      <c r="T167"/>
      <c r="U167"/>
      <c r="V167"/>
      <c r="W167"/>
    </row>
    <row r="168" spans="20:23" x14ac:dyDescent="0.2">
      <c r="T168"/>
      <c r="U168"/>
      <c r="V168"/>
      <c r="W168"/>
    </row>
    <row r="169" spans="20:23" x14ac:dyDescent="0.2">
      <c r="T169"/>
      <c r="U169"/>
      <c r="V169"/>
      <c r="W169"/>
    </row>
    <row r="170" spans="20:23" x14ac:dyDescent="0.2">
      <c r="T170"/>
      <c r="U170"/>
      <c r="V170"/>
      <c r="W170"/>
    </row>
    <row r="171" spans="20:23" x14ac:dyDescent="0.2">
      <c r="T171"/>
      <c r="U171"/>
      <c r="V171"/>
      <c r="W171"/>
    </row>
    <row r="172" spans="20:23" x14ac:dyDescent="0.2">
      <c r="T172"/>
      <c r="U172"/>
      <c r="V172"/>
      <c r="W172"/>
    </row>
    <row r="173" spans="20:23" x14ac:dyDescent="0.2">
      <c r="T173"/>
      <c r="U173"/>
      <c r="V173"/>
      <c r="W173"/>
    </row>
    <row r="174" spans="20:23" x14ac:dyDescent="0.2">
      <c r="T174"/>
      <c r="U174"/>
      <c r="V174"/>
      <c r="W174"/>
    </row>
    <row r="175" spans="20:23" x14ac:dyDescent="0.2">
      <c r="T175"/>
      <c r="U175"/>
      <c r="V175"/>
      <c r="W175"/>
    </row>
    <row r="176" spans="20:23" x14ac:dyDescent="0.2">
      <c r="T176"/>
      <c r="U176"/>
      <c r="V176"/>
      <c r="W176"/>
    </row>
    <row r="177" spans="20:23" x14ac:dyDescent="0.2">
      <c r="T177"/>
      <c r="U177"/>
      <c r="V177"/>
      <c r="W177"/>
    </row>
    <row r="178" spans="20:23" x14ac:dyDescent="0.2">
      <c r="T178"/>
      <c r="U178"/>
      <c r="V178"/>
      <c r="W178"/>
    </row>
    <row r="179" spans="20:23" x14ac:dyDescent="0.2">
      <c r="T179"/>
      <c r="U179"/>
      <c r="V179"/>
      <c r="W179"/>
    </row>
    <row r="180" spans="20:23" x14ac:dyDescent="0.2">
      <c r="T180"/>
      <c r="U180"/>
      <c r="V180"/>
      <c r="W180"/>
    </row>
    <row r="181" spans="20:23" x14ac:dyDescent="0.2">
      <c r="T181"/>
      <c r="U181"/>
      <c r="V181"/>
      <c r="W181"/>
    </row>
    <row r="182" spans="20:23" x14ac:dyDescent="0.2">
      <c r="T182"/>
      <c r="U182"/>
      <c r="V182"/>
      <c r="W182"/>
    </row>
    <row r="183" spans="20:23" x14ac:dyDescent="0.2">
      <c r="T183"/>
      <c r="U183"/>
      <c r="V183"/>
      <c r="W183"/>
    </row>
    <row r="184" spans="20:23" x14ac:dyDescent="0.2">
      <c r="T184"/>
      <c r="U184"/>
      <c r="V184"/>
      <c r="W184"/>
    </row>
    <row r="185" spans="20:23" x14ac:dyDescent="0.2">
      <c r="T185"/>
      <c r="U185"/>
      <c r="V185"/>
      <c r="W185"/>
    </row>
    <row r="186" spans="20:23" x14ac:dyDescent="0.2">
      <c r="T186"/>
      <c r="U186"/>
      <c r="V186"/>
      <c r="W186"/>
    </row>
    <row r="187" spans="20:23" x14ac:dyDescent="0.2">
      <c r="T187"/>
      <c r="U187"/>
      <c r="V187"/>
      <c r="W187"/>
    </row>
    <row r="188" spans="20:23" x14ac:dyDescent="0.2">
      <c r="T188"/>
      <c r="U188"/>
      <c r="V188"/>
      <c r="W188"/>
    </row>
    <row r="189" spans="20:23" x14ac:dyDescent="0.2">
      <c r="T189"/>
      <c r="U189"/>
      <c r="V189"/>
      <c r="W189"/>
    </row>
    <row r="190" spans="20:23" x14ac:dyDescent="0.2">
      <c r="T190"/>
      <c r="U190"/>
      <c r="V190"/>
      <c r="W190"/>
    </row>
    <row r="191" spans="20:23" x14ac:dyDescent="0.2">
      <c r="T191"/>
      <c r="U191"/>
      <c r="V191"/>
      <c r="W191"/>
    </row>
    <row r="192" spans="20:23" x14ac:dyDescent="0.2">
      <c r="T192"/>
      <c r="U192"/>
      <c r="V192"/>
      <c r="W192"/>
    </row>
    <row r="193" spans="20:23" x14ac:dyDescent="0.2">
      <c r="T193"/>
      <c r="U193"/>
      <c r="V193"/>
      <c r="W193"/>
    </row>
    <row r="194" spans="20:23" x14ac:dyDescent="0.2">
      <c r="T194"/>
      <c r="U194"/>
      <c r="V194"/>
      <c r="W194"/>
    </row>
    <row r="195" spans="20:23" x14ac:dyDescent="0.2">
      <c r="T195"/>
      <c r="U195"/>
      <c r="V195"/>
      <c r="W195"/>
    </row>
    <row r="196" spans="20:23" x14ac:dyDescent="0.2">
      <c r="T196"/>
      <c r="U196"/>
      <c r="V196"/>
      <c r="W196"/>
    </row>
    <row r="197" spans="20:23" x14ac:dyDescent="0.2">
      <c r="T197"/>
      <c r="U197"/>
      <c r="V197"/>
      <c r="W197"/>
    </row>
    <row r="198" spans="20:23" x14ac:dyDescent="0.2">
      <c r="T198"/>
      <c r="U198"/>
      <c r="V198"/>
      <c r="W198"/>
    </row>
    <row r="199" spans="20:23" x14ac:dyDescent="0.2">
      <c r="T199"/>
      <c r="U199"/>
      <c r="V199"/>
      <c r="W199"/>
    </row>
    <row r="200" spans="20:23" x14ac:dyDescent="0.2">
      <c r="T200"/>
      <c r="U200"/>
      <c r="V200"/>
      <c r="W200"/>
    </row>
    <row r="201" spans="20:23" x14ac:dyDescent="0.2">
      <c r="T201"/>
      <c r="U201"/>
      <c r="V201"/>
      <c r="W201"/>
    </row>
    <row r="202" spans="20:23" x14ac:dyDescent="0.2">
      <c r="T202"/>
      <c r="U202"/>
      <c r="V202"/>
      <c r="W202"/>
    </row>
    <row r="203" spans="20:23" x14ac:dyDescent="0.2">
      <c r="T203"/>
      <c r="U203"/>
      <c r="V203"/>
      <c r="W203"/>
    </row>
    <row r="204" spans="20:23" x14ac:dyDescent="0.2">
      <c r="T204"/>
      <c r="U204"/>
      <c r="V204"/>
      <c r="W204"/>
    </row>
    <row r="205" spans="20:23" x14ac:dyDescent="0.2">
      <c r="T205"/>
      <c r="U205"/>
      <c r="V205"/>
      <c r="W205"/>
    </row>
    <row r="206" spans="20:23" x14ac:dyDescent="0.2">
      <c r="T206"/>
      <c r="U206"/>
      <c r="V206"/>
      <c r="W206"/>
    </row>
    <row r="207" spans="20:23" x14ac:dyDescent="0.2">
      <c r="T207"/>
      <c r="U207"/>
      <c r="V207"/>
      <c r="W207"/>
    </row>
    <row r="208" spans="20:23" x14ac:dyDescent="0.2">
      <c r="T208"/>
      <c r="U208"/>
      <c r="V208"/>
      <c r="W208"/>
    </row>
    <row r="209" spans="20:23" x14ac:dyDescent="0.2">
      <c r="T209"/>
      <c r="U209"/>
      <c r="V209"/>
      <c r="W209"/>
    </row>
    <row r="210" spans="20:23" x14ac:dyDescent="0.2">
      <c r="T210"/>
      <c r="U210"/>
      <c r="V210"/>
      <c r="W210"/>
    </row>
    <row r="211" spans="20:23" x14ac:dyDescent="0.2">
      <c r="T211"/>
      <c r="U211"/>
      <c r="V211"/>
      <c r="W211"/>
    </row>
    <row r="212" spans="20:23" x14ac:dyDescent="0.2">
      <c r="T212"/>
      <c r="U212"/>
      <c r="V212"/>
      <c r="W212"/>
    </row>
    <row r="213" spans="20:23" x14ac:dyDescent="0.2">
      <c r="T213"/>
      <c r="U213"/>
      <c r="V213"/>
      <c r="W213"/>
    </row>
    <row r="214" spans="20:23" x14ac:dyDescent="0.2">
      <c r="T214"/>
      <c r="U214"/>
      <c r="V214"/>
      <c r="W214"/>
    </row>
    <row r="215" spans="20:23" x14ac:dyDescent="0.2">
      <c r="T215"/>
      <c r="U215"/>
      <c r="V215"/>
      <c r="W215"/>
    </row>
    <row r="216" spans="20:23" x14ac:dyDescent="0.2">
      <c r="T216"/>
      <c r="U216"/>
      <c r="V216"/>
      <c r="W216"/>
    </row>
    <row r="217" spans="20:23" x14ac:dyDescent="0.2">
      <c r="T217"/>
      <c r="U217"/>
      <c r="V217"/>
      <c r="W217"/>
    </row>
    <row r="218" spans="20:23" x14ac:dyDescent="0.2">
      <c r="T218"/>
      <c r="U218"/>
      <c r="V218"/>
      <c r="W218"/>
    </row>
    <row r="219" spans="20:23" x14ac:dyDescent="0.2">
      <c r="T219"/>
      <c r="U219"/>
      <c r="V219"/>
      <c r="W219"/>
    </row>
    <row r="220" spans="20:23" x14ac:dyDescent="0.2">
      <c r="T220"/>
      <c r="U220"/>
      <c r="V220"/>
      <c r="W220"/>
    </row>
    <row r="221" spans="20:23" x14ac:dyDescent="0.2">
      <c r="T221"/>
      <c r="U221"/>
      <c r="V221"/>
      <c r="W221"/>
    </row>
    <row r="222" spans="20:23" x14ac:dyDescent="0.2">
      <c r="T222"/>
      <c r="U222"/>
      <c r="V222"/>
      <c r="W222"/>
    </row>
    <row r="223" spans="20:23" x14ac:dyDescent="0.2">
      <c r="T223"/>
      <c r="U223"/>
      <c r="V223"/>
      <c r="W223"/>
    </row>
    <row r="224" spans="20:23" x14ac:dyDescent="0.2">
      <c r="T224"/>
      <c r="U224"/>
      <c r="V224"/>
      <c r="W224"/>
    </row>
    <row r="225" spans="20:23" x14ac:dyDescent="0.2">
      <c r="T225"/>
      <c r="U225"/>
      <c r="V225"/>
      <c r="W225"/>
    </row>
    <row r="226" spans="20:23" x14ac:dyDescent="0.2">
      <c r="T226"/>
      <c r="U226"/>
      <c r="V226"/>
      <c r="W226"/>
    </row>
    <row r="227" spans="20:23" x14ac:dyDescent="0.2">
      <c r="T227"/>
      <c r="U227"/>
      <c r="V227"/>
      <c r="W227"/>
    </row>
    <row r="228" spans="20:23" x14ac:dyDescent="0.2">
      <c r="T228"/>
      <c r="U228"/>
      <c r="V228"/>
      <c r="W228"/>
    </row>
    <row r="229" spans="20:23" x14ac:dyDescent="0.2">
      <c r="T229"/>
      <c r="U229"/>
      <c r="V229"/>
      <c r="W229"/>
    </row>
    <row r="230" spans="20:23" x14ac:dyDescent="0.2">
      <c r="T230"/>
      <c r="U230"/>
      <c r="V230"/>
      <c r="W230"/>
    </row>
    <row r="231" spans="20:23" x14ac:dyDescent="0.2">
      <c r="T231"/>
      <c r="U231"/>
      <c r="V231"/>
      <c r="W231"/>
    </row>
    <row r="232" spans="20:23" x14ac:dyDescent="0.2">
      <c r="T232"/>
      <c r="U232"/>
      <c r="V232"/>
      <c r="W232"/>
    </row>
    <row r="233" spans="20:23" x14ac:dyDescent="0.2">
      <c r="T233"/>
      <c r="U233"/>
      <c r="V233"/>
      <c r="W233"/>
    </row>
    <row r="234" spans="20:23" x14ac:dyDescent="0.2">
      <c r="T234"/>
      <c r="U234"/>
      <c r="V234"/>
      <c r="W234"/>
    </row>
    <row r="235" spans="20:23" x14ac:dyDescent="0.2">
      <c r="T235"/>
      <c r="U235"/>
      <c r="V235"/>
      <c r="W235"/>
    </row>
    <row r="236" spans="20:23" x14ac:dyDescent="0.2">
      <c r="T236"/>
      <c r="U236"/>
      <c r="V236"/>
      <c r="W236"/>
    </row>
    <row r="237" spans="20:23" x14ac:dyDescent="0.2">
      <c r="T237"/>
      <c r="U237"/>
      <c r="V237"/>
      <c r="W237"/>
    </row>
    <row r="238" spans="20:23" x14ac:dyDescent="0.2">
      <c r="T238"/>
      <c r="U238"/>
      <c r="V238"/>
      <c r="W238"/>
    </row>
    <row r="239" spans="20:23" x14ac:dyDescent="0.2">
      <c r="T239"/>
      <c r="U239"/>
      <c r="V239"/>
      <c r="W239"/>
    </row>
    <row r="240" spans="20:23" x14ac:dyDescent="0.2">
      <c r="T240"/>
      <c r="U240"/>
      <c r="V240"/>
      <c r="W240"/>
    </row>
    <row r="241" spans="20:23" x14ac:dyDescent="0.2">
      <c r="T241"/>
      <c r="U241"/>
      <c r="V241"/>
      <c r="W241"/>
    </row>
    <row r="242" spans="20:23" x14ac:dyDescent="0.2">
      <c r="T242"/>
      <c r="U242"/>
      <c r="V242"/>
      <c r="W242"/>
    </row>
    <row r="243" spans="20:23" x14ac:dyDescent="0.2">
      <c r="T243"/>
      <c r="U243"/>
      <c r="V243"/>
      <c r="W243"/>
    </row>
    <row r="244" spans="20:23" x14ac:dyDescent="0.2">
      <c r="T244"/>
      <c r="U244"/>
      <c r="V244"/>
      <c r="W244"/>
    </row>
    <row r="245" spans="20:23" x14ac:dyDescent="0.2">
      <c r="T245"/>
      <c r="U245"/>
      <c r="V245"/>
      <c r="W245"/>
    </row>
    <row r="246" spans="20:23" x14ac:dyDescent="0.2">
      <c r="T246"/>
      <c r="U246"/>
      <c r="V246"/>
      <c r="W246"/>
    </row>
    <row r="247" spans="20:23" x14ac:dyDescent="0.2">
      <c r="T247"/>
      <c r="U247"/>
      <c r="V247"/>
      <c r="W247"/>
    </row>
    <row r="248" spans="20:23" x14ac:dyDescent="0.2">
      <c r="T248"/>
      <c r="U248"/>
      <c r="V248"/>
      <c r="W248"/>
    </row>
    <row r="249" spans="20:23" x14ac:dyDescent="0.2">
      <c r="T249"/>
      <c r="U249"/>
      <c r="V249"/>
      <c r="W249"/>
    </row>
    <row r="250" spans="20:23" x14ac:dyDescent="0.2">
      <c r="T250"/>
      <c r="U250"/>
      <c r="V250"/>
      <c r="W250"/>
    </row>
    <row r="251" spans="20:23" x14ac:dyDescent="0.2">
      <c r="T251"/>
      <c r="U251"/>
      <c r="V251"/>
      <c r="W251"/>
    </row>
    <row r="252" spans="20:23" x14ac:dyDescent="0.2">
      <c r="T252"/>
      <c r="U252"/>
      <c r="V252"/>
      <c r="W252"/>
    </row>
    <row r="253" spans="20:23" x14ac:dyDescent="0.2">
      <c r="T253"/>
      <c r="U253"/>
      <c r="V253"/>
      <c r="W253"/>
    </row>
    <row r="254" spans="20:23" x14ac:dyDescent="0.2">
      <c r="T254"/>
      <c r="U254"/>
      <c r="V254"/>
      <c r="W254"/>
    </row>
    <row r="255" spans="20:23" x14ac:dyDescent="0.2">
      <c r="T255"/>
      <c r="U255"/>
      <c r="V255"/>
      <c r="W255"/>
    </row>
    <row r="256" spans="20:23" x14ac:dyDescent="0.2">
      <c r="T256"/>
      <c r="U256"/>
      <c r="V256"/>
      <c r="W256"/>
    </row>
    <row r="257" spans="20:23" x14ac:dyDescent="0.2">
      <c r="T257"/>
      <c r="U257"/>
      <c r="V257"/>
      <c r="W257"/>
    </row>
    <row r="258" spans="20:23" x14ac:dyDescent="0.2">
      <c r="T258"/>
      <c r="U258"/>
      <c r="V258"/>
      <c r="W258"/>
    </row>
    <row r="259" spans="20:23" x14ac:dyDescent="0.2">
      <c r="T259"/>
      <c r="U259"/>
      <c r="V259"/>
      <c r="W259"/>
    </row>
    <row r="260" spans="20:23" x14ac:dyDescent="0.2">
      <c r="T260"/>
      <c r="U260"/>
      <c r="V260"/>
      <c r="W260"/>
    </row>
    <row r="261" spans="20:23" x14ac:dyDescent="0.2">
      <c r="T261"/>
      <c r="U261"/>
      <c r="V261"/>
      <c r="W261"/>
    </row>
    <row r="262" spans="20:23" x14ac:dyDescent="0.2">
      <c r="T262"/>
      <c r="U262"/>
      <c r="V262"/>
      <c r="W262"/>
    </row>
    <row r="263" spans="20:23" x14ac:dyDescent="0.2">
      <c r="T263"/>
      <c r="U263"/>
      <c r="V263"/>
    </row>
    <row r="264" spans="20:23" x14ac:dyDescent="0.2">
      <c r="T264"/>
      <c r="U264"/>
      <c r="V264"/>
    </row>
    <row r="265" spans="20:23" x14ac:dyDescent="0.2">
      <c r="T265"/>
      <c r="U265"/>
      <c r="V265"/>
    </row>
    <row r="266" spans="20:23" x14ac:dyDescent="0.2">
      <c r="T266"/>
      <c r="U266"/>
      <c r="V266"/>
    </row>
    <row r="267" spans="20:23" x14ac:dyDescent="0.2">
      <c r="T267"/>
      <c r="U267"/>
      <c r="V267"/>
    </row>
    <row r="268" spans="20:23" x14ac:dyDescent="0.2">
      <c r="T268"/>
      <c r="U268"/>
      <c r="V268"/>
    </row>
    <row r="269" spans="20:23" x14ac:dyDescent="0.2">
      <c r="T269"/>
      <c r="U269"/>
      <c r="V269"/>
    </row>
    <row r="270" spans="20:23" x14ac:dyDescent="0.2">
      <c r="T270"/>
      <c r="U270"/>
      <c r="V270"/>
    </row>
    <row r="271" spans="20:23" x14ac:dyDescent="0.2">
      <c r="T271"/>
      <c r="U271"/>
      <c r="V271"/>
    </row>
    <row r="272" spans="20:23" x14ac:dyDescent="0.2">
      <c r="T272"/>
      <c r="U272"/>
      <c r="V272"/>
    </row>
    <row r="273" spans="20:22" x14ac:dyDescent="0.2">
      <c r="T273"/>
      <c r="U273"/>
      <c r="V273"/>
    </row>
    <row r="274" spans="20:22" x14ac:dyDescent="0.2">
      <c r="T274"/>
      <c r="U274"/>
      <c r="V274"/>
    </row>
    <row r="275" spans="20:22" x14ac:dyDescent="0.2">
      <c r="T275"/>
      <c r="U275"/>
      <c r="V275"/>
    </row>
    <row r="276" spans="20:22" x14ac:dyDescent="0.2">
      <c r="T276"/>
      <c r="U276"/>
      <c r="V276"/>
    </row>
    <row r="277" spans="20:22" x14ac:dyDescent="0.2">
      <c r="T277"/>
      <c r="U277"/>
      <c r="V277"/>
    </row>
    <row r="278" spans="20:22" x14ac:dyDescent="0.2">
      <c r="T278"/>
      <c r="U278"/>
      <c r="V278"/>
    </row>
    <row r="279" spans="20:22" x14ac:dyDescent="0.2">
      <c r="T279"/>
      <c r="U279"/>
      <c r="V279"/>
    </row>
    <row r="280" spans="20:22" x14ac:dyDescent="0.2">
      <c r="T280"/>
      <c r="U280"/>
      <c r="V280"/>
    </row>
    <row r="281" spans="20:22" x14ac:dyDescent="0.2">
      <c r="T281"/>
      <c r="U281"/>
      <c r="V281"/>
    </row>
    <row r="282" spans="20:22" x14ac:dyDescent="0.2">
      <c r="T282"/>
      <c r="U282"/>
      <c r="V282"/>
    </row>
    <row r="283" spans="20:22" x14ac:dyDescent="0.2">
      <c r="T283"/>
      <c r="U283"/>
      <c r="V283"/>
    </row>
    <row r="284" spans="20:22" x14ac:dyDescent="0.2">
      <c r="T284"/>
      <c r="U284"/>
      <c r="V284"/>
    </row>
    <row r="285" spans="20:22" x14ac:dyDescent="0.2">
      <c r="T285"/>
      <c r="U285"/>
      <c r="V285"/>
    </row>
    <row r="286" spans="20:22" x14ac:dyDescent="0.2">
      <c r="T286"/>
      <c r="U286"/>
      <c r="V286"/>
    </row>
    <row r="287" spans="20:22" x14ac:dyDescent="0.2">
      <c r="T287"/>
      <c r="U287"/>
      <c r="V287"/>
    </row>
    <row r="288" spans="20:22" x14ac:dyDescent="0.2">
      <c r="T288"/>
      <c r="U288"/>
      <c r="V288"/>
    </row>
    <row r="289" spans="20:22" x14ac:dyDescent="0.2">
      <c r="T289"/>
      <c r="U289"/>
      <c r="V289"/>
    </row>
    <row r="290" spans="20:22" x14ac:dyDescent="0.2">
      <c r="T290"/>
      <c r="U290"/>
      <c r="V290"/>
    </row>
    <row r="291" spans="20:22" x14ac:dyDescent="0.2">
      <c r="T291"/>
      <c r="U291"/>
      <c r="V291"/>
    </row>
    <row r="292" spans="20:22" x14ac:dyDescent="0.2">
      <c r="T292"/>
      <c r="U292"/>
      <c r="V292"/>
    </row>
    <row r="293" spans="20:22" x14ac:dyDescent="0.2">
      <c r="T293"/>
      <c r="U293"/>
      <c r="V293"/>
    </row>
    <row r="294" spans="20:22" x14ac:dyDescent="0.2">
      <c r="T294"/>
      <c r="U294"/>
      <c r="V294"/>
    </row>
    <row r="295" spans="20:22" x14ac:dyDescent="0.2">
      <c r="T295"/>
      <c r="U295"/>
      <c r="V295"/>
    </row>
    <row r="296" spans="20:22" x14ac:dyDescent="0.2">
      <c r="T296"/>
      <c r="U296"/>
      <c r="V296"/>
    </row>
    <row r="297" spans="20:22" x14ac:dyDescent="0.2">
      <c r="T297"/>
      <c r="U297"/>
      <c r="V297"/>
    </row>
    <row r="298" spans="20:22" x14ac:dyDescent="0.2">
      <c r="T298"/>
      <c r="U298"/>
      <c r="V298"/>
    </row>
    <row r="299" spans="20:22" x14ac:dyDescent="0.2">
      <c r="T299"/>
      <c r="U299"/>
      <c r="V299"/>
    </row>
    <row r="300" spans="20:22" x14ac:dyDescent="0.2">
      <c r="T300"/>
      <c r="U300"/>
      <c r="V300"/>
    </row>
    <row r="301" spans="20:22" x14ac:dyDescent="0.2">
      <c r="T301"/>
      <c r="U301"/>
      <c r="V301"/>
    </row>
    <row r="302" spans="20:22" x14ac:dyDescent="0.2">
      <c r="T302"/>
      <c r="U302"/>
      <c r="V302"/>
    </row>
    <row r="303" spans="20:22" x14ac:dyDescent="0.2">
      <c r="T303"/>
      <c r="U303"/>
      <c r="V303"/>
    </row>
    <row r="304" spans="20:22" x14ac:dyDescent="0.2">
      <c r="T304"/>
      <c r="U304"/>
      <c r="V304"/>
    </row>
    <row r="305" spans="20:22" x14ac:dyDescent="0.2">
      <c r="T305"/>
      <c r="U305"/>
      <c r="V305"/>
    </row>
    <row r="306" spans="20:22" x14ac:dyDescent="0.2">
      <c r="T306"/>
      <c r="U306"/>
      <c r="V306"/>
    </row>
    <row r="307" spans="20:22" x14ac:dyDescent="0.2">
      <c r="T307"/>
      <c r="U307"/>
      <c r="V307"/>
    </row>
    <row r="308" spans="20:22" x14ac:dyDescent="0.2">
      <c r="T308"/>
      <c r="U308"/>
      <c r="V308"/>
    </row>
    <row r="309" spans="20:22" x14ac:dyDescent="0.2">
      <c r="T309"/>
      <c r="U309"/>
      <c r="V309"/>
    </row>
    <row r="310" spans="20:22" x14ac:dyDescent="0.2">
      <c r="T310"/>
      <c r="U310"/>
      <c r="V310"/>
    </row>
    <row r="311" spans="20:22" x14ac:dyDescent="0.2">
      <c r="T311"/>
      <c r="U311"/>
      <c r="V311"/>
    </row>
    <row r="312" spans="20:22" x14ac:dyDescent="0.2">
      <c r="T312"/>
      <c r="U312"/>
      <c r="V312"/>
    </row>
    <row r="313" spans="20:22" x14ac:dyDescent="0.2">
      <c r="T313"/>
      <c r="U313"/>
      <c r="V313"/>
    </row>
    <row r="314" spans="20:22" x14ac:dyDescent="0.2">
      <c r="T314"/>
      <c r="U314"/>
      <c r="V314"/>
    </row>
    <row r="315" spans="20:22" x14ac:dyDescent="0.2">
      <c r="T315"/>
      <c r="U315"/>
    </row>
    <row r="316" spans="20:22" x14ac:dyDescent="0.2">
      <c r="T316"/>
      <c r="U316"/>
    </row>
    <row r="317" spans="20:22" x14ac:dyDescent="0.2">
      <c r="T317"/>
      <c r="U317"/>
    </row>
    <row r="318" spans="20:22" x14ac:dyDescent="0.2">
      <c r="T318"/>
      <c r="U318"/>
    </row>
    <row r="319" spans="20:22" x14ac:dyDescent="0.2">
      <c r="T319"/>
      <c r="U319"/>
    </row>
    <row r="320" spans="20:22" x14ac:dyDescent="0.2">
      <c r="T320"/>
    </row>
    <row r="321" spans="20:20" x14ac:dyDescent="0.2">
      <c r="T321"/>
    </row>
    <row r="322" spans="20:20" x14ac:dyDescent="0.2">
      <c r="T322"/>
    </row>
    <row r="323" spans="20:20" x14ac:dyDescent="0.2">
      <c r="T323"/>
    </row>
  </sheetData>
  <phoneticPr fontId="76" type="noConversion"/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25</vt:i4>
      </vt:variant>
    </vt:vector>
  </HeadingPairs>
  <TitlesOfParts>
    <vt:vector size="39" baseType="lpstr">
      <vt:lpstr>Cover</vt:lpstr>
      <vt:lpstr>Summary</vt:lpstr>
      <vt:lpstr>Assumptions</vt:lpstr>
      <vt:lpstr>Option1 (base case)</vt:lpstr>
      <vt:lpstr>Option2</vt:lpstr>
      <vt:lpstr>Option3</vt:lpstr>
      <vt:lpstr>Option4</vt:lpstr>
      <vt:lpstr>Option5</vt:lpstr>
      <vt:lpstr>Consol</vt:lpstr>
      <vt:lpstr>Sensitivity_calcs</vt:lpstr>
      <vt:lpstr>Workings_risks</vt:lpstr>
      <vt:lpstr>Reliability data</vt:lpstr>
      <vt:lpstr>Misc_calcs</vt:lpstr>
      <vt:lpstr>Data</vt:lpstr>
      <vt:lpstr>bus</vt:lpstr>
      <vt:lpstr>bushfire_outage_duration</vt:lpstr>
      <vt:lpstr>compliance</vt:lpstr>
      <vt:lpstr>conv_2026</vt:lpstr>
      <vt:lpstr>custval_date</vt:lpstr>
      <vt:lpstr>CY_years</vt:lpstr>
      <vt:lpstr>first_year</vt:lpstr>
      <vt:lpstr>hy_dates</vt:lpstr>
      <vt:lpstr>hy_escalation</vt:lpstr>
      <vt:lpstr>input_dollars</vt:lpstr>
      <vt:lpstr>mill_conv</vt:lpstr>
      <vt:lpstr>options</vt:lpstr>
      <vt:lpstr>output_dollars</vt:lpstr>
      <vt:lpstr>preferred</vt:lpstr>
      <vt:lpstr>Assumptions!Print_Area</vt:lpstr>
      <vt:lpstr>proj</vt:lpstr>
      <vt:lpstr>real_disc</vt:lpstr>
      <vt:lpstr>sheets</vt:lpstr>
      <vt:lpstr>solar_demand_correction</vt:lpstr>
      <vt:lpstr>start</vt:lpstr>
      <vt:lpstr>start_year</vt:lpstr>
      <vt:lpstr>thous_conv</vt:lpstr>
      <vt:lpstr>vcr_date</vt:lpstr>
      <vt:lpstr>vcr_esc</vt:lpstr>
      <vt:lpstr>years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2024-12-11T01:31:08Z</dcterms:created>
  <dcterms:modified xsi:type="dcterms:W3CDTF">2025-01-26T10:36:22Z</dcterms:modified>
</cp:coreProperties>
</file>