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6808A0A9-616D-4654-ADF5-BC50E7F89471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8" r:id="rId11"/>
    <sheet name="Reliability data" sheetId="87" r:id="rId12"/>
    <sheet name="Misc_calcs" sheetId="62" r:id="rId13"/>
    <sheet name="Data" sheetId="47" r:id="rId14"/>
  </sheets>
  <definedNames>
    <definedName name="bus">Assumptions!$E$6</definedName>
    <definedName name="bushfire_outage_duration">Workings_risks!$F$18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Assumptions!$A$1:$P$122</definedName>
    <definedName name="proj">Assumptions!$E$8</definedName>
    <definedName name="real_disc">Assumptions!$G$28</definedName>
    <definedName name="sheets">Cover!$A$40</definedName>
    <definedName name="solar_demand_correction">'Option1 (base case)'!$E$27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86" l="1"/>
  <c r="G15" i="72"/>
  <c r="I49" i="72"/>
  <c r="I48" i="72"/>
  <c r="I47" i="72"/>
  <c r="I46" i="72"/>
  <c r="I45" i="72"/>
  <c r="J49" i="72"/>
  <c r="J48" i="72"/>
  <c r="J47" i="72"/>
  <c r="J46" i="72"/>
  <c r="J45" i="72"/>
  <c r="K49" i="72"/>
  <c r="K48" i="72"/>
  <c r="K47" i="72"/>
  <c r="K46" i="72"/>
  <c r="K45" i="72"/>
  <c r="E112" i="72" l="1"/>
  <c r="D50" i="81"/>
  <c r="C50" i="81"/>
  <c r="E49" i="81"/>
  <c r="D49" i="81"/>
  <c r="C49" i="81"/>
  <c r="E48" i="81"/>
  <c r="D48" i="81"/>
  <c r="C48" i="81"/>
  <c r="E47" i="81"/>
  <c r="D47" i="81"/>
  <c r="C47" i="81"/>
  <c r="D46" i="81"/>
  <c r="C46" i="81"/>
  <c r="D45" i="81"/>
  <c r="C45" i="81"/>
  <c r="D50" i="72"/>
  <c r="C50" i="72"/>
  <c r="E49" i="72"/>
  <c r="D49" i="72"/>
  <c r="C49" i="72"/>
  <c r="E48" i="72"/>
  <c r="D48" i="72"/>
  <c r="C48" i="72"/>
  <c r="E47" i="72"/>
  <c r="D47" i="72"/>
  <c r="C47" i="72"/>
  <c r="E46" i="72"/>
  <c r="D46" i="72"/>
  <c r="C46" i="72"/>
  <c r="D45" i="72"/>
  <c r="C45" i="72"/>
  <c r="D50" i="82"/>
  <c r="C50" i="82"/>
  <c r="D49" i="82"/>
  <c r="C49" i="82"/>
  <c r="E48" i="82"/>
  <c r="D48" i="82"/>
  <c r="C48" i="82"/>
  <c r="E47" i="82"/>
  <c r="D47" i="82"/>
  <c r="C47" i="82"/>
  <c r="E46" i="82"/>
  <c r="D46" i="82"/>
  <c r="C46" i="82"/>
  <c r="D45" i="82"/>
  <c r="C45" i="82"/>
  <c r="D46" i="73"/>
  <c r="D47" i="73"/>
  <c r="D48" i="73"/>
  <c r="D49" i="73"/>
  <c r="D50" i="73"/>
  <c r="D45" i="73"/>
  <c r="C50" i="73"/>
  <c r="C49" i="73"/>
  <c r="C48" i="73"/>
  <c r="C47" i="73"/>
  <c r="C46" i="73"/>
  <c r="C45" i="73"/>
  <c r="E46" i="73"/>
  <c r="E47" i="73"/>
  <c r="E48" i="73"/>
  <c r="E49" i="73"/>
  <c r="E50" i="73"/>
  <c r="E51" i="73"/>
  <c r="E52" i="73"/>
  <c r="E47" i="68"/>
  <c r="E48" i="68"/>
  <c r="E49" i="68"/>
  <c r="E49" i="82" s="1"/>
  <c r="E50" i="68"/>
  <c r="E50" i="72" s="1"/>
  <c r="E46" i="68"/>
  <c r="E46" i="81" s="1"/>
  <c r="E51" i="68"/>
  <c r="E52" i="68"/>
  <c r="E50" i="82" l="1"/>
  <c r="E50" i="81"/>
  <c r="K45" i="81"/>
  <c r="J45" i="81"/>
  <c r="I45" i="81"/>
  <c r="J46" i="81"/>
  <c r="K46" i="81"/>
  <c r="J47" i="81"/>
  <c r="K47" i="81"/>
  <c r="J48" i="81"/>
  <c r="K48" i="81"/>
  <c r="J49" i="81"/>
  <c r="K49" i="81"/>
  <c r="J50" i="81"/>
  <c r="K50" i="81"/>
  <c r="I50" i="81"/>
  <c r="I49" i="81"/>
  <c r="I48" i="81"/>
  <c r="I47" i="81"/>
  <c r="I46" i="81"/>
  <c r="H41" i="43" a="1"/>
  <c r="H41" i="43" s="1"/>
  <c r="E45" i="68" s="1"/>
  <c r="J25" i="88"/>
  <c r="J28" i="88" s="1"/>
  <c r="F13" i="88"/>
  <c r="A2" i="88"/>
  <c r="A1" i="88"/>
  <c r="K17" i="87"/>
  <c r="K23" i="87" s="1"/>
  <c r="K16" i="87"/>
  <c r="K14" i="87"/>
  <c r="K8" i="87"/>
  <c r="K9" i="87" s="1"/>
  <c r="K10" i="87" s="1"/>
  <c r="K4" i="87"/>
  <c r="F19" i="88" s="1"/>
  <c r="E45" i="73" l="1"/>
  <c r="E45" i="72"/>
  <c r="E45" i="82"/>
  <c r="E45" i="81"/>
  <c r="K15" i="87"/>
  <c r="N31" i="88"/>
  <c r="O31" i="88"/>
  <c r="AC31" i="88"/>
  <c r="I31" i="88"/>
  <c r="J31" i="88"/>
  <c r="K31" i="88"/>
  <c r="L31" i="88"/>
  <c r="M31" i="88"/>
  <c r="K20" i="87"/>
  <c r="AD31" i="88"/>
  <c r="AE31" i="88"/>
  <c r="AF31" i="88"/>
  <c r="AG31" i="88"/>
  <c r="I32" i="88"/>
  <c r="P31" i="88"/>
  <c r="Q31" i="88"/>
  <c r="R31" i="88"/>
  <c r="S31" i="88"/>
  <c r="T31" i="88"/>
  <c r="W31" i="88"/>
  <c r="Y31" i="88"/>
  <c r="Z31" i="88"/>
  <c r="AA31" i="88"/>
  <c r="U31" i="88"/>
  <c r="V31" i="88"/>
  <c r="X31" i="88"/>
  <c r="AB31" i="88"/>
  <c r="X27" i="68"/>
  <c r="W27" i="68"/>
  <c r="M27" i="68"/>
  <c r="K25" i="88"/>
  <c r="K28" i="88" s="1"/>
  <c r="AB27" i="68"/>
  <c r="AA27" i="68"/>
  <c r="Z27" i="68"/>
  <c r="Y27" i="68"/>
  <c r="V27" i="68"/>
  <c r="R27" i="68"/>
  <c r="Q27" i="68"/>
  <c r="L27" i="68"/>
  <c r="K27" i="68"/>
  <c r="J27" i="68"/>
  <c r="AF27" i="68"/>
  <c r="AE27" i="68"/>
  <c r="AD27" i="68"/>
  <c r="AC27" i="68"/>
  <c r="J32" i="88"/>
  <c r="U27" i="68"/>
  <c r="T27" i="68"/>
  <c r="S27" i="68"/>
  <c r="P27" i="68"/>
  <c r="O27" i="68"/>
  <c r="I27" i="68"/>
  <c r="I27" i="72" s="1"/>
  <c r="N27" i="68"/>
  <c r="AG27" i="68"/>
  <c r="K19" i="87"/>
  <c r="K22" i="87"/>
  <c r="I9" i="68"/>
  <c r="K32" i="88" l="1"/>
  <c r="L25" i="88"/>
  <c r="L28" i="88" s="1"/>
  <c r="I27" i="81"/>
  <c r="J27" i="81"/>
  <c r="K27" i="81"/>
  <c r="H9" i="68"/>
  <c r="H9" i="75" s="1"/>
  <c r="H5" i="75" s="1"/>
  <c r="I24" i="88"/>
  <c r="C25" i="62"/>
  <c r="A2" i="43"/>
  <c r="M25" i="88" l="1"/>
  <c r="M28" i="88" s="1"/>
  <c r="L32" i="88"/>
  <c r="C115" i="43"/>
  <c r="C116" i="43"/>
  <c r="C118" i="43"/>
  <c r="C119" i="43"/>
  <c r="N25" i="88" l="1"/>
  <c r="N28" i="88" s="1"/>
  <c r="M32" i="88"/>
  <c r="A92" i="85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D112" i="81"/>
  <c r="E111" i="81"/>
  <c r="D111" i="81"/>
  <c r="E110" i="81"/>
  <c r="D110" i="81"/>
  <c r="O25" i="88" l="1"/>
  <c r="O28" i="88" s="1"/>
  <c r="N32" i="88"/>
  <c r="J77" i="68"/>
  <c r="K77" i="68"/>
  <c r="L77" i="68"/>
  <c r="M77" i="68"/>
  <c r="N77" i="68"/>
  <c r="O77" i="68"/>
  <c r="P77" i="68"/>
  <c r="Q77" i="68"/>
  <c r="R77" i="68"/>
  <c r="S77" i="68"/>
  <c r="T77" i="68"/>
  <c r="U77" i="68"/>
  <c r="V77" i="68"/>
  <c r="W77" i="68"/>
  <c r="X77" i="68"/>
  <c r="Y77" i="68"/>
  <c r="Z77" i="68"/>
  <c r="AA77" i="68"/>
  <c r="AB77" i="68"/>
  <c r="AC77" i="68"/>
  <c r="AD77" i="68"/>
  <c r="AE77" i="68"/>
  <c r="AF77" i="68"/>
  <c r="AG77" i="68"/>
  <c r="J78" i="68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B41" i="62"/>
  <c r="B43" i="62" s="1"/>
  <c r="R108" i="47"/>
  <c r="R109" i="47" s="1"/>
  <c r="R110" i="47" s="1"/>
  <c r="R111" i="47" s="1"/>
  <c r="R112" i="47" s="1"/>
  <c r="R113" i="47" s="1"/>
  <c r="P25" i="88" l="1"/>
  <c r="P28" i="88" s="1"/>
  <c r="O32" i="88"/>
  <c r="D66" i="33"/>
  <c r="E16" i="47"/>
  <c r="F9" i="47" s="1"/>
  <c r="Q25" i="88" l="1"/>
  <c r="Q28" i="88" s="1"/>
  <c r="P32" i="88"/>
  <c r="C22" i="85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R25" i="88" l="1"/>
  <c r="R28" i="88" s="1"/>
  <c r="Q32" i="88"/>
  <c r="B65" i="85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R32" i="88" l="1"/>
  <c r="S25" i="88"/>
  <c r="S28" i="88" s="1"/>
  <c r="C30" i="85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S32" i="88" l="1"/>
  <c r="T25" i="88"/>
  <c r="T28" i="88" s="1"/>
  <c r="C31" i="85"/>
  <c r="C33" i="85"/>
  <c r="C73" i="33"/>
  <c r="A6" i="85"/>
  <c r="A2" i="85"/>
  <c r="A1" i="85"/>
  <c r="U25" i="88" l="1"/>
  <c r="U28" i="88" s="1"/>
  <c r="T32" i="88"/>
  <c r="C71" i="33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U32" i="88" l="1"/>
  <c r="V25" i="88"/>
  <c r="V28" i="88" s="1"/>
  <c r="D65" i="62"/>
  <c r="C4" i="82" s="1"/>
  <c r="D57" i="62"/>
  <c r="C4" i="72" s="1"/>
  <c r="D53" i="62"/>
  <c r="C4" i="81" s="1"/>
  <c r="D61" i="62"/>
  <c r="C4" i="73" s="1"/>
  <c r="D49" i="62"/>
  <c r="C4" i="68" s="1"/>
  <c r="D92" i="75"/>
  <c r="W25" i="88" l="1"/>
  <c r="W28" i="88" s="1"/>
  <c r="V32" i="88"/>
  <c r="D9" i="47"/>
  <c r="A6" i="75"/>
  <c r="X25" i="88" l="1"/>
  <c r="X28" i="88" s="1"/>
  <c r="W32" i="88"/>
  <c r="I6" i="75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L50" i="81" l="1"/>
  <c r="X27" i="81"/>
  <c r="Y27" i="81"/>
  <c r="L45" i="81"/>
  <c r="L45" i="72" s="1"/>
  <c r="Z27" i="81"/>
  <c r="AA27" i="81"/>
  <c r="AB27" i="81"/>
  <c r="AC27" i="81"/>
  <c r="AD27" i="81"/>
  <c r="AE27" i="81"/>
  <c r="L46" i="81"/>
  <c r="L46" i="72" s="1"/>
  <c r="AF27" i="81"/>
  <c r="M27" i="81"/>
  <c r="AG27" i="81"/>
  <c r="N27" i="81"/>
  <c r="L47" i="81"/>
  <c r="L47" i="72" s="1"/>
  <c r="O27" i="81"/>
  <c r="P27" i="81"/>
  <c r="Q27" i="81"/>
  <c r="L48" i="81"/>
  <c r="L48" i="72" s="1"/>
  <c r="R27" i="81"/>
  <c r="S27" i="81"/>
  <c r="T27" i="81"/>
  <c r="L49" i="81"/>
  <c r="L49" i="72" s="1"/>
  <c r="U27" i="81"/>
  <c r="W27" i="81"/>
  <c r="V27" i="81"/>
  <c r="W45" i="81"/>
  <c r="W45" i="72" s="1"/>
  <c r="N45" i="81"/>
  <c r="N45" i="72" s="1"/>
  <c r="AG45" i="81"/>
  <c r="AG45" i="72" s="1"/>
  <c r="O47" i="81"/>
  <c r="O47" i="72" s="1"/>
  <c r="Z48" i="81"/>
  <c r="Z48" i="72" s="1"/>
  <c r="U46" i="81"/>
  <c r="U46" i="72" s="1"/>
  <c r="T46" i="81"/>
  <c r="T46" i="72" s="1"/>
  <c r="U47" i="81"/>
  <c r="U47" i="72" s="1"/>
  <c r="AF45" i="81"/>
  <c r="AF45" i="72" s="1"/>
  <c r="AE48" i="81"/>
  <c r="AE48" i="72" s="1"/>
  <c r="AA47" i="81"/>
  <c r="AA47" i="72" s="1"/>
  <c r="AA49" i="81"/>
  <c r="AA49" i="72" s="1"/>
  <c r="Z47" i="81"/>
  <c r="Z47" i="72" s="1"/>
  <c r="Y49" i="81"/>
  <c r="Y49" i="72" s="1"/>
  <c r="V50" i="81"/>
  <c r="AE45" i="81"/>
  <c r="AE45" i="72" s="1"/>
  <c r="M46" i="81"/>
  <c r="M46" i="72" s="1"/>
  <c r="AD49" i="81"/>
  <c r="AD49" i="72" s="1"/>
  <c r="Q48" i="81"/>
  <c r="Q48" i="72" s="1"/>
  <c r="R50" i="81"/>
  <c r="AF48" i="81"/>
  <c r="AF48" i="72" s="1"/>
  <c r="Y50" i="81"/>
  <c r="AD45" i="81"/>
  <c r="AD45" i="72" s="1"/>
  <c r="V46" i="81"/>
  <c r="V46" i="72" s="1"/>
  <c r="Z50" i="81"/>
  <c r="T49" i="81"/>
  <c r="T49" i="72" s="1"/>
  <c r="Q47" i="81"/>
  <c r="Q47" i="72" s="1"/>
  <c r="Q46" i="81"/>
  <c r="Q46" i="72" s="1"/>
  <c r="M45" i="81"/>
  <c r="M45" i="72" s="1"/>
  <c r="AG49" i="81"/>
  <c r="AG49" i="72" s="1"/>
  <c r="AE49" i="81"/>
  <c r="AE49" i="72" s="1"/>
  <c r="W46" i="81"/>
  <c r="W46" i="72" s="1"/>
  <c r="AB45" i="81"/>
  <c r="AB45" i="72" s="1"/>
  <c r="Z46" i="81"/>
  <c r="Z46" i="72" s="1"/>
  <c r="AB49" i="81"/>
  <c r="AB49" i="72" s="1"/>
  <c r="Q50" i="81"/>
  <c r="V47" i="81"/>
  <c r="V47" i="72" s="1"/>
  <c r="N46" i="81"/>
  <c r="N46" i="72" s="1"/>
  <c r="V45" i="81"/>
  <c r="V45" i="72" s="1"/>
  <c r="X48" i="81"/>
  <c r="X48" i="72" s="1"/>
  <c r="Y46" i="81"/>
  <c r="Y46" i="72" s="1"/>
  <c r="U45" i="81"/>
  <c r="U45" i="72" s="1"/>
  <c r="M50" i="81"/>
  <c r="Z49" i="81"/>
  <c r="Z49" i="72" s="1"/>
  <c r="AA45" i="81"/>
  <c r="AA45" i="72" s="1"/>
  <c r="AA46" i="81"/>
  <c r="AA46" i="72" s="1"/>
  <c r="AC49" i="81"/>
  <c r="AC49" i="72" s="1"/>
  <c r="X49" i="81"/>
  <c r="X49" i="72" s="1"/>
  <c r="N49" i="81"/>
  <c r="N49" i="72" s="1"/>
  <c r="AD46" i="81"/>
  <c r="AD46" i="72" s="1"/>
  <c r="Z45" i="81"/>
  <c r="Z45" i="72" s="1"/>
  <c r="AC50" i="81"/>
  <c r="AC48" i="81"/>
  <c r="AC48" i="72" s="1"/>
  <c r="P49" i="81"/>
  <c r="P49" i="72" s="1"/>
  <c r="W49" i="81"/>
  <c r="W49" i="72" s="1"/>
  <c r="M49" i="81"/>
  <c r="M49" i="72" s="1"/>
  <c r="AB48" i="81"/>
  <c r="AB48" i="72" s="1"/>
  <c r="AE47" i="81"/>
  <c r="AE47" i="72" s="1"/>
  <c r="P45" i="81"/>
  <c r="P45" i="72" s="1"/>
  <c r="N47" i="81"/>
  <c r="N47" i="72" s="1"/>
  <c r="S49" i="81"/>
  <c r="S49" i="72" s="1"/>
  <c r="R47" i="81"/>
  <c r="R47" i="72" s="1"/>
  <c r="O46" i="81"/>
  <c r="O46" i="72" s="1"/>
  <c r="W50" i="81"/>
  <c r="AA50" i="81"/>
  <c r="O48" i="81"/>
  <c r="O48" i="72" s="1"/>
  <c r="S50" i="81"/>
  <c r="S45" i="81"/>
  <c r="S45" i="72" s="1"/>
  <c r="T50" i="81"/>
  <c r="AC46" i="81"/>
  <c r="AC46" i="72" s="1"/>
  <c r="R45" i="81"/>
  <c r="R45" i="72" s="1"/>
  <c r="AF50" i="81"/>
  <c r="P48" i="81"/>
  <c r="P48" i="72" s="1"/>
  <c r="W47" i="81"/>
  <c r="W47" i="72" s="1"/>
  <c r="AB50" i="81"/>
  <c r="AG48" i="81"/>
  <c r="AG48" i="72" s="1"/>
  <c r="Q45" i="81"/>
  <c r="Q45" i="72" s="1"/>
  <c r="T47" i="81"/>
  <c r="T47" i="72" s="1"/>
  <c r="Y48" i="81"/>
  <c r="Y48" i="72" s="1"/>
  <c r="P50" i="81"/>
  <c r="Y47" i="81"/>
  <c r="Y47" i="72" s="1"/>
  <c r="N50" i="81"/>
  <c r="AB46" i="81"/>
  <c r="AB46" i="72" s="1"/>
  <c r="AE46" i="81"/>
  <c r="AE46" i="72" s="1"/>
  <c r="M48" i="81"/>
  <c r="M48" i="72" s="1"/>
  <c r="V49" i="81"/>
  <c r="V49" i="72" s="1"/>
  <c r="W48" i="81"/>
  <c r="W48" i="72" s="1"/>
  <c r="S47" i="81"/>
  <c r="S47" i="72" s="1"/>
  <c r="R49" i="81"/>
  <c r="R49" i="72" s="1"/>
  <c r="X45" i="81"/>
  <c r="X45" i="72" s="1"/>
  <c r="R48" i="81"/>
  <c r="R48" i="72" s="1"/>
  <c r="M47" i="81"/>
  <c r="M47" i="72" s="1"/>
  <c r="L27" i="81"/>
  <c r="O50" i="81"/>
  <c r="AG46" i="81"/>
  <c r="AG46" i="72" s="1"/>
  <c r="AC47" i="81"/>
  <c r="AC47" i="72" s="1"/>
  <c r="AD47" i="81"/>
  <c r="AD47" i="72" s="1"/>
  <c r="U48" i="81"/>
  <c r="U48" i="72" s="1"/>
  <c r="X50" i="81"/>
  <c r="N48" i="81"/>
  <c r="N48" i="72" s="1"/>
  <c r="P47" i="81"/>
  <c r="P47" i="72" s="1"/>
  <c r="AF47" i="81"/>
  <c r="AF47" i="72" s="1"/>
  <c r="AC45" i="81"/>
  <c r="AC45" i="72" s="1"/>
  <c r="U49" i="81"/>
  <c r="U49" i="72" s="1"/>
  <c r="AG47" i="81"/>
  <c r="AG47" i="72" s="1"/>
  <c r="AF46" i="81"/>
  <c r="AF46" i="72" s="1"/>
  <c r="Q49" i="81"/>
  <c r="Q49" i="72" s="1"/>
  <c r="R46" i="81"/>
  <c r="R46" i="72" s="1"/>
  <c r="O45" i="81"/>
  <c r="O45" i="72" s="1"/>
  <c r="V48" i="81"/>
  <c r="V48" i="72" s="1"/>
  <c r="AB47" i="81"/>
  <c r="AB47" i="72" s="1"/>
  <c r="S48" i="81"/>
  <c r="S48" i="72" s="1"/>
  <c r="Y45" i="81"/>
  <c r="Y45" i="72" s="1"/>
  <c r="AD50" i="81"/>
  <c r="X46" i="81"/>
  <c r="X46" i="72" s="1"/>
  <c r="S46" i="81"/>
  <c r="S46" i="72" s="1"/>
  <c r="AF49" i="81"/>
  <c r="AF49" i="72" s="1"/>
  <c r="O49" i="81"/>
  <c r="O49" i="72" s="1"/>
  <c r="T45" i="81"/>
  <c r="T45" i="72" s="1"/>
  <c r="AG50" i="81"/>
  <c r="AE50" i="81"/>
  <c r="X47" i="81"/>
  <c r="X47" i="72" s="1"/>
  <c r="AA48" i="81"/>
  <c r="AA48" i="72" s="1"/>
  <c r="P46" i="81"/>
  <c r="P46" i="72" s="1"/>
  <c r="T48" i="81"/>
  <c r="T48" i="72" s="1"/>
  <c r="U50" i="81"/>
  <c r="AD48" i="81"/>
  <c r="AD48" i="72" s="1"/>
  <c r="X32" i="88"/>
  <c r="Y25" i="88"/>
  <c r="Y28" i="88" s="1"/>
  <c r="A30" i="75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J27" i="72" l="1"/>
  <c r="K27" i="72"/>
  <c r="L27" i="72"/>
  <c r="O27" i="72"/>
  <c r="M27" i="72"/>
  <c r="Y27" i="72"/>
  <c r="W27" i="72"/>
  <c r="U27" i="72"/>
  <c r="S27" i="72"/>
  <c r="Q27" i="72"/>
  <c r="N27" i="72"/>
  <c r="Z27" i="72"/>
  <c r="AG27" i="72"/>
  <c r="AA27" i="72"/>
  <c r="X27" i="72"/>
  <c r="V27" i="72"/>
  <c r="T27" i="72"/>
  <c r="R27" i="72"/>
  <c r="P27" i="72"/>
  <c r="AF27" i="72"/>
  <c r="AB27" i="72"/>
  <c r="AE27" i="72"/>
  <c r="AD27" i="72"/>
  <c r="AC27" i="72"/>
  <c r="Y32" i="88"/>
  <c r="Z25" i="88"/>
  <c r="Z28" i="88" s="1"/>
  <c r="A17" i="75"/>
  <c r="A18" i="75" s="1"/>
  <c r="A19" i="75" s="1"/>
  <c r="A20" i="75" s="1"/>
  <c r="A21" i="75" s="1"/>
  <c r="A22" i="75" s="1"/>
  <c r="A23" i="75" s="1"/>
  <c r="C58" i="43"/>
  <c r="G67" i="43"/>
  <c r="G66" i="43"/>
  <c r="G65" i="43"/>
  <c r="G64" i="43"/>
  <c r="G63" i="43"/>
  <c r="G62" i="43"/>
  <c r="G61" i="43"/>
  <c r="G60" i="43"/>
  <c r="G59" i="43"/>
  <c r="C60" i="43"/>
  <c r="C61" i="43"/>
  <c r="C62" i="43"/>
  <c r="C63" i="43"/>
  <c r="C64" i="43"/>
  <c r="C65" i="43"/>
  <c r="C66" i="43"/>
  <c r="C67" i="43"/>
  <c r="C59" i="43"/>
  <c r="AA25" i="88" l="1"/>
  <c r="AA28" i="88" s="1"/>
  <c r="Z32" i="88"/>
  <c r="A24" i="75"/>
  <c r="A25" i="75" s="1"/>
  <c r="A99" i="75"/>
  <c r="H99" i="75" s="1"/>
  <c r="D91" i="75"/>
  <c r="AA32" i="88" l="1"/>
  <c r="AB25" i="88"/>
  <c r="AB28" i="88" s="1"/>
  <c r="N7" i="68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B32" i="88" l="1"/>
  <c r="AC25" i="88"/>
  <c r="AC28" i="88" s="1"/>
  <c r="AC7" i="81"/>
  <c r="AC42" i="81" s="1"/>
  <c r="AC7" i="73"/>
  <c r="AC42" i="73" s="1"/>
  <c r="AD7" i="68"/>
  <c r="AC7" i="82"/>
  <c r="AC42" i="68"/>
  <c r="AC7" i="72"/>
  <c r="AC42" i="72" s="1"/>
  <c r="AD25" i="88" l="1"/>
  <c r="AD28" i="88" s="1"/>
  <c r="AC32" i="88"/>
  <c r="AC42" i="82"/>
  <c r="AD7" i="81"/>
  <c r="AD42" i="81" s="1"/>
  <c r="AD7" i="73"/>
  <c r="AD42" i="73" s="1"/>
  <c r="AD42" i="68"/>
  <c r="AE7" i="68"/>
  <c r="AD7" i="82"/>
  <c r="AD7" i="72"/>
  <c r="AD42" i="72" s="1"/>
  <c r="AE25" i="88" l="1"/>
  <c r="AE28" i="88" s="1"/>
  <c r="AD32" i="88"/>
  <c r="AE7" i="8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32" i="88" l="1"/>
  <c r="AF25" i="88"/>
  <c r="AF28" i="88" s="1"/>
  <c r="AE42" i="73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25" i="88" l="1"/>
  <c r="AG28" i="88" s="1"/>
  <c r="AF32" i="88"/>
  <c r="AG7" i="81"/>
  <c r="AG42" i="81" s="1"/>
  <c r="AG7" i="73"/>
  <c r="AG7" i="82"/>
  <c r="AG42" i="68"/>
  <c r="AG7" i="72"/>
  <c r="AG42" i="72" s="1"/>
  <c r="AF42" i="82"/>
  <c r="D17" i="75"/>
  <c r="H92" i="75"/>
  <c r="D16" i="75"/>
  <c r="AG32" i="88" l="1"/>
  <c r="AG42" i="73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C43" i="62" l="1"/>
  <c r="D76" i="75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G74" i="33" s="1"/>
  <c r="F97" i="85"/>
  <c r="I74" i="33" s="1"/>
  <c r="F96" i="85"/>
  <c r="F93" i="85"/>
  <c r="F91" i="85"/>
  <c r="F90" i="85"/>
  <c r="G93" i="85"/>
  <c r="G94" i="85"/>
  <c r="G92" i="85"/>
  <c r="D98" i="85"/>
  <c r="G75" i="33" s="1"/>
  <c r="G90" i="85"/>
  <c r="F98" i="85"/>
  <c r="I75" i="33" s="1"/>
  <c r="F95" i="85"/>
  <c r="F92" i="85"/>
  <c r="E98" i="85"/>
  <c r="D96" i="85"/>
  <c r="G73" i="33" s="1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H18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E73" i="68" a="1"/>
  <c r="AE73" i="68" s="1"/>
  <c r="AE80" i="68" s="1"/>
  <c r="AE82" i="68" s="1"/>
  <c r="AE107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J9" i="85" l="1"/>
  <c r="J24" i="88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K24" i="88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L24" i="88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M24" i="88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N24" i="88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O24" i="88"/>
  <c r="N5" i="85"/>
  <c r="N88" i="75"/>
  <c r="N97" i="75" s="1"/>
  <c r="O9" i="75"/>
  <c r="O5" i="75" s="1"/>
  <c r="O9" i="82"/>
  <c r="O9" i="81"/>
  <c r="P9" i="68"/>
  <c r="O9" i="73"/>
  <c r="O9" i="72"/>
  <c r="P9" i="85" l="1"/>
  <c r="P24" i="88"/>
  <c r="O5" i="85"/>
  <c r="O88" i="75"/>
  <c r="O97" i="75" s="1"/>
  <c r="P9" i="75"/>
  <c r="P5" i="75" s="1"/>
  <c r="P9" i="82"/>
  <c r="P9" i="81"/>
  <c r="Q9" i="68"/>
  <c r="P9" i="73"/>
  <c r="P9" i="72"/>
  <c r="Q9" i="85" l="1"/>
  <c r="Q24" i="88"/>
  <c r="P5" i="85"/>
  <c r="P88" i="75"/>
  <c r="P97" i="75" s="1"/>
  <c r="Q9" i="75"/>
  <c r="Q5" i="75" s="1"/>
  <c r="Q9" i="82"/>
  <c r="Q9" i="81"/>
  <c r="R9" i="68"/>
  <c r="Q9" i="73"/>
  <c r="Q9" i="72"/>
  <c r="R9" i="85" l="1"/>
  <c r="R24" i="88"/>
  <c r="Q5" i="85"/>
  <c r="Q88" i="75"/>
  <c r="Q97" i="75" s="1"/>
  <c r="R9" i="75"/>
  <c r="R5" i="75" s="1"/>
  <c r="R9" i="82"/>
  <c r="R9" i="81"/>
  <c r="S9" i="68"/>
  <c r="R9" i="72"/>
  <c r="R9" i="73"/>
  <c r="S9" i="85" l="1"/>
  <c r="S24" i="88"/>
  <c r="R5" i="85"/>
  <c r="R88" i="75"/>
  <c r="R97" i="75" s="1"/>
  <c r="S9" i="75"/>
  <c r="S5" i="75" s="1"/>
  <c r="S9" i="82"/>
  <c r="S9" i="81"/>
  <c r="T9" i="68"/>
  <c r="S9" i="72"/>
  <c r="S9" i="73"/>
  <c r="T9" i="85" l="1"/>
  <c r="T24" i="88"/>
  <c r="S5" i="85"/>
  <c r="S88" i="75"/>
  <c r="S97" i="75" s="1"/>
  <c r="T9" i="75"/>
  <c r="T5" i="75" s="1"/>
  <c r="T9" i="82"/>
  <c r="T9" i="81"/>
  <c r="U9" i="68"/>
  <c r="T9" i="73"/>
  <c r="T9" i="72"/>
  <c r="U9" i="85" l="1"/>
  <c r="U24" i="88"/>
  <c r="T5" i="85"/>
  <c r="T88" i="75"/>
  <c r="T97" i="75" s="1"/>
  <c r="U9" i="75"/>
  <c r="U5" i="75" s="1"/>
  <c r="U9" i="82"/>
  <c r="U9" i="81"/>
  <c r="V9" i="68"/>
  <c r="U9" i="72"/>
  <c r="U9" i="73"/>
  <c r="V9" i="85" l="1"/>
  <c r="V24" i="88"/>
  <c r="U5" i="85"/>
  <c r="U88" i="75"/>
  <c r="U97" i="75" s="1"/>
  <c r="V9" i="75"/>
  <c r="V5" i="75" s="1"/>
  <c r="V9" i="82"/>
  <c r="V9" i="81"/>
  <c r="W9" i="68"/>
  <c r="V9" i="73"/>
  <c r="V9" i="72"/>
  <c r="W9" i="85" l="1"/>
  <c r="W24" i="88"/>
  <c r="V5" i="85"/>
  <c r="V88" i="75"/>
  <c r="V97" i="75" s="1"/>
  <c r="W9" i="75"/>
  <c r="W5" i="75" s="1"/>
  <c r="W9" i="82"/>
  <c r="W9" i="81"/>
  <c r="X9" i="68"/>
  <c r="W9" i="73"/>
  <c r="W9" i="72"/>
  <c r="X9" i="85" l="1"/>
  <c r="X24" i="88"/>
  <c r="W5" i="85"/>
  <c r="W88" i="75"/>
  <c r="W97" i="75" s="1"/>
  <c r="X9" i="75"/>
  <c r="X5" i="75" s="1"/>
  <c r="X9" i="82"/>
  <c r="X9" i="81"/>
  <c r="Y9" i="68"/>
  <c r="X9" i="73"/>
  <c r="X9" i="72"/>
  <c r="Y9" i="85" l="1"/>
  <c r="Y24" i="88"/>
  <c r="X5" i="85"/>
  <c r="X88" i="75"/>
  <c r="X97" i="75" s="1"/>
  <c r="Y9" i="75"/>
  <c r="Y5" i="75" s="1"/>
  <c r="Y9" i="82"/>
  <c r="Y9" i="81"/>
  <c r="Z9" i="68"/>
  <c r="Y9" i="73"/>
  <c r="Y9" i="72"/>
  <c r="Z9" i="85" l="1"/>
  <c r="Z24" i="88"/>
  <c r="Y5" i="85"/>
  <c r="Y88" i="75"/>
  <c r="Y97" i="75" s="1"/>
  <c r="Z9" i="75"/>
  <c r="Z5" i="75" s="1"/>
  <c r="Z9" i="82"/>
  <c r="Z9" i="81"/>
  <c r="AA9" i="68"/>
  <c r="Z9" i="72"/>
  <c r="Z9" i="73"/>
  <c r="AA9" i="85" l="1"/>
  <c r="AA24" i="88"/>
  <c r="Z5" i="85"/>
  <c r="Z88" i="75"/>
  <c r="Z97" i="75" s="1"/>
  <c r="AA9" i="75"/>
  <c r="AA5" i="75" s="1"/>
  <c r="AA9" i="82"/>
  <c r="AA9" i="81"/>
  <c r="AB9" i="68"/>
  <c r="AA9" i="72"/>
  <c r="AA9" i="73"/>
  <c r="AB9" i="85" l="1"/>
  <c r="AB24" i="88"/>
  <c r="AA5" i="85"/>
  <c r="AC9" i="68"/>
  <c r="AA88" i="75"/>
  <c r="AA97" i="75" s="1"/>
  <c r="AB9" i="75"/>
  <c r="AB5" i="75" s="1"/>
  <c r="AB9" i="82"/>
  <c r="AB9" i="81"/>
  <c r="AB9" i="73"/>
  <c r="AB9" i="72"/>
  <c r="AC9" i="85" l="1"/>
  <c r="AC24" i="88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D24" i="88"/>
  <c r="AC5" i="75"/>
  <c r="AC5" i="85" s="1"/>
  <c r="AB5" i="85"/>
  <c r="AD9" i="82"/>
  <c r="AD9" i="72"/>
  <c r="AD9" i="75"/>
  <c r="AD9" i="73"/>
  <c r="AD9" i="81"/>
  <c r="AE9" i="68"/>
  <c r="C98" i="43"/>
  <c r="C99" i="43"/>
  <c r="C100" i="43"/>
  <c r="C101" i="43"/>
  <c r="C102" i="43"/>
  <c r="C103" i="43"/>
  <c r="C104" i="43"/>
  <c r="C105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E24" i="88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F24" i="88"/>
  <c r="AE5" i="75"/>
  <c r="AE5" i="85" s="1"/>
  <c r="AF9" i="82"/>
  <c r="AF9" i="81"/>
  <c r="AF9" i="75"/>
  <c r="AF9" i="72"/>
  <c r="AF9" i="73"/>
  <c r="AG9" i="68"/>
  <c r="AG9" i="85" l="1"/>
  <c r="AG24" i="88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C14" i="43" l="1" a="1"/>
  <c r="G27" i="43"/>
  <c r="H94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6" i="43"/>
  <c r="H82" i="43"/>
  <c r="H83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9" i="43"/>
  <c r="H100" i="43"/>
  <c r="H101" i="43"/>
  <c r="H102" i="43"/>
  <c r="H103" i="43"/>
  <c r="H104" i="43"/>
  <c r="H105" i="43"/>
  <c r="H98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G112" i="68" s="1" a="1"/>
  <c r="AG112" i="68" s="1"/>
  <c r="AG18" i="85" s="1"/>
  <c r="AF87" i="68"/>
  <c r="AF106" i="68" s="1"/>
  <c r="AF112" i="68" s="1" a="1"/>
  <c r="AF112" i="68" s="1"/>
  <c r="AF18" i="85" s="1"/>
  <c r="AE87" i="68"/>
  <c r="AE106" i="68" s="1"/>
  <c r="AE112" i="68" s="1" a="1"/>
  <c r="AE112" i="68" s="1"/>
  <c r="AE18" i="85" s="1"/>
  <c r="AD87" i="68"/>
  <c r="AD106" i="68" s="1"/>
  <c r="AD112" i="68" s="1" a="1"/>
  <c r="AD112" i="68" s="1"/>
  <c r="AD18" i="85" s="1"/>
  <c r="AC87" i="68"/>
  <c r="AC106" i="68" s="1"/>
  <c r="AC112" i="68" s="1" a="1"/>
  <c r="AC112" i="68" s="1"/>
  <c r="AC18" i="85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0" i="68" a="1"/>
  <c r="AE110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X112" i="68" s="1" a="1"/>
  <c r="X112" i="68" s="1"/>
  <c r="X18" i="85" s="1"/>
  <c r="M87" i="68"/>
  <c r="M106" i="68" s="1"/>
  <c r="M112" i="68" s="1" a="1"/>
  <c r="M112" i="68" s="1"/>
  <c r="M18" i="85" s="1"/>
  <c r="K87" i="68"/>
  <c r="K106" i="68" s="1"/>
  <c r="K112" i="68" s="1" a="1"/>
  <c r="K112" i="68" s="1"/>
  <c r="K18" i="85" s="1"/>
  <c r="U87" i="68"/>
  <c r="U106" i="68" s="1"/>
  <c r="U112" i="68" s="1" a="1"/>
  <c r="U112" i="68" s="1"/>
  <c r="U18" i="85" s="1"/>
  <c r="Q87" i="68"/>
  <c r="Q106" i="68" s="1"/>
  <c r="Q112" i="68" s="1" a="1"/>
  <c r="Q112" i="68" s="1"/>
  <c r="Q18" i="85" s="1"/>
  <c r="Z87" i="68"/>
  <c r="Z106" i="68" s="1"/>
  <c r="Z112" i="68" s="1" a="1"/>
  <c r="Z112" i="68" s="1"/>
  <c r="Z18" i="85" s="1"/>
  <c r="Y87" i="68"/>
  <c r="Y106" i="68" s="1"/>
  <c r="Y112" i="68" s="1" a="1"/>
  <c r="Y112" i="68" s="1"/>
  <c r="Y18" i="85" s="1"/>
  <c r="N87" i="68"/>
  <c r="N106" i="68" s="1"/>
  <c r="N112" i="68" s="1" a="1"/>
  <c r="N112" i="68" s="1"/>
  <c r="N18" i="85" s="1"/>
  <c r="AA87" i="68"/>
  <c r="AA106" i="68" s="1"/>
  <c r="AA112" i="68" s="1" a="1"/>
  <c r="AA112" i="68" s="1"/>
  <c r="AA18" i="85" s="1"/>
  <c r="V87" i="68"/>
  <c r="V106" i="68" s="1"/>
  <c r="V112" i="68" s="1" a="1"/>
  <c r="V112" i="68" s="1"/>
  <c r="V18" i="85" s="1"/>
  <c r="P87" i="68"/>
  <c r="P106" i="68" s="1"/>
  <c r="P112" i="68" s="1" a="1"/>
  <c r="P112" i="68" s="1"/>
  <c r="P18" i="85" s="1"/>
  <c r="L87" i="68"/>
  <c r="L106" i="68" s="1"/>
  <c r="L112" i="68" s="1" a="1"/>
  <c r="L112" i="68" s="1"/>
  <c r="L18" i="85" s="1"/>
  <c r="O87" i="68"/>
  <c r="O106" i="68" s="1"/>
  <c r="O112" i="68" s="1" a="1"/>
  <c r="O112" i="68" s="1"/>
  <c r="O18" i="85" s="1"/>
  <c r="R87" i="68"/>
  <c r="R106" i="68" s="1"/>
  <c r="R112" i="68" s="1" a="1"/>
  <c r="R112" i="68" s="1"/>
  <c r="R18" i="85" s="1"/>
  <c r="S87" i="68"/>
  <c r="S106" i="68" s="1"/>
  <c r="S112" i="68" s="1" a="1"/>
  <c r="S112" i="68" s="1"/>
  <c r="S18" i="85" s="1"/>
  <c r="T87" i="68"/>
  <c r="T106" i="68" s="1"/>
  <c r="T112" i="68" s="1" a="1"/>
  <c r="T112" i="68" s="1"/>
  <c r="T18" i="85" s="1"/>
  <c r="W87" i="68"/>
  <c r="W106" i="68" s="1"/>
  <c r="W112" i="68" s="1" a="1"/>
  <c r="W112" i="68" s="1"/>
  <c r="W18" i="85" s="1"/>
  <c r="AB87" i="68"/>
  <c r="AB106" i="68" s="1"/>
  <c r="AB112" i="68" s="1" a="1"/>
  <c r="AB112" i="68" s="1"/>
  <c r="AB18" i="85" s="1"/>
  <c r="C16" i="62"/>
  <c r="P117" i="68" l="1" a="1"/>
  <c r="P117" i="68" s="1"/>
  <c r="P111" i="68" a="1"/>
  <c r="P111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5" i="68" a="1"/>
  <c r="X115" i="68" s="1"/>
  <c r="X117" i="68" a="1"/>
  <c r="X117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Z116" i="68" a="1"/>
  <c r="Z116" i="68" s="1"/>
  <c r="Z113" i="68" a="1"/>
  <c r="Z113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J112" i="68" s="1" a="1"/>
  <c r="J112" i="68" s="1"/>
  <c r="J18" i="85" s="1"/>
  <c r="I87" i="68"/>
  <c r="I106" i="68" s="1"/>
  <c r="I112" i="68" s="1" a="1"/>
  <c r="I112" i="68" s="1"/>
  <c r="I18" i="85" s="1"/>
  <c r="A1" i="43"/>
  <c r="A1" i="33"/>
  <c r="J115" i="68" l="1" a="1"/>
  <c r="J115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23" i="85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5" i="43"/>
  <c r="G74" i="43"/>
  <c r="D16" i="62"/>
  <c r="R15" i="62"/>
  <c r="D17" i="62" s="1"/>
  <c r="D19" i="62" l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C14" i="85" l="1"/>
  <c r="AA75" i="75"/>
  <c r="L74" i="75"/>
  <c r="U61" i="75"/>
  <c r="K21" i="75"/>
  <c r="K22" i="75" s="1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V22" i="75"/>
  <c r="J22" i="75"/>
  <c r="AA22" i="75" l="1"/>
  <c r="U22" i="75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112" i="72" s="1"/>
  <c r="AD48" i="75"/>
  <c r="AD50" i="75" s="1"/>
  <c r="AD40" i="85" s="1"/>
  <c r="Z87" i="72"/>
  <c r="Z106" i="72" s="1"/>
  <c r="Z112" i="72" s="1"/>
  <c r="Z48" i="75"/>
  <c r="Z50" i="75" s="1"/>
  <c r="Z40" i="85" s="1"/>
  <c r="AG87" i="81"/>
  <c r="AG106" i="81" s="1"/>
  <c r="AG112" i="81" s="1"/>
  <c r="AG34" i="75"/>
  <c r="AG36" i="75" s="1"/>
  <c r="AF12" i="85" s="1"/>
  <c r="AE87" i="81"/>
  <c r="AE106" i="81" s="1"/>
  <c r="AE112" i="81" s="1"/>
  <c r="AE34" i="75"/>
  <c r="AE36" i="75" s="1"/>
  <c r="AD12" i="85" s="1"/>
  <c r="AE87" i="73"/>
  <c r="AE106" i="73" s="1"/>
  <c r="AE112" i="73" s="1"/>
  <c r="AE62" i="75"/>
  <c r="AE64" i="75" s="1"/>
  <c r="S87" i="73"/>
  <c r="S106" i="73" s="1"/>
  <c r="S112" i="73" s="1"/>
  <c r="S62" i="75"/>
  <c r="S64" i="75" s="1"/>
  <c r="R87" i="81"/>
  <c r="R106" i="81" s="1"/>
  <c r="R112" i="81" s="1"/>
  <c r="R34" i="75"/>
  <c r="R36" i="75" s="1"/>
  <c r="AB87" i="81"/>
  <c r="AB106" i="81" s="1"/>
  <c r="AB112" i="81" s="1"/>
  <c r="AB34" i="75"/>
  <c r="AB36" i="75" s="1"/>
  <c r="AA12" i="85" s="1"/>
  <c r="R87" i="72"/>
  <c r="R106" i="72" s="1"/>
  <c r="R112" i="72" s="1"/>
  <c r="R48" i="75"/>
  <c r="R50" i="75" s="1"/>
  <c r="R40" i="85" s="1"/>
  <c r="S87" i="81"/>
  <c r="S106" i="81" s="1"/>
  <c r="S112" i="81" s="1"/>
  <c r="S34" i="75"/>
  <c r="S36" i="75" s="1"/>
  <c r="S87" i="72"/>
  <c r="S106" i="72" s="1"/>
  <c r="S112" i="72" s="1"/>
  <c r="S48" i="75"/>
  <c r="S50" i="75" s="1"/>
  <c r="S40" i="85" s="1"/>
  <c r="AB87" i="82"/>
  <c r="AB106" i="82" s="1"/>
  <c r="AB112" i="82" s="1"/>
  <c r="AB76" i="75"/>
  <c r="AB78" i="75" s="1"/>
  <c r="AB87" i="72"/>
  <c r="AB106" i="72" s="1"/>
  <c r="AB112" i="72" s="1"/>
  <c r="AB48" i="75"/>
  <c r="AB50" i="75" s="1"/>
  <c r="AB40" i="85" s="1"/>
  <c r="R87" i="73"/>
  <c r="R106" i="73" s="1"/>
  <c r="R112" i="73" s="1"/>
  <c r="R62" i="75"/>
  <c r="R64" i="75" s="1"/>
  <c r="AD87" i="82"/>
  <c r="AD106" i="82" s="1"/>
  <c r="AD112" i="82" s="1"/>
  <c r="AD76" i="75"/>
  <c r="AD78" i="75" s="1"/>
  <c r="R87" i="82"/>
  <c r="R106" i="82" s="1"/>
  <c r="R112" i="82" s="1"/>
  <c r="R76" i="75"/>
  <c r="R78" i="75" s="1"/>
  <c r="S87" i="82"/>
  <c r="S106" i="82" s="1"/>
  <c r="S112" i="82" s="1"/>
  <c r="S76" i="75"/>
  <c r="S78" i="75" s="1"/>
  <c r="U87" i="81"/>
  <c r="U106" i="81" s="1"/>
  <c r="U112" i="81" s="1"/>
  <c r="U34" i="75"/>
  <c r="U36" i="75" s="1"/>
  <c r="Z87" i="82"/>
  <c r="Z106" i="82" s="1"/>
  <c r="Z112" i="82" s="1"/>
  <c r="Z76" i="75"/>
  <c r="Z78" i="75" s="1"/>
  <c r="AD87" i="73"/>
  <c r="AD106" i="73" s="1"/>
  <c r="AD112" i="73" s="1"/>
  <c r="AD62" i="75"/>
  <c r="AD64" i="75" s="1"/>
  <c r="Z87" i="73"/>
  <c r="Z106" i="73" s="1"/>
  <c r="Z112" i="73" s="1"/>
  <c r="Z62" i="75"/>
  <c r="Z64" i="75" s="1"/>
  <c r="AF87" i="72"/>
  <c r="AF106" i="72" s="1"/>
  <c r="AF112" i="72" s="1"/>
  <c r="AF48" i="75"/>
  <c r="AF50" i="75" s="1"/>
  <c r="AF40" i="85" s="1"/>
  <c r="U87" i="82"/>
  <c r="U106" i="82" s="1"/>
  <c r="U112" i="82" s="1"/>
  <c r="U76" i="75"/>
  <c r="U78" i="75" s="1"/>
  <c r="Z87" i="81"/>
  <c r="Z106" i="81" s="1"/>
  <c r="Z112" i="81" s="1"/>
  <c r="Z34" i="75"/>
  <c r="Z36" i="75" s="1"/>
  <c r="AF87" i="82"/>
  <c r="AF106" i="82" s="1"/>
  <c r="AF112" i="82" s="1"/>
  <c r="AF76" i="75"/>
  <c r="AF78" i="75" s="1"/>
  <c r="U87" i="72"/>
  <c r="U106" i="72" s="1"/>
  <c r="U112" i="72" s="1"/>
  <c r="U48" i="75"/>
  <c r="U50" i="75" s="1"/>
  <c r="U40" i="85" s="1"/>
  <c r="AF87" i="73"/>
  <c r="AF106" i="73" s="1"/>
  <c r="AF112" i="73" s="1"/>
  <c r="AF62" i="75"/>
  <c r="AF64" i="75" s="1"/>
  <c r="J87" i="81"/>
  <c r="J106" i="81" s="1"/>
  <c r="J112" i="81" s="1"/>
  <c r="J34" i="75"/>
  <c r="J36" i="75" s="1"/>
  <c r="U87" i="73"/>
  <c r="U106" i="73" s="1"/>
  <c r="U112" i="73" s="1"/>
  <c r="U62" i="75"/>
  <c r="U64" i="75" s="1"/>
  <c r="AF87" i="81"/>
  <c r="AF106" i="81" s="1"/>
  <c r="AF112" i="81" s="1"/>
  <c r="AF34" i="75"/>
  <c r="AF36" i="75" s="1"/>
  <c r="AE12" i="85" s="1"/>
  <c r="W87" i="72"/>
  <c r="W106" i="72" s="1"/>
  <c r="W112" i="72" s="1"/>
  <c r="W48" i="75"/>
  <c r="W50" i="75" s="1"/>
  <c r="W40" i="85" s="1"/>
  <c r="Y87" i="73"/>
  <c r="Y106" i="73" s="1"/>
  <c r="Y112" i="73" s="1"/>
  <c r="Y62" i="75"/>
  <c r="Y64" i="75" s="1"/>
  <c r="W87" i="81"/>
  <c r="W106" i="81" s="1"/>
  <c r="W112" i="81" s="1"/>
  <c r="W34" i="75"/>
  <c r="W36" i="75" s="1"/>
  <c r="AA87" i="72"/>
  <c r="AA106" i="72" s="1"/>
  <c r="AA112" i="72" s="1"/>
  <c r="AA48" i="75"/>
  <c r="AA50" i="75" s="1"/>
  <c r="AA40" i="85" s="1"/>
  <c r="O87" i="81"/>
  <c r="O106" i="81" s="1"/>
  <c r="O112" i="81" s="1"/>
  <c r="O34" i="75"/>
  <c r="O36" i="75" s="1"/>
  <c r="Y87" i="81"/>
  <c r="Y106" i="81" s="1"/>
  <c r="Y112" i="81" s="1"/>
  <c r="Y34" i="75"/>
  <c r="Y36" i="75" s="1"/>
  <c r="AA87" i="82"/>
  <c r="AA106" i="82" s="1"/>
  <c r="AA112" i="82" s="1"/>
  <c r="AA76" i="75"/>
  <c r="AA78" i="75" s="1"/>
  <c r="L87" i="81"/>
  <c r="L106" i="81" s="1"/>
  <c r="L112" i="81" s="1"/>
  <c r="L34" i="75"/>
  <c r="L36" i="75" s="1"/>
  <c r="AB87" i="73"/>
  <c r="AB106" i="73" s="1"/>
  <c r="AB112" i="73" s="1"/>
  <c r="AB62" i="75"/>
  <c r="AB64" i="75" s="1"/>
  <c r="AD87" i="81"/>
  <c r="AD106" i="81" s="1"/>
  <c r="AD112" i="81" s="1"/>
  <c r="AD34" i="75"/>
  <c r="AD36" i="75" s="1"/>
  <c r="AC12" i="85" s="1"/>
  <c r="Y87" i="72"/>
  <c r="Y106" i="72" s="1"/>
  <c r="Y112" i="72" s="1"/>
  <c r="Y48" i="75"/>
  <c r="Y50" i="75" s="1"/>
  <c r="Y40" i="85" s="1"/>
  <c r="AC87" i="73"/>
  <c r="AC106" i="73" s="1"/>
  <c r="AC112" i="73" s="1"/>
  <c r="AC62" i="75"/>
  <c r="AC64" i="75" s="1"/>
  <c r="K87" i="81"/>
  <c r="K106" i="81" s="1"/>
  <c r="K112" i="81" s="1"/>
  <c r="K34" i="75"/>
  <c r="K36" i="75" s="1"/>
  <c r="N87" i="81"/>
  <c r="N106" i="81" s="1"/>
  <c r="N112" i="81" s="1"/>
  <c r="N34" i="75"/>
  <c r="N36" i="75" s="1"/>
  <c r="W87" i="73"/>
  <c r="W106" i="73" s="1"/>
  <c r="W112" i="73" s="1"/>
  <c r="W62" i="75"/>
  <c r="W64" i="75" s="1"/>
  <c r="AA87" i="81"/>
  <c r="AA106" i="81" s="1"/>
  <c r="AA112" i="81" s="1"/>
  <c r="AA34" i="75"/>
  <c r="AA36" i="75" s="1"/>
  <c r="Z12" i="85" s="1"/>
  <c r="T87" i="82"/>
  <c r="T106" i="82" s="1"/>
  <c r="T112" i="82" s="1"/>
  <c r="T76" i="75"/>
  <c r="T78" i="75" s="1"/>
  <c r="X87" i="81"/>
  <c r="X106" i="81" s="1"/>
  <c r="X112" i="81" s="1"/>
  <c r="X34" i="75"/>
  <c r="X36" i="75" s="1"/>
  <c r="V87" i="73"/>
  <c r="V106" i="73" s="1"/>
  <c r="V112" i="73" s="1"/>
  <c r="V62" i="75"/>
  <c r="V64" i="75" s="1"/>
  <c r="AG87" i="72"/>
  <c r="AG106" i="72" s="1"/>
  <c r="AG112" i="72" s="1"/>
  <c r="AG48" i="75"/>
  <c r="AG50" i="75" s="1"/>
  <c r="AG40" i="85" s="1"/>
  <c r="AC87" i="72"/>
  <c r="AC106" i="72" s="1"/>
  <c r="AC112" i="72" s="1"/>
  <c r="AC48" i="75"/>
  <c r="AC50" i="75" s="1"/>
  <c r="AC40" i="85" s="1"/>
  <c r="I87" i="81"/>
  <c r="I106" i="81" s="1"/>
  <c r="I112" i="81" s="1"/>
  <c r="I34" i="75"/>
  <c r="M87" i="81"/>
  <c r="M106" i="81" s="1"/>
  <c r="M112" i="81" s="1"/>
  <c r="M34" i="75"/>
  <c r="M36" i="75" s="1"/>
  <c r="Y87" i="82"/>
  <c r="Y106" i="82" s="1"/>
  <c r="Y112" i="82" s="1"/>
  <c r="Y76" i="75"/>
  <c r="Y78" i="75" s="1"/>
  <c r="X87" i="73"/>
  <c r="X106" i="73" s="1"/>
  <c r="X112" i="73" s="1"/>
  <c r="X62" i="75"/>
  <c r="X64" i="75" s="1"/>
  <c r="T87" i="72"/>
  <c r="T106" i="72" s="1"/>
  <c r="T112" i="72" s="1"/>
  <c r="T48" i="75"/>
  <c r="T50" i="75" s="1"/>
  <c r="T40" i="85" s="1"/>
  <c r="X87" i="82"/>
  <c r="X106" i="82" s="1"/>
  <c r="X112" i="82" s="1"/>
  <c r="X76" i="75"/>
  <c r="X78" i="75" s="1"/>
  <c r="V87" i="82"/>
  <c r="V106" i="82" s="1"/>
  <c r="V112" i="82" s="1"/>
  <c r="V76" i="75"/>
  <c r="V78" i="75" s="1"/>
  <c r="AG87" i="82"/>
  <c r="AG106" i="82" s="1"/>
  <c r="AG112" i="82" s="1"/>
  <c r="AG76" i="75"/>
  <c r="AG78" i="75" s="1"/>
  <c r="AE87" i="72"/>
  <c r="AE106" i="72" s="1"/>
  <c r="AE112" i="72" s="1"/>
  <c r="AE48" i="75"/>
  <c r="AE50" i="75" s="1"/>
  <c r="AE40" i="85" s="1"/>
  <c r="AC87" i="81"/>
  <c r="AC106" i="81" s="1"/>
  <c r="AC112" i="81" s="1"/>
  <c r="AC34" i="75"/>
  <c r="AC36" i="75" s="1"/>
  <c r="AB12" i="85" s="1"/>
  <c r="W87" i="82"/>
  <c r="W106" i="82" s="1"/>
  <c r="W112" i="82" s="1"/>
  <c r="W76" i="75"/>
  <c r="W78" i="75" s="1"/>
  <c r="AA87" i="73"/>
  <c r="AA106" i="73" s="1"/>
  <c r="AA112" i="73" s="1"/>
  <c r="AA62" i="75"/>
  <c r="AA64" i="75" s="1"/>
  <c r="T87" i="81"/>
  <c r="T106" i="81" s="1"/>
  <c r="T112" i="81" s="1"/>
  <c r="T34" i="75"/>
  <c r="T36" i="75" s="1"/>
  <c r="V87" i="72"/>
  <c r="V106" i="72" s="1"/>
  <c r="V112" i="72" s="1"/>
  <c r="V48" i="75"/>
  <c r="V50" i="75" s="1"/>
  <c r="V40" i="85" s="1"/>
  <c r="T87" i="73"/>
  <c r="T106" i="73" s="1"/>
  <c r="T112" i="73" s="1"/>
  <c r="T62" i="75"/>
  <c r="T64" i="75" s="1"/>
  <c r="X87" i="72"/>
  <c r="X106" i="72" s="1"/>
  <c r="X112" i="72" s="1"/>
  <c r="X48" i="75"/>
  <c r="X50" i="75" s="1"/>
  <c r="X40" i="85" s="1"/>
  <c r="V87" i="81"/>
  <c r="V106" i="81" s="1"/>
  <c r="V112" i="81" s="1"/>
  <c r="V34" i="75"/>
  <c r="V36" i="75" s="1"/>
  <c r="AG87" i="73"/>
  <c r="AG106" i="73" s="1"/>
  <c r="AG112" i="73" s="1"/>
  <c r="AG62" i="75"/>
  <c r="AG64" i="75" s="1"/>
  <c r="AE87" i="82"/>
  <c r="AE106" i="82" s="1"/>
  <c r="AE112" i="82" s="1"/>
  <c r="AE76" i="75"/>
  <c r="AE78" i="75" s="1"/>
  <c r="AC87" i="82"/>
  <c r="AC106" i="82" s="1"/>
  <c r="AC112" i="82" s="1"/>
  <c r="AC76" i="75"/>
  <c r="AC78" i="75" s="1"/>
  <c r="H13" i="33"/>
  <c r="H12" i="33"/>
  <c r="P87" i="72" l="1"/>
  <c r="P106" i="72" s="1"/>
  <c r="P112" i="72" s="1"/>
  <c r="P48" i="75"/>
  <c r="P50" i="75" s="1"/>
  <c r="P40" i="85" s="1"/>
  <c r="P34" i="75"/>
  <c r="P36" i="75" s="1"/>
  <c r="K48" i="75"/>
  <c r="K50" i="75" s="1"/>
  <c r="K40" i="85" s="1"/>
  <c r="P87" i="81"/>
  <c r="P106" i="81" s="1"/>
  <c r="P112" i="81" s="1"/>
  <c r="K87" i="72"/>
  <c r="K106" i="72" s="1"/>
  <c r="K112" i="72" s="1"/>
  <c r="J48" i="75"/>
  <c r="J50" i="75" s="1"/>
  <c r="J40" i="85" s="1"/>
  <c r="J87" i="72"/>
  <c r="J106" i="72" s="1"/>
  <c r="J112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74" i="85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74" i="85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74" i="85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74" i="85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60" i="85"/>
  <c r="AD56" i="85"/>
  <c r="L87" i="72"/>
  <c r="L106" i="72" s="1"/>
  <c r="L112" i="72" s="1"/>
  <c r="AA113" i="73" a="1"/>
  <c r="AA113" i="73" s="1"/>
  <c r="AA61" i="85" s="1"/>
  <c r="AA60" i="85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L112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60" i="85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74" i="85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6" i="72" a="1"/>
  <c r="AE116" i="72" s="1"/>
  <c r="AE42" i="85"/>
  <c r="S115" i="73" a="1"/>
  <c r="S115" i="73" s="1"/>
  <c r="S110" i="73" a="1"/>
  <c r="S110" i="73" s="1"/>
  <c r="S58" i="85" s="1"/>
  <c r="S60" i="85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60" i="85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74" i="85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60" i="85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74" i="85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74" i="85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74" i="85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4" i="72" a="1"/>
  <c r="R114" i="72" s="1"/>
  <c r="R115" i="72" a="1"/>
  <c r="R115" i="72" s="1"/>
  <c r="R42" i="85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60" i="85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74" i="85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60" i="85"/>
  <c r="Y117" i="73" a="1"/>
  <c r="Y117" i="73" s="1"/>
  <c r="Y110" i="73" a="1"/>
  <c r="Y110" i="73" s="1"/>
  <c r="Y58" i="85" s="1"/>
  <c r="Y56" i="85"/>
  <c r="U74" i="85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60" i="85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60" i="85"/>
  <c r="AE116" i="73" a="1"/>
  <c r="AE116" i="73" s="1"/>
  <c r="AE56" i="85"/>
  <c r="P117" i="72" a="1"/>
  <c r="P117" i="72" s="1"/>
  <c r="P110" i="72" a="1"/>
  <c r="P110" i="72" s="1"/>
  <c r="P113" i="72" a="1"/>
  <c r="P113" i="72" s="1"/>
  <c r="P116" i="72" a="1"/>
  <c r="P116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60" i="85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74" i="85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60" i="85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74" i="85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60" i="85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60" i="85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74" i="85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74" i="85"/>
  <c r="AD115" i="82" a="1"/>
  <c r="AD115" i="82" s="1"/>
  <c r="AD70" i="85"/>
  <c r="V74" i="85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60" i="85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60" i="85"/>
  <c r="AB110" i="73" a="1"/>
  <c r="AB110" i="73" s="1"/>
  <c r="AB58" i="85" s="1"/>
  <c r="AB114" i="73" a="1"/>
  <c r="AB114" i="73" s="1"/>
  <c r="AB62" i="85" s="1"/>
  <c r="AB56" i="85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7" i="81" a="1"/>
  <c r="M117" i="81" s="1"/>
  <c r="K111" i="81" a="1"/>
  <c r="K111" i="81" s="1"/>
  <c r="K116" i="81" a="1"/>
  <c r="K116" i="81" s="1"/>
  <c r="K114" i="81" a="1"/>
  <c r="K114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7" i="81" a="1"/>
  <c r="L117" i="81" s="1"/>
  <c r="L115" i="81" a="1"/>
  <c r="L115" i="81" s="1"/>
  <c r="I116" i="81" a="1"/>
  <c r="I116" i="81" s="1"/>
  <c r="I114" i="81" a="1"/>
  <c r="I114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6" i="81" a="1"/>
  <c r="Y116" i="81" s="1"/>
  <c r="Y113" i="81" a="1"/>
  <c r="Y113" i="81" s="1"/>
  <c r="Y110" i="81" a="1"/>
  <c r="Y110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6" i="81" a="1"/>
  <c r="O116" i="81" s="1"/>
  <c r="O113" i="81" a="1"/>
  <c r="O113" i="81" s="1"/>
  <c r="U115" i="81" a="1"/>
  <c r="U115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0" i="81" a="1"/>
  <c r="AC110" i="81" s="1"/>
  <c r="Z117" i="81" a="1"/>
  <c r="Z117" i="81" s="1"/>
  <c r="Z114" i="81" a="1"/>
  <c r="Z114" i="81" s="1"/>
  <c r="Z115" i="81" a="1"/>
  <c r="Z115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5" i="81" a="1"/>
  <c r="N115" i="81" s="1"/>
  <c r="N110" i="81" a="1"/>
  <c r="N110" i="81" s="1"/>
  <c r="P87" i="73"/>
  <c r="P106" i="73" s="1"/>
  <c r="P112" i="73" s="1"/>
  <c r="N48" i="75"/>
  <c r="N50" i="75" s="1"/>
  <c r="N40" i="85" s="1"/>
  <c r="O62" i="75"/>
  <c r="O64" i="75" s="1"/>
  <c r="N87" i="72"/>
  <c r="N106" i="72" s="1"/>
  <c r="N112" i="72" s="1"/>
  <c r="M62" i="75"/>
  <c r="M64" i="75" s="1"/>
  <c r="O87" i="73"/>
  <c r="O106" i="73" s="1"/>
  <c r="O112" i="73" s="1"/>
  <c r="J76" i="75"/>
  <c r="J78" i="75" s="1"/>
  <c r="M87" i="73"/>
  <c r="M106" i="73" s="1"/>
  <c r="M112" i="73" s="1"/>
  <c r="J62" i="75"/>
  <c r="J64" i="75" s="1"/>
  <c r="J87" i="73"/>
  <c r="J106" i="73" s="1"/>
  <c r="J112" i="73" s="1"/>
  <c r="N62" i="75"/>
  <c r="N64" i="75" s="1"/>
  <c r="K62" i="75"/>
  <c r="K64" i="75" s="1"/>
  <c r="N87" i="73"/>
  <c r="N106" i="73" s="1"/>
  <c r="N112" i="73" s="1"/>
  <c r="Q62" i="75"/>
  <c r="Q64" i="75" s="1"/>
  <c r="I62" i="75"/>
  <c r="I64" i="75" s="1"/>
  <c r="Q76" i="75"/>
  <c r="Q78" i="75" s="1"/>
  <c r="M87" i="82"/>
  <c r="M106" i="82" s="1"/>
  <c r="M112" i="82" s="1"/>
  <c r="Q87" i="73"/>
  <c r="Q106" i="73" s="1"/>
  <c r="Q112" i="73" s="1"/>
  <c r="K87" i="73"/>
  <c r="K106" i="73" s="1"/>
  <c r="K112" i="73" s="1"/>
  <c r="Q87" i="82"/>
  <c r="Q106" i="82" s="1"/>
  <c r="Q112" i="82" s="1"/>
  <c r="M76" i="75"/>
  <c r="M78" i="75" s="1"/>
  <c r="P62" i="75"/>
  <c r="P64" i="75" s="1"/>
  <c r="M48" i="75"/>
  <c r="M50" i="75" s="1"/>
  <c r="M40" i="85" s="1"/>
  <c r="M87" i="72"/>
  <c r="M106" i="72" s="1"/>
  <c r="M112" i="72" s="1"/>
  <c r="I87" i="73"/>
  <c r="P76" i="75"/>
  <c r="P78" i="75" s="1"/>
  <c r="I76" i="75"/>
  <c r="I78" i="75" s="1"/>
  <c r="Q34" i="75"/>
  <c r="Q36" i="75" s="1"/>
  <c r="O87" i="82"/>
  <c r="O106" i="82" s="1"/>
  <c r="O112" i="82" s="1"/>
  <c r="Q48" i="75"/>
  <c r="Q50" i="75" s="1"/>
  <c r="Q40" i="85" s="1"/>
  <c r="Q87" i="72"/>
  <c r="Q106" i="72" s="1"/>
  <c r="Q112" i="72" s="1"/>
  <c r="L87" i="73"/>
  <c r="L106" i="73" s="1"/>
  <c r="L112" i="73" s="1"/>
  <c r="N87" i="82"/>
  <c r="N106" i="82" s="1"/>
  <c r="N112" i="82" s="1"/>
  <c r="O87" i="72"/>
  <c r="O106" i="72" s="1"/>
  <c r="O112" i="72" s="1"/>
  <c r="K76" i="75"/>
  <c r="K78" i="75" s="1"/>
  <c r="O76" i="75"/>
  <c r="O78" i="75" s="1"/>
  <c r="I48" i="75"/>
  <c r="I87" i="72"/>
  <c r="I106" i="72" s="1"/>
  <c r="I112" i="72" s="1"/>
  <c r="O48" i="75"/>
  <c r="O50" i="75" s="1"/>
  <c r="O40" i="85" s="1"/>
  <c r="L62" i="75"/>
  <c r="L64" i="75" s="1"/>
  <c r="P87" i="82"/>
  <c r="P106" i="82" s="1"/>
  <c r="P112" i="82" s="1"/>
  <c r="I87" i="82"/>
  <c r="I106" i="82" s="1"/>
  <c r="I112" i="82" s="1"/>
  <c r="Q87" i="81"/>
  <c r="N76" i="75"/>
  <c r="N78" i="75" s="1"/>
  <c r="K87" i="82"/>
  <c r="K106" i="82" s="1"/>
  <c r="K112" i="82" s="1"/>
  <c r="J87" i="82"/>
  <c r="J106" i="82" s="1"/>
  <c r="J112" i="82" s="1"/>
  <c r="I36" i="75"/>
  <c r="F52" i="75"/>
  <c r="G11" i="33" s="1"/>
  <c r="P114" i="72" l="1" a="1"/>
  <c r="P114" i="72" s="1"/>
  <c r="P111" i="72" a="1"/>
  <c r="P111" i="72" s="1"/>
  <c r="J115" i="72" a="1"/>
  <c r="J115" i="72" s="1"/>
  <c r="K114" i="72" a="1"/>
  <c r="K114" i="72" s="1"/>
  <c r="P111" i="81" a="1"/>
  <c r="P111" i="81" s="1"/>
  <c r="P115" i="72" a="1"/>
  <c r="P115" i="72" s="1"/>
  <c r="P42" i="85"/>
  <c r="P115" i="81" a="1"/>
  <c r="P115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K113" i="72" a="1"/>
  <c r="K113" i="72" s="1"/>
  <c r="J117" i="72" a="1"/>
  <c r="J117" i="72" s="1"/>
  <c r="J114" i="72" a="1"/>
  <c r="J114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74" i="85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60" i="85"/>
  <c r="K56" i="85"/>
  <c r="AE65" i="85"/>
  <c r="AE63" i="85"/>
  <c r="AE64" i="85"/>
  <c r="I106" i="73"/>
  <c r="I112" i="73" s="1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74" i="85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74" i="85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74" i="85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60" i="85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74" i="85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60" i="85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60" i="85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74" i="85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60" i="85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74" i="85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60" i="85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60" i="85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74" i="85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74" i="85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60" i="85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Q112" i="81" s="1"/>
  <c r="F66" i="75"/>
  <c r="G12" i="33" s="1"/>
  <c r="F38" i="75"/>
  <c r="G10" i="33" s="1"/>
  <c r="F51" i="75" l="1" a="1"/>
  <c r="F51" i="75" s="1"/>
  <c r="I11" i="33" s="1"/>
  <c r="F70" i="85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60" i="85"/>
  <c r="F60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I31" i="33" l="1"/>
  <c r="J31" i="33"/>
  <c r="F30" i="33"/>
  <c r="H30" i="33"/>
  <c r="G31" i="33"/>
  <c r="H31" i="33"/>
  <c r="A91" i="75"/>
  <c r="J30" i="33"/>
  <c r="G30" i="33"/>
  <c r="F31" i="33"/>
  <c r="I30" i="33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69" i="33"/>
  <c r="J70" i="33"/>
  <c r="I69" i="33"/>
  <c r="I70" i="33"/>
  <c r="J68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23" i="85" l="1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E90" i="85"/>
  <c r="H67" i="33" s="1"/>
  <c r="E92" i="85"/>
  <c r="H69" i="33" s="1"/>
  <c r="E94" i="85"/>
  <c r="E93" i="85"/>
  <c r="H70" i="33" s="1"/>
  <c r="C94" i="85"/>
  <c r="C93" i="85"/>
  <c r="F70" i="33" s="1"/>
  <c r="F28" i="85"/>
  <c r="F32" i="85"/>
  <c r="D93" i="85" s="1"/>
  <c r="G70" i="33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G69" i="33" s="1"/>
  <c r="D90" i="85" l="1"/>
  <c r="G67" i="33" s="1"/>
  <c r="I95" i="85"/>
  <c r="K95" i="85" s="1"/>
  <c r="I92" i="85"/>
  <c r="K92" i="85" s="1"/>
  <c r="L69" i="33" s="1"/>
  <c r="I94" i="85"/>
  <c r="K94" i="85" s="1"/>
  <c r="I93" i="85"/>
  <c r="K93" i="85" s="1"/>
  <c r="L70" i="33" s="1"/>
  <c r="F30" i="85"/>
  <c r="D91" i="85" s="1"/>
  <c r="G68" i="33" s="1"/>
  <c r="I90" i="85" l="1"/>
  <c r="K90" i="85" s="1"/>
  <c r="L67" i="33" s="1"/>
  <c r="I91" i="85"/>
  <c r="K91" i="85" s="1"/>
  <c r="L68" i="33" s="1"/>
  <c r="I98" i="85"/>
  <c r="K98" i="85" s="1"/>
  <c r="L75" i="33" s="1"/>
  <c r="I96" i="85"/>
  <c r="K96" i="85" s="1"/>
  <c r="L73" i="33" s="1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<sst xmlns="http://schemas.openxmlformats.org/spreadsheetml/2006/main" count="793" uniqueCount="356">
  <si>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</si>
  <si>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</si>
  <si>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</si>
  <si>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</si>
  <si>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</si>
  <si>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</si>
  <si>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</si>
  <si>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</si>
  <si>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</si>
  <si>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</si>
  <si>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</si>
  <si>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</si>
  <si>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</si>
  <si>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</si>
  <si>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</si>
  <si>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</si>
  <si>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</si>
  <si>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</si>
  <si>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</si>
  <si>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</si>
  <si>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</si>
  <si>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</si>
  <si>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</si>
  <si>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</si>
  <si>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</si>
  <si>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</si>
  <si>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</si>
  <si>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</si>
  <si>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</si>
  <si>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</si>
  <si>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</si>
  <si>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</si>
  <si>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</si>
  <si>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</si>
  <si>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</si>
  <si>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</si>
  <si>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</si>
  <si>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</si>
  <si>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</si>
  <si>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</si>
  <si>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</si>
  <si>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</si>
  <si>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</si>
  <si>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</si>
  <si>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</si>
  <si>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</si>
  <si>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</si>
  <si>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</si>
  <si>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</si>
  <si>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</si>
  <si>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</si>
  <si>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</si>
  <si>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</si>
  <si>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</si>
  <si>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</si>
  <si>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</si>
  <si>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</si>
  <si>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</si>
  <si>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</si>
  <si>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</si>
  <si>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</si>
  <si>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</si>
  <si>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</si>
  <si>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</si>
  <si>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</si>
  <si>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</si>
  <si>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</si>
  <si>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</si>
  <si>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</si>
  <si>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</si>
  <si>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</si>
  <si>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</si>
  <si>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</si>
  <si>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</si>
  <si>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</si>
  <si>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</si>
  <si>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</si>
  <si>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</si>
  <si>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</si>
  <si>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</si>
  <si>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</si>
  <si>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</si>
  <si>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</si>
  <si>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</si>
  <si>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</si>
  <si>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</si>
  <si>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</si>
  <si>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</si>
  <si>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</si>
  <si>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</si>
  <si>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</si>
  <si>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</si>
  <si>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</si>
  <si>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</si>
  <si>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</si>
  <si>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</si>
  <si>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</si>
  <si>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</si>
  <si>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</si>
  <si>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</si>
  <si>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</si>
  <si>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</si>
  <si>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</si>
  <si>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</si>
  <si>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</si>
  <si>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</si>
  <si>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</si>
  <si>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</si>
  <si>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</si>
  <si>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</si>
  <si>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</si>
  <si>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</si>
  <si>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</si>
  <si>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</si>
  <si>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</si>
  <si>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</si>
  <si>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</si>
  <si>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</si>
  <si>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</si>
  <si>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</si>
  <si>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</si>
  <si>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</si>
  <si>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</si>
  <si>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</si>
  <si>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</si>
  <si>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</si>
  <si>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</si>
  <si>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</si>
  <si>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</si>
  <si>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</si>
  <si>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</si>
  <si>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</si>
  <si>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</si>
  <si>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</si>
  <si>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</si>
  <si>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</si>
  <si>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</si>
  <si>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</si>
  <si>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Commercial</t>
  </si>
  <si>
    <t>UE</t>
  </si>
  <si>
    <t>Industrial</t>
  </si>
  <si>
    <t>Agricultural</t>
  </si>
  <si>
    <t>Risk mitigated</t>
  </si>
  <si>
    <t>Domestic</t>
  </si>
  <si>
    <t>Others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</si>
  <si>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</si>
  <si>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</si>
  <si>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</si>
  <si>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</si>
  <si>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</si>
  <si>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</si>
  <si>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</si>
  <si>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</si>
  <si>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</si>
  <si>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</si>
  <si>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</si>
  <si>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</si>
  <si>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</si>
  <si>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</si>
  <si>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</si>
  <si>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</si>
  <si>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</si>
  <si>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</si>
  <si>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</si>
  <si>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</si>
  <si>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</si>
  <si>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</si>
  <si>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</si>
  <si>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</si>
  <si>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</si>
  <si>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</si>
  <si>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</si>
  <si>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</si>
  <si>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</si>
  <si>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</si>
  <si>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</si>
  <si>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</si>
  <si>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</si>
  <si>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</si>
  <si>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</si>
  <si>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</si>
  <si>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</si>
  <si>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</si>
  <si>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</si>
  <si>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</si>
  <si>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</si>
  <si>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</si>
  <si>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</si>
  <si>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</si>
  <si>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</si>
  <si>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</si>
  <si>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</si>
  <si>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</si>
  <si>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</si>
  <si>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</si>
  <si>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</si>
  <si>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</si>
  <si>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</si>
  <si>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</si>
  <si>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</si>
  <si>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</si>
  <si>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</si>
  <si>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</si>
  <si>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</si>
  <si>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</si>
  <si>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</si>
  <si>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</si>
  <si>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</si>
  <si>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</si>
  <si>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</si>
  <si>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</si>
  <si>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</si>
  <si>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</si>
  <si>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</si>
  <si>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</si>
  <si>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</si>
  <si>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</si>
  <si>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</si>
  <si>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</si>
  <si>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</si>
  <si>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</si>
  <si>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</si>
  <si>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</si>
  <si>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</si>
  <si>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</si>
  <si>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</si>
  <si>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</si>
  <si>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</si>
  <si>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</si>
  <si>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</si>
  <si>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</si>
  <si>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</si>
  <si>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</si>
  <si>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</si>
  <si>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</si>
  <si>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</si>
  <si>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</si>
  <si>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</si>
  <si>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</si>
  <si>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</si>
  <si>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</si>
  <si>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</si>
  <si>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</si>
  <si>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</si>
  <si>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</si>
  <si>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</si>
  <si>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</si>
  <si>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Cust Int Start Time</t>
  </si>
  <si>
    <t>Cust Int End Time</t>
  </si>
  <si>
    <t>Cause</t>
  </si>
  <si>
    <t>SubCause</t>
  </si>
  <si>
    <t>Average reliability (used for energy at risk)</t>
  </si>
  <si>
    <t>Weather</t>
  </si>
  <si>
    <t>Storm activity</t>
  </si>
  <si>
    <t>Annual outage mintues</t>
  </si>
  <si>
    <t>Vegetation</t>
  </si>
  <si>
    <t>Wind</t>
  </si>
  <si>
    <t>Equip Fail</t>
  </si>
  <si>
    <t>Worst served</t>
  </si>
  <si>
    <t>Unknown</t>
  </si>
  <si>
    <t>No Cause Found</t>
  </si>
  <si>
    <t>Annual outage minutes for outages &lt;12h</t>
  </si>
  <si>
    <t>Annual outage minutes for outages &lt;12h exceeding 500 mins</t>
  </si>
  <si>
    <t>Annual outage hours for outages &lt;12h exceeding 500 mins</t>
  </si>
  <si>
    <t>Bark/Branch</t>
  </si>
  <si>
    <t>Resilience</t>
  </si>
  <si>
    <t>Transformer failure</t>
  </si>
  <si>
    <t>Annual outage minutes for outages &gt;=12h</t>
  </si>
  <si>
    <t>Annual outage minutes 12&gt;t&gt;24 hours</t>
  </si>
  <si>
    <t>Annual outage minutes &gt;24 hours</t>
  </si>
  <si>
    <t>Annual outage minutes &gt;72 hours</t>
  </si>
  <si>
    <t>Residential resilience hours at 2x VCR (12-24h)</t>
  </si>
  <si>
    <t>Residential resilience hours at 1.5x VCR (&gt;24h)</t>
  </si>
  <si>
    <t>Business resilience hours at 1.5x VCR (12-24h)</t>
  </si>
  <si>
    <t>Business resilience hours at 0.5x VCR (&gt;72 hours)</t>
  </si>
  <si>
    <t>WORKINGS - RISKS</t>
  </si>
  <si>
    <t>Wind escalated worst served outage minutes</t>
  </si>
  <si>
    <t>Hypothetical wind escalation worst served outage minutes</t>
  </si>
  <si>
    <t>Solar generation demand modifier</t>
  </si>
  <si>
    <t>General outage escalation (% 2046 vs 2026)</t>
  </si>
  <si>
    <t>Average outage duration due to bushfire</t>
  </si>
  <si>
    <t>5 year average historical outages (hours/annum, total)</t>
  </si>
  <si>
    <t>General outage escalator</t>
  </si>
  <si>
    <t>fire risk</t>
  </si>
  <si>
    <t>wind escalation</t>
  </si>
  <si>
    <t>Feeder escalation</t>
  </si>
  <si>
    <t>Ratio to 2022</t>
  </si>
  <si>
    <t>Microgrid average daily demand (MW)</t>
  </si>
  <si>
    <t>BESS size (MWh)</t>
  </si>
  <si>
    <t>Assume 1 charge cycle per day, full charge during solar peak to enable equivalent amount of solar</t>
  </si>
  <si>
    <t>Install generator + BESS microgrid</t>
  </si>
  <si>
    <t>Install generator only microgrid</t>
  </si>
  <si>
    <t>Microgrid (exc BESS)</t>
  </si>
  <si>
    <t>BESS</t>
  </si>
  <si>
    <t>Incremental reliability in worst-served areas &gt; 500 mins</t>
  </si>
  <si>
    <t>Incremental network resilience (domestic)</t>
  </si>
  <si>
    <t>Incremental network resilience (commercial)</t>
  </si>
  <si>
    <t>Incremental network resilience (industrial)</t>
  </si>
  <si>
    <t>Incremental network resilience (agricultural)</t>
  </si>
  <si>
    <t>Incremental network resilience (others)</t>
  </si>
  <si>
    <t>Bess lease</t>
  </si>
  <si>
    <t>$/pa</t>
  </si>
  <si>
    <t>Increasing wind escalation</t>
  </si>
  <si>
    <t>Unplanned Cust Int Dur</t>
  </si>
  <si>
    <t>Cust Int Duration</t>
  </si>
  <si>
    <t>No. customers in microgrid</t>
  </si>
  <si>
    <t>Solar corrected microgrid average daily demand (MW)</t>
  </si>
  <si>
    <t>Change for sensitivity</t>
  </si>
  <si>
    <t>09.08.2019  15:08</t>
  </si>
  <si>
    <t>09.08.2019  15:43</t>
  </si>
  <si>
    <t>Conductor clashing</t>
  </si>
  <si>
    <t>11.08.2019  18:42</t>
  </si>
  <si>
    <t>11.08.2019  20:15</t>
  </si>
  <si>
    <t>Animals</t>
  </si>
  <si>
    <t>Bird/Bat</t>
  </si>
  <si>
    <t>01.09.2019  15:13</t>
  </si>
  <si>
    <t>01.09.2019  18:39</t>
  </si>
  <si>
    <t>30.12.2019  15:08</t>
  </si>
  <si>
    <t>30.12.2019  16:49</t>
  </si>
  <si>
    <t>01.01.2020  21:01</t>
  </si>
  <si>
    <t>01.01.2020  22:40</t>
  </si>
  <si>
    <t>01.03.2020  22:20</t>
  </si>
  <si>
    <t>02.03.2020  01:05</t>
  </si>
  <si>
    <t>01.04.2020  01:55</t>
  </si>
  <si>
    <t>01.04.2020  02:42</t>
  </si>
  <si>
    <t>01.04.2020  05:44</t>
  </si>
  <si>
    <t>01.04.2020  05:59</t>
  </si>
  <si>
    <t>08.06.2020  05:04</t>
  </si>
  <si>
    <t>08.06.2020  06:04</t>
  </si>
  <si>
    <t>U/G cable, Joint, Termination failure</t>
  </si>
  <si>
    <t>10.06.2021  04:12</t>
  </si>
  <si>
    <t>10.06.2021  16:20</t>
  </si>
  <si>
    <t>14.07.2021  10:50</t>
  </si>
  <si>
    <t>14.07.2021  12:37</t>
  </si>
  <si>
    <t>Corrosion</t>
  </si>
  <si>
    <t>28.07.2021  07:49</t>
  </si>
  <si>
    <t>28.07.2021  08:31</t>
  </si>
  <si>
    <t>15.10.2021  18:07</t>
  </si>
  <si>
    <t>15.10.2021  18:35</t>
  </si>
  <si>
    <t>29.10.2021  06:19</t>
  </si>
  <si>
    <t>29.10.2021  16:28</t>
  </si>
  <si>
    <t>14.02.2022  07:34</t>
  </si>
  <si>
    <t>14.02.2022  08:41</t>
  </si>
  <si>
    <t>15/03/2023  11:49</t>
  </si>
  <si>
    <t>15/03/2023  12:21</t>
  </si>
  <si>
    <t>21/06/2023  13:22</t>
  </si>
  <si>
    <t>21/06/2023  15:15</t>
  </si>
  <si>
    <t>Electrical Overload</t>
  </si>
  <si>
    <t>02/01/2024  13:53</t>
  </si>
  <si>
    <t>02/01/2024  14:31</t>
  </si>
  <si>
    <t>11/03/2024  01:47</t>
  </si>
  <si>
    <t>11/03/2024  02:03</t>
  </si>
  <si>
    <t>BMH</t>
  </si>
  <si>
    <t>Weighted average VCR</t>
  </si>
  <si>
    <t>Ballan microgrid</t>
  </si>
  <si>
    <t>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</si>
</sst>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  <numFmt numFmtId="196" formatCode="0.0"/>
  </numFmts>
  <fonts count="96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8"/>
      <name val="Arial"/>
      <family val="2"/>
    </font>
    <font>
      <b/>
      <sz val="14"/>
      <color theme="1"/>
      <name val="Calibri"/>
      <family val="2"/>
    </font>
    <font>
      <b/>
      <sz val="10"/>
      <name val="Calibri"/>
      <family val="2"/>
    </font>
    <font>
      <sz val="8"/>
      <color rgb="FFFFFFFF"/>
      <name val="Calibri"/>
      <family val="2"/>
      <scheme val="minor"/>
    </font>
    <font>
      <i/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1" fillId="17" borderId="16" applyNumberFormat="0" applyProtection="0">
      <alignment horizontal="left" vertical="center" indent="1"/>
    </xf>
    <xf numFmtId="4" fontId="91" fillId="17" borderId="16" applyNumberFormat="0" applyProtection="0">
      <alignment horizontal="left" vertical="center" indent="1"/>
    </xf>
    <xf numFmtId="4" fontId="91" fillId="0" borderId="16" applyNumberFormat="0" applyProtection="0">
      <alignment horizontal="right" vertical="center"/>
    </xf>
  </cellStyleXfs>
  <cellXfs count="377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45" fillId="0" borderId="0" xfId="20" applyFont="1" applyAlignment="1">
      <alignment horizontal="right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0" fontId="92" fillId="0" borderId="0" xfId="18" applyFont="1"/>
    <xf numFmtId="0" fontId="24" fillId="18" borderId="0" xfId="18" applyFont="1" applyFill="1" applyAlignment="1">
      <alignment vertical="center"/>
    </xf>
    <xf numFmtId="0" fontId="51" fillId="0" borderId="0" xfId="18" applyFont="1" applyAlignment="1">
      <alignment vertical="center"/>
    </xf>
    <xf numFmtId="0" fontId="34" fillId="0" borderId="0" xfId="18" applyFont="1" applyAlignment="1">
      <alignment vertical="center"/>
    </xf>
    <xf numFmtId="0" fontId="62" fillId="0" borderId="0" xfId="18" applyFont="1" applyAlignment="1">
      <alignment vertical="center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9" fontId="27" fillId="2" borderId="0" xfId="23" applyNumberFormat="1"/>
    <xf numFmtId="168" fontId="44" fillId="0" borderId="0" xfId="23" applyNumberFormat="1" applyFont="1" applyFill="1" applyBorder="1" applyAlignment="1">
      <alignment horizontal="left"/>
    </xf>
    <xf numFmtId="0" fontId="17" fillId="0" borderId="0" xfId="20" applyFont="1" applyBorder="1" applyAlignment="1">
      <alignment horizontal="left"/>
    </xf>
    <xf numFmtId="185" fontId="93" fillId="0" borderId="0" xfId="22" applyNumberFormat="1" applyFont="1" applyBorder="1" applyAlignment="1">
      <alignment horizontal="center"/>
    </xf>
    <xf numFmtId="180" fontId="93" fillId="0" borderId="0" xfId="22" applyNumberFormat="1" applyFont="1" applyBorder="1">
      <alignment horizontal="right"/>
    </xf>
    <xf numFmtId="167" fontId="16" fillId="4" borderId="0" xfId="18" applyNumberFormat="1" applyFont="1" applyFill="1" applyBorder="1" applyAlignment="1">
      <alignment horizontal="right" vertical="center"/>
    </xf>
    <xf numFmtId="0" fontId="15" fillId="0" borderId="3" xfId="0" applyFont="1" applyFill="1" applyBorder="1"/>
    <xf numFmtId="0" fontId="17" fillId="0" borderId="3" xfId="0" applyFont="1" applyFill="1" applyBorder="1"/>
    <xf numFmtId="0" fontId="15" fillId="0" borderId="17" xfId="0" applyFont="1" applyFill="1" applyBorder="1"/>
    <xf numFmtId="0" fontId="34" fillId="0" borderId="0" xfId="32" quotePrefix="1" applyNumberFormat="1" applyFont="1" applyFill="1" applyBorder="1">
      <alignment horizontal="left" vertical="center" indent="1"/>
    </xf>
    <xf numFmtId="3" fontId="34" fillId="0" borderId="0" xfId="33" applyNumberFormat="1" applyFont="1" applyFill="1" applyBorder="1">
      <alignment horizontal="right" vertical="center"/>
    </xf>
    <xf numFmtId="0" fontId="36" fillId="0" borderId="7" xfId="31" quotePrefix="1" applyNumberFormat="1" applyFont="1" applyFill="1" applyBorder="1" applyAlignment="1">
      <alignment horizontal="left" vertical="center" indent="1"/>
    </xf>
    <xf numFmtId="0" fontId="36" fillId="0" borderId="7" xfId="32" quotePrefix="1" applyNumberFormat="1" applyFont="1" applyFill="1" applyBorder="1" applyAlignment="1">
      <alignment horizontal="left" vertical="center" indent="1"/>
    </xf>
    <xf numFmtId="0" fontId="36" fillId="0" borderId="0" xfId="18" applyFont="1" applyAlignment="1">
      <alignment vertical="center"/>
    </xf>
    <xf numFmtId="9" fontId="36" fillId="0" borderId="0" xfId="18" applyNumberFormat="1" applyFont="1" applyAlignment="1">
      <alignment vertical="center"/>
    </xf>
    <xf numFmtId="0" fontId="27" fillId="2" borderId="0" xfId="23" applyNumberFormat="1"/>
    <xf numFmtId="0" fontId="15" fillId="0" borderId="0" xfId="0" applyFont="1" applyAlignment="1">
      <alignment horizontal="left" indent="1"/>
    </xf>
    <xf numFmtId="0" fontId="21" fillId="0" borderId="8" xfId="22" applyNumberFormat="1" applyProtection="1">
      <alignment horizontal="right"/>
      <protection locked="0"/>
    </xf>
    <xf numFmtId="0" fontId="27" fillId="2" borderId="0" xfId="23" applyNumberFormat="1" applyAlignment="1" applyProtection="1">
      <protection locked="0"/>
    </xf>
    <xf numFmtId="0" fontId="27" fillId="2" borderId="0" xfId="23" applyNumberFormat="1" applyAlignment="1">
      <alignment vertical="center"/>
    </xf>
    <xf numFmtId="2" fontId="21" fillId="0" borderId="8" xfId="22" applyNumberFormat="1">
      <alignment horizontal="right"/>
    </xf>
    <xf numFmtId="0" fontId="15" fillId="0" borderId="0" xfId="18" applyFont="1" applyBorder="1"/>
    <xf numFmtId="0" fontId="34" fillId="0" borderId="0" xfId="18" applyFont="1" applyBorder="1" applyAlignment="1">
      <alignment horizontal="right" vertical="center"/>
    </xf>
    <xf numFmtId="0" fontId="34" fillId="0" borderId="0" xfId="18" applyFont="1" applyFill="1" applyBorder="1" applyAlignment="1">
      <alignment vertical="center"/>
    </xf>
    <xf numFmtId="10" fontId="27" fillId="2" borderId="0" xfId="23" applyNumberFormat="1" applyAlignment="1">
      <alignment vertical="center"/>
    </xf>
    <xf numFmtId="174" fontId="27" fillId="2" borderId="0" xfId="23" applyNumberFormat="1" applyAlignment="1">
      <alignment vertical="center"/>
    </xf>
    <xf numFmtId="167" fontId="21" fillId="0" borderId="8" xfId="22" applyNumberFormat="1">
      <alignment horizontal="right"/>
    </xf>
    <xf numFmtId="0" fontId="15" fillId="0" borderId="18" xfId="0" applyFont="1" applyFill="1" applyBorder="1"/>
    <xf numFmtId="196" fontId="15" fillId="0" borderId="17" xfId="0" applyNumberFormat="1" applyFont="1" applyFill="1" applyBorder="1"/>
    <xf numFmtId="0" fontId="15" fillId="0" borderId="19" xfId="0" applyFont="1" applyFill="1" applyBorder="1"/>
    <xf numFmtId="196" fontId="15" fillId="0" borderId="19" xfId="0" applyNumberFormat="1" applyFont="1" applyFill="1" applyBorder="1"/>
    <xf numFmtId="195" fontId="94" fillId="15" borderId="0" xfId="18" applyNumberFormat="1" applyFont="1" applyFill="1" applyAlignment="1">
      <alignment horizontal="right" vertical="center"/>
    </xf>
    <xf numFmtId="174" fontId="15" fillId="0" borderId="17" xfId="0" applyNumberFormat="1" applyFont="1" applyFill="1" applyBorder="1"/>
    <xf numFmtId="0" fontId="27" fillId="2" borderId="0" xfId="18" applyFont="1" applyFill="1" applyAlignment="1">
      <alignment horizontal="left" vertical="top"/>
    </xf>
    <xf numFmtId="175" fontId="95" fillId="0" borderId="0" xfId="18" applyNumberFormat="1" applyFont="1" applyAlignment="1">
      <alignment horizontal="left" vertical="center"/>
    </xf>
    <xf numFmtId="175" fontId="95" fillId="0" borderId="0" xfId="18" applyNumberFormat="1" applyFont="1" applyAlignment="1">
      <alignment horizontal="right" vertical="center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3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1" tint="0.499984740745262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0.22516624470015903</c:v>
                </c:pt>
                <c:pt idx="1">
                  <c:v>0.22516624470015903</c:v>
                </c:pt>
                <c:pt idx="2">
                  <c:v>0.22516624470015903</c:v>
                </c:pt>
                <c:pt idx="3">
                  <c:v>0.22516624470015903</c:v>
                </c:pt>
                <c:pt idx="4">
                  <c:v>0.22516624470015903</c:v>
                </c:pt>
                <c:pt idx="5">
                  <c:v>0.22516624470015903</c:v>
                </c:pt>
                <c:pt idx="6">
                  <c:v>0.22516624470015903</c:v>
                </c:pt>
                <c:pt idx="7">
                  <c:v>0.22516624470015903</c:v>
                </c:pt>
                <c:pt idx="8">
                  <c:v>0.22516624470015903</c:v>
                </c:pt>
                <c:pt idx="9">
                  <c:v>0.22516624470015903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0.29221780244029616</c:v>
                </c:pt>
                <c:pt idx="1">
                  <c:v>0.30387995925145811</c:v>
                </c:pt>
                <c:pt idx="2">
                  <c:v>0.31732591108706842</c:v>
                </c:pt>
                <c:pt idx="3">
                  <c:v>0.33073032530336205</c:v>
                </c:pt>
                <c:pt idx="4">
                  <c:v>0.34188509453028648</c:v>
                </c:pt>
                <c:pt idx="5">
                  <c:v>0.34891266829235534</c:v>
                </c:pt>
                <c:pt idx="6">
                  <c:v>0.3597612458697938</c:v>
                </c:pt>
                <c:pt idx="7">
                  <c:v>0.37201865595563327</c:v>
                </c:pt>
                <c:pt idx="8">
                  <c:v>0.38088652551006535</c:v>
                </c:pt>
                <c:pt idx="9">
                  <c:v>0.3794663617776925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023437500000003E-2"/>
          <c:y val="8.5556894243641227E-2"/>
          <c:w val="0.91537569444444444"/>
          <c:h val="0.794595381526104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0.26257029550449568</c:v>
                </c:pt>
                <c:pt idx="1">
                  <c:v>0.2730492462547745</c:v>
                </c:pt>
                <c:pt idx="2">
                  <c:v>0.2851310137491993</c:v>
                </c:pt>
                <c:pt idx="3">
                  <c:v>0.29717545790162553</c:v>
                </c:pt>
                <c:pt idx="4">
                  <c:v>0.30719849902964314</c:v>
                </c:pt>
                <c:pt idx="5">
                  <c:v>0.31351307707374793</c:v>
                </c:pt>
                <c:pt idx="6">
                  <c:v>0.32326099180215828</c:v>
                </c:pt>
                <c:pt idx="7">
                  <c:v>0.33427480328620096</c:v>
                </c:pt>
                <c:pt idx="8">
                  <c:v>0.34224296645065533</c:v>
                </c:pt>
                <c:pt idx="9">
                  <c:v>0.34096688810169812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1</xdr:row>
      <xdr:rowOff>19050</xdr:rowOff>
    </xdr:from>
    <xdr:to>
      <xdr:col>10</xdr:col>
      <xdr:colOff>247650</xdr:colOff>
      <xdr:row>5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B0DFB7-A4DA-8835-9143-74793CE3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2095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30" customWidth="1"/>
    <col min="2" max="2" width="1.875" style="130" customWidth="1"/>
    <col min="3" max="3" width="14" style="130" customWidth="1"/>
    <col min="4" max="4" width="8" style="130" customWidth="1"/>
    <col min="5" max="5" width="9.375" style="130" customWidth="1"/>
    <col min="6" max="11" width="8" style="130" customWidth="1"/>
    <col min="12" max="19" width="8" style="130" hidden="1" customWidth="1"/>
    <col min="20" max="16384" width="0" style="130" hidden="1"/>
  </cols>
  <sheetData>
    <row r="1" spans="1:19" x14ac:dyDescent="0.25">
      <c r="A1" s="311"/>
    </row>
    <row r="2" spans="1:19" ht="23.25" x14ac:dyDescent="0.35">
      <c r="A2" s="311"/>
      <c r="C2" s="312" t="s">
        <v>3</v>
      </c>
      <c r="D2" s="313"/>
      <c r="E2" s="313"/>
    </row>
    <row r="3" spans="1:19" ht="15.75" x14ac:dyDescent="0.25">
      <c r="A3" s="311"/>
      <c r="C3" s="314" t="s">
        <v>244</v>
      </c>
      <c r="D3" s="313"/>
      <c r="E3" s="313"/>
    </row>
    <row r="4" spans="1:19" x14ac:dyDescent="0.25">
      <c r="A4" s="311"/>
      <c r="D4" s="313"/>
      <c r="E4" s="313"/>
    </row>
    <row r="5" spans="1:19" x14ac:dyDescent="0.25">
      <c r="A5" s="311"/>
      <c r="C5" s="315" t="s">
        <v>354</v>
      </c>
    </row>
    <row r="6" spans="1:19" x14ac:dyDescent="0.25">
      <c r="A6" s="311"/>
      <c r="C6" s="316" t="s">
        <v>245</v>
      </c>
      <c r="D6" s="316" t="s">
        <v>355</v>
      </c>
      <c r="E6" s="316"/>
    </row>
    <row r="7" spans="1:19" x14ac:dyDescent="0.25">
      <c r="A7" s="311"/>
      <c r="F7" s="317"/>
      <c r="G7" s="317"/>
      <c r="H7" s="317"/>
      <c r="J7" s="317"/>
      <c r="K7" s="317"/>
      <c r="L7" s="317"/>
      <c r="M7" s="317"/>
      <c r="N7" s="317"/>
      <c r="O7" s="317"/>
      <c r="P7" s="317"/>
      <c r="Q7" s="317"/>
      <c r="R7" s="317"/>
      <c r="S7" s="317"/>
    </row>
    <row r="8" spans="1:19" x14ac:dyDescent="0.25">
      <c r="A8" s="311"/>
      <c r="C8" s="318">
        <v>45688</v>
      </c>
      <c r="F8" s="317"/>
      <c r="G8" s="317"/>
      <c r="H8" s="317"/>
      <c r="J8" s="317"/>
      <c r="K8" s="317"/>
      <c r="L8" s="317"/>
      <c r="M8" s="317"/>
      <c r="N8" s="317"/>
      <c r="O8" s="317"/>
      <c r="P8" s="317"/>
      <c r="Q8" s="317"/>
      <c r="R8" s="317"/>
      <c r="S8" s="317"/>
    </row>
    <row r="9" spans="1:19" x14ac:dyDescent="0.25">
      <c r="A9" s="311"/>
      <c r="C9" s="319"/>
      <c r="D9" s="319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</row>
    <row r="10" spans="1:19" x14ac:dyDescent="0.25">
      <c r="A10" s="311"/>
      <c r="C10" s="319"/>
      <c r="D10" s="319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19" x14ac:dyDescent="0.25">
      <c r="A11" s="311"/>
      <c r="C11" s="319"/>
      <c r="D11" s="319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</row>
    <row r="12" spans="1:19" x14ac:dyDescent="0.25">
      <c r="A12" s="311"/>
      <c r="C12" s="319"/>
      <c r="D12" s="319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</row>
    <row r="13" spans="1:19" x14ac:dyDescent="0.25">
      <c r="A13" s="311"/>
      <c r="C13" s="319"/>
      <c r="D13" s="319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</row>
    <row r="14" spans="1:19" x14ac:dyDescent="0.25">
      <c r="A14" s="311"/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</row>
    <row r="15" spans="1:19" x14ac:dyDescent="0.25">
      <c r="A15" s="311"/>
      <c r="C15" s="315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7"/>
      <c r="O15" s="317"/>
      <c r="P15" s="317"/>
      <c r="Q15" s="317"/>
      <c r="R15" s="317"/>
      <c r="S15" s="317"/>
    </row>
    <row r="16" spans="1:19" x14ac:dyDescent="0.25">
      <c r="A16" s="311"/>
      <c r="C16" s="315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7"/>
    </row>
    <row r="17" spans="1:19" x14ac:dyDescent="0.25">
      <c r="A17" s="311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</row>
    <row r="18" spans="1:19" x14ac:dyDescent="0.25">
      <c r="A18" s="311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</row>
    <row r="19" spans="1:19" x14ac:dyDescent="0.25">
      <c r="A19" s="311"/>
      <c r="C19" s="317"/>
      <c r="D19" s="317"/>
      <c r="E19" s="317"/>
      <c r="F19" s="317"/>
      <c r="G19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</row>
    <row r="20" spans="1:19" x14ac:dyDescent="0.25">
      <c r="A20" s="311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</row>
    <row r="21" spans="1:19" ht="16.5" customHeight="1" x14ac:dyDescent="0.25">
      <c r="A21" s="311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</row>
    <row r="22" spans="1:19" x14ac:dyDescent="0.25">
      <c r="A22" s="311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</row>
    <row r="23" spans="1:19" x14ac:dyDescent="0.25">
      <c r="A23" s="311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</row>
    <row r="24" spans="1:19" x14ac:dyDescent="0.25">
      <c r="A24" s="311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</row>
    <row r="25" spans="1:19" x14ac:dyDescent="0.25">
      <c r="A25" s="311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</row>
    <row r="26" spans="1:19" x14ac:dyDescent="0.25">
      <c r="A26" s="311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</row>
    <row r="27" spans="1:19" x14ac:dyDescent="0.25">
      <c r="A27" s="311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</row>
    <row r="28" spans="1:19" x14ac:dyDescent="0.25">
      <c r="A28" s="311"/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</row>
    <row r="29" spans="1:19" x14ac:dyDescent="0.25">
      <c r="A29" s="311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</row>
    <row r="30" spans="1:19" x14ac:dyDescent="0.25">
      <c r="A30" s="311"/>
      <c r="C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</row>
    <row r="31" spans="1:19" x14ac:dyDescent="0.25">
      <c r="A31" s="311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</row>
    <row r="32" spans="1:19" x14ac:dyDescent="0.25">
      <c r="A32" s="311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</row>
    <row r="33" spans="1:19" x14ac:dyDescent="0.25">
      <c r="A33" s="311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</row>
    <row r="34" spans="1:19" x14ac:dyDescent="0.25">
      <c r="A34" s="311"/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</row>
    <row r="35" spans="1:19" x14ac:dyDescent="0.25">
      <c r="A35" s="311"/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</row>
    <row r="36" spans="1:19" x14ac:dyDescent="0.25">
      <c r="A36" s="311"/>
    </row>
    <row r="37" spans="1:19" x14ac:dyDescent="0.25">
      <c r="A37" s="311"/>
    </row>
    <row r="38" spans="1:19" x14ac:dyDescent="0.25">
      <c r="A38" s="311"/>
    </row>
    <row r="39" spans="1:19" x14ac:dyDescent="0.25">
      <c r="A39" s="311"/>
    </row>
    <row r="40" spans="1:19" x14ac:dyDescent="0.25">
      <c r="A40" s="311">
        <f ca="1">_xlfn.SHEETS()</f>
        <v>14</v>
      </c>
    </row>
    <row r="41" spans="1:19" x14ac:dyDescent="0.25">
      <c r="A41" s="311"/>
    </row>
  </sheetData>
  <pageMargins left="0.7" right="0.7" top="0.75" bottom="0.75" header="0.3" footer="0.3"/>
  <pageSetup paperSize="9" orientation="portrait" horizontalDpi="1200" verticalDpi="1200" r:id="rId1"/>
  <ignoredErrors>
    <ignoredError sqref="D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Ballan microgrid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4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3" t="s">
        <v>193</v>
      </c>
      <c r="H7" s="153" t="s">
        <v>194</v>
      </c>
      <c r="I7" s="153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5">
        <f>output_dollars</f>
        <v>46203</v>
      </c>
      <c r="H8" s="185">
        <f>output_dollars</f>
        <v>46203</v>
      </c>
      <c r="I8" s="185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67" t="str">
        <f>INDEX(Assumptions!$E$14:$E$18, MATCH(C9, Assumptions!$C$14:$C$18,0))</f>
        <v>No change to existing practices</v>
      </c>
      <c r="E9" s="368"/>
      <c r="F9" s="368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69" t="str">
        <f>INDEX(Assumptions!$E$14:$E$18, MATCH(C10, Assumptions!$C$14:$C$18,0))</f>
        <v>Install generator only microgrid</v>
      </c>
      <c r="E10" s="370"/>
      <c r="F10" s="370"/>
      <c r="G10" s="103">
        <f>IF(Data!$C10, "", INDEX(Consol!$F$15:$F$82, MATCH($C10&amp;G$7, Consol!$D$15:$D$82,0))/mill_conv)</f>
        <v>-3.9526338266621401</v>
      </c>
      <c r="H10" s="103">
        <f>IF(Data!$C10, "", INDEX(Consol!$F$15:$F$82, MATCH($C10&amp;H$7, Consol!$D$15:$D$82,0))/mill_conv)</f>
        <v>5.0763776479476084</v>
      </c>
      <c r="I10" s="103">
        <f>IF(Data!$C10, "", INDEX(Consol!$F$15:$F$82, MATCH($C10&amp;I$7, Consol!$D$15:$D$82,0))/mill_conv)</f>
        <v>1.1237438212854696</v>
      </c>
    </row>
    <row r="11" spans="1:13" s="7" customFormat="1" ht="12.75" x14ac:dyDescent="0.2">
      <c r="C11" s="91" t="str">
        <v>Option 3</v>
      </c>
      <c r="D11" s="369" t="str">
        <f>INDEX(Assumptions!$E$14:$E$18, MATCH(C11, Assumptions!$C$14:$C$18,0))</f>
        <v>Install generator + BESS microgrid</v>
      </c>
      <c r="E11" s="370"/>
      <c r="F11" s="370"/>
      <c r="G11" s="103">
        <f>IF(Data!$C11, "", INDEX(Consol!$F$15:$F$82, MATCH($C11&amp;G$7, Consol!$D$15:$D$82,0))/mill_conv)</f>
        <v>-8.8300271364171508</v>
      </c>
      <c r="H11" s="103">
        <f>IF(Data!$C11, "", INDEX(Consol!$F$15:$F$82, MATCH($C11&amp;H$7, Consol!$D$15:$D$82,0))/mill_conv)</f>
        <v>5.2303827797488447</v>
      </c>
      <c r="I11" s="103">
        <f>IF(Data!$C11, "", INDEX(Consol!$F$15:$F$82, MATCH($C11&amp;I$7, Consol!$D$15:$D$82,0))/mill_conv)</f>
        <v>-3.599644356668303</v>
      </c>
    </row>
    <row r="12" spans="1:13" s="7" customFormat="1" ht="12.75" x14ac:dyDescent="0.2">
      <c r="C12" s="91" t="str">
        <v>Option 4</v>
      </c>
      <c r="D12" s="369">
        <f>INDEX(Assumptions!$E$14:$E$18, MATCH(C12, Assumptions!$C$14:$C$18,0))</f>
        <v>0</v>
      </c>
      <c r="E12" s="370"/>
      <c r="F12" s="370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369">
        <f>INDEX(Assumptions!$E$14:$E$18, MATCH(C13, Assumptions!$C$14:$C$18,0))</f>
        <v>0</v>
      </c>
      <c r="E13" s="370"/>
      <c r="F13" s="370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8"/>
      <c r="E14" s="248"/>
      <c r="F14" s="242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3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5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66" t="str">
        <f>INDEX($D$9:$D$13,MATCH(G18, $I$9:$I$13,0))</f>
        <v>Install generator only microgrid</v>
      </c>
      <c r="E18" s="366"/>
      <c r="F18" s="366"/>
      <c r="G18" s="104">
        <f>_xlfn.MAXIFS(I9:I13, IF(compliance, Data!$F$9:$F$13, Data!$C$9:$C$13),FALSE)</f>
        <v>1.1237438212854696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90">
        <f>output_dollars</f>
        <v>46203</v>
      </c>
      <c r="E29" s="186"/>
      <c r="F29" s="55" t="str">
        <f>Assumptions!K93</f>
        <v>2026-27</v>
      </c>
      <c r="G29" s="55" t="str">
        <f>Assumptions!L93</f>
        <v>2027-28</v>
      </c>
      <c r="H29" s="55" t="str">
        <f>Assumptions!M93</f>
        <v>2028-29</v>
      </c>
      <c r="I29" s="55" t="str">
        <f>Assumptions!N93</f>
        <v>2029-30</v>
      </c>
      <c r="J29" s="55" t="str">
        <f>Assumptions!O93</f>
        <v>2030-31</v>
      </c>
      <c r="L29" s="55" t="s">
        <v>145</v>
      </c>
    </row>
    <row r="30" spans="1:13" s="8" customFormat="1" ht="12.75" x14ac:dyDescent="0.2">
      <c r="C30" s="4" t="s">
        <v>30</v>
      </c>
      <c r="F30" s="105">
        <f>-INDEX(Consol!I$15:I$82,MATCH($C$26&amp;$C30,Consol!$D$15:$D$82,0))/mill_conv</f>
        <v>0</v>
      </c>
      <c r="G30" s="105">
        <f>-INDEX(Consol!J$15:J$82,MATCH($C$26&amp;$C30,Consol!$D$15:$D$82,0))/mill_conv</f>
        <v>0</v>
      </c>
      <c r="H30" s="105">
        <f>-INDEX(Consol!K$15:K$82,MATCH($C$26&amp;$C30,Consol!$D$15:$D$82,0))/mill_conv</f>
        <v>3.2001534796647371</v>
      </c>
      <c r="I30" s="105">
        <f>-INDEX(Consol!L$15:L$82,MATCH($C$26&amp;$C30,Consol!$D$15:$D$82,0))/mill_conv</f>
        <v>0</v>
      </c>
      <c r="J30" s="105">
        <f>-INDEX(Consol!M$15:M$82,MATCH($C$26&amp;$C30,Consol!$D$15:$D$82,0))/mill_conv</f>
        <v>0</v>
      </c>
      <c r="K30" s="187"/>
      <c r="L30" s="187">
        <f>SUM(F30:J30)</f>
        <v>3.2001534796647371</v>
      </c>
    </row>
    <row r="31" spans="1:13" s="8" customFormat="1" ht="12.75" x14ac:dyDescent="0.2">
      <c r="C31" s="4" t="s">
        <v>31</v>
      </c>
      <c r="D31" s="28"/>
      <c r="E31" s="28"/>
      <c r="F31" s="105">
        <f>-INDEX(Consol!I$15:I$82,MATCH($C$26&amp;$C31,Consol!$D$15:$D$82,0))/mill_conv</f>
        <v>0</v>
      </c>
      <c r="G31" s="105">
        <f>-INDEX(Consol!J$15:J$82,MATCH($C$26&amp;$C31,Consol!$D$15:$D$82,0))/mill_conv</f>
        <v>0</v>
      </c>
      <c r="H31" s="105">
        <f>-INDEX(Consol!K$15:K$82,MATCH($C$26&amp;$C31,Consol!$D$15:$D$82,0))/mill_conv</f>
        <v>0</v>
      </c>
      <c r="I31" s="105">
        <f>-INDEX(Consol!L$15:L$82,MATCH($C$26&amp;$C31,Consol!$D$15:$D$82,0))/mill_conv</f>
        <v>8.9033011713327753E-2</v>
      </c>
      <c r="J31" s="105">
        <f>-INDEX(Consol!M$15:M$82,MATCH($C$26&amp;$C31,Consol!$D$15:$D$82,0))/mill_conv</f>
        <v>8.9033011713327753E-2</v>
      </c>
      <c r="K31" s="187"/>
      <c r="L31" s="187">
        <f>SUM(F31:J31)</f>
        <v>0.17806602342665551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162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235</v>
      </c>
      <c r="D37" s="28"/>
      <c r="E37" s="28"/>
      <c r="F37" s="322" t="s">
        <v>241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218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</row>
    <row r="66" spans="3:13" s="8" customFormat="1" ht="12.75" x14ac:dyDescent="0.2">
      <c r="C66" s="258" t="s">
        <v>222</v>
      </c>
      <c r="D66" s="186">
        <f>output_dollars</f>
        <v>46203</v>
      </c>
      <c r="E66" s="186"/>
      <c r="F66" s="259" t="str">
        <f>Sensitivity_calcs!C89</f>
        <v>Option 1 (base case)</v>
      </c>
      <c r="G66" s="259" t="str">
        <f>Sensitivity_calcs!D89</f>
        <v>Option 2</v>
      </c>
      <c r="H66" s="259" t="str">
        <f>Sensitivity_calcs!E89</f>
        <v>Option 3</v>
      </c>
      <c r="I66" s="259" t="str">
        <f>Sensitivity_calcs!F89</f>
        <v>Option 4</v>
      </c>
      <c r="J66" s="259" t="str">
        <f>Sensitivity_calcs!G89</f>
        <v>Option 5</v>
      </c>
      <c r="K66" s="263"/>
      <c r="L66" s="288" t="s">
        <v>220</v>
      </c>
      <c r="M66" s="263"/>
    </row>
    <row r="67" spans="3:13" s="8" customFormat="1" ht="12.75" x14ac:dyDescent="0.2">
      <c r="C67" s="286" t="str">
        <f>Sensitivity_calcs!B90</f>
        <v>None</v>
      </c>
      <c r="D67" s="266"/>
      <c r="E67" s="266"/>
      <c r="F67" s="287">
        <f>Sensitivity_calcs!C90</f>
        <v>0</v>
      </c>
      <c r="G67" s="287">
        <f>Sensitivity_calcs!D90</f>
        <v>1.1237438212854696</v>
      </c>
      <c r="H67" s="287">
        <f>Sensitivity_calcs!E90</f>
        <v>-3.5996443566683025</v>
      </c>
      <c r="I67" s="287" t="str">
        <f>Sensitivity_calcs!F90</f>
        <v/>
      </c>
      <c r="J67" s="287" t="str">
        <f>Sensitivity_calcs!G90</f>
        <v/>
      </c>
      <c r="K67" s="257"/>
      <c r="L67" s="289" t="str">
        <f>Sensitivity_calcs!K90</f>
        <v>Option 2</v>
      </c>
      <c r="M67" s="257"/>
    </row>
    <row r="68" spans="3:13" s="8" customFormat="1" ht="12.75" x14ac:dyDescent="0.2">
      <c r="C68" s="265" t="str">
        <f>Sensitivity_calcs!B91</f>
        <v>Capex 10% higher</v>
      </c>
      <c r="D68" s="265"/>
      <c r="E68" s="265"/>
      <c r="F68" s="279">
        <f>Sensitivity_calcs!C91</f>
        <v>0</v>
      </c>
      <c r="G68" s="274">
        <f>IF($C68=0, "", Sensitivity_calcs!D91)</f>
        <v>0.84048417083833638</v>
      </c>
      <c r="H68" s="274">
        <f>Sensitivity_calcs!E91</f>
        <v>-4.2306386728170846</v>
      </c>
      <c r="I68" s="274" t="str">
        <f>Sensitivity_calcs!F91</f>
        <v/>
      </c>
      <c r="J68" s="274" t="str">
        <f>Sensitivity_calcs!G91</f>
        <v/>
      </c>
      <c r="K68" s="257"/>
      <c r="L68" s="282" t="str">
        <f>Sensitivity_calcs!K91</f>
        <v>Option 2</v>
      </c>
      <c r="M68" s="257"/>
    </row>
    <row r="69" spans="3:13" s="8" customFormat="1" ht="12.75" x14ac:dyDescent="0.2">
      <c r="C69" s="265" t="str">
        <f>Sensitivity_calcs!B92</f>
        <v>Capex 10% lower</v>
      </c>
      <c r="D69" s="265"/>
      <c r="E69" s="265"/>
      <c r="F69" s="280">
        <f>Sensitivity_calcs!C92</f>
        <v>0</v>
      </c>
      <c r="G69" s="275">
        <f>Sensitivity_calcs!D92</f>
        <v>1.4070034717326023</v>
      </c>
      <c r="H69" s="275">
        <f>Sensitivity_calcs!E92</f>
        <v>-2.96865004051952</v>
      </c>
      <c r="I69" s="275" t="str">
        <f>Sensitivity_calcs!F92</f>
        <v/>
      </c>
      <c r="J69" s="275" t="str">
        <f>Sensitivity_calcs!G92</f>
        <v/>
      </c>
      <c r="K69" s="257"/>
      <c r="L69" s="282" t="str">
        <f>Sensitivity_calcs!K92</f>
        <v>Option 2</v>
      </c>
      <c r="M69" s="257"/>
    </row>
    <row r="70" spans="3:13" s="8" customFormat="1" ht="12.75" x14ac:dyDescent="0.2">
      <c r="C70" s="265" t="str">
        <f>Sensitivity_calcs!B93</f>
        <v>Increasing wind escalation</v>
      </c>
      <c r="D70" s="265"/>
      <c r="E70" s="265"/>
      <c r="F70" s="280">
        <f>Sensitivity_calcs!C93</f>
        <v>0</v>
      </c>
      <c r="G70" s="275">
        <f>Sensitivity_calcs!D93</f>
        <v>1.2365375368967051</v>
      </c>
      <c r="H70" s="275">
        <f>Sensitivity_calcs!E93</f>
        <v>-3.4868506410570661</v>
      </c>
      <c r="I70" s="275" t="str">
        <f>Sensitivity_calcs!F93</f>
        <v/>
      </c>
      <c r="J70" s="275" t="str">
        <f>Sensitivity_calcs!G93</f>
        <v/>
      </c>
      <c r="K70" s="257"/>
      <c r="L70" s="282" t="str">
        <f>Sensitivity_calcs!K93</f>
        <v>Option 2</v>
      </c>
      <c r="M70" s="257"/>
    </row>
    <row r="71" spans="3:13" s="8" customFormat="1" ht="12.75" x14ac:dyDescent="0.2">
      <c r="C71" s="265" t="str">
        <f>Sensitivity_calcs!B94</f>
        <v/>
      </c>
      <c r="D71" s="265"/>
      <c r="E71" s="265"/>
      <c r="F71" s="280"/>
      <c r="G71" s="275"/>
      <c r="H71" s="275"/>
      <c r="I71" s="275"/>
      <c r="J71" s="275"/>
      <c r="K71" s="257"/>
      <c r="L71" s="282"/>
      <c r="M71" s="257"/>
    </row>
    <row r="72" spans="3:13" s="8" customFormat="1" ht="12.75" x14ac:dyDescent="0.2">
      <c r="C72" s="265" t="str">
        <f>Sensitivity_calcs!B95</f>
        <v/>
      </c>
      <c r="D72" s="265"/>
      <c r="E72" s="265"/>
      <c r="F72" s="280"/>
      <c r="G72" s="275"/>
      <c r="H72" s="275"/>
      <c r="I72" s="275"/>
      <c r="J72" s="275"/>
      <c r="K72" s="257"/>
      <c r="L72" s="282"/>
      <c r="M72" s="257"/>
    </row>
    <row r="73" spans="3:13" s="8" customFormat="1" ht="12.75" x14ac:dyDescent="0.2">
      <c r="C73" s="265">
        <f>Sensitivity_calcs!B96</f>
        <v>0</v>
      </c>
      <c r="D73" s="265"/>
      <c r="E73" s="265"/>
      <c r="F73" s="280" t="str">
        <f>Sensitivity_calcs!C96</f>
        <v/>
      </c>
      <c r="G73" s="275" t="str">
        <f>Sensitivity_calcs!D96</f>
        <v/>
      </c>
      <c r="H73" s="275" t="str">
        <f>Sensitivity_calcs!E96</f>
        <v/>
      </c>
      <c r="I73" s="275" t="str">
        <f>Sensitivity_calcs!F96</f>
        <v/>
      </c>
      <c r="J73" s="275" t="str">
        <f>Sensitivity_calcs!G96</f>
        <v/>
      </c>
      <c r="K73" s="257"/>
      <c r="L73" s="282" t="str">
        <f>Sensitivity_calcs!K96</f>
        <v/>
      </c>
      <c r="M73" s="257"/>
    </row>
    <row r="74" spans="3:13" s="8" customFormat="1" ht="12.75" x14ac:dyDescent="0.2">
      <c r="C74" s="265">
        <f>Sensitivity_calcs!B97</f>
        <v>0</v>
      </c>
      <c r="D74" s="260"/>
      <c r="E74" s="260"/>
      <c r="F74" s="280" t="str">
        <f>Sensitivity_calcs!C97</f>
        <v/>
      </c>
      <c r="G74" s="275" t="str">
        <f>Sensitivity_calcs!D97</f>
        <v/>
      </c>
      <c r="H74" s="275" t="str">
        <f>Sensitivity_calcs!E97</f>
        <v/>
      </c>
      <c r="I74" s="275" t="str">
        <f>Sensitivity_calcs!F97</f>
        <v/>
      </c>
      <c r="J74" s="275" t="str">
        <f>Sensitivity_calcs!G97</f>
        <v/>
      </c>
      <c r="K74" s="267">
        <f>IF(C74=0,0, INDEX($F$66:$J$66, MATCH(MAX($F74:$I74),$F74:$I74,0)))</f>
        <v>0</v>
      </c>
      <c r="L74" s="282" t="str">
        <f>Sensitivity_calcs!K97</f>
        <v/>
      </c>
    </row>
    <row r="75" spans="3:13" s="8" customFormat="1" ht="12.75" x14ac:dyDescent="0.2">
      <c r="D75" s="265">
        <f>Sensitivity_calcs!B98</f>
        <v>0</v>
      </c>
      <c r="E75" s="265"/>
      <c r="F75" s="280" t="str">
        <f>Sensitivity_calcs!C98</f>
        <v/>
      </c>
      <c r="G75" s="275" t="str">
        <f>Sensitivity_calcs!D98</f>
        <v/>
      </c>
      <c r="H75" s="275" t="str">
        <f>Sensitivity_calcs!E98</f>
        <v/>
      </c>
      <c r="I75" s="275" t="str">
        <f>Sensitivity_calcs!F98</f>
        <v/>
      </c>
      <c r="J75" s="275" t="str">
        <f>Sensitivity_calcs!G98</f>
        <v/>
      </c>
      <c r="K75" s="257"/>
      <c r="L75" s="282" t="str">
        <f>Sensitivity_calcs!K98</f>
        <v/>
      </c>
      <c r="M75" s="257"/>
    </row>
    <row r="76" spans="3:13" s="8" customFormat="1" ht="12.75" x14ac:dyDescent="0.2">
      <c r="D76" s="265">
        <f>Sensitivity_calcs!B99</f>
        <v>0</v>
      </c>
      <c r="E76" s="265"/>
      <c r="F76" s="281"/>
      <c r="G76" s="105"/>
      <c r="H76" s="105"/>
      <c r="I76" s="105"/>
      <c r="J76" s="105"/>
      <c r="K76" s="257"/>
      <c r="L76" s="257"/>
    </row>
    <row r="77" spans="3:13" s="8" customFormat="1" ht="12.75" x14ac:dyDescent="0.2">
      <c r="F77" s="264"/>
      <c r="G77" s="105"/>
      <c r="H77" s="105"/>
      <c r="I77" s="105"/>
      <c r="J77" s="105"/>
    </row>
    <row r="78" spans="3:13" s="8" customFormat="1" ht="12.75" x14ac:dyDescent="0.2">
      <c r="F78" s="264"/>
      <c r="G78" s="264"/>
      <c r="H78" s="264"/>
      <c r="I78" s="264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5"/>
      <c r="E81" s="245"/>
      <c r="F81" s="245"/>
    </row>
    <row r="82" spans="4:6" s="8" customFormat="1" ht="12.75" x14ac:dyDescent="0.2">
      <c r="D82" s="245"/>
      <c r="E82" s="245"/>
      <c r="F82" s="245"/>
    </row>
    <row r="83" spans="4:6" s="8" customFormat="1" ht="12.75" hidden="1" x14ac:dyDescent="0.2">
      <c r="D83" s="245"/>
      <c r="E83" s="245"/>
      <c r="F83" s="245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6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Ballan microgrid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74" t="s">
        <v>354</v>
      </c>
      <c r="F8" s="374"/>
      <c r="G8" s="374"/>
      <c r="H8" s="374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75" t="s">
        <v>58</v>
      </c>
      <c r="F14" s="375"/>
      <c r="G14" s="375"/>
      <c r="H14" s="375"/>
      <c r="I14" s="375"/>
      <c r="J14" s="375"/>
      <c r="K14" s="375"/>
      <c r="L14"/>
    </row>
    <row r="15" spans="1:16" s="1" customFormat="1" ht="12.75" customHeight="1" x14ac:dyDescent="0.2">
      <c r="C15" s="61" t="str">
        <v>Option 2</v>
      </c>
      <c r="D15" s="61"/>
      <c r="E15" s="363" t="s">
        <v>291</v>
      </c>
      <c r="F15" s="363"/>
      <c r="G15" s="363"/>
      <c r="H15" s="363"/>
      <c r="I15" s="363"/>
      <c r="J15" s="363"/>
      <c r="K15" s="363"/>
      <c r="L15"/>
    </row>
    <row r="16" spans="1:16" s="1" customFormat="1" ht="12.75" customHeight="1" x14ac:dyDescent="0.2">
      <c r="C16" s="61" t="str">
        <v>Option 3</v>
      </c>
      <c r="D16" s="61"/>
      <c r="E16" s="376" t="s">
        <v>290</v>
      </c>
      <c r="F16" s="376"/>
      <c r="G16" s="376"/>
      <c r="H16" s="376"/>
      <c r="I16" s="376"/>
      <c r="J16" s="376"/>
      <c r="K16" s="376"/>
      <c r="L16"/>
    </row>
    <row r="17" spans="1:16" s="1" customFormat="1" ht="12.75" customHeight="1" x14ac:dyDescent="0.2">
      <c r="C17" s="61" t="str">
        <v>Option 4</v>
      </c>
      <c r="D17" s="61"/>
      <c r="E17" s="376"/>
      <c r="F17" s="376"/>
      <c r="G17" s="376"/>
      <c r="H17" s="376"/>
      <c r="I17" s="376"/>
      <c r="J17" s="376"/>
      <c r="K17" s="376"/>
      <c r="L17"/>
    </row>
    <row r="18" spans="1:16" s="1" customFormat="1" ht="12.75" customHeight="1" x14ac:dyDescent="0.2">
      <c r="C18" s="61" t="str">
        <v>Option 5</v>
      </c>
      <c r="D18" s="61"/>
      <c r="E18" s="376"/>
      <c r="F18" s="376"/>
      <c r="G18" s="376"/>
      <c r="H18" s="376"/>
      <c r="I18" s="376"/>
      <c r="J18" s="376"/>
      <c r="K18" s="376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1" t="s">
        <v>225</v>
      </c>
      <c r="D20"/>
      <c r="E20" s="292" t="s">
        <v>228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239</v>
      </c>
      <c r="E22" s="297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186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187</v>
      </c>
      <c r="G28" s="303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4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200</v>
      </c>
      <c r="G31" s="305">
        <v>20</v>
      </c>
      <c r="H31" s="68" t="s">
        <v>201</v>
      </c>
    </row>
    <row r="32" spans="1:16" s="1" customFormat="1" x14ac:dyDescent="0.2"/>
    <row r="33" spans="1:20" s="1" customFormat="1" x14ac:dyDescent="0.2">
      <c r="C33" s="1" t="s">
        <v>32</v>
      </c>
      <c r="G33" s="306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242</v>
      </c>
      <c r="G35" s="304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/>
      <c r="D41" s="241"/>
      <c r="E41" s="39" t="s">
        <v>353</v>
      </c>
      <c r="F41" s="332"/>
      <c r="G41" s="333" t="s">
        <v>352</v>
      </c>
      <c r="H41" s="334" cm="1">
        <f t="array" ref="H41">SUMPRODUCT(($H$43:$H$47)*($I$43:$I$47))</f>
        <v>38093.432583798196</v>
      </c>
      <c r="I41" s="331" t="s">
        <v>217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 s="1" t="s">
        <v>143</v>
      </c>
      <c r="H43" s="165">
        <v>24910</v>
      </c>
      <c r="I43" s="330">
        <v>0.5968856126654366</v>
      </c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4" spans="1:20" s="128" customFormat="1" x14ac:dyDescent="0.2">
      <c r="A44"/>
      <c r="B44"/>
      <c r="C44"/>
      <c r="D44"/>
      <c r="E44" s="1" t="s">
        <v>138</v>
      </c>
      <c r="H44" s="165">
        <v>52200</v>
      </c>
      <c r="I44" s="330">
        <v>0.29790765673034536</v>
      </c>
      <c r="J44"/>
      <c r="K44"/>
      <c r="L44"/>
      <c r="M44" s="127"/>
      <c r="N44" s="127"/>
      <c r="O44" s="127"/>
      <c r="P44" s="127"/>
      <c r="Q44" s="127"/>
      <c r="R44" s="127"/>
      <c r="S44" s="127"/>
      <c r="T44" s="127"/>
    </row>
    <row r="45" spans="1:20" s="128" customFormat="1" x14ac:dyDescent="0.2">
      <c r="A45"/>
      <c r="B45"/>
      <c r="C45"/>
      <c r="D45"/>
      <c r="E45" s="1" t="s">
        <v>140</v>
      </c>
      <c r="H45" s="165">
        <v>74790</v>
      </c>
      <c r="I45" s="330">
        <v>9.8817158675579816E-2</v>
      </c>
      <c r="J45"/>
      <c r="K45"/>
      <c r="L45"/>
      <c r="M45" s="127"/>
      <c r="N45" s="127"/>
      <c r="O45" s="127"/>
      <c r="P45" s="127"/>
      <c r="Q45" s="127"/>
      <c r="R45" s="127"/>
      <c r="S45" s="127"/>
      <c r="T45" s="127"/>
    </row>
    <row r="46" spans="1:20" s="128" customFormat="1" x14ac:dyDescent="0.2">
      <c r="A46"/>
      <c r="B46"/>
      <c r="C46"/>
      <c r="D46"/>
      <c r="E46" s="1" t="s">
        <v>141</v>
      </c>
      <c r="H46" s="165">
        <v>44400</v>
      </c>
      <c r="I46" s="330">
        <v>6.3895719286381188E-3</v>
      </c>
      <c r="J46"/>
      <c r="K46"/>
      <c r="L46"/>
      <c r="M46" s="127"/>
      <c r="N46" s="127"/>
      <c r="O46" s="127"/>
      <c r="P46" s="127"/>
      <c r="Q46" s="127"/>
      <c r="R46" s="127"/>
      <c r="S46" s="127"/>
      <c r="T46" s="127"/>
    </row>
    <row r="47" spans="1:20" s="128" customFormat="1" x14ac:dyDescent="0.2">
      <c r="A47" s="127"/>
      <c r="B47" s="127"/>
      <c r="C47" s="127"/>
      <c r="D47" s="129"/>
      <c r="E47" s="1" t="s">
        <v>144</v>
      </c>
      <c r="H47" s="165">
        <v>52200</v>
      </c>
      <c r="I47" s="160">
        <v>0</v>
      </c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9" spans="1:16" ht="15" x14ac:dyDescent="0.2">
      <c r="A49" s="18" t="s">
        <v>153</v>
      </c>
      <c r="B49" s="18"/>
      <c r="C49" s="16"/>
      <c r="D49" s="16"/>
      <c r="E49" s="16"/>
      <c r="F49" s="16"/>
      <c r="G49" s="16"/>
      <c r="H49" s="16"/>
      <c r="I49" s="16"/>
      <c r="J49" s="16"/>
      <c r="K49" s="16"/>
      <c r="L49" s="17"/>
      <c r="M49" s="17"/>
      <c r="N49" s="17"/>
      <c r="O49" s="17"/>
      <c r="P49" s="17"/>
    </row>
    <row r="52" spans="1:16" x14ac:dyDescent="0.2">
      <c r="B52" s="30" t="s">
        <v>178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4" spans="1:16" x14ac:dyDescent="0.2">
      <c r="C54" s="8" t="s">
        <v>152</v>
      </c>
      <c r="G54" s="307">
        <v>5400000</v>
      </c>
      <c r="H54" s="69">
        <v>45107</v>
      </c>
    </row>
    <row r="56" spans="1:16" x14ac:dyDescent="0.2">
      <c r="C56" s="8" t="s">
        <v>169</v>
      </c>
      <c r="G56" s="165">
        <v>0</v>
      </c>
      <c r="H56" s="69">
        <f>input_dollars</f>
        <v>45291</v>
      </c>
    </row>
    <row r="58" spans="1:16" x14ac:dyDescent="0.2">
      <c r="C58" s="14" t="str">
        <f>Data!A83</f>
        <v>Disproportionate factors applied to various bushfire and other risk valuations</v>
      </c>
    </row>
    <row r="59" spans="1:16" x14ac:dyDescent="0.2">
      <c r="C59" s="8" t="str">
        <f>Data!B85</f>
        <v>Harm to property from network</v>
      </c>
      <c r="G59" s="305">
        <f>Data!F85</f>
        <v>1</v>
      </c>
    </row>
    <row r="60" spans="1:16" x14ac:dyDescent="0.2">
      <c r="C60" s="8" t="str">
        <f>Data!B86</f>
        <v>Harm to property from bushfire</v>
      </c>
      <c r="G60" s="305">
        <f>Data!F86</f>
        <v>1</v>
      </c>
    </row>
    <row r="61" spans="1:16" x14ac:dyDescent="0.2">
      <c r="C61" s="8" t="str">
        <f>Data!B87</f>
        <v>Harm to environment</v>
      </c>
      <c r="G61" s="305">
        <f>Data!F87</f>
        <v>1</v>
      </c>
    </row>
    <row r="62" spans="1:16" x14ac:dyDescent="0.2">
      <c r="C62" s="8" t="str">
        <f>Data!B88</f>
        <v>Safety - Public trespass</v>
      </c>
      <c r="G62" s="305">
        <f>Data!F88</f>
        <v>1</v>
      </c>
    </row>
    <row r="63" spans="1:16" x14ac:dyDescent="0.2">
      <c r="C63" s="8" t="str">
        <f>Data!B89</f>
        <v>Safety - Single fatality or serious injury ^</v>
      </c>
      <c r="G63" s="305">
        <f>Data!F89</f>
        <v>3</v>
      </c>
    </row>
    <row r="64" spans="1:16" x14ac:dyDescent="0.2">
      <c r="C64" s="8" t="str">
        <f>Data!B90</f>
        <v>Safety from bushfire in HBRA</v>
      </c>
      <c r="G64" s="305">
        <f>Data!F90</f>
        <v>3</v>
      </c>
    </row>
    <row r="65" spans="3:13" x14ac:dyDescent="0.2">
      <c r="C65" s="8" t="str">
        <f>Data!B91</f>
        <v>Safety - Multiple fatality or serious injury ^</v>
      </c>
      <c r="G65" s="305">
        <f>Data!F91</f>
        <v>6</v>
      </c>
    </row>
    <row r="66" spans="3:13" x14ac:dyDescent="0.2">
      <c r="C66" s="8" t="str">
        <f>Data!B92</f>
        <v>Safety from bushfire (REFCL declared areas)</v>
      </c>
      <c r="G66" s="305">
        <f>Data!F92</f>
        <v>6</v>
      </c>
    </row>
    <row r="67" spans="3:13" x14ac:dyDescent="0.2">
      <c r="C67" s="8" t="str">
        <f>Data!B93</f>
        <v>Safety from bushfire (electric line construction areas)</v>
      </c>
      <c r="G67" s="305">
        <f>Data!F93</f>
        <v>10</v>
      </c>
    </row>
    <row r="68" spans="3:13" x14ac:dyDescent="0.2">
      <c r="E68"/>
      <c r="F68"/>
      <c r="G68"/>
      <c r="H68"/>
    </row>
    <row r="70" spans="3:13" x14ac:dyDescent="0.2">
      <c r="C70" s="82" t="s">
        <v>113</v>
      </c>
    </row>
    <row r="73" spans="3:13" x14ac:dyDescent="0.2">
      <c r="C73" s="53" t="s">
        <v>185</v>
      </c>
      <c r="D73" s="59"/>
      <c r="E73" s="59"/>
      <c r="F73" s="59"/>
      <c r="G73" s="158" t="s">
        <v>68</v>
      </c>
      <c r="H73" s="158" t="s">
        <v>170</v>
      </c>
      <c r="I73" s="158" t="s">
        <v>184</v>
      </c>
      <c r="J73" s="157" t="s">
        <v>188</v>
      </c>
      <c r="K73" s="158"/>
      <c r="L73" s="158"/>
      <c r="M73" s="158"/>
    </row>
    <row r="74" spans="3:13" x14ac:dyDescent="0.2">
      <c r="C74" s="8" t="s">
        <v>171</v>
      </c>
      <c r="G74" s="159">
        <f>G54*INDEX(hy_escalation, MATCH(input_dollars,hy_dates,0))/INDEX(hy_escalation, MATCH(H54,hy_dates,0))</f>
        <v>5607473.5197347086</v>
      </c>
      <c r="H74" s="164">
        <v>0</v>
      </c>
      <c r="I74" s="166">
        <v>0</v>
      </c>
      <c r="J74" s="371">
        <v>0</v>
      </c>
      <c r="K74" s="372"/>
      <c r="L74" s="372"/>
      <c r="M74" s="373"/>
    </row>
    <row r="75" spans="3:13" x14ac:dyDescent="0.2">
      <c r="C75" s="8" t="s">
        <v>172</v>
      </c>
      <c r="G75" s="159">
        <f>G56*INDEX(hy_escalation, MATCH(input_dollars,hy_dates,0))/INDEX(hy_escalation, MATCH(H56,hy_dates,0))</f>
        <v>0</v>
      </c>
      <c r="H75" s="163">
        <v>0</v>
      </c>
      <c r="I75" s="166">
        <v>0</v>
      </c>
      <c r="J75" s="371">
        <v>0</v>
      </c>
      <c r="K75" s="372"/>
      <c r="L75" s="372"/>
      <c r="M75" s="373"/>
    </row>
    <row r="76" spans="3:13" x14ac:dyDescent="0.2">
      <c r="I76" s="162"/>
      <c r="M76"/>
    </row>
    <row r="77" spans="3:13" x14ac:dyDescent="0.2">
      <c r="G77" s="167"/>
    </row>
    <row r="78" spans="3:13" x14ac:dyDescent="0.2">
      <c r="C78" s="82"/>
    </row>
    <row r="81" spans="1:16" x14ac:dyDescent="0.2">
      <c r="B81" s="30" t="s">
        <v>179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1:16" x14ac:dyDescent="0.2">
      <c r="C82" s="8" t="s">
        <v>173</v>
      </c>
      <c r="G82" s="155">
        <v>0</v>
      </c>
      <c r="H82" s="69">
        <f>input_dollars</f>
        <v>45291</v>
      </c>
    </row>
    <row r="83" spans="1:16" x14ac:dyDescent="0.2">
      <c r="C83" s="8" t="s">
        <v>174</v>
      </c>
      <c r="G83" s="155">
        <v>0</v>
      </c>
      <c r="H83" s="69">
        <f>input_dollars</f>
        <v>45291</v>
      </c>
    </row>
    <row r="85" spans="1:16" x14ac:dyDescent="0.2">
      <c r="C85" s="8" t="s">
        <v>175</v>
      </c>
      <c r="G85" s="160">
        <v>0.2</v>
      </c>
    </row>
    <row r="90" spans="1:16" x14ac:dyDescent="0.2">
      <c r="A90" s="1"/>
      <c r="B90" s="1"/>
      <c r="C90" s="1"/>
      <c r="D90" s="1"/>
      <c r="E90" s="1"/>
      <c r="F90" s="1"/>
      <c r="K90" s="1"/>
      <c r="L90" s="1"/>
      <c r="M90" s="1"/>
      <c r="N90" s="1"/>
      <c r="O90" s="1"/>
    </row>
    <row r="91" spans="1:16" ht="15" x14ac:dyDescent="0.2">
      <c r="A91" s="18" t="s">
        <v>55</v>
      </c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7"/>
      <c r="M91" s="17"/>
      <c r="N91" s="17"/>
      <c r="O91" s="17"/>
      <c r="P91" s="17"/>
    </row>
    <row r="92" spans="1:16" x14ac:dyDescent="0.2">
      <c r="A92" s="1"/>
      <c r="B92" s="1"/>
      <c r="C92" s="1"/>
      <c r="D92" s="1"/>
      <c r="F92" s="1"/>
      <c r="H92" s="1"/>
      <c r="L92" s="1"/>
      <c r="N92" s="1"/>
      <c r="O92" s="1"/>
    </row>
    <row r="93" spans="1:16" x14ac:dyDescent="0.2">
      <c r="A93" s="1"/>
      <c r="B93" s="30" t="s">
        <v>180</v>
      </c>
      <c r="C93" s="30"/>
      <c r="D93" s="30"/>
      <c r="E93" s="30"/>
      <c r="F93" s="30"/>
      <c r="G93" s="30"/>
      <c r="H93" s="53"/>
      <c r="I93" s="53"/>
      <c r="J93" s="53"/>
      <c r="K93" s="70" t="s">
        <v>19</v>
      </c>
      <c r="L93" s="70" t="s">
        <v>21</v>
      </c>
      <c r="M93" s="70" t="s">
        <v>20</v>
      </c>
      <c r="N93" s="70" t="s">
        <v>22</v>
      </c>
      <c r="O93" s="70" t="s">
        <v>93</v>
      </c>
      <c r="P93" s="70" t="s">
        <v>94</v>
      </c>
    </row>
    <row r="94" spans="1:16" ht="13.5" x14ac:dyDescent="0.25">
      <c r="A94" s="1"/>
      <c r="B94" s="1"/>
      <c r="C94" s="1" t="s">
        <v>73</v>
      </c>
      <c r="D94" s="1"/>
      <c r="F94" s="1"/>
      <c r="G94" s="68"/>
      <c r="H94" s="69">
        <f>G35</f>
        <v>45107</v>
      </c>
      <c r="I94" s="71" t="s">
        <v>62</v>
      </c>
      <c r="J94" s="71"/>
      <c r="K94" s="308">
        <v>2.4730486797759084E-2</v>
      </c>
      <c r="L94" s="308">
        <v>2.2340740091772258E-2</v>
      </c>
      <c r="M94" s="308">
        <v>2.0196329122153123E-2</v>
      </c>
      <c r="N94" s="308">
        <v>1.806294207659629E-2</v>
      </c>
      <c r="O94" s="308">
        <v>1.5913397615084226E-2</v>
      </c>
      <c r="P94" s="308">
        <v>1.3715069432539001E-2</v>
      </c>
    </row>
    <row r="95" spans="1:16" x14ac:dyDescent="0.2">
      <c r="A95" s="1"/>
      <c r="B95" s="1"/>
      <c r="C95" s="1"/>
      <c r="D95" s="1"/>
      <c r="E95" s="1"/>
      <c r="F95" s="1"/>
      <c r="G95" s="1"/>
      <c r="K95" s="1"/>
      <c r="L95" s="1"/>
      <c r="M95" s="1"/>
      <c r="N95" s="1"/>
      <c r="O95" s="1"/>
    </row>
    <row r="96" spans="1:16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16" x14ac:dyDescent="0.2">
      <c r="A97" s="1"/>
      <c r="B97" s="30" t="s">
        <v>181</v>
      </c>
      <c r="C97" s="30"/>
      <c r="D97" s="30"/>
      <c r="E97" s="30"/>
      <c r="F97" s="30"/>
      <c r="G97" s="70" t="s">
        <v>68</v>
      </c>
      <c r="H97" s="30"/>
      <c r="I97" s="30"/>
      <c r="J97" s="39"/>
      <c r="K97" s="1"/>
      <c r="L97" s="1"/>
    </row>
    <row r="98" spans="1:16" x14ac:dyDescent="0.2">
      <c r="A98" s="1"/>
      <c r="B98" s="1"/>
      <c r="C98" s="1" t="str">
        <f>Data!B60</f>
        <v>Reliability in worst-served areas</v>
      </c>
      <c r="D98" s="1"/>
      <c r="E98"/>
      <c r="F98" s="1"/>
      <c r="G98" s="307">
        <v>67500</v>
      </c>
      <c r="H98" s="69">
        <f t="shared" ref="H98:H105" si="0">custval_date</f>
        <v>45291</v>
      </c>
      <c r="I98" s="71" t="s">
        <v>53</v>
      </c>
      <c r="J98" s="71"/>
      <c r="K98" s="1"/>
      <c r="P98" s="1"/>
    </row>
    <row r="99" spans="1:16" x14ac:dyDescent="0.2">
      <c r="A99" s="1"/>
      <c r="B99" s="1"/>
      <c r="C99" s="1" t="str">
        <f>Data!B61</f>
        <v>Network resilience</v>
      </c>
      <c r="D99" s="1"/>
      <c r="E99"/>
      <c r="F99" s="1"/>
      <c r="G99" s="307">
        <v>24590</v>
      </c>
      <c r="H99" s="69">
        <f t="shared" si="0"/>
        <v>45291</v>
      </c>
      <c r="I99" s="71" t="s">
        <v>53</v>
      </c>
      <c r="J99" s="71"/>
      <c r="P99" s="1"/>
    </row>
    <row r="100" spans="1:16" x14ac:dyDescent="0.2">
      <c r="A100" s="1"/>
      <c r="B100" s="1"/>
      <c r="C100" s="1" t="str">
        <f>Data!B62</f>
        <v>Enabling solar exports</v>
      </c>
      <c r="D100" s="1"/>
      <c r="E100"/>
      <c r="G100" s="307">
        <v>88.357719508603083</v>
      </c>
      <c r="H100" s="69">
        <f t="shared" si="0"/>
        <v>45291</v>
      </c>
      <c r="I100" s="71" t="s">
        <v>53</v>
      </c>
      <c r="J100" s="71"/>
      <c r="P100" s="1"/>
    </row>
    <row r="101" spans="1:16" x14ac:dyDescent="0.2">
      <c r="A101" s="1"/>
      <c r="B101" s="1"/>
      <c r="C101" s="1" t="str">
        <f>Data!B63</f>
        <v>Aesthetics</v>
      </c>
      <c r="D101" s="1"/>
      <c r="E101"/>
      <c r="G101" s="308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 t="str">
        <f>Data!B64</f>
        <v>Customer value of time - residential</v>
      </c>
      <c r="D102" s="1"/>
      <c r="E102"/>
      <c r="G102" s="308">
        <v>0.35181336539087127</v>
      </c>
      <c r="H102" s="69">
        <f t="shared" si="0"/>
        <v>45291</v>
      </c>
      <c r="I102" s="71" t="s">
        <v>79</v>
      </c>
      <c r="J102" s="71"/>
      <c r="P102" s="1"/>
    </row>
    <row r="103" spans="1:16" x14ac:dyDescent="0.2">
      <c r="A103" s="1"/>
      <c r="B103" s="1"/>
      <c r="C103" s="1" t="str">
        <f>Data!B65</f>
        <v>Customer value of time - business</v>
      </c>
      <c r="D103" s="1"/>
      <c r="E103"/>
      <c r="G103" s="308">
        <v>0.35181336539087127</v>
      </c>
      <c r="H103" s="69">
        <f t="shared" si="0"/>
        <v>45291</v>
      </c>
      <c r="I103" s="71" t="s">
        <v>79</v>
      </c>
      <c r="J103" s="71"/>
      <c r="P103" s="1"/>
    </row>
    <row r="104" spans="1:16" x14ac:dyDescent="0.2">
      <c r="A104" s="1"/>
      <c r="B104" s="1"/>
      <c r="C104" s="1" t="str">
        <f>Data!B66</f>
        <v>Communication</v>
      </c>
      <c r="D104" s="1"/>
      <c r="E104"/>
      <c r="G104" s="308">
        <v>0</v>
      </c>
      <c r="H104" s="69">
        <f t="shared" si="0"/>
        <v>45291</v>
      </c>
      <c r="I104" s="71" t="s">
        <v>78</v>
      </c>
      <c r="J104" s="71"/>
      <c r="P104" s="1"/>
    </row>
    <row r="105" spans="1:16" x14ac:dyDescent="0.2">
      <c r="A105" s="1"/>
      <c r="B105" s="1"/>
      <c r="C105" s="1" t="str">
        <f>Data!B67</f>
        <v>Information accessibility</v>
      </c>
      <c r="D105" s="1"/>
      <c r="E105"/>
      <c r="G105" s="308">
        <v>0</v>
      </c>
      <c r="H105" s="69">
        <f t="shared" si="0"/>
        <v>45291</v>
      </c>
      <c r="I105" s="71" t="s">
        <v>78</v>
      </c>
      <c r="J105" s="71"/>
      <c r="P105" s="1"/>
    </row>
    <row r="106" spans="1:16" x14ac:dyDescent="0.2">
      <c r="A106" s="1"/>
      <c r="B106" s="1"/>
      <c r="C106" s="1"/>
      <c r="D106" s="1"/>
      <c r="E106"/>
      <c r="L106" s="1"/>
      <c r="N106" s="1"/>
      <c r="O106" s="1"/>
      <c r="P106" s="1"/>
    </row>
    <row r="107" spans="1:16" x14ac:dyDescent="0.2">
      <c r="A107" s="1"/>
      <c r="B107" s="1"/>
      <c r="C107" s="1"/>
      <c r="D107" s="1"/>
      <c r="E107"/>
      <c r="F107" s="1"/>
      <c r="L107" s="1"/>
      <c r="N107" s="1"/>
      <c r="O107" s="1"/>
    </row>
    <row r="110" spans="1:16" ht="15" x14ac:dyDescent="0.2">
      <c r="A110" s="18" t="s">
        <v>219</v>
      </c>
      <c r="B110" s="18"/>
      <c r="C110" s="16"/>
      <c r="D110" s="16"/>
      <c r="E110" s="16"/>
      <c r="F110" s="16"/>
      <c r="G110" s="16"/>
      <c r="H110" s="16"/>
      <c r="I110" s="16"/>
      <c r="J110" s="16"/>
      <c r="K110" s="16"/>
      <c r="L110" s="17"/>
      <c r="M110" s="17"/>
      <c r="N110" s="17"/>
      <c r="O110" s="17"/>
      <c r="P110" s="17"/>
    </row>
    <row r="111" spans="1:16" x14ac:dyDescent="0.2">
      <c r="A111" s="1"/>
      <c r="B111" s="1"/>
      <c r="C111" s="1"/>
      <c r="D111" s="1"/>
      <c r="E111" s="1"/>
      <c r="F111" s="1"/>
      <c r="G111" s="1"/>
      <c r="K111" s="1"/>
      <c r="L111" s="1"/>
      <c r="M111" s="1"/>
      <c r="N111" s="1"/>
      <c r="O111" s="1"/>
    </row>
    <row r="112" spans="1:16" x14ac:dyDescent="0.2">
      <c r="A112" s="1"/>
      <c r="B112" s="1"/>
      <c r="C112" s="1"/>
      <c r="D112" s="1"/>
      <c r="E112" s="1"/>
      <c r="F112" s="1"/>
      <c r="G112" s="1"/>
      <c r="K112" s="1"/>
      <c r="L112" s="1"/>
      <c r="M112" s="1"/>
      <c r="N112" s="1"/>
      <c r="O112" s="1"/>
    </row>
    <row r="113" spans="1:16" x14ac:dyDescent="0.2">
      <c r="A113" s="1"/>
      <c r="B113" s="1"/>
      <c r="C113" s="1"/>
      <c r="D113" s="1"/>
      <c r="E113" s="1"/>
      <c r="F113" s="1"/>
      <c r="G113" s="1"/>
      <c r="K113" s="1"/>
      <c r="L113" s="1"/>
      <c r="M113" s="1"/>
      <c r="N113" s="1"/>
      <c r="O113" s="1"/>
    </row>
    <row r="114" spans="1:16" x14ac:dyDescent="0.2">
      <c r="A114" s="6"/>
      <c r="B114" s="172"/>
      <c r="C114" s="299"/>
      <c r="D114" s="59"/>
      <c r="E114" s="300"/>
      <c r="F114" s="299"/>
      <c r="G114" s="299" t="s">
        <v>17</v>
      </c>
      <c r="H114" s="299" t="s">
        <v>243</v>
      </c>
      <c r="I114"/>
      <c r="J114"/>
      <c r="K114"/>
      <c r="L114"/>
      <c r="M114"/>
      <c r="N114"/>
      <c r="O114"/>
      <c r="P114"/>
    </row>
    <row r="115" spans="1:16" x14ac:dyDescent="0.2">
      <c r="B115" s="8">
        <v>1</v>
      </c>
      <c r="C115" s="8" t="str">
        <f>IF(G115=0, "", G$114&amp;" "&amp;ABS($G115)*100&amp;"%"&amp;IF($G115&gt;0, " higher", " lower"))&amp;IF(AND(G115&lt;&gt;0, H115&lt;&gt;0), " &amp; ", "")&amp;IF(H115=0, "", H$114&amp;" "&amp;ABS($H115)*100&amp;"%"&amp;IF($H115&gt;0, " higher", " lower"))</f>
        <v>Capex 10% higher</v>
      </c>
      <c r="E115" s="268"/>
      <c r="G115" s="309">
        <v>0.1</v>
      </c>
      <c r="H115" s="309">
        <v>0</v>
      </c>
      <c r="I115" s="262"/>
      <c r="J115"/>
      <c r="K115"/>
      <c r="L115"/>
      <c r="M115"/>
      <c r="N115"/>
      <c r="O115"/>
      <c r="P115"/>
    </row>
    <row r="116" spans="1:16" x14ac:dyDescent="0.2">
      <c r="B116" s="8">
        <v>2</v>
      </c>
      <c r="C116" s="8" t="str">
        <f>IF(G116=0, "", G$114&amp;" "&amp;ABS($G116)*100&amp;"%"&amp;IF($G116&gt;0, " higher", " lower"))&amp;IF(AND(G116&lt;&gt;0, H116&lt;&gt;0), " &amp; ", "")&amp;IF(H116=0, "", H$114&amp;" "&amp;ABS($H116)*100&amp;"%"&amp;IF($H116&gt;0, " higher", " lower"))</f>
        <v>Capex 10% lower</v>
      </c>
      <c r="E116" s="268"/>
      <c r="G116" s="309">
        <v>-0.1</v>
      </c>
      <c r="H116" s="309">
        <v>0</v>
      </c>
      <c r="I116" s="262"/>
      <c r="J116"/>
      <c r="K116"/>
      <c r="L116"/>
      <c r="M116"/>
      <c r="N116"/>
      <c r="O116"/>
      <c r="P116"/>
    </row>
    <row r="117" spans="1:16" x14ac:dyDescent="0.2">
      <c r="B117" s="8">
        <v>3</v>
      </c>
      <c r="C117" s="8" t="s">
        <v>302</v>
      </c>
      <c r="E117" s="268"/>
      <c r="G117" s="310">
        <v>0</v>
      </c>
      <c r="H117" s="309">
        <v>0.15</v>
      </c>
      <c r="I117" s="262"/>
      <c r="J117"/>
      <c r="K117"/>
      <c r="L117"/>
      <c r="M117"/>
      <c r="N117"/>
      <c r="O117"/>
      <c r="P117"/>
    </row>
    <row r="118" spans="1:16" x14ac:dyDescent="0.2">
      <c r="B118" s="8">
        <v>4</v>
      </c>
      <c r="C118" s="8" t="str">
        <f>IF(G118=0, "", G$114&amp;" "&amp;ABS($G118)*100&amp;"%"&amp;IF($G118&gt;0, " higher", " lower"))&amp;IF(AND(G118&lt;&gt;0, H118&lt;&gt;0), " &amp; ", "")&amp;IF(H118=0, "", H$114&amp;" "&amp;ABS($H118)*100&amp;"%"&amp;IF($H118&gt;0, " higher", " lower"))</f>
        <v/>
      </c>
      <c r="E118" s="268"/>
      <c r="G118" s="310">
        <v>0</v>
      </c>
      <c r="H118" s="309">
        <v>0</v>
      </c>
      <c r="I118" s="262"/>
      <c r="J118"/>
      <c r="K118"/>
      <c r="L118"/>
      <c r="M118"/>
      <c r="N118"/>
      <c r="O118"/>
      <c r="P118"/>
    </row>
    <row r="119" spans="1:16" x14ac:dyDescent="0.2">
      <c r="B119" s="8">
        <v>5</v>
      </c>
      <c r="C119" s="8" t="str">
        <f>IF(G119=0, "", G$114&amp;" "&amp;ABS($G119)*100&amp;"%"&amp;IF($G119&gt;0, " higher", " lower"))&amp;IF(AND(G119&lt;&gt;0, H119&lt;&gt;0), " &amp; ", "")&amp;IF(H119=0, "", H$114&amp;" "&amp;ABS($H119)*100&amp;"%"&amp;IF($H119&gt;0, " higher", " lower"))</f>
        <v/>
      </c>
      <c r="E119" s="268"/>
      <c r="G119" s="309">
        <v>0</v>
      </c>
      <c r="H119" s="309">
        <v>0</v>
      </c>
      <c r="I119" s="262"/>
      <c r="J119"/>
      <c r="K119"/>
      <c r="L119"/>
      <c r="M119"/>
      <c r="N119"/>
      <c r="O119"/>
      <c r="P119"/>
    </row>
    <row r="120" spans="1:16" x14ac:dyDescent="0.2">
      <c r="E120" s="268"/>
      <c r="H120"/>
      <c r="I120"/>
      <c r="J120"/>
      <c r="K120"/>
      <c r="L120"/>
      <c r="M120"/>
      <c r="N120"/>
      <c r="O120"/>
      <c r="P120"/>
    </row>
    <row r="121" spans="1:16" x14ac:dyDescent="0.2">
      <c r="E121" s="261"/>
      <c r="H121"/>
      <c r="I121"/>
      <c r="J121"/>
      <c r="K121"/>
      <c r="L121"/>
      <c r="M121"/>
      <c r="N121"/>
      <c r="O121"/>
      <c r="P121"/>
    </row>
    <row r="122" spans="1:16" x14ac:dyDescent="0.2">
      <c r="H122"/>
      <c r="I122"/>
      <c r="J122"/>
      <c r="K122"/>
      <c r="L122"/>
      <c r="M122"/>
      <c r="N122"/>
      <c r="O122"/>
      <c r="P122"/>
    </row>
    <row r="123" spans="1:16" x14ac:dyDescent="0.2">
      <c r="H123"/>
      <c r="I123"/>
      <c r="J123"/>
      <c r="K123"/>
      <c r="L123"/>
      <c r="M123"/>
      <c r="N123"/>
      <c r="O123"/>
      <c r="P123"/>
    </row>
    <row r="124" spans="1:16" x14ac:dyDescent="0.2">
      <c r="H124"/>
      <c r="I124"/>
      <c r="J124"/>
      <c r="K124"/>
      <c r="L124"/>
      <c r="M124"/>
      <c r="N124"/>
      <c r="O124"/>
      <c r="P124"/>
    </row>
    <row r="125" spans="1:16" x14ac:dyDescent="0.2">
      <c r="H125"/>
      <c r="I125"/>
      <c r="J125"/>
      <c r="K125"/>
      <c r="L125"/>
      <c r="M125"/>
      <c r="N125"/>
      <c r="O125"/>
      <c r="P125"/>
    </row>
    <row r="126" spans="1:16" x14ac:dyDescent="0.2">
      <c r="H126"/>
      <c r="I126"/>
      <c r="J126"/>
      <c r="K126"/>
      <c r="L126"/>
      <c r="M126"/>
      <c r="N126"/>
      <c r="O126"/>
      <c r="P126"/>
    </row>
  </sheetData>
  <mergeCells count="7">
    <mergeCell ref="J74:M74"/>
    <mergeCell ref="J75:M75"/>
    <mergeCell ref="E8:H8"/>
    <mergeCell ref="E14:K14"/>
    <mergeCell ref="E16:K16"/>
    <mergeCell ref="E17:K17"/>
    <mergeCell ref="E18:K18"/>
  </mergeCells>
  <phoneticPr fontId="76" type="noConversion"/>
  <conditionalFormatting sqref="G41">
    <cfRule type="expression" dxfId="16" priority="162">
      <formula>E41=#REF!</formula>
    </cfRule>
  </conditionalFormatting>
  <dataValidations count="1">
    <dataValidation type="list" allowBlank="1" showInputMessage="1" showErrorMessage="1" sqref="E41" xr:uid="{3C3B5659-643B-4DFF-A84D-4D674BA4C05E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85" zoomScaleNormal="85" workbookViewId="0">
      <pane xSplit="7" ySplit="10" topLeftCell="H11" activePane="bottomRight" state="frozen"/>
      <selection activeCell="I105" sqref="I105"/>
      <selection pane="topRight" activeCell="I105" sqref="I105"/>
      <selection pane="bottomLeft" activeCell="I105" sqref="I105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1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Ballan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146</v>
      </c>
      <c r="B3" s="5"/>
      <c r="C3" s="135"/>
      <c r="D3" s="94"/>
    </row>
    <row r="4" spans="1:43" x14ac:dyDescent="0.2">
      <c r="A4" s="168"/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2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1" t="s">
        <v>63</v>
      </c>
      <c r="I7" s="99">
        <f>IF(ISBLANK(Assumptions!K94), H7,Assumptions!K94*thous_conv)</f>
        <v>24.730486797759085</v>
      </c>
      <c r="J7" s="99">
        <f>IF(ISBLANK(Assumptions!L94), I7,Assumptions!L94*thous_conv)</f>
        <v>22.340740091772258</v>
      </c>
      <c r="K7" s="99">
        <f>IF(ISBLANK(Assumptions!M94), J7,Assumptions!M94*thous_conv)</f>
        <v>20.196329122153124</v>
      </c>
      <c r="L7" s="99">
        <f>IF(ISBLANK(Assumptions!N94), K7,Assumptions!N94*thous_conv)</f>
        <v>18.06294207659629</v>
      </c>
      <c r="M7" s="99">
        <f>IF(ISBLANK(Assumptions!O94), L7,Assumptions!O94*thous_conv)</f>
        <v>15.913397615084225</v>
      </c>
      <c r="N7" s="99">
        <f>IF(ISBLANK(Assumptions!P94), M7,Assumptions!P94*thous_conv)</f>
        <v>13.715069432539002</v>
      </c>
      <c r="O7" s="99">
        <f>IF(ISBLANK(Assumptions!Q94), N7,Assumptions!Q94*thous_conv)</f>
        <v>13.715069432539002</v>
      </c>
      <c r="P7" s="99">
        <f>IF(ISBLANK(Assumptions!R94), O7,Assumptions!R94*thous_conv)</f>
        <v>13.715069432539002</v>
      </c>
      <c r="Q7" s="99">
        <f>IF(ISBLANK(Assumptions!S94), P7,Assumptions!S94*thous_conv)</f>
        <v>13.715069432539002</v>
      </c>
      <c r="R7" s="99">
        <f>IF(ISBLANK(Assumptions!T94), Q7,Assumptions!T94*thous_conv)</f>
        <v>13.715069432539002</v>
      </c>
      <c r="S7" s="99">
        <f>IF(ISBLANK(Assumptions!U94), R7,Assumptions!U94*thous_conv)</f>
        <v>13.715069432539002</v>
      </c>
      <c r="T7" s="99">
        <f>IF(ISBLANK(Assumptions!V94), S7,Assumptions!V94*thous_conv)</f>
        <v>13.715069432539002</v>
      </c>
      <c r="U7" s="99">
        <f>IF(ISBLANK(Assumptions!W94), T7,Assumptions!W94*thous_conv)</f>
        <v>13.715069432539002</v>
      </c>
      <c r="V7" s="99">
        <f>IF(ISBLANK(Assumptions!X94), U7,Assumptions!X94*thous_conv)</f>
        <v>13.715069432539002</v>
      </c>
      <c r="W7" s="99">
        <f>IF(ISBLANK(Assumptions!Y94), V7,Assumptions!Y94*thous_conv)</f>
        <v>13.715069432539002</v>
      </c>
      <c r="X7" s="99">
        <f>IF(ISBLANK(Assumptions!Z94), W7,Assumptions!Z94*thous_conv)</f>
        <v>13.715069432539002</v>
      </c>
      <c r="Y7" s="99">
        <f>IF(ISBLANK(Assumptions!AA94), X7,Assumptions!AA94*thous_conv)</f>
        <v>13.715069432539002</v>
      </c>
      <c r="Z7" s="99">
        <f>IF(ISBLANK(Assumptions!AB94), Y7,Assumptions!AB94*thous_conv)</f>
        <v>13.715069432539002</v>
      </c>
      <c r="AA7" s="99">
        <f>IF(ISBLANK(Assumptions!AC94), Z7,Assumptions!AC94*thous_conv)</f>
        <v>13.715069432539002</v>
      </c>
      <c r="AB7" s="99">
        <f>IF(ISBLANK(Assumptions!AD94), AA7,Assumptions!AD94*thous_conv)</f>
        <v>13.715069432539002</v>
      </c>
      <c r="AC7" s="99">
        <f>IF(ISBLANK(Assumptions!AE94), AB7,Assumptions!AE94*thous_conv)</f>
        <v>13.715069432539002</v>
      </c>
      <c r="AD7" s="99">
        <f>IF(ISBLANK(Assumptions!AF94), AC7,Assumptions!AF94*thous_conv)</f>
        <v>13.715069432539002</v>
      </c>
      <c r="AE7" s="99">
        <f>IF(ISBLANK(Assumptions!AG94), AD7,Assumptions!AG94*thous_conv)</f>
        <v>13.715069432539002</v>
      </c>
      <c r="AF7" s="99">
        <f>IF(ISBLANK(Assumptions!AH94), AE7,Assumptions!AH94*thous_conv)</f>
        <v>13.715069432539002</v>
      </c>
      <c r="AG7" s="99">
        <f>IF(ISBLANK(Assumptions!AI94), AF7,Assumptions!AI94*thous_conv)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2"/>
      <c r="B9" s="182"/>
      <c r="C9" s="182"/>
      <c r="D9" s="182"/>
      <c r="E9" s="182"/>
      <c r="F9" s="183"/>
      <c r="G9" s="182" t="s">
        <v>25</v>
      </c>
      <c r="H9" s="361">
        <f>DATE(LEFT(I9,4), 6,30)</f>
        <v>46203</v>
      </c>
      <c r="I9" s="184" t="str">
        <f>start</f>
        <v>2026-27</v>
      </c>
      <c r="J9" s="184" t="str">
        <f t="shared" ref="J9:AG9" si="1">LEFT(I9,4)+1&amp;"-"&amp;RIGHT(I9,2)+1</f>
        <v>2027-28</v>
      </c>
      <c r="K9" s="184" t="str">
        <f t="shared" si="1"/>
        <v>2028-29</v>
      </c>
      <c r="L9" s="184" t="str">
        <f t="shared" si="1"/>
        <v>2029-30</v>
      </c>
      <c r="M9" s="184" t="str">
        <f t="shared" si="1"/>
        <v>2030-31</v>
      </c>
      <c r="N9" s="184" t="str">
        <f t="shared" si="1"/>
        <v>2031-32</v>
      </c>
      <c r="O9" s="184" t="str">
        <f t="shared" si="1"/>
        <v>2032-33</v>
      </c>
      <c r="P9" s="184" t="str">
        <f t="shared" si="1"/>
        <v>2033-34</v>
      </c>
      <c r="Q9" s="184" t="str">
        <f t="shared" si="1"/>
        <v>2034-35</v>
      </c>
      <c r="R9" s="184" t="str">
        <f t="shared" si="1"/>
        <v>2035-36</v>
      </c>
      <c r="S9" s="184" t="str">
        <f t="shared" si="1"/>
        <v>2036-37</v>
      </c>
      <c r="T9" s="184" t="str">
        <f t="shared" si="1"/>
        <v>2037-38</v>
      </c>
      <c r="U9" s="184" t="str">
        <f t="shared" si="1"/>
        <v>2038-39</v>
      </c>
      <c r="V9" s="184" t="str">
        <f t="shared" si="1"/>
        <v>2039-40</v>
      </c>
      <c r="W9" s="184" t="str">
        <f t="shared" si="1"/>
        <v>2040-41</v>
      </c>
      <c r="X9" s="184" t="str">
        <f t="shared" si="1"/>
        <v>2041-42</v>
      </c>
      <c r="Y9" s="184" t="str">
        <f t="shared" si="1"/>
        <v>2042-43</v>
      </c>
      <c r="Z9" s="184" t="str">
        <f t="shared" si="1"/>
        <v>2043-44</v>
      </c>
      <c r="AA9" s="184" t="str">
        <f t="shared" si="1"/>
        <v>2044-45</v>
      </c>
      <c r="AB9" s="184" t="str">
        <f t="shared" si="1"/>
        <v>2045-46</v>
      </c>
      <c r="AC9" s="184" t="str">
        <f t="shared" si="1"/>
        <v>2046-47</v>
      </c>
      <c r="AD9" s="184" t="str">
        <f t="shared" si="1"/>
        <v>2047-48</v>
      </c>
      <c r="AE9" s="184" t="str">
        <f t="shared" si="1"/>
        <v>2048-49</v>
      </c>
      <c r="AF9" s="184" t="str">
        <f t="shared" si="1"/>
        <v>2049-50</v>
      </c>
      <c r="AG9" s="184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37">
        <v>0</v>
      </c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SUM(Workings_risks!$F$19*Workings_risks!I27,Workings_risks!I26*Workings_risks!$F$18)*Workings_risks!$F$13*Workings_risks!I8</f>
        <v>6.8927969388658203</v>
      </c>
      <c r="J27" s="169">
        <f>SUM(Workings_risks!$F$19*Workings_risks!J27,Workings_risks!J26*Workings_risks!$F$18)*Workings_risks!$F$13*Workings_risks!J8</f>
        <v>7.1678824336483427</v>
      </c>
      <c r="K27" s="169">
        <f>SUM(Workings_risks!$F$19*Workings_risks!K27,Workings_risks!K26*Workings_risks!$F$18)*Workings_risks!$F$13*Workings_risks!K8</f>
        <v>7.4850438621399142</v>
      </c>
      <c r="L27" s="169">
        <f>SUM(Workings_risks!$F$19*Workings_risks!L27,Workings_risks!L26*Workings_risks!$F$18)*Workings_risks!$F$13*Workings_risks!L8</f>
        <v>7.8012255064674711</v>
      </c>
      <c r="M27" s="169">
        <f>SUM(Workings_risks!$F$19*Workings_risks!M27,Workings_risks!M26*Workings_risks!$F$18)*Workings_risks!$F$13*Workings_risks!M8</f>
        <v>8.0643428064369296</v>
      </c>
      <c r="N27" s="169">
        <f>SUM(Workings_risks!$F$19*Workings_risks!N27,Workings_risks!N26*Workings_risks!$F$18)*Workings_risks!$F$13*Workings_risks!N8</f>
        <v>8.2301083364981533</v>
      </c>
      <c r="O27" s="169">
        <f>SUM(Workings_risks!$F$19*Workings_risks!O27,Workings_risks!O26*Workings_risks!$F$18)*Workings_risks!$F$13*Workings_risks!O8</f>
        <v>8.4860032261741321</v>
      </c>
      <c r="P27" s="169">
        <f>SUM(Workings_risks!$F$19*Workings_risks!P27,Workings_risks!P26*Workings_risks!$F$18)*Workings_risks!$F$13*Workings_risks!P8</f>
        <v>8.7751294806752043</v>
      </c>
      <c r="Q27" s="169">
        <f>SUM(Workings_risks!$F$19*Workings_risks!Q27,Workings_risks!Q26*Workings_risks!$F$18)*Workings_risks!$F$13*Workings_risks!Q8</f>
        <v>8.9843036774852685</v>
      </c>
      <c r="R27" s="169">
        <f>SUM(Workings_risks!$F$19*Workings_risks!R27,Workings_risks!R26*Workings_risks!$F$18)*Workings_risks!$F$13*Workings_risks!R8</f>
        <v>8.9508050331677733</v>
      </c>
      <c r="S27" s="169">
        <f>SUM(Workings_risks!$F$19*Workings_risks!S27,Workings_risks!S26*Workings_risks!$F$18)*Workings_risks!$F$13*Workings_risks!S8</f>
        <v>8.9173063888502799</v>
      </c>
      <c r="T27" s="169">
        <f>SUM(Workings_risks!$F$19*Workings_risks!T27,Workings_risks!T26*Workings_risks!$F$18)*Workings_risks!$F$13*Workings_risks!T8</f>
        <v>8.8838077445327741</v>
      </c>
      <c r="U27" s="169">
        <f>SUM(Workings_risks!$F$19*Workings_risks!U27,Workings_risks!U26*Workings_risks!$F$18)*Workings_risks!$F$13*Workings_risks!U8</f>
        <v>8.8503091002152807</v>
      </c>
      <c r="V27" s="169">
        <f>SUM(Workings_risks!$F$19*Workings_risks!V27,Workings_risks!V26*Workings_risks!$F$18)*Workings_risks!$F$13*Workings_risks!V8</f>
        <v>8.8168104558977785</v>
      </c>
      <c r="W27" s="169">
        <f>SUM(Workings_risks!$F$19*Workings_risks!W27,Workings_risks!W26*Workings_risks!$F$18)*Workings_risks!$F$13*Workings_risks!W8</f>
        <v>8.7833118115802833</v>
      </c>
      <c r="X27" s="169">
        <f>SUM(Workings_risks!$F$19*Workings_risks!X27,Workings_risks!X26*Workings_risks!$F$18)*Workings_risks!$F$13*Workings_risks!X8</f>
        <v>8.7498131672627792</v>
      </c>
      <c r="Y27" s="169">
        <f>SUM(Workings_risks!$F$19*Workings_risks!Y27,Workings_risks!Y26*Workings_risks!$F$18)*Workings_risks!$F$13*Workings_risks!Y8</f>
        <v>8.7163145229452841</v>
      </c>
      <c r="Z27" s="169">
        <f>SUM(Workings_risks!$F$19*Workings_risks!Z27,Workings_risks!Z26*Workings_risks!$F$18)*Workings_risks!$F$13*Workings_risks!Z8</f>
        <v>8.68281587862778</v>
      </c>
      <c r="AA27" s="169">
        <f>SUM(Workings_risks!$F$19*Workings_risks!AA27,Workings_risks!AA26*Workings_risks!$F$18)*Workings_risks!$F$13*Workings_risks!AA8</f>
        <v>8.6493172343102867</v>
      </c>
      <c r="AB27" s="169">
        <f>SUM(Workings_risks!$F$19*Workings_risks!AB27,Workings_risks!AB26*Workings_risks!$F$18)*Workings_risks!$F$13*Workings_risks!AB8</f>
        <v>8.6158185899927844</v>
      </c>
      <c r="AC27" s="169">
        <f>SUM(Workings_risks!$F$19*Workings_risks!AC27,Workings_risks!AC26*Workings_risks!$F$18)*Workings_risks!$F$13*Workings_risks!AC8</f>
        <v>8.5823199456752874</v>
      </c>
      <c r="AD27" s="169">
        <f>SUM(Workings_risks!$F$19*Workings_risks!AD27,Workings_risks!AD26*Workings_risks!$F$18)*Workings_risks!$F$13*Workings_risks!AD8</f>
        <v>8.5488213013577852</v>
      </c>
      <c r="AE27" s="169">
        <f>SUM(Workings_risks!$F$19*Workings_risks!AE27,Workings_risks!AE26*Workings_risks!$F$18)*Workings_risks!$F$13*Workings_risks!AE8</f>
        <v>8.51532265704029</v>
      </c>
      <c r="AF27" s="169">
        <f>SUM(Workings_risks!$F$19*Workings_risks!AF27,Workings_risks!AF26*Workings_risks!$F$18)*Workings_risks!$F$13*Workings_risks!AF8</f>
        <v>8.4818240127227966</v>
      </c>
      <c r="AG27" s="169">
        <f>SUM(Workings_risks!$F$19*Workings_risks!AG27,Workings_risks!AG26*Workings_risks!$F$18)*Workings_risks!$F$13*Workings_risks!AG8</f>
        <v>8.4483253684052926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38093.432583798196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262570.29550449568</v>
      </c>
      <c r="J28" s="298">
        <f t="shared" ref="J28:AG28" si="3">J27*$E$28</f>
        <v>273049.24625477451</v>
      </c>
      <c r="K28" s="298">
        <f t="shared" si="3"/>
        <v>285131.01374919928</v>
      </c>
      <c r="L28" s="298">
        <f t="shared" si="3"/>
        <v>297175.45790162554</v>
      </c>
      <c r="M28" s="298">
        <f t="shared" si="3"/>
        <v>307198.49902964314</v>
      </c>
      <c r="N28" s="298">
        <f t="shared" si="3"/>
        <v>313513.07707374793</v>
      </c>
      <c r="O28" s="298">
        <f t="shared" si="3"/>
        <v>323260.9918021583</v>
      </c>
      <c r="P28" s="298">
        <f t="shared" si="3"/>
        <v>334274.80328620097</v>
      </c>
      <c r="Q28" s="298">
        <f t="shared" si="3"/>
        <v>342242.96645065531</v>
      </c>
      <c r="R28" s="298">
        <f t="shared" si="3"/>
        <v>340966.88810169813</v>
      </c>
      <c r="S28" s="298">
        <f t="shared" si="3"/>
        <v>339690.80975274107</v>
      </c>
      <c r="T28" s="298">
        <f t="shared" si="3"/>
        <v>338414.73140378355</v>
      </c>
      <c r="U28" s="298">
        <f t="shared" si="3"/>
        <v>337138.65305482649</v>
      </c>
      <c r="V28" s="298">
        <f t="shared" si="3"/>
        <v>335862.57470586908</v>
      </c>
      <c r="W28" s="298">
        <f t="shared" si="3"/>
        <v>334586.4963569119</v>
      </c>
      <c r="X28" s="298">
        <f t="shared" si="3"/>
        <v>333310.41800795443</v>
      </c>
      <c r="Y28" s="298">
        <f t="shared" si="3"/>
        <v>332034.33965899731</v>
      </c>
      <c r="Z28" s="298">
        <f t="shared" si="3"/>
        <v>330758.26131003984</v>
      </c>
      <c r="AA28" s="298">
        <f t="shared" si="3"/>
        <v>329482.18296108278</v>
      </c>
      <c r="AB28" s="298">
        <f t="shared" si="3"/>
        <v>328206.10461212537</v>
      </c>
      <c r="AC28" s="298">
        <f t="shared" si="3"/>
        <v>326930.02626316814</v>
      </c>
      <c r="AD28" s="298">
        <f t="shared" si="3"/>
        <v>325653.94791421073</v>
      </c>
      <c r="AE28" s="298">
        <f t="shared" si="3"/>
        <v>324377.86956525361</v>
      </c>
      <c r="AF28" s="298">
        <f t="shared" si="3"/>
        <v>323101.79121629655</v>
      </c>
      <c r="AG28" s="298">
        <f t="shared" si="3"/>
        <v>321825.71286733908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06">
        <f>SUM(I28:I34)</f>
        <v>262570.29550449568</v>
      </c>
      <c r="J36" s="106">
        <f t="shared" ref="J36:AB36" si="4">SUM(J28:J34)</f>
        <v>273049.24625477451</v>
      </c>
      <c r="K36" s="106">
        <f t="shared" si="4"/>
        <v>285131.01374919928</v>
      </c>
      <c r="L36" s="106">
        <f t="shared" si="4"/>
        <v>297175.45790162554</v>
      </c>
      <c r="M36" s="106">
        <f t="shared" si="4"/>
        <v>307198.49902964314</v>
      </c>
      <c r="N36" s="106">
        <f t="shared" si="4"/>
        <v>313513.07707374793</v>
      </c>
      <c r="O36" s="106">
        <f t="shared" si="4"/>
        <v>323260.9918021583</v>
      </c>
      <c r="P36" s="106">
        <f t="shared" si="4"/>
        <v>334274.80328620097</v>
      </c>
      <c r="Q36" s="106">
        <f t="shared" si="4"/>
        <v>342242.96645065531</v>
      </c>
      <c r="R36" s="106">
        <f t="shared" si="4"/>
        <v>340966.88810169813</v>
      </c>
      <c r="S36" s="106">
        <f t="shared" si="4"/>
        <v>339690.80975274107</v>
      </c>
      <c r="T36" s="106">
        <f t="shared" si="4"/>
        <v>338414.73140378355</v>
      </c>
      <c r="U36" s="106">
        <f t="shared" si="4"/>
        <v>337138.65305482649</v>
      </c>
      <c r="V36" s="106">
        <f t="shared" si="4"/>
        <v>335862.57470586908</v>
      </c>
      <c r="W36" s="106">
        <f t="shared" si="4"/>
        <v>334586.4963569119</v>
      </c>
      <c r="X36" s="106">
        <f t="shared" si="4"/>
        <v>333310.41800795443</v>
      </c>
      <c r="Y36" s="106">
        <f t="shared" si="4"/>
        <v>332034.33965899731</v>
      </c>
      <c r="Z36" s="106">
        <f t="shared" si="4"/>
        <v>330758.26131003984</v>
      </c>
      <c r="AA36" s="106">
        <f t="shared" si="4"/>
        <v>329482.18296108278</v>
      </c>
      <c r="AB36" s="106">
        <f t="shared" si="4"/>
        <v>328206.10461212537</v>
      </c>
      <c r="AC36" s="106">
        <f>SUM(AC28:AC34)</f>
        <v>326930.02626316814</v>
      </c>
      <c r="AD36" s="106">
        <f>SUM(AD28:AD34)</f>
        <v>325653.94791421073</v>
      </c>
      <c r="AE36" s="106">
        <f>SUM(AE28:AE34)</f>
        <v>324377.86956525361</v>
      </c>
      <c r="AF36" s="106">
        <f>SUM(AF28:AF34)</f>
        <v>323101.79121629655</v>
      </c>
      <c r="AG36" s="106">
        <f>SUM(AG28:AG34)</f>
        <v>321825.71286733908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294</v>
      </c>
      <c r="D45" s="206" t="s">
        <v>63</v>
      </c>
      <c r="E45" s="113">
        <f>Assumptions!G98-Assumptions!H41</f>
        <v>29406.567416201804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295</v>
      </c>
      <c r="D46" s="206" t="s">
        <v>63</v>
      </c>
      <c r="E46" s="113">
        <f>Assumptions!H43</f>
        <v>24910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296</v>
      </c>
      <c r="D47" s="206" t="s">
        <v>63</v>
      </c>
      <c r="E47" s="113">
        <f>Assumptions!H44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297</v>
      </c>
      <c r="D48" s="206" t="s">
        <v>126</v>
      </c>
      <c r="E48" s="113">
        <f>Assumptions!H45</f>
        <v>74790</v>
      </c>
      <c r="G48" s="208" t="s">
        <v>207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298</v>
      </c>
      <c r="D49" s="206" t="s">
        <v>208</v>
      </c>
      <c r="E49" s="113">
        <f>Assumptions!H46</f>
        <v>44400</v>
      </c>
      <c r="G49" s="208" t="s">
        <v>209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299</v>
      </c>
      <c r="D50" s="206" t="s">
        <v>208</v>
      </c>
      <c r="E50" s="113">
        <f>Assumptions!H47</f>
        <v>52200</v>
      </c>
      <c r="G50" s="208" t="s">
        <v>209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>
        <f>Assumptions!G104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>
        <f>Assumptions!G105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</row>
    <row r="64" spans="1:43" x14ac:dyDescent="0.2">
      <c r="C64" s="4" t="s">
        <v>121</v>
      </c>
      <c r="G64" s="211">
        <f>input_dollars</f>
        <v>45291</v>
      </c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2">SUM(J77:J79)</f>
        <v>0</v>
      </c>
      <c r="K80" s="177">
        <f t="shared" si="12"/>
        <v>0</v>
      </c>
      <c r="L80" s="177">
        <f t="shared" si="12"/>
        <v>0</v>
      </c>
      <c r="M80" s="177">
        <f t="shared" si="12"/>
        <v>0</v>
      </c>
      <c r="N80" s="177">
        <f t="shared" si="12"/>
        <v>0</v>
      </c>
      <c r="O80" s="177">
        <f t="shared" si="12"/>
        <v>0</v>
      </c>
      <c r="P80" s="177">
        <f t="shared" si="12"/>
        <v>0</v>
      </c>
      <c r="Q80" s="177">
        <f t="shared" si="12"/>
        <v>0</v>
      </c>
      <c r="R80" s="177">
        <f t="shared" si="12"/>
        <v>0</v>
      </c>
      <c r="S80" s="177">
        <f t="shared" si="12"/>
        <v>0</v>
      </c>
      <c r="T80" s="177">
        <f t="shared" si="12"/>
        <v>0</v>
      </c>
      <c r="U80" s="177">
        <f t="shared" si="12"/>
        <v>0</v>
      </c>
      <c r="V80" s="177">
        <f t="shared" si="12"/>
        <v>0</v>
      </c>
      <c r="W80" s="177">
        <f t="shared" si="12"/>
        <v>0</v>
      </c>
      <c r="X80" s="177">
        <f t="shared" si="12"/>
        <v>0</v>
      </c>
      <c r="Y80" s="177">
        <f t="shared" si="12"/>
        <v>0</v>
      </c>
      <c r="Z80" s="177">
        <f t="shared" si="12"/>
        <v>0</v>
      </c>
      <c r="AA80" s="177">
        <f t="shared" si="12"/>
        <v>0</v>
      </c>
      <c r="AB80" s="177">
        <f t="shared" si="12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1" t="s">
        <v>192</v>
      </c>
      <c r="D87" s="179"/>
      <c r="E87" s="174"/>
      <c r="F87" s="180"/>
      <c r="G87" s="216">
        <f t="shared" si="13"/>
        <v>45291</v>
      </c>
      <c r="H87" s="180"/>
      <c r="I87" s="180">
        <f t="shared" ref="I87:AB87" si="18">SUM(I82:I86)</f>
        <v>0</v>
      </c>
      <c r="J87" s="180">
        <f t="shared" si="18"/>
        <v>0</v>
      </c>
      <c r="K87" s="180">
        <f t="shared" si="18"/>
        <v>0</v>
      </c>
      <c r="L87" s="180">
        <f t="shared" si="18"/>
        <v>0</v>
      </c>
      <c r="M87" s="180">
        <f t="shared" si="18"/>
        <v>0</v>
      </c>
      <c r="N87" s="180">
        <f t="shared" si="18"/>
        <v>0</v>
      </c>
      <c r="O87" s="180">
        <f t="shared" si="18"/>
        <v>0</v>
      </c>
      <c r="P87" s="180">
        <f t="shared" si="18"/>
        <v>0</v>
      </c>
      <c r="Q87" s="180">
        <f t="shared" si="18"/>
        <v>0</v>
      </c>
      <c r="R87" s="180">
        <f t="shared" si="18"/>
        <v>0</v>
      </c>
      <c r="S87" s="180">
        <f t="shared" si="18"/>
        <v>0</v>
      </c>
      <c r="T87" s="180">
        <f t="shared" si="18"/>
        <v>0</v>
      </c>
      <c r="U87" s="180">
        <f t="shared" si="18"/>
        <v>0</v>
      </c>
      <c r="V87" s="180">
        <f t="shared" si="18"/>
        <v>0</v>
      </c>
      <c r="W87" s="180">
        <f t="shared" si="18"/>
        <v>0</v>
      </c>
      <c r="X87" s="180">
        <f t="shared" si="18"/>
        <v>0</v>
      </c>
      <c r="Y87" s="180">
        <f t="shared" si="18"/>
        <v>0</v>
      </c>
      <c r="Z87" s="180">
        <f t="shared" si="18"/>
        <v>0</v>
      </c>
      <c r="AA87" s="180">
        <f t="shared" si="18"/>
        <v>0</v>
      </c>
      <c r="AB87" s="180">
        <f t="shared" si="18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1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1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/>
      <c r="D90" s="82"/>
      <c r="E90" s="232"/>
      <c r="F90" s="233"/>
      <c r="G90" s="23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2"/>
      <c r="D91" s="232"/>
      <c r="E91" s="232"/>
      <c r="F91" s="232"/>
      <c r="G91" s="232"/>
    </row>
    <row r="92" spans="1:33" x14ac:dyDescent="0.2">
      <c r="C92" s="232"/>
      <c r="D92" s="232"/>
      <c r="E92" s="232"/>
      <c r="F92" s="232"/>
      <c r="G92" s="232"/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4" priority="12">
      <formula>AND(SUM($I14:$AB14)&lt;&gt;0, E14=0)</formula>
    </cfRule>
  </conditionalFormatting>
  <conditionalFormatting sqref="E28">
    <cfRule type="expression" dxfId="13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85" zoomScaleNormal="85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Ballan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130</v>
      </c>
      <c r="B3" s="5"/>
      <c r="C3" s="201" t="str">
        <f>INDEX(Assumptions!$E$14:$E$18, MATCH(A3,_xlfn.ANCHORARRAY( Assumptions!$C$14),0))</f>
        <v>Install generator only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292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0</v>
      </c>
      <c r="K14" s="32">
        <v>2875475.8874999997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2875475.8874999997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80000</v>
      </c>
      <c r="M19" s="32">
        <v>80000</v>
      </c>
      <c r="N19" s="32">
        <v>80000</v>
      </c>
      <c r="O19" s="32">
        <v>80000</v>
      </c>
      <c r="P19" s="32">
        <v>80000</v>
      </c>
      <c r="Q19" s="32">
        <v>80000</v>
      </c>
      <c r="R19" s="32">
        <v>80000</v>
      </c>
      <c r="S19" s="32">
        <v>80000</v>
      </c>
      <c r="T19" s="32">
        <v>80000</v>
      </c>
      <c r="U19" s="32">
        <v>80000</v>
      </c>
      <c r="V19" s="32">
        <v>80000</v>
      </c>
      <c r="W19" s="32">
        <v>80000</v>
      </c>
      <c r="X19" s="32">
        <v>80000</v>
      </c>
      <c r="Y19" s="32">
        <v>80000</v>
      </c>
      <c r="Z19" s="32">
        <v>80000</v>
      </c>
      <c r="AA19" s="32">
        <v>80000</v>
      </c>
      <c r="AB19" s="32">
        <v>80000</v>
      </c>
      <c r="AC19" s="32">
        <v>80000</v>
      </c>
      <c r="AD19" s="32">
        <v>80000</v>
      </c>
      <c r="AE19" s="32">
        <v>80000</v>
      </c>
      <c r="AF19" s="32">
        <v>80000</v>
      </c>
      <c r="AG19" s="32">
        <v>80000</v>
      </c>
    </row>
    <row r="20" spans="1:43" x14ac:dyDescent="0.2">
      <c r="G20" s="206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6.8927969388658203</v>
      </c>
      <c r="J27" s="169">
        <f>IF(SUM($H17:I17)&gt;0, 0, 'Option1 (base case)'!J27)</f>
        <v>7.1678824336483427</v>
      </c>
      <c r="K27" s="169">
        <f>IF(SUM($H17:J17)&gt;0, 0, 'Option1 (base case)'!K27)</f>
        <v>7.4850438621399142</v>
      </c>
      <c r="L27" s="169">
        <f>IF(SUM($H17:K17)&gt;0, 0, 'Option1 (base case)'!L27)</f>
        <v>0</v>
      </c>
      <c r="M27" s="169">
        <f>IF(SUM($H17:L17)&gt;0, 0, 'Option1 (base case)'!M27)</f>
        <v>0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38093.432583798196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262570.29550449568</v>
      </c>
      <c r="J28" s="298">
        <f t="shared" ref="J28:AG28" si="2">J27*$E$28</f>
        <v>273049.24625477451</v>
      </c>
      <c r="K28" s="298">
        <f t="shared" si="2"/>
        <v>285131.01374919928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262570.29550449568</v>
      </c>
      <c r="J36" s="171">
        <f t="shared" ref="J36:AG36" si="3">SUM(J28:J34)</f>
        <v>273049.24625477451</v>
      </c>
      <c r="K36" s="171">
        <f t="shared" si="3"/>
        <v>285131.01374919928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29406.567416201804</v>
      </c>
      <c r="G45" s="208" t="s">
        <v>40</v>
      </c>
      <c r="I45" s="328">
        <f>IF(SUM($H$17:H$17)&gt;0,IF(Workings_risks!I31&gt;500,(Workings_risks!I31-500)/60*Workings_risks!$F$13*Workings_risks!I8,0),0)</f>
        <v>0</v>
      </c>
      <c r="J45" s="328">
        <f>IF(SUM($H$17:I$17)&gt;0,IF(Workings_risks!J31&gt;500,(Workings_risks!J31-500)/60*Workings_risks!$F$13*Workings_risks!J8,0),0)</f>
        <v>0</v>
      </c>
      <c r="K45" s="328">
        <f>IF(SUM($H$17:J$17)&gt;0,IF(Workings_risks!K31&gt;500,(Workings_risks!K31-500)/60*Workings_risks!$F$13*Workings_risks!K8,0),0)</f>
        <v>0</v>
      </c>
      <c r="L45" s="328">
        <f>IF(SUM($H$17:K$17)&gt;0,IF(Workings_risks!L31&gt;500,(Workings_risks!L31-500)/60*Workings_risks!$F$13*Workings_risks!L8,0),0)</f>
        <v>1.0709491286079142</v>
      </c>
      <c r="M45" s="328">
        <f>IF(SUM($H$17:L$17)&gt;0,IF(Workings_risks!M31&gt;500,(Workings_risks!M31-500)/60*Workings_risks!$F$13*Workings_risks!M8,0),0)</f>
        <v>1.1666976743592492</v>
      </c>
      <c r="N45" s="328">
        <f>IF(SUM($H$17:M$17)&gt;0,IF(Workings_risks!N31&gt;500,(Workings_risks!N31-500)/60*Workings_risks!$F$13*Workings_risks!N8,0),0)</f>
        <v>1.1641995234947775</v>
      </c>
      <c r="O45" s="328">
        <f>IF(SUM($H$17:N$17)&gt;0,IF(Workings_risks!O31&gt;500,(Workings_risks!O31-500)/60*Workings_risks!$F$13*Workings_risks!O8,0),0)</f>
        <v>1.1728919516218086</v>
      </c>
      <c r="P45" s="328">
        <f>IF(SUM($H$17:O$17)&gt;0,IF(Workings_risks!P31&gt;500,(Workings_risks!P31-500)/60*Workings_risks!$F$13*Workings_risks!P8,0),0)</f>
        <v>1.1841995719747676</v>
      </c>
      <c r="Q45" s="328">
        <f>IF(SUM($H$17:P$17)&gt;0,IF(Workings_risks!Q31&gt;500,(Workings_risks!Q31-500)/60*Workings_risks!$F$13*Workings_risks!Q8,0),0)</f>
        <v>1.1828718009766745</v>
      </c>
      <c r="R45" s="328">
        <f>IF(SUM($H$17:Q$17)&gt;0,IF(Workings_risks!R31&gt;500,(Workings_risks!R31-500)/60*Workings_risks!$F$13*Workings_risks!R8,0),0)</f>
        <v>1.1487954448749678</v>
      </c>
      <c r="S45" s="328">
        <f>IF(SUM($H$17:R$17)&gt;0,IF(Workings_risks!S31&gt;500,(Workings_risks!S31-500)/60*Workings_risks!$F$13*Workings_risks!S8,0),0)</f>
        <v>1.1147190887732645</v>
      </c>
      <c r="T45" s="328">
        <f>IF(SUM($H$17:S$17)&gt;0,IF(Workings_risks!T31&gt;500,(Workings_risks!T31-500)/60*Workings_risks!$F$13*Workings_risks!T8,0),0)</f>
        <v>1.0806427326715526</v>
      </c>
      <c r="U45" s="328">
        <f>IF(SUM($H$17:T$17)&gt;0,IF(Workings_risks!U31&gt;500,(Workings_risks!U31-500)/60*Workings_risks!$F$13*Workings_risks!U8,0),0)</f>
        <v>1.0465663765698494</v>
      </c>
      <c r="V45" s="328">
        <f>IF(SUM($H$17:U$17)&gt;0,IF(Workings_risks!V31&gt;500,(Workings_risks!V31-500)/60*Workings_risks!$F$13*Workings_risks!V8,0),0)</f>
        <v>1.0124900204681357</v>
      </c>
      <c r="W45" s="328">
        <f>IF(SUM($H$17:V$17)&gt;0,IF(Workings_risks!W31&gt;500,(Workings_risks!W31-500)/60*Workings_risks!$F$13*Workings_risks!W8,0),0)</f>
        <v>0.97841366436643085</v>
      </c>
      <c r="X45" s="328">
        <f>IF(SUM($H$17:W$17)&gt;0,IF(Workings_risks!X31&gt;500,(Workings_risks!X31-500)/60*Workings_risks!$F$13*Workings_risks!X8,0),0)</f>
        <v>0.94433730826471729</v>
      </c>
      <c r="Y45" s="328">
        <f>IF(SUM($H$17:X$17)&gt;0,IF(Workings_risks!Y31&gt;500,(Workings_risks!Y31-500)/60*Workings_risks!$F$13*Workings_risks!Y8,0),0)</f>
        <v>0.91026095216301417</v>
      </c>
      <c r="Z45" s="328">
        <f>IF(SUM($H$17:Y$17)&gt;0,IF(Workings_risks!Z31&gt;500,(Workings_risks!Z31-500)/60*Workings_risks!$F$13*Workings_risks!Z8,0),0)</f>
        <v>0.87618459606130061</v>
      </c>
      <c r="AA45" s="328">
        <f>IF(SUM($H$17:Z$17)&gt;0,IF(Workings_risks!AA31&gt;500,(Workings_risks!AA31-500)/60*Workings_risks!$F$13*Workings_risks!AA8,0),0)</f>
        <v>0.84210823995959727</v>
      </c>
      <c r="AB45" s="328">
        <f>IF(SUM($H$17:AA$17)&gt;0,IF(Workings_risks!AB31&gt;500,(Workings_risks!AB31-500)/60*Workings_risks!$F$13*Workings_risks!AB8,0),0)</f>
        <v>0.80803188385788371</v>
      </c>
      <c r="AC45" s="328">
        <f>IF(SUM($H$17:AB$17)&gt;0,IF(Workings_risks!AC31&gt;500,(Workings_risks!AC31-500)/60*Workings_risks!$F$13*Workings_risks!AC8,0),0)</f>
        <v>0.77395552775618048</v>
      </c>
      <c r="AD45" s="328">
        <f>IF(SUM($H$17:AC$17)&gt;0,IF(Workings_risks!AD31&gt;500,(Workings_risks!AD31-500)/60*Workings_risks!$F$13*Workings_risks!AD8,0),0)</f>
        <v>0.73987917165446693</v>
      </c>
      <c r="AE45" s="328">
        <f>IF(SUM($H$17:AD$17)&gt;0,IF(Workings_risks!AE31&gt;500,(Workings_risks!AE31-500)/60*Workings_risks!$F$13*Workings_risks!AE8,0),0)</f>
        <v>0.70580281555276192</v>
      </c>
      <c r="AF45" s="328">
        <f>IF(SUM($H$17:AE$17)&gt;0,IF(Workings_risks!AF31&gt;500,(Workings_risks!AF31-500)/60*Workings_risks!$F$13*Workings_risks!AF8,0),0)</f>
        <v>0.67172645945105858</v>
      </c>
      <c r="AG45" s="328">
        <f>IF(SUM($H$17:AF$17)&gt;0,IF(Workings_risks!AG31&gt;500,(Workings_risks!AG31-500)/60*Workings_risks!$F$13*Workings_risks!AG8,0),0)</f>
        <v>0.63765010334934513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24910</v>
      </c>
      <c r="G46" s="208" t="s">
        <v>40</v>
      </c>
      <c r="I46" s="328">
        <f>IF(SUM($H$17:H$17)&gt;0,(('Reliability data'!$K$19*Workings_risks!I$27+IF(bushfire_outage_duration&gt;12,12,bushfire_outage_duration-12)*Workings_risks!I$26)+0.5*('Reliability data'!$K$20*Workings_risks!I$27+IF(bushfire_outage_duration&gt;24,bushfire_outage_duration-24,0)*Workings_risks!I$26))*Workings_risks!$F$13*Workings_risks!I$8,0)*Assumptions!$I43</f>
        <v>0</v>
      </c>
      <c r="J46" s="328">
        <f>IF(SUM($H$17:I$17)&gt;0,(('Reliability data'!$K$19*Workings_risks!J$27+IF(bushfire_outage_duration&gt;12,12,bushfire_outage_duration-12)*Workings_risks!J$26)+0.5*('Reliability data'!$K$20*Workings_risks!J$27+IF(bushfire_outage_duration&gt;24,bushfire_outage_duration-24,0)*Workings_risks!J$26))*Workings_risks!$F$13*Workings_risks!J$8,0)*Assumptions!$I43</f>
        <v>0</v>
      </c>
      <c r="K46" s="328">
        <f>IF(SUM($H$17:J$17)&gt;0,(('Reliability data'!$K$19*Workings_risks!K$27+IF(bushfire_outage_duration&gt;12,12,bushfire_outage_duration-12)*Workings_risks!K$26)+0.5*('Reliability data'!$K$20*Workings_risks!K$27+IF(bushfire_outage_duration&gt;24,bushfire_outage_duration-24,0)*Workings_risks!K$26))*Workings_risks!$F$13*Workings_risks!K$8,0)*Assumptions!$I43</f>
        <v>0</v>
      </c>
      <c r="L46" s="328">
        <f>IF(SUM($H$17:K$17)&gt;0,(('Reliability data'!$K$19*Workings_risks!L$27+IF(bushfire_outage_duration&gt;12,12,bushfire_outage_duration-12)*Workings_risks!L$26)+0.5*('Reliability data'!$K$20*Workings_risks!L$27+IF(bushfire_outage_duration&gt;24,bushfire_outage_duration-24,0)*Workings_risks!L$26))*Workings_risks!$F$13*Workings_risks!L$8,0)*Assumptions!$I43</f>
        <v>8.2224462233657356E-2</v>
      </c>
      <c r="M46" s="328">
        <f>IF(SUM($H$17:L$17)&gt;0,(('Reliability data'!$K$19*Workings_risks!M$27+IF(bushfire_outage_duration&gt;12,12,bushfire_outage_duration-12)*Workings_risks!M$26)+0.5*('Reliability data'!$K$20*Workings_risks!M$27+IF(bushfire_outage_duration&gt;24,bushfire_outage_duration-24,0)*Workings_risks!M$26))*Workings_risks!$F$13*Workings_risks!M$8,0)*Assumptions!$I43</f>
        <v>8.4812960121609313E-2</v>
      </c>
      <c r="N46" s="328">
        <f>IF(SUM($H$17:M$17)&gt;0,(('Reliability data'!$K$19*Workings_risks!N$27+IF(bushfire_outage_duration&gt;12,12,bushfire_outage_duration-12)*Workings_risks!N$26)+0.5*('Reliability data'!$K$20*Workings_risks!N$27+IF(bushfire_outage_duration&gt;24,bushfire_outage_duration-24,0)*Workings_risks!N$26))*Workings_risks!$F$13*Workings_risks!N$8,0)*Assumptions!$I43</f>
        <v>8.7005678577931719E-2</v>
      </c>
      <c r="O46" s="328">
        <f>IF(SUM($H$17:N$17)&gt;0,(('Reliability data'!$K$19*Workings_risks!O$27+IF(bushfire_outage_duration&gt;12,12,bushfire_outage_duration-12)*Workings_risks!O$26)+0.5*('Reliability data'!$K$20*Workings_risks!O$27+IF(bushfire_outage_duration&gt;24,bushfire_outage_duration-24,0)*Workings_risks!O$26))*Workings_risks!$F$13*Workings_risks!O$8,0)*Assumptions!$I43</f>
        <v>9.017766331189421E-2</v>
      </c>
      <c r="P46" s="328">
        <f>IF(SUM($H$17:O$17)&gt;0,(('Reliability data'!$K$19*Workings_risks!P$27+IF(bushfire_outage_duration&gt;12,12,bushfire_outage_duration-12)*Workings_risks!P$26)+0.5*('Reliability data'!$K$20*Workings_risks!P$27+IF(bushfire_outage_duration&gt;24,bushfire_outage_duration-24,0)*Workings_risks!P$26))*Workings_risks!$F$13*Workings_risks!P$8,0)*Assumptions!$I43</f>
        <v>9.373634950632713E-2</v>
      </c>
      <c r="Q46" s="328">
        <f>IF(SUM($H$17:P$17)&gt;0,(('Reliability data'!$K$19*Workings_risks!Q$27+IF(bushfire_outage_duration&gt;12,12,bushfire_outage_duration-12)*Workings_risks!Q$26)+0.5*('Reliability data'!$K$20*Workings_risks!Q$27+IF(bushfire_outage_duration&gt;24,bushfire_outage_duration-24,0)*Workings_risks!Q$26))*Workings_risks!$F$13*Workings_risks!Q$8,0)*Assumptions!$I43</f>
        <v>9.647230826595507E-2</v>
      </c>
      <c r="R46" s="328">
        <f>IF(SUM($H$17:Q$17)&gt;0,(('Reliability data'!$K$19*Workings_risks!R$27+IF(bushfire_outage_duration&gt;12,12,bushfire_outage_duration-12)*Workings_risks!R$26)+0.5*('Reliability data'!$K$20*Workings_risks!R$27+IF(bushfire_outage_duration&gt;24,bushfire_outage_duration-24,0)*Workings_risks!R$26))*Workings_risks!$F$13*Workings_risks!R$8,0)*Assumptions!$I43</f>
        <v>9.6616024221448743E-2</v>
      </c>
      <c r="S46" s="328">
        <f>IF(SUM($H$17:R$17)&gt;0,(('Reliability data'!$K$19*Workings_risks!S$27+IF(bushfire_outage_duration&gt;12,12,bushfire_outage_duration-12)*Workings_risks!S$26)+0.5*('Reliability data'!$K$20*Workings_risks!S$27+IF(bushfire_outage_duration&gt;24,bushfire_outage_duration-24,0)*Workings_risks!S$26))*Workings_risks!$F$13*Workings_risks!S$8,0)*Assumptions!$I43</f>
        <v>9.6759740176942416E-2</v>
      </c>
      <c r="T46" s="328">
        <f>IF(SUM($H$17:S$17)&gt;0,(('Reliability data'!$K$19*Workings_risks!T$27+IF(bushfire_outage_duration&gt;12,12,bushfire_outage_duration-12)*Workings_risks!T$26)+0.5*('Reliability data'!$K$20*Workings_risks!T$27+IF(bushfire_outage_duration&gt;24,bushfire_outage_duration-24,0)*Workings_risks!T$26))*Workings_risks!$F$13*Workings_risks!T$8,0)*Assumptions!$I43</f>
        <v>9.6903456132436075E-2</v>
      </c>
      <c r="U46" s="328">
        <f>IF(SUM($H$17:T$17)&gt;0,(('Reliability data'!$K$19*Workings_risks!U$27+IF(bushfire_outage_duration&gt;12,12,bushfire_outage_duration-12)*Workings_risks!U$26)+0.5*('Reliability data'!$K$20*Workings_risks!U$27+IF(bushfire_outage_duration&gt;24,bushfire_outage_duration-24,0)*Workings_risks!U$26))*Workings_risks!$F$13*Workings_risks!U$8,0)*Assumptions!$I43</f>
        <v>9.7047172087929776E-2</v>
      </c>
      <c r="V46" s="328">
        <f>IF(SUM($H$17:U$17)&gt;0,(('Reliability data'!$K$19*Workings_risks!V$27+IF(bushfire_outage_duration&gt;12,12,bushfire_outage_duration-12)*Workings_risks!V$26)+0.5*('Reliability data'!$K$20*Workings_risks!V$27+IF(bushfire_outage_duration&gt;24,bushfire_outage_duration-24,0)*Workings_risks!V$26))*Workings_risks!$F$13*Workings_risks!V$8,0)*Assumptions!$I43</f>
        <v>9.7190888043423407E-2</v>
      </c>
      <c r="W46" s="328">
        <f>IF(SUM($H$17:V$17)&gt;0,(('Reliability data'!$K$19*Workings_risks!W$27+IF(bushfire_outage_duration&gt;12,12,bushfire_outage_duration-12)*Workings_risks!W$26)+0.5*('Reliability data'!$K$20*Workings_risks!W$27+IF(bushfire_outage_duration&gt;24,bushfire_outage_duration-24,0)*Workings_risks!W$26))*Workings_risks!$F$13*Workings_risks!W$8,0)*Assumptions!$I43</f>
        <v>9.7334603998917094E-2</v>
      </c>
      <c r="X46" s="328">
        <f>IF(SUM($H$17:W$17)&gt;0,(('Reliability data'!$K$19*Workings_risks!X$27+IF(bushfire_outage_duration&gt;12,12,bushfire_outage_duration-12)*Workings_risks!X$26)+0.5*('Reliability data'!$K$20*Workings_risks!X$27+IF(bushfire_outage_duration&gt;24,bushfire_outage_duration-24,0)*Workings_risks!X$26))*Workings_risks!$F$13*Workings_risks!X$8,0)*Assumptions!$I43</f>
        <v>9.7478319954410753E-2</v>
      </c>
      <c r="Y46" s="328">
        <f>IF(SUM($H$17:X$17)&gt;0,(('Reliability data'!$K$19*Workings_risks!Y$27+IF(bushfire_outage_duration&gt;12,12,bushfire_outage_duration-12)*Workings_risks!Y$26)+0.5*('Reliability data'!$K$20*Workings_risks!Y$27+IF(bushfire_outage_duration&gt;24,bushfire_outage_duration-24,0)*Workings_risks!Y$26))*Workings_risks!$F$13*Workings_risks!Y$8,0)*Assumptions!$I43</f>
        <v>9.7622035909904425E-2</v>
      </c>
      <c r="Z46" s="328">
        <f>IF(SUM($H$17:Y$17)&gt;0,(('Reliability data'!$K$19*Workings_risks!Z$27+IF(bushfire_outage_duration&gt;12,12,bushfire_outage_duration-12)*Workings_risks!Z$26)+0.5*('Reliability data'!$K$20*Workings_risks!Z$27+IF(bushfire_outage_duration&gt;24,bushfire_outage_duration-24,0)*Workings_risks!Z$26))*Workings_risks!$F$13*Workings_risks!Z$8,0)*Assumptions!$I43</f>
        <v>9.7765751865398084E-2</v>
      </c>
      <c r="AA46" s="328">
        <f>IF(SUM($H$17:Z$17)&gt;0,(('Reliability data'!$K$19*Workings_risks!AA$27+IF(bushfire_outage_duration&gt;12,12,bushfire_outage_duration-12)*Workings_risks!AA$26)+0.5*('Reliability data'!$K$20*Workings_risks!AA$27+IF(bushfire_outage_duration&gt;24,bushfire_outage_duration-24,0)*Workings_risks!AA$26))*Workings_risks!$F$13*Workings_risks!AA$8,0)*Assumptions!$I43</f>
        <v>9.7909467820891743E-2</v>
      </c>
      <c r="AB46" s="328">
        <f>IF(SUM($H$17:AA$17)&gt;0,(('Reliability data'!$K$19*Workings_risks!AB$27+IF(bushfire_outage_duration&gt;12,12,bushfire_outage_duration-12)*Workings_risks!AB$26)+0.5*('Reliability data'!$K$20*Workings_risks!AB$27+IF(bushfire_outage_duration&gt;24,bushfire_outage_duration-24,0)*Workings_risks!AB$26))*Workings_risks!$F$13*Workings_risks!AB$8,0)*Assumptions!$I43</f>
        <v>9.8053183776385416E-2</v>
      </c>
      <c r="AC46" s="328">
        <f>IF(SUM($H$17:AB$17)&gt;0,(('Reliability data'!$K$19*Workings_risks!AC$27+IF(bushfire_outage_duration&gt;12,12,bushfire_outage_duration-12)*Workings_risks!AC$26)+0.5*('Reliability data'!$K$20*Workings_risks!AC$27+IF(bushfire_outage_duration&gt;24,bushfire_outage_duration-24,0)*Workings_risks!AC$26))*Workings_risks!$F$13*Workings_risks!AC$8,0)*Assumptions!$I43</f>
        <v>9.8196899731879103E-2</v>
      </c>
      <c r="AD46" s="328">
        <f>IF(SUM($H$17:AC$17)&gt;0,(('Reliability data'!$K$19*Workings_risks!AD$27+IF(bushfire_outage_duration&gt;12,12,bushfire_outage_duration-12)*Workings_risks!AD$26)+0.5*('Reliability data'!$K$20*Workings_risks!AD$27+IF(bushfire_outage_duration&gt;24,bushfire_outage_duration-24,0)*Workings_risks!AD$26))*Workings_risks!$F$13*Workings_risks!AD$8,0)*Assumptions!$I43</f>
        <v>9.8340615687372734E-2</v>
      </c>
      <c r="AE46" s="328">
        <f>IF(SUM($H$17:AD$17)&gt;0,(('Reliability data'!$K$19*Workings_risks!AE$27+IF(bushfire_outage_duration&gt;12,12,bushfire_outage_duration-12)*Workings_risks!AE$26)+0.5*('Reliability data'!$K$20*Workings_risks!AE$27+IF(bushfire_outage_duration&gt;24,bushfire_outage_duration-24,0)*Workings_risks!AE$26))*Workings_risks!$F$13*Workings_risks!AE$8,0)*Assumptions!$I43</f>
        <v>9.8484331642866421E-2</v>
      </c>
      <c r="AF46" s="328">
        <f>IF(SUM($H$17:AE$17)&gt;0,(('Reliability data'!$K$19*Workings_risks!AF$27+IF(bushfire_outage_duration&gt;12,12,bushfire_outage_duration-12)*Workings_risks!AF$26)+0.5*('Reliability data'!$K$20*Workings_risks!AF$27+IF(bushfire_outage_duration&gt;24,bushfire_outage_duration-24,0)*Workings_risks!AF$26))*Workings_risks!$F$13*Workings_risks!AF$8,0)*Assumptions!$I43</f>
        <v>9.8628047598360108E-2</v>
      </c>
      <c r="AG46" s="328">
        <f>IF(SUM($H$17:AF$17)&gt;0,(('Reliability data'!$K$19*Workings_risks!AG$27+IF(bushfire_outage_duration&gt;12,12,bushfire_outage_duration-12)*Workings_risks!AG$26)+0.5*('Reliability data'!$K$20*Workings_risks!AG$27+IF(bushfire_outage_duration&gt;24,bushfire_outage_duration-24,0)*Workings_risks!AG$26))*Workings_risks!$F$13*Workings_risks!AG$8,0)*Assumptions!$I43</f>
        <v>9.8771763553853753E-2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data'!$K$23*Workings_risks!I$27+IF(bushfire_outage_duration&gt;72,bushfire_outage_duration-72,0)*Workings_risks!I$26))*Workings_risks!$F$13*Workings_risks!I$8,0)*Assumptions!$I44</f>
        <v>0</v>
      </c>
      <c r="J47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data'!$K$23*Workings_risks!J$27+IF(bushfire_outage_duration&gt;72,bushfire_outage_duration-72,0)*Workings_risks!J$26))*Workings_risks!$F$13*Workings_risks!J$8,0)*Assumptions!$I44</f>
        <v>0</v>
      </c>
      <c r="K47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data'!$K$23*Workings_risks!K$27+IF(bushfire_outage_duration&gt;72,bushfire_outage_duration-72,0)*Workings_risks!K$26))*Workings_risks!$F$13*Workings_risks!K$8,0)*Assumptions!$I44</f>
        <v>0</v>
      </c>
      <c r="L47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data'!$K$23*Workings_risks!L$27+IF(bushfire_outage_duration&gt;72,bushfire_outage_duration-72,0)*Workings_risks!L$26))*Workings_risks!$F$13*Workings_risks!L$8,0)*Assumptions!$I44</f>
        <v>1.9759027004534229E-2</v>
      </c>
      <c r="M47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data'!$K$23*Workings_risks!M$27+IF(bushfire_outage_duration&gt;72,bushfire_outage_duration-72,0)*Workings_risks!M$26))*Workings_risks!$F$13*Workings_risks!M$8,0)*Assumptions!$I44</f>
        <v>2.038138222372813E-2</v>
      </c>
      <c r="N47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data'!$K$23*Workings_risks!N$27+IF(bushfire_outage_duration&gt;72,bushfire_outage_duration-72,0)*Workings_risks!N$26))*Workings_risks!$F$13*Workings_risks!N$8,0)*Assumptions!$I44</f>
        <v>2.0907524589709743E-2</v>
      </c>
      <c r="O47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data'!$K$23*Workings_risks!O$27+IF(bushfire_outage_duration&gt;72,bushfire_outage_duration-72,0)*Workings_risks!O$26))*Workings_risks!$F$13*Workings_risks!O$8,0)*Assumptions!$I44</f>
        <v>2.1668939095847498E-2</v>
      </c>
      <c r="P47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data'!$K$23*Workings_risks!P$27+IF(bushfire_outage_duration&gt;72,bushfire_outage_duration-72,0)*Workings_risks!P$26))*Workings_risks!$F$13*Workings_risks!P$8,0)*Assumptions!$I44</f>
        <v>2.2523216386225467E-2</v>
      </c>
      <c r="Q47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data'!$K$23*Workings_risks!Q$27+IF(bushfire_outage_duration&gt;72,bushfire_outage_duration-72,0)*Workings_risks!Q$26))*Workings_risks!$F$13*Workings_risks!Q$8,0)*Assumptions!$I44</f>
        <v>2.3179752396298308E-2</v>
      </c>
      <c r="R47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data'!$K$23*Workings_risks!R$27+IF(bushfire_outage_duration&gt;72,bushfire_outage_duration-72,0)*Workings_risks!R$26))*Workings_risks!$F$13*Workings_risks!R$8,0)*Assumptions!$I44</f>
        <v>2.3213417493319306E-2</v>
      </c>
      <c r="S47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data'!$K$23*Workings_risks!S$27+IF(bushfire_outage_duration&gt;72,bushfire_outage_duration-72,0)*Workings_risks!S$26))*Workings_risks!$F$13*Workings_risks!S$8,0)*Assumptions!$I44</f>
        <v>2.3247082590340303E-2</v>
      </c>
      <c r="T47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data'!$K$23*Workings_risks!T$27+IF(bushfire_outage_duration&gt;72,bushfire_outage_duration-72,0)*Workings_risks!T$26))*Workings_risks!$F$13*Workings_risks!T$8,0)*Assumptions!$I44</f>
        <v>2.3280747687361294E-2</v>
      </c>
      <c r="U47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data'!$K$23*Workings_risks!U$27+IF(bushfire_outage_duration&gt;72,bushfire_outage_duration-72,0)*Workings_risks!U$26))*Workings_risks!$F$13*Workings_risks!U$8,0)*Assumptions!$I44</f>
        <v>2.3314412784382295E-2</v>
      </c>
      <c r="V47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data'!$K$23*Workings_risks!V$27+IF(bushfire_outage_duration&gt;72,bushfire_outage_duration-72,0)*Workings_risks!V$26))*Workings_risks!$F$13*Workings_risks!V$8,0)*Assumptions!$I44</f>
        <v>2.3348077881403289E-2</v>
      </c>
      <c r="W47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data'!$K$23*Workings_risks!W$27+IF(bushfire_outage_duration&gt;72,bushfire_outage_duration-72,0)*Workings_risks!W$26))*Workings_risks!$F$13*Workings_risks!W$8,0)*Assumptions!$I44</f>
        <v>2.3381742978424287E-2</v>
      </c>
      <c r="X47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data'!$K$23*Workings_risks!X$27+IF(bushfire_outage_duration&gt;72,bushfire_outage_duration-72,0)*Workings_risks!X$26))*Workings_risks!$F$13*Workings_risks!X$8,0)*Assumptions!$I44</f>
        <v>2.3415408075445284E-2</v>
      </c>
      <c r="Y47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data'!$K$23*Workings_risks!Y$27+IF(bushfire_outage_duration&gt;72,bushfire_outage_duration-72,0)*Workings_risks!Y$26))*Workings_risks!$F$13*Workings_risks!Y$8,0)*Assumptions!$I44</f>
        <v>2.3449073172466278E-2</v>
      </c>
      <c r="Z47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data'!$K$23*Workings_risks!Z$27+IF(bushfire_outage_duration&gt;72,bushfire_outage_duration-72,0)*Workings_risks!Z$26))*Workings_risks!$F$13*Workings_risks!Z$8,0)*Assumptions!$I44</f>
        <v>2.3482738269487276E-2</v>
      </c>
      <c r="AA47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data'!$K$23*Workings_risks!AA$27+IF(bushfire_outage_duration&gt;72,bushfire_outage_duration-72,0)*Workings_risks!AA$26))*Workings_risks!$F$13*Workings_risks!AA$8,0)*Assumptions!$I44</f>
        <v>2.3516403366508273E-2</v>
      </c>
      <c r="AB47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data'!$K$23*Workings_risks!AB$27+IF(bushfire_outage_duration&gt;72,bushfire_outage_duration-72,0)*Workings_risks!AB$26))*Workings_risks!$F$13*Workings_risks!AB$8,0)*Assumptions!$I44</f>
        <v>2.3550068463529271E-2</v>
      </c>
      <c r="AC47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data'!$K$23*Workings_risks!AC$27+IF(bushfire_outage_duration&gt;72,bushfire_outage_duration-72,0)*Workings_risks!AC$26))*Workings_risks!$F$13*Workings_risks!AC$8,0)*Assumptions!$I44</f>
        <v>2.3583733560550268E-2</v>
      </c>
      <c r="AD47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data'!$K$23*Workings_risks!AD$27+IF(bushfire_outage_duration&gt;72,bushfire_outage_duration-72,0)*Workings_risks!AD$26))*Workings_risks!$F$13*Workings_risks!AD$8,0)*Assumptions!$I44</f>
        <v>2.3617398657571259E-2</v>
      </c>
      <c r="AE47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data'!$K$23*Workings_risks!AE$27+IF(bushfire_outage_duration&gt;72,bushfire_outage_duration-72,0)*Workings_risks!AE$26))*Workings_risks!$F$13*Workings_risks!AE$8,0)*Assumptions!$I44</f>
        <v>2.365106375459226E-2</v>
      </c>
      <c r="AF47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data'!$K$23*Workings_risks!AF$27+IF(bushfire_outage_duration&gt;72,bushfire_outage_duration-72,0)*Workings_risks!AF$26))*Workings_risks!$F$13*Workings_risks!AF$8,0)*Assumptions!$I44</f>
        <v>2.3684728851613258E-2</v>
      </c>
      <c r="AG47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data'!$K$23*Workings_risks!AG$27+IF(bushfire_outage_duration&gt;72,bushfire_outage_duration-72,0)*Workings_risks!AG$26))*Workings_risks!$F$13*Workings_risks!AG$8,0)*Assumptions!$I44</f>
        <v>2.3718393948634255E-2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data'!$K$23*Workings_risks!I$27+IF(bushfire_outage_duration&gt;72,bushfire_outage_duration-72,0)*Workings_risks!I$26))*Workings_risks!$F$13*Workings_risks!I$8,0)*Assumptions!$I45</f>
        <v>0</v>
      </c>
      <c r="J48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data'!$K$23*Workings_risks!J$27+IF(bushfire_outage_duration&gt;72,bushfire_outage_duration-72,0)*Workings_risks!J$26))*Workings_risks!$F$13*Workings_risks!J$8,0)*Assumptions!$I45</f>
        <v>0</v>
      </c>
      <c r="K48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data'!$K$23*Workings_risks!K$27+IF(bushfire_outage_duration&gt;72,bushfire_outage_duration-72,0)*Workings_risks!K$26))*Workings_risks!$F$13*Workings_risks!K$8,0)*Assumptions!$I45</f>
        <v>0</v>
      </c>
      <c r="L48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data'!$K$23*Workings_risks!L$27+IF(bushfire_outage_duration&gt;72,bushfire_outage_duration-72,0)*Workings_risks!L$26))*Workings_risks!$F$13*Workings_risks!L$8,0)*Assumptions!$I45</f>
        <v>6.5541481149290559E-3</v>
      </c>
      <c r="M48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data'!$K$23*Workings_risks!M$27+IF(bushfire_outage_duration&gt;72,bushfire_outage_duration-72,0)*Workings_risks!M$26))*Workings_risks!$F$13*Workings_risks!M$8,0)*Assumptions!$I45</f>
        <v>6.7605858249316763E-3</v>
      </c>
      <c r="N48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data'!$K$23*Workings_risks!N$27+IF(bushfire_outage_duration&gt;72,bushfire_outage_duration-72,0)*Workings_risks!N$26))*Workings_risks!$F$13*Workings_risks!N$8,0)*Assumptions!$I45</f>
        <v>6.9351093475419432E-3</v>
      </c>
      <c r="O48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data'!$K$23*Workings_risks!O$27+IF(bushfire_outage_duration&gt;72,bushfire_outage_duration-72,0)*Workings_risks!O$26))*Workings_risks!$F$13*Workings_risks!O$8,0)*Assumptions!$I45</f>
        <v>7.1876735780041622E-3</v>
      </c>
      <c r="P48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data'!$K$23*Workings_risks!P$27+IF(bushfire_outage_duration&gt;72,bushfire_outage_duration-72,0)*Workings_risks!P$26))*Workings_risks!$F$13*Workings_risks!P$8,0)*Assumptions!$I45</f>
        <v>7.4710407646107002E-3</v>
      </c>
      <c r="Q48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data'!$K$23*Workings_risks!Q$27+IF(bushfire_outage_duration&gt;72,bushfire_outage_duration-72,0)*Workings_risks!Q$26))*Workings_risks!$F$13*Workings_risks!Q$8,0)*Assumptions!$I45</f>
        <v>7.6888163793621001E-3</v>
      </c>
      <c r="R48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data'!$K$23*Workings_risks!R$27+IF(bushfire_outage_duration&gt;72,bushfire_outage_duration-72,0)*Workings_risks!R$26))*Workings_risks!$F$13*Workings_risks!R$8,0)*Assumptions!$I45</f>
        <v>7.6999832264000867E-3</v>
      </c>
      <c r="S48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data'!$K$23*Workings_risks!S$27+IF(bushfire_outage_duration&gt;72,bushfire_outage_duration-72,0)*Workings_risks!S$26))*Workings_risks!$F$13*Workings_risks!S$8,0)*Assumptions!$I45</f>
        <v>7.7111500734380724E-3</v>
      </c>
      <c r="T48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data'!$K$23*Workings_risks!T$27+IF(bushfire_outage_duration&gt;72,bushfire_outage_duration-72,0)*Workings_risks!T$26))*Workings_risks!$F$13*Workings_risks!T$8,0)*Assumptions!$I45</f>
        <v>7.7223169204760573E-3</v>
      </c>
      <c r="U48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data'!$K$23*Workings_risks!U$27+IF(bushfire_outage_duration&gt;72,bushfire_outage_duration-72,0)*Workings_risks!U$26))*Workings_risks!$F$13*Workings_risks!U$8,0)*Assumptions!$I45</f>
        <v>7.7334837675140447E-3</v>
      </c>
      <c r="V48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data'!$K$23*Workings_risks!V$27+IF(bushfire_outage_duration&gt;72,bushfire_outage_duration-72,0)*Workings_risks!V$26))*Workings_risks!$F$13*Workings_risks!V$8,0)*Assumptions!$I45</f>
        <v>7.7446506145520295E-3</v>
      </c>
      <c r="W48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data'!$K$23*Workings_risks!W$27+IF(bushfire_outage_duration&gt;72,bushfire_outage_duration-72,0)*Workings_risks!W$26))*Workings_risks!$F$13*Workings_risks!W$8,0)*Assumptions!$I45</f>
        <v>7.7558174615900153E-3</v>
      </c>
      <c r="X48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data'!$K$23*Workings_risks!X$27+IF(bushfire_outage_duration&gt;72,bushfire_outage_duration-72,0)*Workings_risks!X$26))*Workings_risks!$F$13*Workings_risks!X$8,0)*Assumptions!$I45</f>
        <v>7.7669843086280018E-3</v>
      </c>
      <c r="Y48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data'!$K$23*Workings_risks!Y$27+IF(bushfire_outage_duration&gt;72,bushfire_outage_duration-72,0)*Workings_risks!Y$26))*Workings_risks!$F$13*Workings_risks!Y$8,0)*Assumptions!$I45</f>
        <v>7.7781511556659876E-3</v>
      </c>
      <c r="Z48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data'!$K$23*Workings_risks!Z$27+IF(bushfire_outage_duration&gt;72,bushfire_outage_duration-72,0)*Workings_risks!Z$26))*Workings_risks!$F$13*Workings_risks!Z$8,0)*Assumptions!$I45</f>
        <v>7.7893180027039741E-3</v>
      </c>
      <c r="AA48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data'!$K$23*Workings_risks!AA$27+IF(bushfire_outage_duration&gt;72,bushfire_outage_duration-72,0)*Workings_risks!AA$26))*Workings_risks!$F$13*Workings_risks!AA$8,0)*Assumptions!$I45</f>
        <v>7.8004848497419598E-3</v>
      </c>
      <c r="AB48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data'!$K$23*Workings_risks!AB$27+IF(bushfire_outage_duration&gt;72,bushfire_outage_duration-72,0)*Workings_risks!AB$26))*Workings_risks!$F$13*Workings_risks!AB$8,0)*Assumptions!$I45</f>
        <v>7.8116516967799464E-3</v>
      </c>
      <c r="AC48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data'!$K$23*Workings_risks!AC$27+IF(bushfire_outage_duration&gt;72,bushfire_outage_duration-72,0)*Workings_risks!AC$26))*Workings_risks!$F$13*Workings_risks!AC$8,0)*Assumptions!$I45</f>
        <v>7.8228185438179321E-3</v>
      </c>
      <c r="AD48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data'!$K$23*Workings_risks!AD$27+IF(bushfire_outage_duration&gt;72,bushfire_outage_duration-72,0)*Workings_risks!AD$26))*Workings_risks!$F$13*Workings_risks!AD$8,0)*Assumptions!$I45</f>
        <v>7.833985390855917E-3</v>
      </c>
      <c r="AE48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data'!$K$23*Workings_risks!AE$27+IF(bushfire_outage_duration&gt;72,bushfire_outage_duration-72,0)*Workings_risks!AE$26))*Workings_risks!$F$13*Workings_risks!AE$8,0)*Assumptions!$I45</f>
        <v>7.8451522378939053E-3</v>
      </c>
      <c r="AF48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data'!$K$23*Workings_risks!AF$27+IF(bushfire_outage_duration&gt;72,bushfire_outage_duration-72,0)*Workings_risks!AF$26))*Workings_risks!$F$13*Workings_risks!AF$8,0)*Assumptions!$I45</f>
        <v>7.8563190849318901E-3</v>
      </c>
      <c r="AG48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data'!$K$23*Workings_risks!AG$27+IF(bushfire_outage_duration&gt;72,bushfire_outage_duration-72,0)*Workings_risks!AG$26))*Workings_risks!$F$13*Workings_risks!AG$8,0)*Assumptions!$I45</f>
        <v>7.8674859319698767E-3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data'!$K$23*Workings_risks!I$27+IF(bushfire_outage_duration&gt;72,bushfire_outage_duration-72,0)*Workings_risks!I$26))*Workings_risks!$F$13*Workings_risks!I$8,0)*Assumptions!$I46</f>
        <v>0</v>
      </c>
      <c r="J49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data'!$K$23*Workings_risks!J$27+IF(bushfire_outage_duration&gt;72,bushfire_outage_duration-72,0)*Workings_risks!J$26))*Workings_risks!$F$13*Workings_risks!J$8,0)*Assumptions!$I46</f>
        <v>0</v>
      </c>
      <c r="K49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data'!$K$23*Workings_risks!K$27+IF(bushfire_outage_duration&gt;72,bushfire_outage_duration-72,0)*Workings_risks!K$26))*Workings_risks!$F$13*Workings_risks!K$8,0)*Assumptions!$I46</f>
        <v>0</v>
      </c>
      <c r="L49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data'!$K$23*Workings_risks!L$27+IF(bushfire_outage_duration&gt;72,bushfire_outage_duration-72,0)*Workings_risks!L$26))*Workings_risks!$F$13*Workings_risks!L$8,0)*Assumptions!$I46</f>
        <v>4.2379482847482733E-4</v>
      </c>
      <c r="M49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data'!$K$23*Workings_risks!M$27+IF(bushfire_outage_duration&gt;72,bushfire_outage_duration-72,0)*Workings_risks!M$26))*Workings_risks!$F$13*Workings_risks!M$8,0)*Assumptions!$I46</f>
        <v>4.371432045516538E-4</v>
      </c>
      <c r="N49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data'!$K$23*Workings_risks!N$27+IF(bushfire_outage_duration&gt;72,bushfire_outage_duration-72,0)*Workings_risks!N$26))*Workings_risks!$F$13*Workings_risks!N$8,0)*Assumptions!$I46</f>
        <v>4.4842799168683762E-4</v>
      </c>
      <c r="O49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data'!$K$23*Workings_risks!O$27+IF(bushfire_outage_duration&gt;72,bushfire_outage_duration-72,0)*Workings_risks!O$26))*Workings_risks!$F$13*Workings_risks!O$8,0)*Assumptions!$I46</f>
        <v>4.6475893399249094E-4</v>
      </c>
      <c r="P49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data'!$K$23*Workings_risks!P$27+IF(bushfire_outage_duration&gt;72,bushfire_outage_duration-72,0)*Workings_risks!P$26))*Workings_risks!$F$13*Workings_risks!P$8,0)*Assumptions!$I46</f>
        <v>4.8308161241499589E-4</v>
      </c>
      <c r="Q49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data'!$K$23*Workings_risks!Q$27+IF(bushfire_outage_duration&gt;72,bushfire_outage_duration-72,0)*Workings_risks!Q$26))*Workings_risks!$F$13*Workings_risks!Q$8,0)*Assumptions!$I46</f>
        <v>4.971631036601123E-4</v>
      </c>
      <c r="R49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data'!$K$23*Workings_risks!R$27+IF(bushfire_outage_duration&gt;72,bushfire_outage_duration-72,0)*Workings_risks!R$26))*Workings_risks!$F$13*Workings_risks!R$8,0)*Assumptions!$I46</f>
        <v>4.978851581425687E-4</v>
      </c>
      <c r="S49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data'!$K$23*Workings_risks!S$27+IF(bushfire_outage_duration&gt;72,bushfire_outage_duration-72,0)*Workings_risks!S$26))*Workings_risks!$F$13*Workings_risks!S$8,0)*Assumptions!$I46</f>
        <v>4.986072126250252E-4</v>
      </c>
      <c r="T49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data'!$K$23*Workings_risks!T$27+IF(bushfire_outage_duration&gt;72,bushfire_outage_duration-72,0)*Workings_risks!T$26))*Workings_risks!$F$13*Workings_risks!T$8,0)*Assumptions!$I46</f>
        <v>4.9932926710748149E-4</v>
      </c>
      <c r="U49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data'!$K$23*Workings_risks!U$27+IF(bushfire_outage_duration&gt;72,bushfire_outage_duration-72,0)*Workings_risks!U$26))*Workings_risks!$F$13*Workings_risks!U$8,0)*Assumptions!$I46</f>
        <v>5.00051321589938E-4</v>
      </c>
      <c r="V49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data'!$K$23*Workings_risks!V$27+IF(bushfire_outage_duration&gt;72,bushfire_outage_duration-72,0)*Workings_risks!V$26))*Workings_risks!$F$13*Workings_risks!V$8,0)*Assumptions!$I46</f>
        <v>5.007733760723944E-4</v>
      </c>
      <c r="W49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data'!$K$23*Workings_risks!W$27+IF(bushfire_outage_duration&gt;72,bushfire_outage_duration-72,0)*Workings_risks!W$26))*Workings_risks!$F$13*Workings_risks!W$8,0)*Assumptions!$I46</f>
        <v>5.014954305548508E-4</v>
      </c>
      <c r="X49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data'!$K$23*Workings_risks!X$27+IF(bushfire_outage_duration&gt;72,bushfire_outage_duration-72,0)*Workings_risks!X$26))*Workings_risks!$F$13*Workings_risks!X$8,0)*Assumptions!$I46</f>
        <v>5.0221748503730731E-4</v>
      </c>
      <c r="Y49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data'!$K$23*Workings_risks!Y$27+IF(bushfire_outage_duration&gt;72,bushfire_outage_duration-72,0)*Workings_risks!Y$26))*Workings_risks!$F$13*Workings_risks!Y$8,0)*Assumptions!$I46</f>
        <v>5.0293953951976371E-4</v>
      </c>
      <c r="Z49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data'!$K$23*Workings_risks!Z$27+IF(bushfire_outage_duration&gt;72,bushfire_outage_duration-72,0)*Workings_risks!Z$26))*Workings_risks!$F$13*Workings_risks!Z$8,0)*Assumptions!$I46</f>
        <v>5.0366159400222022E-4</v>
      </c>
      <c r="AA49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data'!$K$23*Workings_risks!AA$27+IF(bushfire_outage_duration&gt;72,bushfire_outage_duration-72,0)*Workings_risks!AA$26))*Workings_risks!$F$13*Workings_risks!AA$8,0)*Assumptions!$I46</f>
        <v>5.0438364848467661E-4</v>
      </c>
      <c r="AB49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data'!$K$23*Workings_risks!AB$27+IF(bushfire_outage_duration&gt;72,bushfire_outage_duration-72,0)*Workings_risks!AB$26))*Workings_risks!$F$13*Workings_risks!AB$8,0)*Assumptions!$I46</f>
        <v>5.0510570296713301E-4</v>
      </c>
      <c r="AC49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data'!$K$23*Workings_risks!AC$27+IF(bushfire_outage_duration&gt;72,bushfire_outage_duration-72,0)*Workings_risks!AC$26))*Workings_risks!$F$13*Workings_risks!AC$8,0)*Assumptions!$I46</f>
        <v>5.0582775744958952E-4</v>
      </c>
      <c r="AD49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data'!$K$23*Workings_risks!AD$27+IF(bushfire_outage_duration&gt;72,bushfire_outage_duration-72,0)*Workings_risks!AD$26))*Workings_risks!$F$13*Workings_risks!AD$8,0)*Assumptions!$I46</f>
        <v>5.0654981193204581E-4</v>
      </c>
      <c r="AE49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data'!$K$23*Workings_risks!AE$27+IF(bushfire_outage_duration&gt;72,bushfire_outage_duration-72,0)*Workings_risks!AE$26))*Workings_risks!$F$13*Workings_risks!AE$8,0)*Assumptions!$I46</f>
        <v>5.0727186641450243E-4</v>
      </c>
      <c r="AF49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data'!$K$23*Workings_risks!AF$27+IF(bushfire_outage_duration&gt;72,bushfire_outage_duration-72,0)*Workings_risks!AF$26))*Workings_risks!$F$13*Workings_risks!AF$8,0)*Assumptions!$I46</f>
        <v>5.0799392089695883E-4</v>
      </c>
      <c r="AG49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data'!$K$23*Workings_risks!AG$27+IF(bushfire_outage_duration&gt;72,bushfire_outage_duration-72,0)*Workings_risks!AG$26))*Workings_risks!$F$13*Workings_risks!AG$8,0)*Assumptions!$I46</f>
        <v>5.0871597537941523E-4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8">
        <f>IF(SUM($H$17:H$17)&gt;0,(0.5*('Reliability data'!$K$22*Workings_risks!I$27+IF(bushfire_outage_duration&gt;12,12,bushfire_outage_duration-12)*Workings_risks!I$26)-0.5*('Reliability data'!$K$23*Workings_risks!I$27+IF(bushfire_outage_duration&gt;72,bushfire_outage_duration-72,0)*Workings_risks!I$26))*Workings_risks!$F$13*Workings_risks!I$8,0)*Assumptions!$I47</f>
        <v>0</v>
      </c>
      <c r="J50" s="328">
        <f>IF(SUM($H$17:I$17)&gt;0,(0.5*('Reliability data'!$K$22*Workings_risks!J$27+IF(bushfire_outage_duration&gt;12,12,bushfire_outage_duration-12)*Workings_risks!J$26)-0.5*('Reliability data'!$K$23*Workings_risks!J$27+IF(bushfire_outage_duration&gt;72,bushfire_outage_duration-72,0)*Workings_risks!J$26))*Workings_risks!$F$13*Workings_risks!J$8,0)*Assumptions!$I47</f>
        <v>0</v>
      </c>
      <c r="K50" s="328">
        <f>IF(SUM($H$17:J$17)&gt;0,(0.5*('Reliability data'!$K$22*Workings_risks!K$27+IF(bushfire_outage_duration&gt;12,12,bushfire_outage_duration-12)*Workings_risks!K$26)-0.5*('Reliability data'!$K$23*Workings_risks!K$27+IF(bushfire_outage_duration&gt;72,bushfire_outage_duration-72,0)*Workings_risks!K$26))*Workings_risks!$F$13*Workings_risks!K$8,0)*Assumptions!$I47</f>
        <v>0</v>
      </c>
      <c r="L50" s="328">
        <f>IF(SUM($H$17:K$17)&gt;0,(0.5*('Reliability data'!$K$22*Workings_risks!L$27+IF(bushfire_outage_duration&gt;12,12,bushfire_outage_duration-12)*Workings_risks!L$26)-0.5*('Reliability data'!$K$23*Workings_risks!L$27+IF(bushfire_outage_duration&gt;72,bushfire_outage_duration-72,0)*Workings_risks!L$26))*Workings_risks!$F$13*Workings_risks!L$8,0)*Assumptions!$I47</f>
        <v>0</v>
      </c>
      <c r="M50" s="328">
        <f>IF(SUM($H$17:L$17)&gt;0,(0.5*('Reliability data'!$K$22*Workings_risks!M$27+IF(bushfire_outage_duration&gt;12,12,bushfire_outage_duration-12)*Workings_risks!M$26)-0.5*('Reliability data'!$K$23*Workings_risks!M$27+IF(bushfire_outage_duration&gt;72,bushfire_outage_duration-72,0)*Workings_risks!M$26))*Workings_risks!$F$13*Workings_risks!M$8,0)*Assumptions!$I47</f>
        <v>0</v>
      </c>
      <c r="N50" s="328">
        <f>IF(SUM($H$17:M$17)&gt;0,(0.5*('Reliability data'!$K$22*Workings_risks!N$27+IF(bushfire_outage_duration&gt;12,12,bushfire_outage_duration-12)*Workings_risks!N$26)-0.5*('Reliability data'!$K$23*Workings_risks!N$27+IF(bushfire_outage_duration&gt;72,bushfire_outage_duration-72,0)*Workings_risks!N$26))*Workings_risks!$F$13*Workings_risks!N$8,0)*Assumptions!$I47</f>
        <v>0</v>
      </c>
      <c r="O50" s="328">
        <f>IF(SUM($H$17:N$17)&gt;0,(0.5*('Reliability data'!$K$22*Workings_risks!O$27+IF(bushfire_outage_duration&gt;12,12,bushfire_outage_duration-12)*Workings_risks!O$26)-0.5*('Reliability data'!$K$23*Workings_risks!O$27+IF(bushfire_outage_duration&gt;72,bushfire_outage_duration-72,0)*Workings_risks!O$26))*Workings_risks!$F$13*Workings_risks!O$8,0)*Assumptions!$I47</f>
        <v>0</v>
      </c>
      <c r="P50" s="328">
        <f>IF(SUM($H$17:O$17)&gt;0,(0.5*('Reliability data'!$K$22*Workings_risks!P$27+IF(bushfire_outage_duration&gt;12,12,bushfire_outage_duration-12)*Workings_risks!P$26)-0.5*('Reliability data'!$K$23*Workings_risks!P$27+IF(bushfire_outage_duration&gt;72,bushfire_outage_duration-72,0)*Workings_risks!P$26))*Workings_risks!$F$13*Workings_risks!P$8,0)*Assumptions!$I47</f>
        <v>0</v>
      </c>
      <c r="Q50" s="328">
        <f>IF(SUM($H$17:P$17)&gt;0,(0.5*('Reliability data'!$K$22*Workings_risks!Q$27+IF(bushfire_outage_duration&gt;12,12,bushfire_outage_duration-12)*Workings_risks!Q$26)-0.5*('Reliability data'!$K$23*Workings_risks!Q$27+IF(bushfire_outage_duration&gt;72,bushfire_outage_duration-72,0)*Workings_risks!Q$26))*Workings_risks!$F$13*Workings_risks!Q$8,0)*Assumptions!$I47</f>
        <v>0</v>
      </c>
      <c r="R50" s="328">
        <f>IF(SUM($H$17:Q$17)&gt;0,(0.5*('Reliability data'!$K$22*Workings_risks!R$27+IF(bushfire_outage_duration&gt;12,12,bushfire_outage_duration-12)*Workings_risks!R$26)-0.5*('Reliability data'!$K$23*Workings_risks!R$27+IF(bushfire_outage_duration&gt;72,bushfire_outage_duration-72,0)*Workings_risks!R$26))*Workings_risks!$F$13*Workings_risks!R$8,0)*Assumptions!$I47</f>
        <v>0</v>
      </c>
      <c r="S50" s="328">
        <f>IF(SUM($H$17:R$17)&gt;0,(0.5*('Reliability data'!$K$22*Workings_risks!S$27+IF(bushfire_outage_duration&gt;12,12,bushfire_outage_duration-12)*Workings_risks!S$26)-0.5*('Reliability data'!$K$23*Workings_risks!S$27+IF(bushfire_outage_duration&gt;72,bushfire_outage_duration-72,0)*Workings_risks!S$26))*Workings_risks!$F$13*Workings_risks!S$8,0)*Assumptions!$I47</f>
        <v>0</v>
      </c>
      <c r="T50" s="328">
        <f>IF(SUM($H$17:S$17)&gt;0,(0.5*('Reliability data'!$K$22*Workings_risks!T$27+IF(bushfire_outage_duration&gt;12,12,bushfire_outage_duration-12)*Workings_risks!T$26)-0.5*('Reliability data'!$K$23*Workings_risks!T$27+IF(bushfire_outage_duration&gt;72,bushfire_outage_duration-72,0)*Workings_risks!T$26))*Workings_risks!$F$13*Workings_risks!T$8,0)*Assumptions!$I47</f>
        <v>0</v>
      </c>
      <c r="U50" s="328">
        <f>IF(SUM($H$17:T$17)&gt;0,(0.5*('Reliability data'!$K$22*Workings_risks!U$27+IF(bushfire_outage_duration&gt;12,12,bushfire_outage_duration-12)*Workings_risks!U$26)-0.5*('Reliability data'!$K$23*Workings_risks!U$27+IF(bushfire_outage_duration&gt;72,bushfire_outage_duration-72,0)*Workings_risks!U$26))*Workings_risks!$F$13*Workings_risks!U$8,0)*Assumptions!$I47</f>
        <v>0</v>
      </c>
      <c r="V50" s="328">
        <f>IF(SUM($H$17:U$17)&gt;0,(0.5*('Reliability data'!$K$22*Workings_risks!V$27+IF(bushfire_outage_duration&gt;12,12,bushfire_outage_duration-12)*Workings_risks!V$26)-0.5*('Reliability data'!$K$23*Workings_risks!V$27+IF(bushfire_outage_duration&gt;72,bushfire_outage_duration-72,0)*Workings_risks!V$26))*Workings_risks!$F$13*Workings_risks!V$8,0)*Assumptions!$I47</f>
        <v>0</v>
      </c>
      <c r="W50" s="328">
        <f>IF(SUM($H$17:V$17)&gt;0,(0.5*('Reliability data'!$K$22*Workings_risks!W$27+IF(bushfire_outage_duration&gt;12,12,bushfire_outage_duration-12)*Workings_risks!W$26)-0.5*('Reliability data'!$K$23*Workings_risks!W$27+IF(bushfire_outage_duration&gt;72,bushfire_outage_duration-72,0)*Workings_risks!W$26))*Workings_risks!$F$13*Workings_risks!W$8,0)*Assumptions!$I47</f>
        <v>0</v>
      </c>
      <c r="X50" s="328">
        <f>IF(SUM($H$17:W$17)&gt;0,(0.5*('Reliability data'!$K$22*Workings_risks!X$27+IF(bushfire_outage_duration&gt;12,12,bushfire_outage_duration-12)*Workings_risks!X$26)-0.5*('Reliability data'!$K$23*Workings_risks!X$27+IF(bushfire_outage_duration&gt;72,bushfire_outage_duration-72,0)*Workings_risks!X$26))*Workings_risks!$F$13*Workings_risks!X$8,0)*Assumptions!$I47</f>
        <v>0</v>
      </c>
      <c r="Y50" s="328">
        <f>IF(SUM($H$17:X$17)&gt;0,(0.5*('Reliability data'!$K$22*Workings_risks!Y$27+IF(bushfire_outage_duration&gt;12,12,bushfire_outage_duration-12)*Workings_risks!Y$26)-0.5*('Reliability data'!$K$23*Workings_risks!Y$27+IF(bushfire_outage_duration&gt;72,bushfire_outage_duration-72,0)*Workings_risks!Y$26))*Workings_risks!$F$13*Workings_risks!Y$8,0)*Assumptions!$I47</f>
        <v>0</v>
      </c>
      <c r="Z50" s="328">
        <f>IF(SUM($H$17:Y$17)&gt;0,(0.5*('Reliability data'!$K$22*Workings_risks!Z$27+IF(bushfire_outage_duration&gt;12,12,bushfire_outage_duration-12)*Workings_risks!Z$26)-0.5*('Reliability data'!$K$23*Workings_risks!Z$27+IF(bushfire_outage_duration&gt;72,bushfire_outage_duration-72,0)*Workings_risks!Z$26))*Workings_risks!$F$13*Workings_risks!Z$8,0)*Assumptions!$I47</f>
        <v>0</v>
      </c>
      <c r="AA50" s="328">
        <f>IF(SUM($H$17:Z$17)&gt;0,(0.5*('Reliability data'!$K$22*Workings_risks!AA$27+IF(bushfire_outage_duration&gt;12,12,bushfire_outage_duration-12)*Workings_risks!AA$26)-0.5*('Reliability data'!$K$23*Workings_risks!AA$27+IF(bushfire_outage_duration&gt;72,bushfire_outage_duration-72,0)*Workings_risks!AA$26))*Workings_risks!$F$13*Workings_risks!AA$8,0)*Assumptions!$I47</f>
        <v>0</v>
      </c>
      <c r="AB50" s="328">
        <f>IF(SUM($H$17:AA$17)&gt;0,(0.5*('Reliability data'!$K$22*Workings_risks!AB$27+IF(bushfire_outage_duration&gt;12,12,bushfire_outage_duration-12)*Workings_risks!AB$26)-0.5*('Reliability data'!$K$23*Workings_risks!AB$27+IF(bushfire_outage_duration&gt;72,bushfire_outage_duration-72,0)*Workings_risks!AB$26))*Workings_risks!$F$13*Workings_risks!AB$8,0)*Assumptions!$I47</f>
        <v>0</v>
      </c>
      <c r="AC50" s="328">
        <f>IF(SUM($H$17:AB$17)&gt;0,(0.5*('Reliability data'!$K$22*Workings_risks!AC$27+IF(bushfire_outage_duration&gt;12,12,bushfire_outage_duration-12)*Workings_risks!AC$26)-0.5*('Reliability data'!$K$23*Workings_risks!AC$27+IF(bushfire_outage_duration&gt;72,bushfire_outage_duration-72,0)*Workings_risks!AC$26))*Workings_risks!$F$13*Workings_risks!AC$8,0)*Assumptions!$I47</f>
        <v>0</v>
      </c>
      <c r="AD50" s="328">
        <f>IF(SUM($H$17:AC$17)&gt;0,(0.5*('Reliability data'!$K$22*Workings_risks!AD$27+IF(bushfire_outage_duration&gt;12,12,bushfire_outage_duration-12)*Workings_risks!AD$26)-0.5*('Reliability data'!$K$23*Workings_risks!AD$27+IF(bushfire_outage_duration&gt;72,bushfire_outage_duration-72,0)*Workings_risks!AD$26))*Workings_risks!$F$13*Workings_risks!AD$8,0)*Assumptions!$I47</f>
        <v>0</v>
      </c>
      <c r="AE50" s="328">
        <f>IF(SUM($H$17:AD$17)&gt;0,(0.5*('Reliability data'!$K$22*Workings_risks!AE$27+IF(bushfire_outage_duration&gt;12,12,bushfire_outage_duration-12)*Workings_risks!AE$26)-0.5*('Reliability data'!$K$23*Workings_risks!AE$27+IF(bushfire_outage_duration&gt;72,bushfire_outage_duration-72,0)*Workings_risks!AE$26))*Workings_risks!$F$13*Workings_risks!AE$8,0)*Assumptions!$I47</f>
        <v>0</v>
      </c>
      <c r="AF50" s="328">
        <f>IF(SUM($H$17:AE$17)&gt;0,(0.5*('Reliability data'!$K$22*Workings_risks!AF$27+IF(bushfire_outage_duration&gt;12,12,bushfire_outage_duration-12)*Workings_risks!AF$26)-0.5*('Reliability data'!$K$23*Workings_risks!AF$27+IF(bushfire_outage_duration&gt;72,bushfire_outage_duration-72,0)*Workings_risks!AF$26))*Workings_risks!$F$13*Workings_risks!AF$8,0)*Assumptions!$I47</f>
        <v>0</v>
      </c>
      <c r="AG50" s="328">
        <f>IF(SUM($H$17:AF$17)&gt;0,(0.5*('Reliability data'!$K$22*Workings_risks!AG$27+IF(bushfire_outage_duration&gt;12,12,bushfire_outage_duration-12)*Workings_risks!AG$26)-0.5*('Reliability data'!$K$23*Workings_risks!AG$27+IF(bushfire_outage_duration&gt;72,bushfire_outage_duration-72,0)*Workings_risks!AG$26))*Workings_risks!$F$13*Workings_risks!AG$8,0)*Assumptions!$I47</f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329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35081.571541508129</v>
      </c>
      <c r="M57" s="171" cm="1">
        <f t="array" ref="M57">SUMPRODUCT((M$45:M$52)*($E$45:$E$52))+SUM(M54:M55)+M42</f>
        <v>38010.206176207743</v>
      </c>
      <c r="N57" s="171" cm="1">
        <f t="array" ref="N57">SUMPRODUCT((N$45:N$52)*($E$45:$E$52))+SUM(N54:N55)+N42</f>
        <v>38032.383041451874</v>
      </c>
      <c r="O57" s="171" cm="1">
        <f t="array" ref="O57">SUMPRODUCT((O$45:O$52)*($E$45:$E$52))+SUM(O54:O55)+O42</f>
        <v>38426.37186475793</v>
      </c>
      <c r="P57" s="171" cm="1">
        <f t="array" ref="P57">SUMPRODUCT((P$45:P$52)*($E$45:$E$52))+SUM(P54:P55)+P42</f>
        <v>38914.13687145336</v>
      </c>
      <c r="Q57" s="171" cm="1">
        <f t="array" ref="Q57">SUMPRODUCT((Q$45:Q$52)*($E$45:$E$52))+SUM(Q54:Q55)+Q42</f>
        <v>38994.428252951337</v>
      </c>
      <c r="R57" s="171" cm="1">
        <f t="array" ref="R57">SUMPRODUCT((R$45:R$52)*($E$45:$E$52))+SUM(R54:R55)+R42</f>
        <v>37998.564100172829</v>
      </c>
      <c r="S57" s="171" cm="1">
        <f t="array" ref="S57">SUMPRODUCT((S$45:S$52)*($E$45:$E$52))+SUM(S54:S55)+S42</f>
        <v>37002.699947394431</v>
      </c>
      <c r="T57" s="171" cm="1">
        <f t="array" ref="T57">SUMPRODUCT((T$45:T$52)*($E$45:$E$52))+SUM(T54:T55)+T42</f>
        <v>36006.835794615778</v>
      </c>
      <c r="U57" s="171" cm="1">
        <f t="array" ref="U57">SUMPRODUCT((U$45:U$52)*($E$45:$E$52))+SUM(U54:U55)+U42</f>
        <v>35010.971641837379</v>
      </c>
      <c r="V57" s="171" cm="1">
        <f t="array" ref="V57">SUMPRODUCT((V$45:V$52)*($E$45:$E$52))+SUM(V54:V55)+V42</f>
        <v>34015.107489058668</v>
      </c>
      <c r="W57" s="171" cm="1">
        <f t="array" ref="W57">SUMPRODUCT((W$45:W$52)*($E$45:$E$52))+SUM(W54:W55)+W42</f>
        <v>33019.243336280219</v>
      </c>
      <c r="X57" s="171" cm="1">
        <f t="array" ref="X57">SUMPRODUCT((X$45:X$52)*($E$45:$E$52))+SUM(X54:X55)+X42</f>
        <v>32023.379183501511</v>
      </c>
      <c r="Y57" s="171" cm="1">
        <f t="array" ref="Y57">SUMPRODUCT((Y$45:Y$52)*($E$45:$E$52))+SUM(Y54:Y55)+Y42</f>
        <v>31027.515030723116</v>
      </c>
      <c r="Z57" s="171" cm="1">
        <f t="array" ref="Z57">SUMPRODUCT((Z$45:Z$52)*($E$45:$E$52))+SUM(Z54:Z55)+Z42</f>
        <v>30031.650877944412</v>
      </c>
      <c r="AA57" s="171" cm="1">
        <f t="array" ref="AA57">SUMPRODUCT((AA$45:AA$52)*($E$45:$E$52))+SUM(AA54:AA55)+AA42</f>
        <v>29035.786725166006</v>
      </c>
      <c r="AB57" s="171" cm="1">
        <f t="array" ref="AB57">SUMPRODUCT((AB$45:AB$52)*($E$45:$E$52))+SUM(AB54:AB55)+AB42</f>
        <v>28039.922572387306</v>
      </c>
      <c r="AC57" s="171" cm="1">
        <f t="array" ref="AC57">SUMPRODUCT((AC$45:AC$52)*($E$45:$E$52))+SUM(AC54:AC55)+AC42</f>
        <v>27044.058419608904</v>
      </c>
      <c r="AD57" s="171" cm="1">
        <f t="array" ref="AD57">SUMPRODUCT((AD$45:AD$52)*($E$45:$E$52))+SUM(AD54:AD55)+AD42</f>
        <v>26048.1942668302</v>
      </c>
      <c r="AE57" s="171" cm="1">
        <f t="array" ref="AE57">SUMPRODUCT((AE$45:AE$52)*($E$45:$E$52))+SUM(AE54:AE55)+AE42</f>
        <v>25052.330114051751</v>
      </c>
      <c r="AF57" s="171" cm="1">
        <f t="array" ref="AF57">SUMPRODUCT((AF$45:AF$52)*($E$45:$E$52))+SUM(AF54:AF55)+AF42</f>
        <v>24056.465961273345</v>
      </c>
      <c r="AG57" s="171" cm="1">
        <f t="array" ref="AG57">SUMPRODUCT((AG$45:AG$52)*($E$45:$E$52))+SUM(AG54:AG55)+AG42</f>
        <v>23060.601808494641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297175.45790162554</v>
      </c>
      <c r="M64" s="133">
        <f>(1-INDEX(Data!$C$9:$C$13, MATCH($A$3, options,0)))*('Option1 (base case)'!M36-M36)</f>
        <v>307198.49902964314</v>
      </c>
      <c r="N64" s="133">
        <f>(1-INDEX(Data!$C$9:$C$13, MATCH($A$3, options,0)))*('Option1 (base case)'!N36-N36)</f>
        <v>313513.07707374793</v>
      </c>
      <c r="O64" s="133">
        <f>(1-INDEX(Data!$C$9:$C$13, MATCH($A$3, options,0)))*('Option1 (base case)'!O36-O36)</f>
        <v>323260.9918021583</v>
      </c>
      <c r="P64" s="133">
        <f>(1-INDEX(Data!$C$9:$C$13, MATCH($A$3, options,0)))*('Option1 (base case)'!P36-P36)</f>
        <v>334274.80328620097</v>
      </c>
      <c r="Q64" s="133">
        <f>(1-INDEX(Data!$C$9:$C$13, MATCH($A$3, options,0)))*('Option1 (base case)'!Q36-Q36)</f>
        <v>342242.96645065531</v>
      </c>
      <c r="R64" s="133">
        <f>(1-INDEX(Data!$C$9:$C$13, MATCH($A$3, options,0)))*('Option1 (base case)'!R36-R36)</f>
        <v>340966.88810169813</v>
      </c>
      <c r="S64" s="133">
        <f>(1-INDEX(Data!$C$9:$C$13, MATCH($A$3, options,0)))*('Option1 (base case)'!S36-S36)</f>
        <v>339690.80975274107</v>
      </c>
      <c r="T64" s="133">
        <f>(1-INDEX(Data!$C$9:$C$13, MATCH($A$3, options,0)))*('Option1 (base case)'!T36-T36)</f>
        <v>338414.73140378355</v>
      </c>
      <c r="U64" s="133">
        <f>(1-INDEX(Data!$C$9:$C$13, MATCH($A$3, options,0)))*('Option1 (base case)'!U36-U36)</f>
        <v>337138.65305482649</v>
      </c>
      <c r="V64" s="133">
        <f>(1-INDEX(Data!$C$9:$C$13, MATCH($A$3, options,0)))*('Option1 (base case)'!V36-V36)</f>
        <v>335862.57470586908</v>
      </c>
      <c r="W64" s="133">
        <f>(1-INDEX(Data!$C$9:$C$13, MATCH($A$3, options,0)))*('Option1 (base case)'!W36-W36)</f>
        <v>334586.4963569119</v>
      </c>
      <c r="X64" s="133">
        <f>(1-INDEX(Data!$C$9:$C$13, MATCH($A$3, options,0)))*('Option1 (base case)'!X36-X36)</f>
        <v>333310.41800795443</v>
      </c>
      <c r="Y64" s="133">
        <f>(1-INDEX(Data!$C$9:$C$13, MATCH($A$3, options,0)))*('Option1 (base case)'!Y36-Y36)</f>
        <v>332034.33965899731</v>
      </c>
      <c r="Z64" s="133">
        <f>(1-INDEX(Data!$C$9:$C$13, MATCH($A$3, options,0)))*('Option1 (base case)'!Z36-Z36)</f>
        <v>330758.26131003984</v>
      </c>
      <c r="AA64" s="133">
        <f>(1-INDEX(Data!$C$9:$C$13, MATCH($A$3, options,0)))*('Option1 (base case)'!AA36-AA36)</f>
        <v>329482.18296108278</v>
      </c>
      <c r="AB64" s="133">
        <f>(1-INDEX(Data!$C$9:$C$13, MATCH($A$3, options,0)))*('Option1 (base case)'!AB36-AB36)</f>
        <v>328206.10461212537</v>
      </c>
      <c r="AC64" s="133">
        <f>(1-INDEX(Data!$C$9:$C$13, MATCH($A$3, options,0)))*('Option1 (base case)'!AC36-AC36)</f>
        <v>326930.02626316814</v>
      </c>
      <c r="AD64" s="133">
        <f>(1-INDEX(Data!$C$9:$C$13, MATCH($A$3, options,0)))*('Option1 (base case)'!AD36-AD36)</f>
        <v>325653.94791421073</v>
      </c>
      <c r="AE64" s="133">
        <f>(1-INDEX(Data!$C$9:$C$13, MATCH($A$3, options,0)))*('Option1 (base case)'!AE36-AE36)</f>
        <v>324377.86956525361</v>
      </c>
      <c r="AF64" s="133">
        <f>(1-INDEX(Data!$C$9:$C$13, MATCH($A$3, options,0)))*('Option1 (base case)'!AF36-AF36)</f>
        <v>323101.79121629655</v>
      </c>
      <c r="AG64" s="133">
        <f>(1-INDEX(Data!$C$9:$C$13, MATCH($A$3, options,0)))*('Option1 (base case)'!AG36-AG36)</f>
        <v>321825.71286733908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-2875475.8874999997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-2875475.8874999997</v>
      </c>
      <c r="L72" s="119" cm="1">
        <f t="array" ref="L72">SUMPRODUCT(($I67:L67))-SUMPRODUCT(($I67:L67)*($I$6:L$6&lt;=(L$6-$E14)))</f>
        <v>-2875475.8874999997</v>
      </c>
      <c r="M72" s="119" cm="1">
        <f t="array" ref="M72">SUMPRODUCT(($I67:M67))-SUMPRODUCT(($I67:M67)*($I$6:M$6&lt;=(M$6-$E14)))</f>
        <v>-2875475.8874999997</v>
      </c>
      <c r="N72" s="119" cm="1">
        <f t="array" ref="N72">SUMPRODUCT(($I67:N67))-SUMPRODUCT(($I67:N67)*($I$6:N$6&lt;=(N$6-$E14)))</f>
        <v>-2875475.8874999997</v>
      </c>
      <c r="O72" s="119" cm="1">
        <f t="array" ref="O72">SUMPRODUCT(($I67:O67))-SUMPRODUCT(($I67:O67)*($I$6:O$6&lt;=(O$6-$E14)))</f>
        <v>-2875475.8874999997</v>
      </c>
      <c r="P72" s="119" cm="1">
        <f t="array" ref="P72">SUMPRODUCT(($I67:P67))-SUMPRODUCT(($I67:P67)*($I$6:P$6&lt;=(P$6-$E14)))</f>
        <v>-2875475.8874999997</v>
      </c>
      <c r="Q72" s="119" cm="1">
        <f t="array" ref="Q72">SUMPRODUCT(($I67:Q67))-SUMPRODUCT(($I67:Q67)*($I$6:Q$6&lt;=(Q$6-$E14)))</f>
        <v>-2875475.8874999997</v>
      </c>
      <c r="R72" s="119" cm="1">
        <f t="array" ref="R72">SUMPRODUCT(($I67:R67))-SUMPRODUCT(($I67:R67)*($I$6:R$6&lt;=(R$6-$E14)))</f>
        <v>-2875475.8874999997</v>
      </c>
      <c r="S72" s="119" cm="1">
        <f t="array" ref="S72">SUMPRODUCT(($I67:S67))-SUMPRODUCT(($I67:S67)*($I$6:S$6&lt;=(S$6-$E14)))</f>
        <v>-2875475.8874999997</v>
      </c>
      <c r="T72" s="119" cm="1">
        <f t="array" ref="T72">SUMPRODUCT(($I67:T67))-SUMPRODUCT(($I67:T67)*($I$6:T$6&lt;=(T$6-$E14)))</f>
        <v>-2875475.8874999997</v>
      </c>
      <c r="U72" s="119" cm="1">
        <f t="array" ref="U72">SUMPRODUCT(($I67:U67))-SUMPRODUCT(($I67:U67)*($I$6:U$6&lt;=(U$6-$E14)))</f>
        <v>-2875475.8874999997</v>
      </c>
      <c r="V72" s="119" cm="1">
        <f t="array" ref="V72">SUMPRODUCT(($I67:V67))-SUMPRODUCT(($I67:V67)*($I$6:V$6&lt;=(V$6-$E14)))</f>
        <v>-2875475.8874999997</v>
      </c>
      <c r="W72" s="119" cm="1">
        <f t="array" ref="W72">SUMPRODUCT(($I67:W67))-SUMPRODUCT(($I67:W67)*($I$6:W$6&lt;=(W$6-$E14)))</f>
        <v>-2875475.8874999997</v>
      </c>
      <c r="X72" s="119" cm="1">
        <f t="array" ref="X72">SUMPRODUCT(($I67:X67))-SUMPRODUCT(($I67:X67)*($I$6:X$6&lt;=(X$6-$E14)))</f>
        <v>-2875475.8874999997</v>
      </c>
      <c r="Y72" s="119" cm="1">
        <f t="array" ref="Y72">SUMPRODUCT(($I67:Y67))-SUMPRODUCT(($I67:Y67)*($I$6:Y$6&lt;=(Y$6-$E14)))</f>
        <v>-2875475.8874999997</v>
      </c>
      <c r="Z72" s="119" cm="1">
        <f t="array" ref="Z72">SUMPRODUCT(($I67:Z67))-SUMPRODUCT(($I67:Z67)*($I$6:Z$6&lt;=(Z$6-$E14)))</f>
        <v>-2875475.8874999997</v>
      </c>
      <c r="AA72" s="119" cm="1">
        <f t="array" ref="AA72">SUMPRODUCT(($I67:AA67))-SUMPRODUCT(($I67:AA67)*($I$6:AA$6&lt;=(AA$6-$E14)))</f>
        <v>-2875475.8874999997</v>
      </c>
      <c r="AB72" s="119" cm="1">
        <f t="array" ref="AB72">SUMPRODUCT(($I67:AB67))-SUMPRODUCT(($I67:AB67)*($I$6:AB$6&lt;=(AB$6-$E14)))</f>
        <v>-2875475.8874999997</v>
      </c>
      <c r="AC72" s="119" cm="1">
        <f t="array" ref="AC72">SUMPRODUCT(($I67:AC67))-SUMPRODUCT(($I67:AC67)*($I$6:AC$6&lt;=(AC$6-$E14)))</f>
        <v>-2875475.8874999997</v>
      </c>
      <c r="AD72" s="119" cm="1">
        <f t="array" ref="AD72">SUMPRODUCT(($I67:AD67))-SUMPRODUCT(($I67:AD67)*($I$6:AD$6&lt;=(AD$6-$E14)))</f>
        <v>-2875475.8874999997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>
        <f>C15</f>
        <v>0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Microgrid (exc BESS)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-202321.57970812789</v>
      </c>
      <c r="M77" s="119">
        <f t="shared" si="8"/>
        <v>-202321.57970812789</v>
      </c>
      <c r="N77" s="119">
        <f t="shared" si="8"/>
        <v>-202321.57970812789</v>
      </c>
      <c r="O77" s="119">
        <f t="shared" si="8"/>
        <v>-202321.57970812789</v>
      </c>
      <c r="P77" s="119">
        <f t="shared" si="8"/>
        <v>-202321.57970812789</v>
      </c>
      <c r="Q77" s="119">
        <f t="shared" si="8"/>
        <v>-202321.57970812789</v>
      </c>
      <c r="R77" s="119">
        <f t="shared" si="8"/>
        <v>-202321.57970812789</v>
      </c>
      <c r="S77" s="119">
        <f t="shared" si="8"/>
        <v>-202321.57970812789</v>
      </c>
      <c r="T77" s="119">
        <f t="shared" si="8"/>
        <v>-202321.57970812789</v>
      </c>
      <c r="U77" s="119">
        <f t="shared" si="8"/>
        <v>-202321.57970812789</v>
      </c>
      <c r="V77" s="119">
        <f t="shared" si="8"/>
        <v>-202321.57970812789</v>
      </c>
      <c r="W77" s="119">
        <f t="shared" si="8"/>
        <v>-202321.57970812789</v>
      </c>
      <c r="X77" s="119">
        <f t="shared" si="8"/>
        <v>-202321.57970812789</v>
      </c>
      <c r="Y77" s="119">
        <f t="shared" si="8"/>
        <v>-202321.57970812789</v>
      </c>
      <c r="Z77" s="119">
        <f t="shared" si="8"/>
        <v>-202321.57970812789</v>
      </c>
      <c r="AA77" s="119">
        <f t="shared" si="8"/>
        <v>-202321.57970812789</v>
      </c>
      <c r="AB77" s="119">
        <f t="shared" si="8"/>
        <v>-202321.57970812789</v>
      </c>
      <c r="AC77" s="119">
        <f t="shared" si="8"/>
        <v>-202321.57970812789</v>
      </c>
      <c r="AD77" s="119">
        <f t="shared" si="8"/>
        <v>-202321.57970812789</v>
      </c>
      <c r="AE77" s="119">
        <f t="shared" si="8"/>
        <v>-202321.57970812789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-202321.57970812789</v>
      </c>
      <c r="M80" s="177">
        <f t="shared" si="11"/>
        <v>-202321.57970812789</v>
      </c>
      <c r="N80" s="177">
        <f t="shared" si="11"/>
        <v>-202321.57970812789</v>
      </c>
      <c r="O80" s="177">
        <f t="shared" si="11"/>
        <v>-202321.57970812789</v>
      </c>
      <c r="P80" s="177">
        <f t="shared" si="11"/>
        <v>-202321.57970812789</v>
      </c>
      <c r="Q80" s="177">
        <f t="shared" si="11"/>
        <v>-202321.57970812789</v>
      </c>
      <c r="R80" s="177">
        <f t="shared" si="11"/>
        <v>-202321.57970812789</v>
      </c>
      <c r="S80" s="177">
        <f t="shared" si="11"/>
        <v>-202321.57970812789</v>
      </c>
      <c r="T80" s="177">
        <f t="shared" si="11"/>
        <v>-202321.57970812789</v>
      </c>
      <c r="U80" s="177">
        <f t="shared" si="11"/>
        <v>-202321.57970812789</v>
      </c>
      <c r="V80" s="177">
        <f t="shared" si="11"/>
        <v>-202321.57970812789</v>
      </c>
      <c r="W80" s="177">
        <f t="shared" si="11"/>
        <v>-202321.57970812789</v>
      </c>
      <c r="X80" s="177">
        <f t="shared" si="11"/>
        <v>-202321.57970812789</v>
      </c>
      <c r="Y80" s="177">
        <f t="shared" si="11"/>
        <v>-202321.57970812789</v>
      </c>
      <c r="Z80" s="177">
        <f t="shared" si="11"/>
        <v>-202321.57970812789</v>
      </c>
      <c r="AA80" s="177">
        <f t="shared" si="11"/>
        <v>-202321.57970812789</v>
      </c>
      <c r="AB80" s="177">
        <f t="shared" si="11"/>
        <v>-202321.57970812789</v>
      </c>
      <c r="AC80" s="177">
        <f>SUM(AC77:AC79)</f>
        <v>-202321.57970812789</v>
      </c>
      <c r="AD80" s="177">
        <f>SUM(AD77:AD79)</f>
        <v>-202321.57970812789</v>
      </c>
      <c r="AE80" s="177">
        <f>SUM(AE77:AE79)</f>
        <v>-202321.57970812789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-202321.57970812789</v>
      </c>
      <c r="M82" s="119">
        <f t="shared" si="13"/>
        <v>-202321.57970812789</v>
      </c>
      <c r="N82" s="119">
        <f t="shared" si="13"/>
        <v>-202321.57970812789</v>
      </c>
      <c r="O82" s="119">
        <f t="shared" si="13"/>
        <v>-202321.57970812789</v>
      </c>
      <c r="P82" s="119">
        <f t="shared" si="13"/>
        <v>-202321.57970812789</v>
      </c>
      <c r="Q82" s="119">
        <f t="shared" si="13"/>
        <v>-202321.57970812789</v>
      </c>
      <c r="R82" s="119">
        <f t="shared" si="13"/>
        <v>-202321.57970812789</v>
      </c>
      <c r="S82" s="119">
        <f t="shared" si="13"/>
        <v>-202321.57970812789</v>
      </c>
      <c r="T82" s="119">
        <f t="shared" si="13"/>
        <v>-202321.57970812789</v>
      </c>
      <c r="U82" s="119">
        <f t="shared" si="13"/>
        <v>-202321.57970812789</v>
      </c>
      <c r="V82" s="119">
        <f t="shared" si="13"/>
        <v>-202321.57970812789</v>
      </c>
      <c r="W82" s="119">
        <f t="shared" si="13"/>
        <v>-202321.57970812789</v>
      </c>
      <c r="X82" s="119">
        <f t="shared" si="13"/>
        <v>-202321.57970812789</v>
      </c>
      <c r="Y82" s="119">
        <f t="shared" si="13"/>
        <v>-202321.57970812789</v>
      </c>
      <c r="Z82" s="119">
        <f t="shared" si="13"/>
        <v>-202321.57970812789</v>
      </c>
      <c r="AA82" s="119">
        <f t="shared" si="13"/>
        <v>-202321.57970812789</v>
      </c>
      <c r="AB82" s="119">
        <f t="shared" si="13"/>
        <v>-202321.57970812789</v>
      </c>
      <c r="AC82" s="119">
        <f>AC80</f>
        <v>-202321.57970812789</v>
      </c>
      <c r="AD82" s="119">
        <f>AD80</f>
        <v>-202321.57970812789</v>
      </c>
      <c r="AE82" s="119">
        <f>AE80</f>
        <v>-202321.57970812789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-80000</v>
      </c>
      <c r="M83" s="31">
        <f t="shared" si="14"/>
        <v>-80000</v>
      </c>
      <c r="N83" s="31">
        <f t="shared" si="14"/>
        <v>-80000</v>
      </c>
      <c r="O83" s="31">
        <f t="shared" si="14"/>
        <v>-80000</v>
      </c>
      <c r="P83" s="31">
        <f t="shared" si="14"/>
        <v>-80000</v>
      </c>
      <c r="Q83" s="31">
        <f t="shared" si="14"/>
        <v>-80000</v>
      </c>
      <c r="R83" s="31">
        <f t="shared" si="14"/>
        <v>-80000</v>
      </c>
      <c r="S83" s="31">
        <f t="shared" si="14"/>
        <v>-80000</v>
      </c>
      <c r="T83" s="31">
        <f t="shared" si="14"/>
        <v>-80000</v>
      </c>
      <c r="U83" s="31">
        <f t="shared" si="14"/>
        <v>-80000</v>
      </c>
      <c r="V83" s="31">
        <f t="shared" si="14"/>
        <v>-80000</v>
      </c>
      <c r="W83" s="31">
        <f t="shared" si="14"/>
        <v>-80000</v>
      </c>
      <c r="X83" s="31">
        <f t="shared" si="14"/>
        <v>-80000</v>
      </c>
      <c r="Y83" s="31">
        <f t="shared" si="14"/>
        <v>-80000</v>
      </c>
      <c r="Z83" s="31">
        <f t="shared" si="14"/>
        <v>-80000</v>
      </c>
      <c r="AA83" s="31">
        <f t="shared" si="14"/>
        <v>-80000</v>
      </c>
      <c r="AB83" s="31">
        <f t="shared" si="14"/>
        <v>-80000</v>
      </c>
      <c r="AC83" s="31">
        <f t="shared" si="14"/>
        <v>-80000</v>
      </c>
      <c r="AD83" s="31">
        <f t="shared" si="14"/>
        <v>-80000</v>
      </c>
      <c r="AE83" s="31">
        <f t="shared" si="14"/>
        <v>-80000</v>
      </c>
      <c r="AF83" s="31">
        <f t="shared" si="14"/>
        <v>-80000</v>
      </c>
      <c r="AG83" s="31">
        <f t="shared" si="14"/>
        <v>-80000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297175.45790162554</v>
      </c>
      <c r="M84" s="31">
        <f t="shared" si="15"/>
        <v>307198.49902964314</v>
      </c>
      <c r="N84" s="31">
        <f t="shared" si="15"/>
        <v>313513.07707374793</v>
      </c>
      <c r="O84" s="31">
        <f t="shared" si="15"/>
        <v>323260.9918021583</v>
      </c>
      <c r="P84" s="31">
        <f t="shared" si="15"/>
        <v>334274.80328620097</v>
      </c>
      <c r="Q84" s="31">
        <f t="shared" si="15"/>
        <v>342242.96645065531</v>
      </c>
      <c r="R84" s="31">
        <f t="shared" si="15"/>
        <v>340966.88810169813</v>
      </c>
      <c r="S84" s="31">
        <f t="shared" si="15"/>
        <v>339690.80975274107</v>
      </c>
      <c r="T84" s="31">
        <f t="shared" si="15"/>
        <v>338414.73140378355</v>
      </c>
      <c r="U84" s="31">
        <f t="shared" si="15"/>
        <v>337138.65305482649</v>
      </c>
      <c r="V84" s="31">
        <f t="shared" si="15"/>
        <v>335862.57470586908</v>
      </c>
      <c r="W84" s="31">
        <f t="shared" si="15"/>
        <v>334586.4963569119</v>
      </c>
      <c r="X84" s="31">
        <f t="shared" si="15"/>
        <v>333310.41800795443</v>
      </c>
      <c r="Y84" s="31">
        <f t="shared" si="15"/>
        <v>332034.33965899731</v>
      </c>
      <c r="Z84" s="31">
        <f t="shared" si="15"/>
        <v>330758.26131003984</v>
      </c>
      <c r="AA84" s="31">
        <f t="shared" si="15"/>
        <v>329482.18296108278</v>
      </c>
      <c r="AB84" s="31">
        <f t="shared" si="15"/>
        <v>328206.10461212537</v>
      </c>
      <c r="AC84" s="31">
        <f>AC64</f>
        <v>326930.02626316814</v>
      </c>
      <c r="AD84" s="31">
        <f>AD64</f>
        <v>325653.94791421073</v>
      </c>
      <c r="AE84" s="31">
        <f>AE64</f>
        <v>324377.86956525361</v>
      </c>
      <c r="AF84" s="31">
        <f>AF64</f>
        <v>323101.79121629655</v>
      </c>
      <c r="AG84" s="31">
        <f>AG64</f>
        <v>321825.71286733908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35081.571541508129</v>
      </c>
      <c r="M85" s="31">
        <f t="shared" si="16"/>
        <v>38010.206176207743</v>
      </c>
      <c r="N85" s="31">
        <f t="shared" si="16"/>
        <v>38032.383041451874</v>
      </c>
      <c r="O85" s="31">
        <f t="shared" si="16"/>
        <v>38426.37186475793</v>
      </c>
      <c r="P85" s="31">
        <f t="shared" si="16"/>
        <v>38914.13687145336</v>
      </c>
      <c r="Q85" s="31">
        <f t="shared" si="16"/>
        <v>38994.428252951337</v>
      </c>
      <c r="R85" s="31">
        <f t="shared" si="16"/>
        <v>37998.564100172829</v>
      </c>
      <c r="S85" s="31">
        <f t="shared" si="16"/>
        <v>37002.699947394431</v>
      </c>
      <c r="T85" s="31">
        <f t="shared" si="16"/>
        <v>36006.835794615778</v>
      </c>
      <c r="U85" s="31">
        <f t="shared" si="16"/>
        <v>35010.971641837379</v>
      </c>
      <c r="V85" s="31">
        <f t="shared" si="16"/>
        <v>34015.107489058668</v>
      </c>
      <c r="W85" s="31">
        <f t="shared" si="16"/>
        <v>33019.243336280219</v>
      </c>
      <c r="X85" s="31">
        <f t="shared" si="16"/>
        <v>32023.379183501511</v>
      </c>
      <c r="Y85" s="31">
        <f t="shared" si="16"/>
        <v>31027.515030723116</v>
      </c>
      <c r="Z85" s="31">
        <f t="shared" si="16"/>
        <v>30031.650877944412</v>
      </c>
      <c r="AA85" s="31">
        <f t="shared" si="16"/>
        <v>29035.786725166006</v>
      </c>
      <c r="AB85" s="31">
        <f t="shared" si="16"/>
        <v>28039.922572387306</v>
      </c>
      <c r="AC85" s="31">
        <f t="shared" si="16"/>
        <v>27044.058419608904</v>
      </c>
      <c r="AD85" s="31">
        <f t="shared" si="16"/>
        <v>26048.1942668302</v>
      </c>
      <c r="AE85" s="31">
        <f t="shared" si="16"/>
        <v>25052.330114051751</v>
      </c>
      <c r="AF85" s="31">
        <f t="shared" si="16"/>
        <v>24056.465961273345</v>
      </c>
      <c r="AG85" s="31">
        <f t="shared" si="16"/>
        <v>23060.601808494641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49935.449735005786</v>
      </c>
      <c r="M87" s="180">
        <f t="shared" si="17"/>
        <v>62887.125497722991</v>
      </c>
      <c r="N87" s="180">
        <f t="shared" si="17"/>
        <v>69223.88040707192</v>
      </c>
      <c r="O87" s="180">
        <f t="shared" si="17"/>
        <v>79365.78395878835</v>
      </c>
      <c r="P87" s="180">
        <f t="shared" si="17"/>
        <v>90867.360449526444</v>
      </c>
      <c r="Q87" s="180">
        <f t="shared" si="17"/>
        <v>98915.814995478751</v>
      </c>
      <c r="R87" s="180">
        <f t="shared" si="17"/>
        <v>96643.872493743082</v>
      </c>
      <c r="S87" s="180">
        <f t="shared" si="17"/>
        <v>94371.929992007616</v>
      </c>
      <c r="T87" s="180">
        <f t="shared" si="17"/>
        <v>92099.987490271436</v>
      </c>
      <c r="U87" s="180">
        <f t="shared" si="17"/>
        <v>89828.044988535985</v>
      </c>
      <c r="V87" s="180">
        <f t="shared" si="17"/>
        <v>87556.102486799849</v>
      </c>
      <c r="W87" s="180">
        <f t="shared" si="17"/>
        <v>85284.159985064238</v>
      </c>
      <c r="X87" s="180">
        <f t="shared" si="17"/>
        <v>83012.217483328059</v>
      </c>
      <c r="Y87" s="180">
        <f t="shared" si="17"/>
        <v>80740.274981592549</v>
      </c>
      <c r="Z87" s="180">
        <f t="shared" si="17"/>
        <v>78468.33247985637</v>
      </c>
      <c r="AA87" s="180">
        <f t="shared" si="17"/>
        <v>76196.389978120904</v>
      </c>
      <c r="AB87" s="180">
        <f t="shared" si="17"/>
        <v>73924.447476384797</v>
      </c>
      <c r="AC87" s="180">
        <f>SUM(AC82:AC86)</f>
        <v>71652.504974649157</v>
      </c>
      <c r="AD87" s="180">
        <f>SUM(AD82:AD86)</f>
        <v>69380.562472913036</v>
      </c>
      <c r="AE87" s="180">
        <f>SUM(AE82:AE86)</f>
        <v>67108.619971177483</v>
      </c>
      <c r="AF87" s="180">
        <f>SUM(AF82:AF86)</f>
        <v>267158.2571775699</v>
      </c>
      <c r="AG87" s="180">
        <f>SUM(AG82:AG86)</f>
        <v>264886.31467583374</v>
      </c>
    </row>
    <row r="88" spans="1:33" x14ac:dyDescent="0.2">
      <c r="A88" s="8"/>
      <c r="B88" s="8"/>
      <c r="C88" s="75"/>
      <c r="D88" s="139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5"/>
      <c r="E91" s="232"/>
      <c r="F91" s="233"/>
      <c r="G91" s="234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3</v>
      </c>
    </row>
    <row r="94" spans="1:33" x14ac:dyDescent="0.2">
      <c r="G94" s="12"/>
      <c r="I94" s="249"/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249"/>
      <c r="X94" s="249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</row>
    <row r="96" spans="1:33" x14ac:dyDescent="0.2"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</row>
    <row r="97" spans="1:43" x14ac:dyDescent="0.2"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</row>
    <row r="98" spans="1:43" x14ac:dyDescent="0.2"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</row>
    <row r="99" spans="1:43" x14ac:dyDescent="0.2"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</row>
    <row r="100" spans="1:43" x14ac:dyDescent="0.2"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</row>
    <row r="101" spans="1:43" x14ac:dyDescent="0.2"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D105"/>
      <c r="E105"/>
      <c r="F105"/>
      <c r="G105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49935.449735005786</v>
      </c>
      <c r="M106" s="31">
        <f t="shared" si="18"/>
        <v>62887.125497722991</v>
      </c>
      <c r="N106" s="31">
        <f t="shared" si="18"/>
        <v>69223.88040707192</v>
      </c>
      <c r="O106" s="31">
        <f t="shared" si="18"/>
        <v>79365.78395878835</v>
      </c>
      <c r="P106" s="31">
        <f t="shared" si="18"/>
        <v>90867.360449526444</v>
      </c>
      <c r="Q106" s="31">
        <f t="shared" si="18"/>
        <v>98915.814995478751</v>
      </c>
      <c r="R106" s="31">
        <f t="shared" si="18"/>
        <v>96643.872493743082</v>
      </c>
      <c r="S106" s="31">
        <f t="shared" si="18"/>
        <v>94371.929992007616</v>
      </c>
      <c r="T106" s="31">
        <f t="shared" si="18"/>
        <v>92099.987490271436</v>
      </c>
      <c r="U106" s="31">
        <f t="shared" si="18"/>
        <v>89828.044988535985</v>
      </c>
      <c r="V106" s="31">
        <f t="shared" si="18"/>
        <v>87556.102486799849</v>
      </c>
      <c r="W106" s="31">
        <f t="shared" si="18"/>
        <v>85284.159985064238</v>
      </c>
      <c r="X106" s="31">
        <f t="shared" si="18"/>
        <v>83012.217483328059</v>
      </c>
      <c r="Y106" s="31">
        <f t="shared" si="18"/>
        <v>80740.274981592549</v>
      </c>
      <c r="Z106" s="31">
        <f t="shared" si="18"/>
        <v>78468.33247985637</v>
      </c>
      <c r="AA106" s="31">
        <f t="shared" si="18"/>
        <v>76196.389978120904</v>
      </c>
      <c r="AB106" s="31">
        <f t="shared" si="18"/>
        <v>73924.447476384797</v>
      </c>
      <c r="AC106" s="31">
        <f t="shared" si="18"/>
        <v>71652.504974649157</v>
      </c>
      <c r="AD106" s="31">
        <f t="shared" si="18"/>
        <v>69380.562472913036</v>
      </c>
      <c r="AE106" s="31">
        <f t="shared" si="18"/>
        <v>67108.619971177483</v>
      </c>
      <c r="AF106" s="31">
        <f t="shared" si="18"/>
        <v>267158.2571775699</v>
      </c>
      <c r="AG106" s="31">
        <f t="shared" si="18"/>
        <v>264886.31467583374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-202321.57970812789</v>
      </c>
      <c r="M107" s="31">
        <f t="shared" si="19"/>
        <v>-202321.57970812789</v>
      </c>
      <c r="N107" s="31">
        <f t="shared" si="19"/>
        <v>-202321.57970812789</v>
      </c>
      <c r="O107" s="31">
        <f t="shared" si="19"/>
        <v>-202321.57970812789</v>
      </c>
      <c r="P107" s="31">
        <f t="shared" si="19"/>
        <v>-202321.57970812789</v>
      </c>
      <c r="Q107" s="31">
        <f t="shared" si="19"/>
        <v>-202321.57970812789</v>
      </c>
      <c r="R107" s="31">
        <f t="shared" si="19"/>
        <v>-202321.57970812789</v>
      </c>
      <c r="S107" s="31">
        <f t="shared" si="19"/>
        <v>-202321.57970812789</v>
      </c>
      <c r="T107" s="31">
        <f t="shared" si="19"/>
        <v>-202321.57970812789</v>
      </c>
      <c r="U107" s="31">
        <f t="shared" si="19"/>
        <v>-202321.57970812789</v>
      </c>
      <c r="V107" s="31">
        <f t="shared" si="19"/>
        <v>-202321.57970812789</v>
      </c>
      <c r="W107" s="31">
        <f t="shared" si="19"/>
        <v>-202321.57970812789</v>
      </c>
      <c r="X107" s="31">
        <f t="shared" si="19"/>
        <v>-202321.57970812789</v>
      </c>
      <c r="Y107" s="31">
        <f t="shared" si="19"/>
        <v>-202321.57970812789</v>
      </c>
      <c r="Z107" s="31">
        <f t="shared" si="19"/>
        <v>-202321.57970812789</v>
      </c>
      <c r="AA107" s="31">
        <f t="shared" si="19"/>
        <v>-202321.57970812789</v>
      </c>
      <c r="AB107" s="31">
        <f t="shared" si="19"/>
        <v>-202321.57970812789</v>
      </c>
      <c r="AC107" s="31">
        <f t="shared" si="19"/>
        <v>-202321.57970812789</v>
      </c>
      <c r="AD107" s="31">
        <f t="shared" si="19"/>
        <v>-202321.57970812789</v>
      </c>
      <c r="AE107" s="31">
        <f t="shared" si="19"/>
        <v>-202321.57970812789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 s="253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332257.02944313368</v>
      </c>
      <c r="M108" s="31">
        <f t="shared" si="20"/>
        <v>345208.70520585089</v>
      </c>
      <c r="N108" s="31">
        <f t="shared" si="20"/>
        <v>351545.46011519979</v>
      </c>
      <c r="O108" s="31">
        <f t="shared" si="20"/>
        <v>361687.36366691621</v>
      </c>
      <c r="P108" s="31">
        <f t="shared" si="20"/>
        <v>373188.94015765435</v>
      </c>
      <c r="Q108" s="31">
        <f t="shared" si="20"/>
        <v>381237.39470360667</v>
      </c>
      <c r="R108" s="31">
        <f t="shared" si="20"/>
        <v>378965.45220187097</v>
      </c>
      <c r="S108" s="31">
        <f t="shared" si="20"/>
        <v>376693.5097001355</v>
      </c>
      <c r="T108" s="31">
        <f t="shared" si="20"/>
        <v>374421.56719839934</v>
      </c>
      <c r="U108" s="31">
        <f t="shared" si="20"/>
        <v>372149.62469666387</v>
      </c>
      <c r="V108" s="31">
        <f t="shared" si="20"/>
        <v>369877.68219492777</v>
      </c>
      <c r="W108" s="31">
        <f t="shared" si="20"/>
        <v>367605.73969319212</v>
      </c>
      <c r="X108" s="31">
        <f t="shared" si="20"/>
        <v>365333.79719145596</v>
      </c>
      <c r="Y108" s="31">
        <f t="shared" si="20"/>
        <v>363061.85468972044</v>
      </c>
      <c r="Z108" s="31">
        <f t="shared" si="20"/>
        <v>360789.91218798427</v>
      </c>
      <c r="AA108" s="31">
        <f t="shared" si="20"/>
        <v>358517.96968624881</v>
      </c>
      <c r="AB108" s="31">
        <f t="shared" si="20"/>
        <v>356246.0271845127</v>
      </c>
      <c r="AC108" s="31">
        <f t="shared" si="20"/>
        <v>353974.08468277706</v>
      </c>
      <c r="AD108" s="31">
        <f t="shared" si="20"/>
        <v>351702.14218104095</v>
      </c>
      <c r="AE108" s="31">
        <f t="shared" si="20"/>
        <v>349430.19967930537</v>
      </c>
      <c r="AF108" s="31">
        <f t="shared" si="20"/>
        <v>347158.2571775699</v>
      </c>
      <c r="AG108" s="31">
        <f t="shared" si="20"/>
        <v>344886.31467583374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29703.291764192996</v>
      </c>
      <c r="M110" s="31" cm="1">
        <f t="array" ref="M110">M$106+IF($C110&lt;&gt;0,SUMPRODUCT((M$107:M$108)*TRANSPOSE(($D110:$E110))),0)</f>
        <v>42654.967526910201</v>
      </c>
      <c r="N110" s="31" cm="1">
        <f t="array" ref="N110">N$106+IF($C110&lt;&gt;0,SUMPRODUCT((N$107:N$108)*TRANSPOSE(($D110:$E110))),0)</f>
        <v>48991.72243625913</v>
      </c>
      <c r="O110" s="31" cm="1">
        <f t="array" ref="O110">O$106+IF($C110&lt;&gt;0,SUMPRODUCT((O$107:O$108)*TRANSPOSE(($D110:$E110))),0)</f>
        <v>59133.62598797556</v>
      </c>
      <c r="P110" s="31" cm="1">
        <f t="array" ref="P110">P$106+IF($C110&lt;&gt;0,SUMPRODUCT((P$107:P$108)*TRANSPOSE(($D110:$E110))),0)</f>
        <v>70635.202478713647</v>
      </c>
      <c r="Q110" s="31" cm="1">
        <f t="array" ref="Q110">Q$106+IF($C110&lt;&gt;0,SUMPRODUCT((Q$107:Q$108)*TRANSPOSE(($D110:$E110))),0)</f>
        <v>78683.657024665968</v>
      </c>
      <c r="R110" s="31" cm="1">
        <f t="array" ref="R110">R$106+IF($C110&lt;&gt;0,SUMPRODUCT((R$107:R$108)*TRANSPOSE(($D110:$E110))),0)</f>
        <v>76411.714522930299</v>
      </c>
      <c r="S110" s="31" cm="1">
        <f t="array" ref="S110">S$106+IF($C110&lt;&gt;0,SUMPRODUCT((S$107:S$108)*TRANSPOSE(($D110:$E110))),0)</f>
        <v>74139.772021194833</v>
      </c>
      <c r="T110" s="31" cm="1">
        <f t="array" ref="T110">T$106+IF($C110&lt;&gt;0,SUMPRODUCT((T$107:T$108)*TRANSPOSE(($D110:$E110))),0)</f>
        <v>71867.829519458639</v>
      </c>
      <c r="U110" s="31" cm="1">
        <f t="array" ref="U110">U$106+IF($C110&lt;&gt;0,SUMPRODUCT((U$107:U$108)*TRANSPOSE(($D110:$E110))),0)</f>
        <v>69595.887017723202</v>
      </c>
      <c r="V110" s="31" cm="1">
        <f t="array" ref="V110">V$106+IF($C110&lt;&gt;0,SUMPRODUCT((V$107:V$108)*TRANSPOSE(($D110:$E110))),0)</f>
        <v>67323.944515987067</v>
      </c>
      <c r="W110" s="31" cm="1">
        <f t="array" ref="W110">W$106+IF($C110&lt;&gt;0,SUMPRODUCT((W$107:W$108)*TRANSPOSE(($D110:$E110))),0)</f>
        <v>65052.002014251448</v>
      </c>
      <c r="X110" s="31" cm="1">
        <f t="array" ref="X110">X$106+IF($C110&lt;&gt;0,SUMPRODUCT((X$107:X$108)*TRANSPOSE(($D110:$E110))),0)</f>
        <v>62780.059512515269</v>
      </c>
      <c r="Y110" s="31" cm="1">
        <f t="array" ref="Y110">Y$106+IF($C110&lt;&gt;0,SUMPRODUCT((Y$107:Y$108)*TRANSPOSE(($D110:$E110))),0)</f>
        <v>60508.117010779759</v>
      </c>
      <c r="Z110" s="31" cm="1">
        <f t="array" ref="Z110">Z$106+IF($C110&lt;&gt;0,SUMPRODUCT((Z$107:Z$108)*TRANSPOSE(($D110:$E110))),0)</f>
        <v>58236.17450904358</v>
      </c>
      <c r="AA110" s="31" cm="1">
        <f t="array" ref="AA110">AA$106+IF($C110&lt;&gt;0,SUMPRODUCT((AA$107:AA$108)*TRANSPOSE(($D110:$E110))),0)</f>
        <v>55964.232007308114</v>
      </c>
      <c r="AB110" s="31" cm="1">
        <f t="array" ref="AB110">AB$106+IF($C110&lt;&gt;0,SUMPRODUCT((AB$107:AB$108)*TRANSPOSE(($D110:$E110))),0)</f>
        <v>53692.289505572007</v>
      </c>
      <c r="AC110" s="31" cm="1">
        <f t="array" ref="AC110">AC$106+IF($C110&lt;&gt;0,SUMPRODUCT((AC$107:AC$108)*TRANSPOSE(($D110:$E110))),0)</f>
        <v>51420.347003836367</v>
      </c>
      <c r="AD110" s="31" cm="1">
        <f t="array" ref="AD110">AD$106+IF($C110&lt;&gt;0,SUMPRODUCT((AD$107:AD$108)*TRANSPOSE(($D110:$E110))),0)</f>
        <v>49148.404502100246</v>
      </c>
      <c r="AE110" s="31" cm="1">
        <f t="array" ref="AE110">AE$106+IF($C110&lt;&gt;0,SUMPRODUCT((AE$107:AE$108)*TRANSPOSE(($D110:$E110))),0)</f>
        <v>46876.462000364692</v>
      </c>
      <c r="AF110" s="31" cm="1">
        <f t="array" ref="AF110">AF$106+IF($C110&lt;&gt;0,SUMPRODUCT((AF$107:AF$108)*TRANSPOSE(($D110:$E110))),0)</f>
        <v>267158.2571775699</v>
      </c>
      <c r="AG110" s="31" cm="1">
        <f t="array" ref="AG110">AG$106+IF($C110&lt;&gt;0,SUMPRODUCT((AG$107:AG$108)*TRANSPOSE(($D110:$E110))),0)</f>
        <v>264886.31467583374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70167.607705818577</v>
      </c>
      <c r="M111" s="31" cm="1">
        <f t="array" ref="M111">M$106+IF($C111&lt;&gt;0,SUMPRODUCT((M$107:M$108)*TRANSPOSE(($D111:$E111))),0)</f>
        <v>83119.283468535781</v>
      </c>
      <c r="N111" s="31" cm="1">
        <f t="array" ref="N111">N$106+IF($C111&lt;&gt;0,SUMPRODUCT((N$107:N$108)*TRANSPOSE(($D111:$E111))),0)</f>
        <v>89456.038377884717</v>
      </c>
      <c r="O111" s="31" cm="1">
        <f t="array" ref="O111">O$106+IF($C111&lt;&gt;0,SUMPRODUCT((O$107:O$108)*TRANSPOSE(($D111:$E111))),0)</f>
        <v>99597.941929601133</v>
      </c>
      <c r="P111" s="31" cm="1">
        <f t="array" ref="P111">P$106+IF($C111&lt;&gt;0,SUMPRODUCT((P$107:P$108)*TRANSPOSE(($D111:$E111))),0)</f>
        <v>111099.51842033924</v>
      </c>
      <c r="Q111" s="31" cm="1">
        <f t="array" ref="Q111">Q$106+IF($C111&lt;&gt;0,SUMPRODUCT((Q$107:Q$108)*TRANSPOSE(($D111:$E111))),0)</f>
        <v>119147.97296629153</v>
      </c>
      <c r="R111" s="31" cm="1">
        <f t="array" ref="R111">R$106+IF($C111&lt;&gt;0,SUMPRODUCT((R$107:R$108)*TRANSPOSE(($D111:$E111))),0)</f>
        <v>116876.03046455586</v>
      </c>
      <c r="S111" s="31" cm="1">
        <f t="array" ref="S111">S$106+IF($C111&lt;&gt;0,SUMPRODUCT((S$107:S$108)*TRANSPOSE(($D111:$E111))),0)</f>
        <v>114604.0879628204</v>
      </c>
      <c r="T111" s="31" cm="1">
        <f t="array" ref="T111">T$106+IF($C111&lt;&gt;0,SUMPRODUCT((T$107:T$108)*TRANSPOSE(($D111:$E111))),0)</f>
        <v>112332.14546108423</v>
      </c>
      <c r="U111" s="31" cm="1">
        <f t="array" ref="U111">U$106+IF($C111&lt;&gt;0,SUMPRODUCT((U$107:U$108)*TRANSPOSE(($D111:$E111))),0)</f>
        <v>110060.20295934877</v>
      </c>
      <c r="V111" s="31" cm="1">
        <f t="array" ref="V111">V$106+IF($C111&lt;&gt;0,SUMPRODUCT((V$107:V$108)*TRANSPOSE(($D111:$E111))),0)</f>
        <v>107788.26045761263</v>
      </c>
      <c r="W111" s="31" cm="1">
        <f t="array" ref="W111">W$106+IF($C111&lt;&gt;0,SUMPRODUCT((W$107:W$108)*TRANSPOSE(($D111:$E111))),0)</f>
        <v>105516.31795587702</v>
      </c>
      <c r="X111" s="31" cm="1">
        <f t="array" ref="X111">X$106+IF($C111&lt;&gt;0,SUMPRODUCT((X$107:X$108)*TRANSPOSE(($D111:$E111))),0)</f>
        <v>103244.37545414086</v>
      </c>
      <c r="Y111" s="31" cm="1">
        <f t="array" ref="Y111">Y$106+IF($C111&lt;&gt;0,SUMPRODUCT((Y$107:Y$108)*TRANSPOSE(($D111:$E111))),0)</f>
        <v>100972.43295240533</v>
      </c>
      <c r="Z111" s="31" cm="1">
        <f t="array" ref="Z111">Z$106+IF($C111&lt;&gt;0,SUMPRODUCT((Z$107:Z$108)*TRANSPOSE(($D111:$E111))),0)</f>
        <v>98700.490450669167</v>
      </c>
      <c r="AA111" s="31" cm="1">
        <f t="array" ref="AA111">AA$106+IF($C111&lt;&gt;0,SUMPRODUCT((AA$107:AA$108)*TRANSPOSE(($D111:$E111))),0)</f>
        <v>96428.547948933701</v>
      </c>
      <c r="AB111" s="31" cm="1">
        <f t="array" ref="AB111">AB$106+IF($C111&lt;&gt;0,SUMPRODUCT((AB$107:AB$108)*TRANSPOSE(($D111:$E111))),0)</f>
        <v>94156.605447197595</v>
      </c>
      <c r="AC111" s="31" cm="1">
        <f t="array" ref="AC111">AC$106+IF($C111&lt;&gt;0,SUMPRODUCT((AC$107:AC$108)*TRANSPOSE(($D111:$E111))),0)</f>
        <v>91884.662945461954</v>
      </c>
      <c r="AD111" s="31" cm="1">
        <f t="array" ref="AD111">AD$106+IF($C111&lt;&gt;0,SUMPRODUCT((AD$107:AD$108)*TRANSPOSE(($D111:$E111))),0)</f>
        <v>89612.720443725819</v>
      </c>
      <c r="AE111" s="31" cm="1">
        <f t="array" ref="AE111">AE$106+IF($C111&lt;&gt;0,SUMPRODUCT((AE$107:AE$108)*TRANSPOSE(($D111:$E111))),0)</f>
        <v>87340.777941990265</v>
      </c>
      <c r="AF111" s="31" cm="1">
        <f t="array" ref="AF111">AF$106+IF($C111&lt;&gt;0,SUMPRODUCT((AF$107:AF$108)*TRANSPOSE(($D111:$E111))),0)</f>
        <v>267158.2571775699</v>
      </c>
      <c r="AG111" s="31" cm="1">
        <f t="array" ref="AG111">AG$106+IF($C111&lt;&gt;0,SUMPRODUCT((AG$107:AG$108)*TRANSPOSE(($D111:$E111))),0)</f>
        <v>264886.31467583374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v>0.15</v>
      </c>
      <c r="G112" s="38" t="str">
        <f t="shared" si="21"/>
        <v>Option 2sens3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0</v>
      </c>
      <c r="L112" s="335">
        <f>IF(L106&lt;&gt;0, L106+SUM(Workings_risks!$F$19*Workings_risks!L28,Workings_risks!L26*Workings_risks!$F$18)*Workings_risks!$F$13*Workings_risks!L8*$E$28,0)</f>
        <v>51256.235550671678</v>
      </c>
      <c r="M112" s="335">
        <f>IF(M106&lt;&gt;0, M106+SUM(Workings_risks!$F$19*Workings_risks!M28,Workings_risks!M26*Workings_risks!$F$18)*Workings_risks!$F$13*Workings_risks!M8*$E$28,0)</f>
        <v>61810.048465402011</v>
      </c>
      <c r="N112" s="335">
        <f>IF(N106&lt;&gt;0, N106+SUM(Workings_risks!$F$19*Workings_risks!N28,Workings_risks!N26*Workings_risks!$F$18)*Workings_risks!$F$13*Workings_risks!N8*$E$28,0)</f>
        <v>69244.991784803366</v>
      </c>
      <c r="O112" s="335">
        <f>IF(O106&lt;&gt;0, O106+SUM(Workings_risks!$F$19*Workings_risks!O28,Workings_risks!O26*Workings_risks!$F$18)*Workings_risks!$F$13*Workings_risks!O8*$E$28,0)</f>
        <v>80560.136326449181</v>
      </c>
      <c r="P112" s="335">
        <f>IF(P106&lt;&gt;0, P106+SUM(Workings_risks!$F$19*Workings_risks!P28,Workings_risks!P26*Workings_risks!$F$18)*Workings_risks!$F$13*Workings_risks!P8*$E$28,0)</f>
        <v>93333.266175145967</v>
      </c>
      <c r="Q112" s="335">
        <f>IF(Q106&lt;&gt;0, Q106+SUM(Workings_risks!$F$19*Workings_risks!Q28,Workings_risks!Q26*Workings_risks!$F$18)*Workings_risks!$F$13*Workings_risks!Q8*$E$28,0)</f>
        <v>102719.78610776266</v>
      </c>
      <c r="R112" s="335">
        <f>IF(R106&lt;&gt;0, R106+SUM(Workings_risks!$F$19*Workings_risks!R28,Workings_risks!R26*Workings_risks!$F$18)*Workings_risks!$F$13*Workings_risks!R8*$E$28,0)</f>
        <v>101727.516606283</v>
      </c>
      <c r="S112" s="335">
        <f>IF(S106&lt;&gt;0, S106+SUM(Workings_risks!$F$19*Workings_risks!S28,Workings_risks!S26*Workings_risks!$F$18)*Workings_risks!$F$13*Workings_risks!S8*$E$28,0)</f>
        <v>100745.16466930381</v>
      </c>
      <c r="T112" s="335">
        <f>IF(T106&lt;&gt;0, T106+SUM(Workings_risks!$F$19*Workings_risks!T28,Workings_risks!T26*Workings_risks!$F$18)*Workings_risks!$F$13*Workings_risks!T8*$E$28,0)</f>
        <v>99772.848416849942</v>
      </c>
      <c r="U112" s="335">
        <f>IF(U106&lt;&gt;0, U106+SUM(Workings_risks!$F$19*Workings_risks!U28,Workings_risks!U26*Workings_risks!$F$18)*Workings_risks!$F$13*Workings_risks!U8*$E$28,0)</f>
        <v>98810.687852199146</v>
      </c>
      <c r="V112" s="335">
        <f>IF(V106&lt;&gt;0, V106+SUM(Workings_risks!$F$19*Workings_risks!V28,Workings_risks!V26*Workings_risks!$F$18)*Workings_risks!$F$13*Workings_risks!V8*$E$28,0)</f>
        <v>97858.804899561801</v>
      </c>
      <c r="W112" s="335">
        <f>IF(W106&lt;&gt;0, W106+SUM(Workings_risks!$F$19*Workings_risks!W28,Workings_risks!W26*Workings_risks!$F$18)*Workings_risks!$F$13*Workings_risks!W8*$E$28,0)</f>
        <v>96917.323442674198</v>
      </c>
      <c r="X112" s="335">
        <f>IF(X106&lt;&gt;0, X106+SUM(Workings_risks!$F$19*Workings_risks!X28,Workings_risks!X26*Workings_risks!$F$18)*Workings_risks!$F$13*Workings_risks!X8*$E$28,0)</f>
        <v>95986.369364321581</v>
      </c>
      <c r="Y112" s="335">
        <f>IF(Y106&lt;&gt;0, Y106+SUM(Workings_risks!$F$19*Workings_risks!Y28,Workings_risks!Y26*Workings_risks!$F$18)*Workings_risks!$F$13*Workings_risks!Y8*$E$28,0)</f>
        <v>95066.070586824906</v>
      </c>
      <c r="Z112" s="335">
        <f>IF(Z106&lt;&gt;0, Z106+SUM(Workings_risks!$F$19*Workings_risks!Z28,Workings_risks!Z26*Workings_risks!$F$18)*Workings_risks!$F$13*Workings_risks!Z8*$E$28,0)</f>
        <v>94156.557113512492</v>
      </c>
      <c r="AA112" s="335">
        <f>IF(AA106&lt;&gt;0, AA106+SUM(Workings_risks!$F$19*Workings_risks!AA28,Workings_risks!AA26*Workings_risks!$F$18)*Workings_risks!$F$13*Workings_risks!AA8*$E$28,0)</f>
        <v>93257.961071211714</v>
      </c>
      <c r="AB112" s="335">
        <f>IF(AB106&lt;&gt;0, AB106+SUM(Workings_risks!$F$19*Workings_risks!AB28,Workings_risks!AB26*Workings_risks!$F$18)*Workings_risks!$F$13*Workings_risks!AB8*$E$28,0)</f>
        <v>92370.416753781145</v>
      </c>
      <c r="AC112" s="335">
        <f>IF(AC106&lt;&gt;0, AC106+SUM(Workings_risks!$F$19*Workings_risks!AC28,Workings_risks!AC26*Workings_risks!$F$18)*Workings_risks!$F$13*Workings_risks!AC8*$E$28,0)</f>
        <v>91494.060666723264</v>
      </c>
      <c r="AD112" s="335">
        <f>IF(AD106&lt;&gt;0, AD106+SUM(Workings_risks!$F$19*Workings_risks!AD28,Workings_risks!AD26*Workings_risks!$F$18)*Workings_risks!$F$13*Workings_risks!AD8*$E$28,0)</f>
        <v>90629.031572899403</v>
      </c>
      <c r="AE112" s="335">
        <f>IF(AE106&lt;&gt;0, AE106+SUM(Workings_risks!$F$19*Workings_risks!AE28,Workings_risks!AE26*Workings_risks!$F$18)*Workings_risks!$F$13*Workings_risks!AE8*$E$28,0)</f>
        <v>89775.470539386704</v>
      </c>
      <c r="AF112" s="335">
        <f>IF(AF106&lt;&gt;0, AF106+SUM(Workings_risks!$F$19*Workings_risks!AF28,Workings_risks!AF26*Workings_risks!$F$18)*Workings_risks!$F$13*Workings_risks!AF8*$E$28,0)</f>
        <v>291255.10069363192</v>
      </c>
      <c r="AG112" s="335">
        <f>IF(AG106&lt;&gt;0, AG106+SUM(Workings_risks!$F$19*Workings_risks!AG28,Workings_risks!AG26*Workings_risks!$F$18)*Workings_risks!$F$13*Workings_risks!AG8*$E$28,0)</f>
        <v>290424.90844017442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49935.449735005786</v>
      </c>
      <c r="M113" s="31" cm="1">
        <f t="array" ref="M113">M$106+IF($C113&lt;&gt;0,SUMPRODUCT((M$107:M$108)*TRANSPOSE(($D113:$E113))),0)</f>
        <v>62887.125497722991</v>
      </c>
      <c r="N113" s="31" cm="1">
        <f t="array" ref="N113">N$106+IF($C113&lt;&gt;0,SUMPRODUCT((N$107:N$108)*TRANSPOSE(($D113:$E113))),0)</f>
        <v>69223.88040707192</v>
      </c>
      <c r="O113" s="31" cm="1">
        <f t="array" ref="O113">O$106+IF($C113&lt;&gt;0,SUMPRODUCT((O$107:O$108)*TRANSPOSE(($D113:$E113))),0)</f>
        <v>79365.78395878835</v>
      </c>
      <c r="P113" s="31" cm="1">
        <f t="array" ref="P113">P$106+IF($C113&lt;&gt;0,SUMPRODUCT((P$107:P$108)*TRANSPOSE(($D113:$E113))),0)</f>
        <v>90867.360449526444</v>
      </c>
      <c r="Q113" s="31" cm="1">
        <f t="array" ref="Q113">Q$106+IF($C113&lt;&gt;0,SUMPRODUCT((Q$107:Q$108)*TRANSPOSE(($D113:$E113))),0)</f>
        <v>98915.814995478751</v>
      </c>
      <c r="R113" s="31" cm="1">
        <f t="array" ref="R113">R$106+IF($C113&lt;&gt;0,SUMPRODUCT((R$107:R$108)*TRANSPOSE(($D113:$E113))),0)</f>
        <v>96643.872493743082</v>
      </c>
      <c r="S113" s="31" cm="1">
        <f t="array" ref="S113">S$106+IF($C113&lt;&gt;0,SUMPRODUCT((S$107:S$108)*TRANSPOSE(($D113:$E113))),0)</f>
        <v>94371.929992007616</v>
      </c>
      <c r="T113" s="31" cm="1">
        <f t="array" ref="T113">T$106+IF($C113&lt;&gt;0,SUMPRODUCT((T$107:T$108)*TRANSPOSE(($D113:$E113))),0)</f>
        <v>92099.987490271436</v>
      </c>
      <c r="U113" s="31" cm="1">
        <f t="array" ref="U113">U$106+IF($C113&lt;&gt;0,SUMPRODUCT((U$107:U$108)*TRANSPOSE(($D113:$E113))),0)</f>
        <v>89828.044988535985</v>
      </c>
      <c r="V113" s="31" cm="1">
        <f t="array" ref="V113">V$106+IF($C113&lt;&gt;0,SUMPRODUCT((V$107:V$108)*TRANSPOSE(($D113:$E113))),0)</f>
        <v>87556.102486799849</v>
      </c>
      <c r="W113" s="31" cm="1">
        <f t="array" ref="W113">W$106+IF($C113&lt;&gt;0,SUMPRODUCT((W$107:W$108)*TRANSPOSE(($D113:$E113))),0)</f>
        <v>85284.159985064238</v>
      </c>
      <c r="X113" s="31" cm="1">
        <f t="array" ref="X113">X$106+IF($C113&lt;&gt;0,SUMPRODUCT((X$107:X$108)*TRANSPOSE(($D113:$E113))),0)</f>
        <v>83012.217483328059</v>
      </c>
      <c r="Y113" s="31" cm="1">
        <f t="array" ref="Y113">Y$106+IF($C113&lt;&gt;0,SUMPRODUCT((Y$107:Y$108)*TRANSPOSE(($D113:$E113))),0)</f>
        <v>80740.274981592549</v>
      </c>
      <c r="Z113" s="31" cm="1">
        <f t="array" ref="Z113">Z$106+IF($C113&lt;&gt;0,SUMPRODUCT((Z$107:Z$108)*TRANSPOSE(($D113:$E113))),0)</f>
        <v>78468.33247985637</v>
      </c>
      <c r="AA113" s="31" cm="1">
        <f t="array" ref="AA113">AA$106+IF($C113&lt;&gt;0,SUMPRODUCT((AA$107:AA$108)*TRANSPOSE(($D113:$E113))),0)</f>
        <v>76196.389978120904</v>
      </c>
      <c r="AB113" s="31" cm="1">
        <f t="array" ref="AB113">AB$106+IF($C113&lt;&gt;0,SUMPRODUCT((AB$107:AB$108)*TRANSPOSE(($D113:$E113))),0)</f>
        <v>73924.447476384797</v>
      </c>
      <c r="AC113" s="31" cm="1">
        <f t="array" ref="AC113">AC$106+IF($C113&lt;&gt;0,SUMPRODUCT((AC$107:AC$108)*TRANSPOSE(($D113:$E113))),0)</f>
        <v>71652.504974649157</v>
      </c>
      <c r="AD113" s="31" cm="1">
        <f t="array" ref="AD113">AD$106+IF($C113&lt;&gt;0,SUMPRODUCT((AD$107:AD$108)*TRANSPOSE(($D113:$E113))),0)</f>
        <v>69380.562472913036</v>
      </c>
      <c r="AE113" s="31" cm="1">
        <f t="array" ref="AE113">AE$106+IF($C113&lt;&gt;0,SUMPRODUCT((AE$107:AE$108)*TRANSPOSE(($D113:$E113))),0)</f>
        <v>67108.619971177483</v>
      </c>
      <c r="AF113" s="31" cm="1">
        <f t="array" ref="AF113">AF$106+IF($C113&lt;&gt;0,SUMPRODUCT((AF$107:AF$108)*TRANSPOSE(($D113:$E113))),0)</f>
        <v>267158.2571775699</v>
      </c>
      <c r="AG113" s="31" cm="1">
        <f t="array" ref="AG113">AG$106+IF($C113&lt;&gt;0,SUMPRODUCT((AG$107:AG$108)*TRANSPOSE(($D113:$E113))),0)</f>
        <v>264886.31467583374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49935.449735005786</v>
      </c>
      <c r="M114" s="31" cm="1">
        <f t="array" ref="M114">M$106+IF($C114&lt;&gt;0,SUMPRODUCT((M$107:M$108)*TRANSPOSE(($D114:$E114))),0)</f>
        <v>62887.125497722991</v>
      </c>
      <c r="N114" s="31" cm="1">
        <f t="array" ref="N114">N$106+IF($C114&lt;&gt;0,SUMPRODUCT((N$107:N$108)*TRANSPOSE(($D114:$E114))),0)</f>
        <v>69223.88040707192</v>
      </c>
      <c r="O114" s="31" cm="1">
        <f t="array" ref="O114">O$106+IF($C114&lt;&gt;0,SUMPRODUCT((O$107:O$108)*TRANSPOSE(($D114:$E114))),0)</f>
        <v>79365.78395878835</v>
      </c>
      <c r="P114" s="31" cm="1">
        <f t="array" ref="P114">P$106+IF($C114&lt;&gt;0,SUMPRODUCT((P$107:P$108)*TRANSPOSE(($D114:$E114))),0)</f>
        <v>90867.360449526444</v>
      </c>
      <c r="Q114" s="31" cm="1">
        <f t="array" ref="Q114">Q$106+IF($C114&lt;&gt;0,SUMPRODUCT((Q$107:Q$108)*TRANSPOSE(($D114:$E114))),0)</f>
        <v>98915.814995478751</v>
      </c>
      <c r="R114" s="31" cm="1">
        <f t="array" ref="R114">R$106+IF($C114&lt;&gt;0,SUMPRODUCT((R$107:R$108)*TRANSPOSE(($D114:$E114))),0)</f>
        <v>96643.872493743082</v>
      </c>
      <c r="S114" s="31" cm="1">
        <f t="array" ref="S114">S$106+IF($C114&lt;&gt;0,SUMPRODUCT((S$107:S$108)*TRANSPOSE(($D114:$E114))),0)</f>
        <v>94371.929992007616</v>
      </c>
      <c r="T114" s="31" cm="1">
        <f t="array" ref="T114">T$106+IF($C114&lt;&gt;0,SUMPRODUCT((T$107:T$108)*TRANSPOSE(($D114:$E114))),0)</f>
        <v>92099.987490271436</v>
      </c>
      <c r="U114" s="31" cm="1">
        <f t="array" ref="U114">U$106+IF($C114&lt;&gt;0,SUMPRODUCT((U$107:U$108)*TRANSPOSE(($D114:$E114))),0)</f>
        <v>89828.044988535985</v>
      </c>
      <c r="V114" s="31" cm="1">
        <f t="array" ref="V114">V$106+IF($C114&lt;&gt;0,SUMPRODUCT((V$107:V$108)*TRANSPOSE(($D114:$E114))),0)</f>
        <v>87556.102486799849</v>
      </c>
      <c r="W114" s="31" cm="1">
        <f t="array" ref="W114">W$106+IF($C114&lt;&gt;0,SUMPRODUCT((W$107:W$108)*TRANSPOSE(($D114:$E114))),0)</f>
        <v>85284.159985064238</v>
      </c>
      <c r="X114" s="31" cm="1">
        <f t="array" ref="X114">X$106+IF($C114&lt;&gt;0,SUMPRODUCT((X$107:X$108)*TRANSPOSE(($D114:$E114))),0)</f>
        <v>83012.217483328059</v>
      </c>
      <c r="Y114" s="31" cm="1">
        <f t="array" ref="Y114">Y$106+IF($C114&lt;&gt;0,SUMPRODUCT((Y$107:Y$108)*TRANSPOSE(($D114:$E114))),0)</f>
        <v>80740.274981592549</v>
      </c>
      <c r="Z114" s="31" cm="1">
        <f t="array" ref="Z114">Z$106+IF($C114&lt;&gt;0,SUMPRODUCT((Z$107:Z$108)*TRANSPOSE(($D114:$E114))),0)</f>
        <v>78468.33247985637</v>
      </c>
      <c r="AA114" s="31" cm="1">
        <f t="array" ref="AA114">AA$106+IF($C114&lt;&gt;0,SUMPRODUCT((AA$107:AA$108)*TRANSPOSE(($D114:$E114))),0)</f>
        <v>76196.389978120904</v>
      </c>
      <c r="AB114" s="31" cm="1">
        <f t="array" ref="AB114">AB$106+IF($C114&lt;&gt;0,SUMPRODUCT((AB$107:AB$108)*TRANSPOSE(($D114:$E114))),0)</f>
        <v>73924.447476384797</v>
      </c>
      <c r="AC114" s="31" cm="1">
        <f t="array" ref="AC114">AC$106+IF($C114&lt;&gt;0,SUMPRODUCT((AC$107:AC$108)*TRANSPOSE(($D114:$E114))),0)</f>
        <v>71652.504974649157</v>
      </c>
      <c r="AD114" s="31" cm="1">
        <f t="array" ref="AD114">AD$106+IF($C114&lt;&gt;0,SUMPRODUCT((AD$107:AD$108)*TRANSPOSE(($D114:$E114))),0)</f>
        <v>69380.562472913036</v>
      </c>
      <c r="AE114" s="31" cm="1">
        <f t="array" ref="AE114">AE$106+IF($C114&lt;&gt;0,SUMPRODUCT((AE$107:AE$108)*TRANSPOSE(($D114:$E114))),0)</f>
        <v>67108.619971177483</v>
      </c>
      <c r="AF114" s="31" cm="1">
        <f t="array" ref="AF114">AF$106+IF($C114&lt;&gt;0,SUMPRODUCT((AF$107:AF$108)*TRANSPOSE(($D114:$E114))),0)</f>
        <v>267158.2571775699</v>
      </c>
      <c r="AG114" s="31" cm="1">
        <f t="array" ref="AG114">AG$106+IF($C114&lt;&gt;0,SUMPRODUCT((AG$107:AG$108)*TRANSPOSE(($D114:$E114))),0)</f>
        <v>264886.31467583374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49935.449735005786</v>
      </c>
      <c r="M115" s="31" cm="1">
        <f t="array" ref="M115">M$106+IF($C115&lt;&gt;0,SUMPRODUCT((M$107:M$108)*TRANSPOSE(($D115:$E115))),0)</f>
        <v>62887.125497722991</v>
      </c>
      <c r="N115" s="31" cm="1">
        <f t="array" ref="N115">N$106+IF($C115&lt;&gt;0,SUMPRODUCT((N$107:N$108)*TRANSPOSE(($D115:$E115))),0)</f>
        <v>69223.88040707192</v>
      </c>
      <c r="O115" s="31" cm="1">
        <f t="array" ref="O115">O$106+IF($C115&lt;&gt;0,SUMPRODUCT((O$107:O$108)*TRANSPOSE(($D115:$E115))),0)</f>
        <v>79365.78395878835</v>
      </c>
      <c r="P115" s="31" cm="1">
        <f t="array" ref="P115">P$106+IF($C115&lt;&gt;0,SUMPRODUCT((P$107:P$108)*TRANSPOSE(($D115:$E115))),0)</f>
        <v>90867.360449526444</v>
      </c>
      <c r="Q115" s="31" cm="1">
        <f t="array" ref="Q115">Q$106+IF($C115&lt;&gt;0,SUMPRODUCT((Q$107:Q$108)*TRANSPOSE(($D115:$E115))),0)</f>
        <v>98915.814995478751</v>
      </c>
      <c r="R115" s="31" cm="1">
        <f t="array" ref="R115">R$106+IF($C115&lt;&gt;0,SUMPRODUCT((R$107:R$108)*TRANSPOSE(($D115:$E115))),0)</f>
        <v>96643.872493743082</v>
      </c>
      <c r="S115" s="31" cm="1">
        <f t="array" ref="S115">S$106+IF($C115&lt;&gt;0,SUMPRODUCT((S$107:S$108)*TRANSPOSE(($D115:$E115))),0)</f>
        <v>94371.929992007616</v>
      </c>
      <c r="T115" s="31" cm="1">
        <f t="array" ref="T115">T$106+IF($C115&lt;&gt;0,SUMPRODUCT((T$107:T$108)*TRANSPOSE(($D115:$E115))),0)</f>
        <v>92099.987490271436</v>
      </c>
      <c r="U115" s="31" cm="1">
        <f t="array" ref="U115">U$106+IF($C115&lt;&gt;0,SUMPRODUCT((U$107:U$108)*TRANSPOSE(($D115:$E115))),0)</f>
        <v>89828.044988535985</v>
      </c>
      <c r="V115" s="31" cm="1">
        <f t="array" ref="V115">V$106+IF($C115&lt;&gt;0,SUMPRODUCT((V$107:V$108)*TRANSPOSE(($D115:$E115))),0)</f>
        <v>87556.102486799849</v>
      </c>
      <c r="W115" s="31" cm="1">
        <f t="array" ref="W115">W$106+IF($C115&lt;&gt;0,SUMPRODUCT((W$107:W$108)*TRANSPOSE(($D115:$E115))),0)</f>
        <v>85284.159985064238</v>
      </c>
      <c r="X115" s="31" cm="1">
        <f t="array" ref="X115">X$106+IF($C115&lt;&gt;0,SUMPRODUCT((X$107:X$108)*TRANSPOSE(($D115:$E115))),0)</f>
        <v>83012.217483328059</v>
      </c>
      <c r="Y115" s="31" cm="1">
        <f t="array" ref="Y115">Y$106+IF($C115&lt;&gt;0,SUMPRODUCT((Y$107:Y$108)*TRANSPOSE(($D115:$E115))),0)</f>
        <v>80740.274981592549</v>
      </c>
      <c r="Z115" s="31" cm="1">
        <f t="array" ref="Z115">Z$106+IF($C115&lt;&gt;0,SUMPRODUCT((Z$107:Z$108)*TRANSPOSE(($D115:$E115))),0)</f>
        <v>78468.33247985637</v>
      </c>
      <c r="AA115" s="31" cm="1">
        <f t="array" ref="AA115">AA$106+IF($C115&lt;&gt;0,SUMPRODUCT((AA$107:AA$108)*TRANSPOSE(($D115:$E115))),0)</f>
        <v>76196.389978120904</v>
      </c>
      <c r="AB115" s="31" cm="1">
        <f t="array" ref="AB115">AB$106+IF($C115&lt;&gt;0,SUMPRODUCT((AB$107:AB$108)*TRANSPOSE(($D115:$E115))),0)</f>
        <v>73924.447476384797</v>
      </c>
      <c r="AC115" s="31" cm="1">
        <f t="array" ref="AC115">AC$106+IF($C115&lt;&gt;0,SUMPRODUCT((AC$107:AC$108)*TRANSPOSE(($D115:$E115))),0)</f>
        <v>71652.504974649157</v>
      </c>
      <c r="AD115" s="31" cm="1">
        <f t="array" ref="AD115">AD$106+IF($C115&lt;&gt;0,SUMPRODUCT((AD$107:AD$108)*TRANSPOSE(($D115:$E115))),0)</f>
        <v>69380.562472913036</v>
      </c>
      <c r="AE115" s="31" cm="1">
        <f t="array" ref="AE115">AE$106+IF($C115&lt;&gt;0,SUMPRODUCT((AE$107:AE$108)*TRANSPOSE(($D115:$E115))),0)</f>
        <v>67108.619971177483</v>
      </c>
      <c r="AF115" s="31" cm="1">
        <f t="array" ref="AF115">AF$106+IF($C115&lt;&gt;0,SUMPRODUCT((AF$107:AF$108)*TRANSPOSE(($D115:$E115))),0)</f>
        <v>267158.2571775699</v>
      </c>
      <c r="AG115" s="31" cm="1">
        <f t="array" ref="AG115">AG$106+IF($C115&lt;&gt;0,SUMPRODUCT((AG$107:AG$108)*TRANSPOSE(($D115:$E115))),0)</f>
        <v>264886.31467583374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49935.449735005786</v>
      </c>
      <c r="M116" s="31" cm="1">
        <f t="array" ref="M116">M$106+IF($C116&lt;&gt;0,SUMPRODUCT((M$107:M$108)*TRANSPOSE(($D116:$E116))),0)</f>
        <v>62887.125497722991</v>
      </c>
      <c r="N116" s="31" cm="1">
        <f t="array" ref="N116">N$106+IF($C116&lt;&gt;0,SUMPRODUCT((N$107:N$108)*TRANSPOSE(($D116:$E116))),0)</f>
        <v>69223.88040707192</v>
      </c>
      <c r="O116" s="31" cm="1">
        <f t="array" ref="O116">O$106+IF($C116&lt;&gt;0,SUMPRODUCT((O$107:O$108)*TRANSPOSE(($D116:$E116))),0)</f>
        <v>79365.78395878835</v>
      </c>
      <c r="P116" s="31" cm="1">
        <f t="array" ref="P116">P$106+IF($C116&lt;&gt;0,SUMPRODUCT((P$107:P$108)*TRANSPOSE(($D116:$E116))),0)</f>
        <v>90867.360449526444</v>
      </c>
      <c r="Q116" s="31" cm="1">
        <f t="array" ref="Q116">Q$106+IF($C116&lt;&gt;0,SUMPRODUCT((Q$107:Q$108)*TRANSPOSE(($D116:$E116))),0)</f>
        <v>98915.814995478751</v>
      </c>
      <c r="R116" s="31" cm="1">
        <f t="array" ref="R116">R$106+IF($C116&lt;&gt;0,SUMPRODUCT((R$107:R$108)*TRANSPOSE(($D116:$E116))),0)</f>
        <v>96643.872493743082</v>
      </c>
      <c r="S116" s="31" cm="1">
        <f t="array" ref="S116">S$106+IF($C116&lt;&gt;0,SUMPRODUCT((S$107:S$108)*TRANSPOSE(($D116:$E116))),0)</f>
        <v>94371.929992007616</v>
      </c>
      <c r="T116" s="31" cm="1">
        <f t="array" ref="T116">T$106+IF($C116&lt;&gt;0,SUMPRODUCT((T$107:T$108)*TRANSPOSE(($D116:$E116))),0)</f>
        <v>92099.987490271436</v>
      </c>
      <c r="U116" s="31" cm="1">
        <f t="array" ref="U116">U$106+IF($C116&lt;&gt;0,SUMPRODUCT((U$107:U$108)*TRANSPOSE(($D116:$E116))),0)</f>
        <v>89828.044988535985</v>
      </c>
      <c r="V116" s="31" cm="1">
        <f t="array" ref="V116">V$106+IF($C116&lt;&gt;0,SUMPRODUCT((V$107:V$108)*TRANSPOSE(($D116:$E116))),0)</f>
        <v>87556.102486799849</v>
      </c>
      <c r="W116" s="31" cm="1">
        <f t="array" ref="W116">W$106+IF($C116&lt;&gt;0,SUMPRODUCT((W$107:W$108)*TRANSPOSE(($D116:$E116))),0)</f>
        <v>85284.159985064238</v>
      </c>
      <c r="X116" s="31" cm="1">
        <f t="array" ref="X116">X$106+IF($C116&lt;&gt;0,SUMPRODUCT((X$107:X$108)*TRANSPOSE(($D116:$E116))),0)</f>
        <v>83012.217483328059</v>
      </c>
      <c r="Y116" s="31" cm="1">
        <f t="array" ref="Y116">Y$106+IF($C116&lt;&gt;0,SUMPRODUCT((Y$107:Y$108)*TRANSPOSE(($D116:$E116))),0)</f>
        <v>80740.274981592549</v>
      </c>
      <c r="Z116" s="31" cm="1">
        <f t="array" ref="Z116">Z$106+IF($C116&lt;&gt;0,SUMPRODUCT((Z$107:Z$108)*TRANSPOSE(($D116:$E116))),0)</f>
        <v>78468.33247985637</v>
      </c>
      <c r="AA116" s="31" cm="1">
        <f t="array" ref="AA116">AA$106+IF($C116&lt;&gt;0,SUMPRODUCT((AA$107:AA$108)*TRANSPOSE(($D116:$E116))),0)</f>
        <v>76196.389978120904</v>
      </c>
      <c r="AB116" s="31" cm="1">
        <f t="array" ref="AB116">AB$106+IF($C116&lt;&gt;0,SUMPRODUCT((AB$107:AB$108)*TRANSPOSE(($D116:$E116))),0)</f>
        <v>73924.447476384797</v>
      </c>
      <c r="AC116" s="31" cm="1">
        <f t="array" ref="AC116">AC$106+IF($C116&lt;&gt;0,SUMPRODUCT((AC$107:AC$108)*TRANSPOSE(($D116:$E116))),0)</f>
        <v>71652.504974649157</v>
      </c>
      <c r="AD116" s="31" cm="1">
        <f t="array" ref="AD116">AD$106+IF($C116&lt;&gt;0,SUMPRODUCT((AD$107:AD$108)*TRANSPOSE(($D116:$E116))),0)</f>
        <v>69380.562472913036</v>
      </c>
      <c r="AE116" s="31" cm="1">
        <f t="array" ref="AE116">AE$106+IF($C116&lt;&gt;0,SUMPRODUCT((AE$107:AE$108)*TRANSPOSE(($D116:$E116))),0)</f>
        <v>67108.619971177483</v>
      </c>
      <c r="AF116" s="31" cm="1">
        <f t="array" ref="AF116">AF$106+IF($C116&lt;&gt;0,SUMPRODUCT((AF$107:AF$108)*TRANSPOSE(($D116:$E116))),0)</f>
        <v>267158.2571775699</v>
      </c>
      <c r="AG116" s="31" cm="1">
        <f t="array" ref="AG116">AG$106+IF($C116&lt;&gt;0,SUMPRODUCT((AG$107:AG$108)*TRANSPOSE(($D116:$E116))),0)</f>
        <v>264886.31467583374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49935.449735005786</v>
      </c>
      <c r="M117" s="31" cm="1">
        <f t="array" ref="M117">M$106+IF($C117&lt;&gt;0,SUMPRODUCT((M$107:M$108)*TRANSPOSE(($D117:$E117))),0)</f>
        <v>62887.125497722991</v>
      </c>
      <c r="N117" s="31" cm="1">
        <f t="array" ref="N117">N$106+IF($C117&lt;&gt;0,SUMPRODUCT((N$107:N$108)*TRANSPOSE(($D117:$E117))),0)</f>
        <v>69223.88040707192</v>
      </c>
      <c r="O117" s="31" cm="1">
        <f t="array" ref="O117">O$106+IF($C117&lt;&gt;0,SUMPRODUCT((O$107:O$108)*TRANSPOSE(($D117:$E117))),0)</f>
        <v>79365.78395878835</v>
      </c>
      <c r="P117" s="31" cm="1">
        <f t="array" ref="P117">P$106+IF($C117&lt;&gt;0,SUMPRODUCT((P$107:P$108)*TRANSPOSE(($D117:$E117))),0)</f>
        <v>90867.360449526444</v>
      </c>
      <c r="Q117" s="31" cm="1">
        <f t="array" ref="Q117">Q$106+IF($C117&lt;&gt;0,SUMPRODUCT((Q$107:Q$108)*TRANSPOSE(($D117:$E117))),0)</f>
        <v>98915.814995478751</v>
      </c>
      <c r="R117" s="31" cm="1">
        <f t="array" ref="R117">R$106+IF($C117&lt;&gt;0,SUMPRODUCT((R$107:R$108)*TRANSPOSE(($D117:$E117))),0)</f>
        <v>96643.872493743082</v>
      </c>
      <c r="S117" s="31" cm="1">
        <f t="array" ref="S117">S$106+IF($C117&lt;&gt;0,SUMPRODUCT((S$107:S$108)*TRANSPOSE(($D117:$E117))),0)</f>
        <v>94371.929992007616</v>
      </c>
      <c r="T117" s="31" cm="1">
        <f t="array" ref="T117">T$106+IF($C117&lt;&gt;0,SUMPRODUCT((T$107:T$108)*TRANSPOSE(($D117:$E117))),0)</f>
        <v>92099.987490271436</v>
      </c>
      <c r="U117" s="31" cm="1">
        <f t="array" ref="U117">U$106+IF($C117&lt;&gt;0,SUMPRODUCT((U$107:U$108)*TRANSPOSE(($D117:$E117))),0)</f>
        <v>89828.044988535985</v>
      </c>
      <c r="V117" s="31" cm="1">
        <f t="array" ref="V117">V$106+IF($C117&lt;&gt;0,SUMPRODUCT((V$107:V$108)*TRANSPOSE(($D117:$E117))),0)</f>
        <v>87556.102486799849</v>
      </c>
      <c r="W117" s="31" cm="1">
        <f t="array" ref="W117">W$106+IF($C117&lt;&gt;0,SUMPRODUCT((W$107:W$108)*TRANSPOSE(($D117:$E117))),0)</f>
        <v>85284.159985064238</v>
      </c>
      <c r="X117" s="31" cm="1">
        <f t="array" ref="X117">X$106+IF($C117&lt;&gt;0,SUMPRODUCT((X$107:X$108)*TRANSPOSE(($D117:$E117))),0)</f>
        <v>83012.217483328059</v>
      </c>
      <c r="Y117" s="31" cm="1">
        <f t="array" ref="Y117">Y$106+IF($C117&lt;&gt;0,SUMPRODUCT((Y$107:Y$108)*TRANSPOSE(($D117:$E117))),0)</f>
        <v>80740.274981592549</v>
      </c>
      <c r="Z117" s="31" cm="1">
        <f t="array" ref="Z117">Z$106+IF($C117&lt;&gt;0,SUMPRODUCT((Z$107:Z$108)*TRANSPOSE(($D117:$E117))),0)</f>
        <v>78468.33247985637</v>
      </c>
      <c r="AA117" s="31" cm="1">
        <f t="array" ref="AA117">AA$106+IF($C117&lt;&gt;0,SUMPRODUCT((AA$107:AA$108)*TRANSPOSE(($D117:$E117))),0)</f>
        <v>76196.389978120904</v>
      </c>
      <c r="AB117" s="31" cm="1">
        <f t="array" ref="AB117">AB$106+IF($C117&lt;&gt;0,SUMPRODUCT((AB$107:AB$108)*TRANSPOSE(($D117:$E117))),0)</f>
        <v>73924.447476384797</v>
      </c>
      <c r="AC117" s="31" cm="1">
        <f t="array" ref="AC117">AC$106+IF($C117&lt;&gt;0,SUMPRODUCT((AC$107:AC$108)*TRANSPOSE(($D117:$E117))),0)</f>
        <v>71652.504974649157</v>
      </c>
      <c r="AD117" s="31" cm="1">
        <f t="array" ref="AD117">AD$106+IF($C117&lt;&gt;0,SUMPRODUCT((AD$107:AD$108)*TRANSPOSE(($D117:$E117))),0)</f>
        <v>69380.562472913036</v>
      </c>
      <c r="AE117" s="31" cm="1">
        <f t="array" ref="AE117">AE$106+IF($C117&lt;&gt;0,SUMPRODUCT((AE$107:AE$108)*TRANSPOSE(($D117:$E117))),0)</f>
        <v>67108.619971177483</v>
      </c>
      <c r="AF117" s="31" cm="1">
        <f t="array" ref="AF117">AF$106+IF($C117&lt;&gt;0,SUMPRODUCT((AF$107:AF$108)*TRANSPOSE(($D117:$E117))),0)</f>
        <v>267158.2571775699</v>
      </c>
      <c r="AG117" s="31" cm="1">
        <f t="array" ref="AG117">AG$106+IF($C117&lt;&gt;0,SUMPRODUCT((AG$107:AG$108)*TRANSPOSE(($D117:$E117))),0)</f>
        <v>264886.31467583374</v>
      </c>
    </row>
    <row r="118" spans="1:33" x14ac:dyDescent="0.2">
      <c r="E118" s="244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1" spans="1:33" x14ac:dyDescent="0.2">
      <c r="M121" s="31"/>
      <c r="N121" s="31"/>
      <c r="O121" s="31"/>
    </row>
    <row r="122" spans="1:33" x14ac:dyDescent="0.2">
      <c r="N122" s="249"/>
    </row>
    <row r="129" spans="9:12" x14ac:dyDescent="0.2">
      <c r="I129" s="249"/>
      <c r="J129" s="249"/>
      <c r="K129" s="249"/>
      <c r="L129" s="249"/>
    </row>
    <row r="130" spans="9:12" x14ac:dyDescent="0.2">
      <c r="I130" s="249"/>
      <c r="J130" s="249"/>
      <c r="K130" s="249"/>
      <c r="L130" s="249"/>
    </row>
    <row r="131" spans="9:12" x14ac:dyDescent="0.2">
      <c r="I131" s="249"/>
      <c r="J131" s="249"/>
      <c r="K131" s="249"/>
      <c r="L131" s="249"/>
    </row>
    <row r="132" spans="9:12" x14ac:dyDescent="0.2">
      <c r="I132" s="249"/>
      <c r="J132" s="249"/>
      <c r="K132" s="249"/>
      <c r="L132" s="249"/>
    </row>
    <row r="133" spans="9:12" x14ac:dyDescent="0.2">
      <c r="I133" s="249"/>
      <c r="J133" s="249"/>
      <c r="K133" s="249"/>
      <c r="L133" s="249"/>
    </row>
    <row r="134" spans="9:12" x14ac:dyDescent="0.2">
      <c r="I134" s="249"/>
      <c r="J134" s="249"/>
      <c r="K134" s="249"/>
      <c r="L134" s="249"/>
    </row>
    <row r="135" spans="9:12" x14ac:dyDescent="0.2">
      <c r="I135" s="249"/>
      <c r="J135" s="249"/>
      <c r="K135" s="249"/>
      <c r="L135" s="249"/>
    </row>
    <row r="136" spans="9:12" x14ac:dyDescent="0.2">
      <c r="I136" s="249"/>
      <c r="J136" s="249"/>
      <c r="K136" s="249"/>
      <c r="L136" s="249"/>
    </row>
  </sheetData>
  <conditionalFormatting sqref="E28">
    <cfRule type="expression" dxfId="12" priority="236">
      <formula>AND(SUM($I$27:$AG$27)&gt;0, $E$28=0)</formula>
    </cfRule>
  </conditionalFormatting>
  <conditionalFormatting sqref="E14:E16">
    <cfRule type="expression" dxfId="11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Ballan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135</v>
      </c>
      <c r="B3" s="5"/>
      <c r="C3" s="201" t="str">
        <f>INDEX(Assumptions!$E$14:$E$18, MATCH(A3,_xlfn.ANCHORARRAY( Assumptions!$C$14),0))</f>
        <v>Install generator + BESS microgrid</v>
      </c>
    </row>
    <row r="4" spans="1:43" x14ac:dyDescent="0.2">
      <c r="A4" s="202" t="str">
        <f>(INDEX(Data!$D$9:$D$13, MATCH(A3, options,0)))</f>
        <v/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292</v>
      </c>
      <c r="D14"/>
      <c r="E14" s="149">
        <v>20</v>
      </c>
      <c r="G14" s="208">
        <f>input_dollars</f>
        <v>45291</v>
      </c>
      <c r="H14" s="150"/>
      <c r="I14" s="32">
        <v>0</v>
      </c>
      <c r="J14" s="32">
        <v>0</v>
      </c>
      <c r="K14" s="32">
        <v>2875475.8874999997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293</v>
      </c>
      <c r="D15"/>
      <c r="E15" s="149">
        <v>20</v>
      </c>
      <c r="G15" s="208">
        <f>input_dollars</f>
        <v>45291</v>
      </c>
      <c r="H15" s="2"/>
      <c r="I15" s="32">
        <v>0</v>
      </c>
      <c r="J15" s="32">
        <v>0</v>
      </c>
      <c r="K15" s="32">
        <v>3529986.1625000001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6405462.0499999998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180000</v>
      </c>
      <c r="M19" s="32">
        <v>180000</v>
      </c>
      <c r="N19" s="32">
        <v>180000</v>
      </c>
      <c r="O19" s="32">
        <v>180000</v>
      </c>
      <c r="P19" s="32">
        <v>180000</v>
      </c>
      <c r="Q19" s="32">
        <v>180000</v>
      </c>
      <c r="R19" s="32">
        <v>180000</v>
      </c>
      <c r="S19" s="32">
        <v>180000</v>
      </c>
      <c r="T19" s="32">
        <v>180000</v>
      </c>
      <c r="U19" s="32">
        <v>180000</v>
      </c>
      <c r="V19" s="32">
        <v>180000</v>
      </c>
      <c r="W19" s="32">
        <v>180000</v>
      </c>
      <c r="X19" s="32">
        <v>180000</v>
      </c>
      <c r="Y19" s="32">
        <v>180000</v>
      </c>
      <c r="Z19" s="32">
        <v>180000</v>
      </c>
      <c r="AA19" s="32">
        <v>180000</v>
      </c>
      <c r="AB19" s="32">
        <v>180000</v>
      </c>
      <c r="AC19" s="32">
        <v>180000</v>
      </c>
      <c r="AD19" s="32">
        <v>180000</v>
      </c>
      <c r="AE19" s="32">
        <v>180000</v>
      </c>
      <c r="AF19" s="32">
        <v>180000</v>
      </c>
      <c r="AG19" s="32">
        <v>180000</v>
      </c>
      <c r="AH19"/>
    </row>
    <row r="20" spans="1:43" x14ac:dyDescent="0.2">
      <c r="G20" s="206"/>
      <c r="AH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f>IF(SUM($H17:H17)&gt;0, 0, 'Option1 (base case)'!I27)</f>
        <v>6.8927969388658203</v>
      </c>
      <c r="J27" s="169">
        <f>IF(SUM($H17:I17)&gt;0, 0, 'Option1 (base case)'!J27)</f>
        <v>7.1678824336483427</v>
      </c>
      <c r="K27" s="169">
        <f>IF(SUM($H17:J17)&gt;0, 0, 'Option1 (base case)'!K27)</f>
        <v>7.4850438621399142</v>
      </c>
      <c r="L27" s="169">
        <f>IF(SUM($H17:K17)&gt;0, 0, 'Option1 (base case)'!L27)</f>
        <v>0</v>
      </c>
      <c r="M27" s="169">
        <f>IF(SUM($H17:L17)&gt;0, 0, 'Option1 (base case)'!M27)</f>
        <v>0</v>
      </c>
      <c r="N27" s="169">
        <f>IF(SUM($H17:M17)&gt;0, 0, 'Option1 (base case)'!N27)</f>
        <v>0</v>
      </c>
      <c r="O27" s="169">
        <f>IF(SUM($H17:N17)&gt;0, 0, 'Option1 (base case)'!O27)</f>
        <v>0</v>
      </c>
      <c r="P27" s="169">
        <f>IF(SUM($H17:O17)&gt;0, 0, 'Option1 (base case)'!P27)</f>
        <v>0</v>
      </c>
      <c r="Q27" s="169">
        <f>IF(SUM($H17:P17)&gt;0, 0, 'Option1 (base case)'!Q27)</f>
        <v>0</v>
      </c>
      <c r="R27" s="169">
        <f>IF(SUM($H17:Q17)&gt;0, 0, 'Option1 (base case)'!R27)</f>
        <v>0</v>
      </c>
      <c r="S27" s="169">
        <f>IF(SUM($H17:R17)&gt;0, 0, 'Option1 (base case)'!S27)</f>
        <v>0</v>
      </c>
      <c r="T27" s="169">
        <f>IF(SUM($H17:S17)&gt;0, 0, 'Option1 (base case)'!T27)</f>
        <v>0</v>
      </c>
      <c r="U27" s="169">
        <f>IF(SUM($H17:T17)&gt;0, 0, 'Option1 (base case)'!U27)</f>
        <v>0</v>
      </c>
      <c r="V27" s="169">
        <f>IF(SUM($H17:U17)&gt;0, 0, 'Option1 (base case)'!V27)</f>
        <v>0</v>
      </c>
      <c r="W27" s="169">
        <f>IF(SUM($H17:V17)&gt;0, 0, 'Option1 (base case)'!W27)</f>
        <v>0</v>
      </c>
      <c r="X27" s="169">
        <f>IF(SUM($H17:W17)&gt;0, 0, 'Option1 (base case)'!X27)</f>
        <v>0</v>
      </c>
      <c r="Y27" s="169">
        <f>IF(SUM($H17:X17)&gt;0, 0, 'Option1 (base case)'!Y27)</f>
        <v>0</v>
      </c>
      <c r="Z27" s="169">
        <f>IF(SUM($H17:Y17)&gt;0, 0, 'Option1 (base case)'!Z27)</f>
        <v>0</v>
      </c>
      <c r="AA27" s="169">
        <f>IF(SUM($H17:Z17)&gt;0, 0, 'Option1 (base case)'!AA27)</f>
        <v>0</v>
      </c>
      <c r="AB27" s="169">
        <f>IF(SUM($H17:AA17)&gt;0, 0, 'Option1 (base case)'!AB27)</f>
        <v>0</v>
      </c>
      <c r="AC27" s="169">
        <f>IF(SUM($H17:AB17)&gt;0, 0, 'Option1 (base case)'!AC27)</f>
        <v>0</v>
      </c>
      <c r="AD27" s="169">
        <f>IF(SUM($H17:AC17)&gt;0, 0, 'Option1 (base case)'!AD27)</f>
        <v>0</v>
      </c>
      <c r="AE27" s="169">
        <f>IF(SUM($H17:AD17)&gt;0, 0, 'Option1 (base case)'!AE27)</f>
        <v>0</v>
      </c>
      <c r="AF27" s="169">
        <f>IF(SUM($H17:AE17)&gt;0, 0, 'Option1 (base case)'!AF27)</f>
        <v>0</v>
      </c>
      <c r="AG27" s="169">
        <f>IF(SUM($H17:AF17)&gt;0, 0, 'Option1 (base case)'!AG27)</f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38093.432583798196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262570.29550449568</v>
      </c>
      <c r="J28" s="298">
        <f t="shared" ref="J28:AG28" si="2">J27*$E$28</f>
        <v>273049.24625477451</v>
      </c>
      <c r="K28" s="298">
        <f t="shared" si="2"/>
        <v>285131.01374919928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262570.29550449568</v>
      </c>
      <c r="J36" s="171">
        <f t="shared" ref="J36:AB36" si="3">SUM(J28:J34)</f>
        <v>273049.24625477451</v>
      </c>
      <c r="K36" s="171">
        <f t="shared" si="3"/>
        <v>285131.01374919928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>SUM(AC28:AC34)</f>
        <v>0</v>
      </c>
      <c r="AD36" s="171">
        <f>SUM(AD28:AD34)</f>
        <v>0</v>
      </c>
      <c r="AE36" s="171">
        <f>SUM(AE28:AE34)</f>
        <v>0</v>
      </c>
      <c r="AF36" s="171">
        <f>SUM(AF28:AF34)</f>
        <v>0</v>
      </c>
      <c r="AG36" s="171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29406.567416201804</v>
      </c>
      <c r="G45" s="208" t="s">
        <v>40</v>
      </c>
      <c r="I45" s="328">
        <f>Option2!I45</f>
        <v>0</v>
      </c>
      <c r="J45" s="328">
        <f>Option2!J45</f>
        <v>0</v>
      </c>
      <c r="K45" s="328">
        <f>Option2!K45</f>
        <v>0</v>
      </c>
      <c r="L45" s="328">
        <f>Option2!L45</f>
        <v>1.0709491286079142</v>
      </c>
      <c r="M45" s="328">
        <f>Option2!M45</f>
        <v>1.1666976743592492</v>
      </c>
      <c r="N45" s="328">
        <f>Option2!N45</f>
        <v>1.1641995234947775</v>
      </c>
      <c r="O45" s="328">
        <f>Option2!O45</f>
        <v>1.1728919516218086</v>
      </c>
      <c r="P45" s="328">
        <f>Option2!P45</f>
        <v>1.1841995719747676</v>
      </c>
      <c r="Q45" s="328">
        <f>Option2!Q45</f>
        <v>1.1828718009766745</v>
      </c>
      <c r="R45" s="328">
        <f>Option2!R45</f>
        <v>1.1487954448749678</v>
      </c>
      <c r="S45" s="328">
        <f>Option2!S45</f>
        <v>1.1147190887732645</v>
      </c>
      <c r="T45" s="328">
        <f>Option2!T45</f>
        <v>1.0806427326715526</v>
      </c>
      <c r="U45" s="328">
        <f>Option2!U45</f>
        <v>1.0465663765698494</v>
      </c>
      <c r="V45" s="328">
        <f>Option2!V45</f>
        <v>1.0124900204681357</v>
      </c>
      <c r="W45" s="328">
        <f>Option2!W45</f>
        <v>0.97841366436643085</v>
      </c>
      <c r="X45" s="328">
        <f>Option2!X45</f>
        <v>0.94433730826471729</v>
      </c>
      <c r="Y45" s="328">
        <f>Option2!Y45</f>
        <v>0.91026095216301417</v>
      </c>
      <c r="Z45" s="328">
        <f>Option2!Z45</f>
        <v>0.87618459606130061</v>
      </c>
      <c r="AA45" s="328">
        <f>Option2!AA45</f>
        <v>0.84210823995959727</v>
      </c>
      <c r="AB45" s="328">
        <f>Option2!AB45</f>
        <v>0.80803188385788371</v>
      </c>
      <c r="AC45" s="328">
        <f>Option2!AC45</f>
        <v>0.77395552775618048</v>
      </c>
      <c r="AD45" s="328">
        <f>Option2!AD45</f>
        <v>0.73987917165446693</v>
      </c>
      <c r="AE45" s="328">
        <f>Option2!AE45</f>
        <v>0.70580281555276192</v>
      </c>
      <c r="AF45" s="328">
        <f>Option2!AF45</f>
        <v>0.67172645945105858</v>
      </c>
      <c r="AG45" s="328">
        <f>Option2!AG45</f>
        <v>0.63765010334934513</v>
      </c>
      <c r="AH45"/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24910</v>
      </c>
      <c r="G46" s="208" t="s">
        <v>40</v>
      </c>
      <c r="I46" s="328">
        <f>Option2!I46</f>
        <v>0</v>
      </c>
      <c r="J46" s="328">
        <f>Option2!J46</f>
        <v>0</v>
      </c>
      <c r="K46" s="328">
        <f>Option2!K46</f>
        <v>0</v>
      </c>
      <c r="L46" s="328">
        <f>Option2!L46</f>
        <v>8.2224462233657356E-2</v>
      </c>
      <c r="M46" s="328">
        <f>Option2!M46</f>
        <v>8.4812960121609313E-2</v>
      </c>
      <c r="N46" s="328">
        <f>Option2!N46</f>
        <v>8.7005678577931719E-2</v>
      </c>
      <c r="O46" s="328">
        <f>Option2!O46</f>
        <v>9.017766331189421E-2</v>
      </c>
      <c r="P46" s="328">
        <f>Option2!P46</f>
        <v>9.373634950632713E-2</v>
      </c>
      <c r="Q46" s="328">
        <f>Option2!Q46</f>
        <v>9.647230826595507E-2</v>
      </c>
      <c r="R46" s="328">
        <f>Option2!R46</f>
        <v>9.6616024221448743E-2</v>
      </c>
      <c r="S46" s="328">
        <f>Option2!S46</f>
        <v>9.6759740176942416E-2</v>
      </c>
      <c r="T46" s="328">
        <f>Option2!T46</f>
        <v>9.6903456132436075E-2</v>
      </c>
      <c r="U46" s="328">
        <f>Option2!U46</f>
        <v>9.7047172087929776E-2</v>
      </c>
      <c r="V46" s="328">
        <f>Option2!V46</f>
        <v>9.7190888043423407E-2</v>
      </c>
      <c r="W46" s="328">
        <f>Option2!W46</f>
        <v>9.7334603998917094E-2</v>
      </c>
      <c r="X46" s="328">
        <f>Option2!X46</f>
        <v>9.7478319954410753E-2</v>
      </c>
      <c r="Y46" s="328">
        <f>Option2!Y46</f>
        <v>9.7622035909904425E-2</v>
      </c>
      <c r="Z46" s="328">
        <f>Option2!Z46</f>
        <v>9.7765751865398084E-2</v>
      </c>
      <c r="AA46" s="328">
        <f>Option2!AA46</f>
        <v>9.7909467820891743E-2</v>
      </c>
      <c r="AB46" s="328">
        <f>Option2!AB46</f>
        <v>9.8053183776385416E-2</v>
      </c>
      <c r="AC46" s="328">
        <f>Option2!AC46</f>
        <v>9.8196899731879103E-2</v>
      </c>
      <c r="AD46" s="328">
        <f>Option2!AD46</f>
        <v>9.8340615687372734E-2</v>
      </c>
      <c r="AE46" s="328">
        <f>Option2!AE46</f>
        <v>9.8484331642866421E-2</v>
      </c>
      <c r="AF46" s="328">
        <f>Option2!AF46</f>
        <v>9.8628047598360108E-2</v>
      </c>
      <c r="AG46" s="328">
        <f>Option2!AG46</f>
        <v>9.8771763553853753E-2</v>
      </c>
      <c r="AH46"/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8">
        <f>Option2!I47</f>
        <v>0</v>
      </c>
      <c r="J47" s="328">
        <f>Option2!J47</f>
        <v>0</v>
      </c>
      <c r="K47" s="328">
        <f>Option2!K47</f>
        <v>0</v>
      </c>
      <c r="L47" s="328">
        <f>Option2!L47</f>
        <v>1.9759027004534229E-2</v>
      </c>
      <c r="M47" s="328">
        <f>Option2!M47</f>
        <v>2.038138222372813E-2</v>
      </c>
      <c r="N47" s="328">
        <f>Option2!N47</f>
        <v>2.0907524589709743E-2</v>
      </c>
      <c r="O47" s="328">
        <f>Option2!O47</f>
        <v>2.1668939095847498E-2</v>
      </c>
      <c r="P47" s="328">
        <f>Option2!P47</f>
        <v>2.2523216386225467E-2</v>
      </c>
      <c r="Q47" s="328">
        <f>Option2!Q47</f>
        <v>2.3179752396298308E-2</v>
      </c>
      <c r="R47" s="328">
        <f>Option2!R47</f>
        <v>2.3213417493319306E-2</v>
      </c>
      <c r="S47" s="328">
        <f>Option2!S47</f>
        <v>2.3247082590340303E-2</v>
      </c>
      <c r="T47" s="328">
        <f>Option2!T47</f>
        <v>2.3280747687361294E-2</v>
      </c>
      <c r="U47" s="328">
        <f>Option2!U47</f>
        <v>2.3314412784382295E-2</v>
      </c>
      <c r="V47" s="328">
        <f>Option2!V47</f>
        <v>2.3348077881403289E-2</v>
      </c>
      <c r="W47" s="328">
        <f>Option2!W47</f>
        <v>2.3381742978424287E-2</v>
      </c>
      <c r="X47" s="328">
        <f>Option2!X47</f>
        <v>2.3415408075445284E-2</v>
      </c>
      <c r="Y47" s="328">
        <f>Option2!Y47</f>
        <v>2.3449073172466278E-2</v>
      </c>
      <c r="Z47" s="328">
        <f>Option2!Z47</f>
        <v>2.3482738269487276E-2</v>
      </c>
      <c r="AA47" s="328">
        <f>Option2!AA47</f>
        <v>2.3516403366508273E-2</v>
      </c>
      <c r="AB47" s="328">
        <f>Option2!AB47</f>
        <v>2.3550068463529271E-2</v>
      </c>
      <c r="AC47" s="328">
        <f>Option2!AC47</f>
        <v>2.3583733560550268E-2</v>
      </c>
      <c r="AD47" s="328">
        <f>Option2!AD47</f>
        <v>2.3617398657571259E-2</v>
      </c>
      <c r="AE47" s="328">
        <f>Option2!AE47</f>
        <v>2.365106375459226E-2</v>
      </c>
      <c r="AF47" s="328">
        <f>Option2!AF47</f>
        <v>2.3684728851613258E-2</v>
      </c>
      <c r="AG47" s="328">
        <f>Option2!AG47</f>
        <v>2.3718393948634255E-2</v>
      </c>
      <c r="AH47"/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8">
        <f>Option2!I48</f>
        <v>0</v>
      </c>
      <c r="J48" s="328">
        <f>Option2!J48</f>
        <v>0</v>
      </c>
      <c r="K48" s="328">
        <f>Option2!K48</f>
        <v>0</v>
      </c>
      <c r="L48" s="328">
        <f>Option2!L48</f>
        <v>6.5541481149290559E-3</v>
      </c>
      <c r="M48" s="328">
        <f>Option2!M48</f>
        <v>6.7605858249316763E-3</v>
      </c>
      <c r="N48" s="328">
        <f>Option2!N48</f>
        <v>6.9351093475419432E-3</v>
      </c>
      <c r="O48" s="328">
        <f>Option2!O48</f>
        <v>7.1876735780041622E-3</v>
      </c>
      <c r="P48" s="328">
        <f>Option2!P48</f>
        <v>7.4710407646107002E-3</v>
      </c>
      <c r="Q48" s="328">
        <f>Option2!Q48</f>
        <v>7.6888163793621001E-3</v>
      </c>
      <c r="R48" s="328">
        <f>Option2!R48</f>
        <v>7.6999832264000867E-3</v>
      </c>
      <c r="S48" s="328">
        <f>Option2!S48</f>
        <v>7.7111500734380724E-3</v>
      </c>
      <c r="T48" s="328">
        <f>Option2!T48</f>
        <v>7.7223169204760573E-3</v>
      </c>
      <c r="U48" s="328">
        <f>Option2!U48</f>
        <v>7.7334837675140447E-3</v>
      </c>
      <c r="V48" s="328">
        <f>Option2!V48</f>
        <v>7.7446506145520295E-3</v>
      </c>
      <c r="W48" s="328">
        <f>Option2!W48</f>
        <v>7.7558174615900153E-3</v>
      </c>
      <c r="X48" s="328">
        <f>Option2!X48</f>
        <v>7.7669843086280018E-3</v>
      </c>
      <c r="Y48" s="328">
        <f>Option2!Y48</f>
        <v>7.7781511556659876E-3</v>
      </c>
      <c r="Z48" s="328">
        <f>Option2!Z48</f>
        <v>7.7893180027039741E-3</v>
      </c>
      <c r="AA48" s="328">
        <f>Option2!AA48</f>
        <v>7.8004848497419598E-3</v>
      </c>
      <c r="AB48" s="328">
        <f>Option2!AB48</f>
        <v>7.8116516967799464E-3</v>
      </c>
      <c r="AC48" s="328">
        <f>Option2!AC48</f>
        <v>7.8228185438179321E-3</v>
      </c>
      <c r="AD48" s="328">
        <f>Option2!AD48</f>
        <v>7.833985390855917E-3</v>
      </c>
      <c r="AE48" s="328">
        <f>Option2!AE48</f>
        <v>7.8451522378939053E-3</v>
      </c>
      <c r="AF48" s="328">
        <f>Option2!AF48</f>
        <v>7.8563190849318901E-3</v>
      </c>
      <c r="AG48" s="328">
        <f>Option2!AG48</f>
        <v>7.8674859319698767E-3</v>
      </c>
      <c r="AH48"/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8">
        <f>Option2!I49</f>
        <v>0</v>
      </c>
      <c r="J49" s="328">
        <f>Option2!J49</f>
        <v>0</v>
      </c>
      <c r="K49" s="328">
        <f>Option2!K49</f>
        <v>0</v>
      </c>
      <c r="L49" s="328">
        <f>Option2!L49</f>
        <v>4.2379482847482733E-4</v>
      </c>
      <c r="M49" s="328">
        <f>Option2!M49</f>
        <v>4.371432045516538E-4</v>
      </c>
      <c r="N49" s="328">
        <f>Option2!N49</f>
        <v>4.4842799168683762E-4</v>
      </c>
      <c r="O49" s="328">
        <f>Option2!O49</f>
        <v>4.6475893399249094E-4</v>
      </c>
      <c r="P49" s="328">
        <f>Option2!P49</f>
        <v>4.8308161241499589E-4</v>
      </c>
      <c r="Q49" s="328">
        <f>Option2!Q49</f>
        <v>4.971631036601123E-4</v>
      </c>
      <c r="R49" s="328">
        <f>Option2!R49</f>
        <v>4.978851581425687E-4</v>
      </c>
      <c r="S49" s="328">
        <f>Option2!S49</f>
        <v>4.986072126250252E-4</v>
      </c>
      <c r="T49" s="328">
        <f>Option2!T49</f>
        <v>4.9932926710748149E-4</v>
      </c>
      <c r="U49" s="328">
        <f>Option2!U49</f>
        <v>5.00051321589938E-4</v>
      </c>
      <c r="V49" s="328">
        <f>Option2!V49</f>
        <v>5.007733760723944E-4</v>
      </c>
      <c r="W49" s="328">
        <f>Option2!W49</f>
        <v>5.014954305548508E-4</v>
      </c>
      <c r="X49" s="328">
        <f>Option2!X49</f>
        <v>5.0221748503730731E-4</v>
      </c>
      <c r="Y49" s="328">
        <f>Option2!Y49</f>
        <v>5.0293953951976371E-4</v>
      </c>
      <c r="Z49" s="328">
        <f>Option2!Z49</f>
        <v>5.0366159400222022E-4</v>
      </c>
      <c r="AA49" s="328">
        <f>Option2!AA49</f>
        <v>5.0438364848467661E-4</v>
      </c>
      <c r="AB49" s="328">
        <f>Option2!AB49</f>
        <v>5.0510570296713301E-4</v>
      </c>
      <c r="AC49" s="328">
        <f>Option2!AC49</f>
        <v>5.0582775744958952E-4</v>
      </c>
      <c r="AD49" s="328">
        <f>Option2!AD49</f>
        <v>5.0654981193204581E-4</v>
      </c>
      <c r="AE49" s="328">
        <f>Option2!AE49</f>
        <v>5.0727186641450243E-4</v>
      </c>
      <c r="AF49" s="328">
        <f>Option2!AF49</f>
        <v>5.0799392089695883E-4</v>
      </c>
      <c r="AG49" s="328">
        <f>Option2!AG49</f>
        <v>5.0871597537941523E-4</v>
      </c>
      <c r="AH49"/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300</v>
      </c>
      <c r="D51" s="206" t="s">
        <v>301</v>
      </c>
      <c r="E51" s="113">
        <v>11000</v>
      </c>
      <c r="G51" s="208" t="s">
        <v>104</v>
      </c>
      <c r="I51" s="32">
        <v>0</v>
      </c>
      <c r="J51" s="32">
        <v>0</v>
      </c>
      <c r="K51" s="32">
        <v>0</v>
      </c>
      <c r="L51" s="32">
        <v>1</v>
      </c>
      <c r="M51" s="32">
        <v>1</v>
      </c>
      <c r="N51" s="32">
        <v>1</v>
      </c>
      <c r="O51" s="32">
        <v>1</v>
      </c>
      <c r="P51" s="32">
        <v>1</v>
      </c>
      <c r="Q51" s="32">
        <v>1</v>
      </c>
      <c r="R51" s="32">
        <v>1</v>
      </c>
      <c r="S51" s="32">
        <v>1</v>
      </c>
      <c r="T51" s="32">
        <v>1</v>
      </c>
      <c r="U51" s="32">
        <v>1</v>
      </c>
      <c r="V51" s="32">
        <v>1</v>
      </c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32">
        <v>1</v>
      </c>
      <c r="AD51" s="32">
        <v>1</v>
      </c>
      <c r="AE51" s="32">
        <v>1</v>
      </c>
      <c r="AF51" s="32">
        <v>1</v>
      </c>
      <c r="AG51" s="32">
        <v>1</v>
      </c>
      <c r="AH51"/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6"/>
      <c r="G56" s="206"/>
      <c r="AH5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46081.571541508129</v>
      </c>
      <c r="M57" s="171" cm="1">
        <f t="array" ref="M57">SUMPRODUCT((M$45:M$52)*($E$45:$E$52))+SUM(M54:M55)+M42</f>
        <v>49010.206176207743</v>
      </c>
      <c r="N57" s="171" cm="1">
        <f t="array" ref="N57">SUMPRODUCT((N$45:N$52)*($E$45:$E$52))+SUM(N54:N55)+N42</f>
        <v>49032.383041451874</v>
      </c>
      <c r="O57" s="171" cm="1">
        <f t="array" ref="O57">SUMPRODUCT((O$45:O$52)*($E$45:$E$52))+SUM(O54:O55)+O42</f>
        <v>49426.37186475793</v>
      </c>
      <c r="P57" s="171" cm="1">
        <f t="array" ref="P57">SUMPRODUCT((P$45:P$52)*($E$45:$E$52))+SUM(P54:P55)+P42</f>
        <v>49914.13687145336</v>
      </c>
      <c r="Q57" s="171" cm="1">
        <f t="array" ref="Q57">SUMPRODUCT((Q$45:Q$52)*($E$45:$E$52))+SUM(Q54:Q55)+Q42</f>
        <v>49994.428252951337</v>
      </c>
      <c r="R57" s="171" cm="1">
        <f t="array" ref="R57">SUMPRODUCT((R$45:R$52)*($E$45:$E$52))+SUM(R54:R55)+R42</f>
        <v>48998.564100172829</v>
      </c>
      <c r="S57" s="171" cm="1">
        <f t="array" ref="S57">SUMPRODUCT((S$45:S$52)*($E$45:$E$52))+SUM(S54:S55)+S42</f>
        <v>48002.699947394431</v>
      </c>
      <c r="T57" s="171" cm="1">
        <f t="array" ref="T57">SUMPRODUCT((T$45:T$52)*($E$45:$E$52))+SUM(T54:T55)+T42</f>
        <v>47006.835794615778</v>
      </c>
      <c r="U57" s="171" cm="1">
        <f t="array" ref="U57">SUMPRODUCT((U$45:U$52)*($E$45:$E$52))+SUM(U54:U55)+U42</f>
        <v>46010.971641837379</v>
      </c>
      <c r="V57" s="171" cm="1">
        <f t="array" ref="V57">SUMPRODUCT((V$45:V$52)*($E$45:$E$52))+SUM(V54:V55)+V42</f>
        <v>45015.107489058668</v>
      </c>
      <c r="W57" s="171" cm="1">
        <f t="array" ref="W57">SUMPRODUCT((W$45:W$52)*($E$45:$E$52))+SUM(W54:W55)+W42</f>
        <v>44019.243336280219</v>
      </c>
      <c r="X57" s="171" cm="1">
        <f t="array" ref="X57">SUMPRODUCT((X$45:X$52)*($E$45:$E$52))+SUM(X54:X55)+X42</f>
        <v>43023.379183501514</v>
      </c>
      <c r="Y57" s="171" cm="1">
        <f t="array" ref="Y57">SUMPRODUCT((Y$45:Y$52)*($E$45:$E$52))+SUM(Y54:Y55)+Y42</f>
        <v>42027.515030723116</v>
      </c>
      <c r="Z57" s="171" cm="1">
        <f t="array" ref="Z57">SUMPRODUCT((Z$45:Z$52)*($E$45:$E$52))+SUM(Z54:Z55)+Z42</f>
        <v>41031.650877944412</v>
      </c>
      <c r="AA57" s="171" cm="1">
        <f t="array" ref="AA57">SUMPRODUCT((AA$45:AA$52)*($E$45:$E$52))+SUM(AA54:AA55)+AA42</f>
        <v>40035.786725166006</v>
      </c>
      <c r="AB57" s="171" cm="1">
        <f t="array" ref="AB57">SUMPRODUCT((AB$45:AB$52)*($E$45:$E$52))+SUM(AB54:AB55)+AB42</f>
        <v>39039.92257238731</v>
      </c>
      <c r="AC57" s="171" cm="1">
        <f t="array" ref="AC57">SUMPRODUCT((AC$45:AC$52)*($E$45:$E$52))+SUM(AC54:AC55)+AC42</f>
        <v>38044.058419608904</v>
      </c>
      <c r="AD57" s="171" cm="1">
        <f t="array" ref="AD57">SUMPRODUCT((AD$45:AD$52)*($E$45:$E$52))+SUM(AD54:AD55)+AD42</f>
        <v>37048.1942668302</v>
      </c>
      <c r="AE57" s="171" cm="1">
        <f t="array" ref="AE57">SUMPRODUCT((AE$45:AE$52)*($E$45:$E$52))+SUM(AE54:AE55)+AE42</f>
        <v>36052.330114051751</v>
      </c>
      <c r="AF57" s="171" cm="1">
        <f t="array" ref="AF57">SUMPRODUCT((AF$45:AF$52)*($E$45:$E$52))+SUM(AF54:AF55)+AF42</f>
        <v>35056.465961273345</v>
      </c>
      <c r="AG57" s="171" cm="1">
        <f t="array" ref="AG57">SUMPRODUCT((AG$45:AG$52)*($E$45:$E$52))+SUM(AG54:AG55)+AG42</f>
        <v>34060.601808494641</v>
      </c>
      <c r="AH57"/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3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297175.45790162554</v>
      </c>
      <c r="M64" s="133">
        <f>(1-INDEX(Data!$C$9:$C$13, MATCH($A$3, options,0)))*('Option1 (base case)'!M36-M36)</f>
        <v>307198.49902964314</v>
      </c>
      <c r="N64" s="133">
        <f>(1-INDEX(Data!$C$9:$C$13, MATCH($A$3, options,0)))*('Option1 (base case)'!N36-N36)</f>
        <v>313513.07707374793</v>
      </c>
      <c r="O64" s="133">
        <f>(1-INDEX(Data!$C$9:$C$13, MATCH($A$3, options,0)))*('Option1 (base case)'!O36-O36)</f>
        <v>323260.9918021583</v>
      </c>
      <c r="P64" s="133">
        <f>(1-INDEX(Data!$C$9:$C$13, MATCH($A$3, options,0)))*('Option1 (base case)'!P36-P36)</f>
        <v>334274.80328620097</v>
      </c>
      <c r="Q64" s="133">
        <f>(1-INDEX(Data!$C$9:$C$13, MATCH($A$3, options,0)))*('Option1 (base case)'!Q36-Q36)</f>
        <v>342242.96645065531</v>
      </c>
      <c r="R64" s="133">
        <f>(1-INDEX(Data!$C$9:$C$13, MATCH($A$3, options,0)))*('Option1 (base case)'!R36-R36)</f>
        <v>340966.88810169813</v>
      </c>
      <c r="S64" s="133">
        <f>(1-INDEX(Data!$C$9:$C$13, MATCH($A$3, options,0)))*('Option1 (base case)'!S36-S36)</f>
        <v>339690.80975274107</v>
      </c>
      <c r="T64" s="133">
        <f>(1-INDEX(Data!$C$9:$C$13, MATCH($A$3, options,0)))*('Option1 (base case)'!T36-T36)</f>
        <v>338414.73140378355</v>
      </c>
      <c r="U64" s="133">
        <f>(1-INDEX(Data!$C$9:$C$13, MATCH($A$3, options,0)))*('Option1 (base case)'!U36-U36)</f>
        <v>337138.65305482649</v>
      </c>
      <c r="V64" s="133">
        <f>(1-INDEX(Data!$C$9:$C$13, MATCH($A$3, options,0)))*('Option1 (base case)'!V36-V36)</f>
        <v>335862.57470586908</v>
      </c>
      <c r="W64" s="133">
        <f>(1-INDEX(Data!$C$9:$C$13, MATCH($A$3, options,0)))*('Option1 (base case)'!W36-W36)</f>
        <v>334586.4963569119</v>
      </c>
      <c r="X64" s="133">
        <f>(1-INDEX(Data!$C$9:$C$13, MATCH($A$3, options,0)))*('Option1 (base case)'!X36-X36)</f>
        <v>333310.41800795443</v>
      </c>
      <c r="Y64" s="133">
        <f>(1-INDEX(Data!$C$9:$C$13, MATCH($A$3, options,0)))*('Option1 (base case)'!Y36-Y36)</f>
        <v>332034.33965899731</v>
      </c>
      <c r="Z64" s="133">
        <f>(1-INDEX(Data!$C$9:$C$13, MATCH($A$3, options,0)))*('Option1 (base case)'!Z36-Z36)</f>
        <v>330758.26131003984</v>
      </c>
      <c r="AA64" s="133">
        <f>(1-INDEX(Data!$C$9:$C$13, MATCH($A$3, options,0)))*('Option1 (base case)'!AA36-AA36)</f>
        <v>329482.18296108278</v>
      </c>
      <c r="AB64" s="133">
        <f>(1-INDEX(Data!$C$9:$C$13, MATCH($A$3, options,0)))*('Option1 (base case)'!AB36-AB36)</f>
        <v>328206.10461212537</v>
      </c>
      <c r="AC64" s="133">
        <f>(1-INDEX(Data!$C$9:$C$13, MATCH($A$3, options,0)))*('Option1 (base case)'!AC36-AC36)</f>
        <v>326930.02626316814</v>
      </c>
      <c r="AD64" s="133">
        <f>(1-INDEX(Data!$C$9:$C$13, MATCH($A$3, options,0)))*('Option1 (base case)'!AD36-AD36)</f>
        <v>325653.94791421073</v>
      </c>
      <c r="AE64" s="133">
        <f>(1-INDEX(Data!$C$9:$C$13, MATCH($A$3, options,0)))*('Option1 (base case)'!AE36-AE36)</f>
        <v>324377.86956525361</v>
      </c>
      <c r="AF64" s="133">
        <f>(1-INDEX(Data!$C$9:$C$13, MATCH($A$3, options,0)))*('Option1 (base case)'!AF36-AF36)</f>
        <v>323101.79121629655</v>
      </c>
      <c r="AG64" s="133">
        <f>(1-INDEX(Data!$C$9:$C$13, MATCH($A$3, options,0)))*('Option1 (base case)'!AG36-AG36)</f>
        <v>321825.71286733908</v>
      </c>
      <c r="AH64"/>
    </row>
    <row r="65" spans="1:34" x14ac:dyDescent="0.2">
      <c r="G65" s="213"/>
      <c r="AH65"/>
    </row>
    <row r="66" spans="1:34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Microgrid (exc BESS)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-2875475.8874999997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 t="str">
        <f>C15</f>
        <v>BESS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-3529986.1625000001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Microgrid (exc BESS)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-2875475.8874999997</v>
      </c>
      <c r="L72" s="119" cm="1">
        <f t="array" ref="L72">SUMPRODUCT(($I67:L67))-SUMPRODUCT(($I67:L67)*($I$6:L$6&lt;=(L$6-$E14)))</f>
        <v>-2875475.8874999997</v>
      </c>
      <c r="M72" s="119" cm="1">
        <f t="array" ref="M72">SUMPRODUCT(($I67:M67))-SUMPRODUCT(($I67:M67)*($I$6:M$6&lt;=(M$6-$E14)))</f>
        <v>-2875475.8874999997</v>
      </c>
      <c r="N72" s="119" cm="1">
        <f t="array" ref="N72">SUMPRODUCT(($I67:N67))-SUMPRODUCT(($I67:N67)*($I$6:N$6&lt;=(N$6-$E14)))</f>
        <v>-2875475.8874999997</v>
      </c>
      <c r="O72" s="119" cm="1">
        <f t="array" ref="O72">SUMPRODUCT(($I67:O67))-SUMPRODUCT(($I67:O67)*($I$6:O$6&lt;=(O$6-$E14)))</f>
        <v>-2875475.8874999997</v>
      </c>
      <c r="P72" s="119" cm="1">
        <f t="array" ref="P72">SUMPRODUCT(($I67:P67))-SUMPRODUCT(($I67:P67)*($I$6:P$6&lt;=(P$6-$E14)))</f>
        <v>-2875475.8874999997</v>
      </c>
      <c r="Q72" s="119" cm="1">
        <f t="array" ref="Q72">SUMPRODUCT(($I67:Q67))-SUMPRODUCT(($I67:Q67)*($I$6:Q$6&lt;=(Q$6-$E14)))</f>
        <v>-2875475.8874999997</v>
      </c>
      <c r="R72" s="119" cm="1">
        <f t="array" ref="R72">SUMPRODUCT(($I67:R67))-SUMPRODUCT(($I67:R67)*($I$6:R$6&lt;=(R$6-$E14)))</f>
        <v>-2875475.8874999997</v>
      </c>
      <c r="S72" s="119" cm="1">
        <f t="array" ref="S72">SUMPRODUCT(($I67:S67))-SUMPRODUCT(($I67:S67)*($I$6:S$6&lt;=(S$6-$E14)))</f>
        <v>-2875475.8874999997</v>
      </c>
      <c r="T72" s="119" cm="1">
        <f t="array" ref="T72">SUMPRODUCT(($I67:T67))-SUMPRODUCT(($I67:T67)*($I$6:T$6&lt;=(T$6-$E14)))</f>
        <v>-2875475.8874999997</v>
      </c>
      <c r="U72" s="119" cm="1">
        <f t="array" ref="U72">SUMPRODUCT(($I67:U67))-SUMPRODUCT(($I67:U67)*($I$6:U$6&lt;=(U$6-$E14)))</f>
        <v>-2875475.8874999997</v>
      </c>
      <c r="V72" s="119" cm="1">
        <f t="array" ref="V72">SUMPRODUCT(($I67:V67))-SUMPRODUCT(($I67:V67)*($I$6:V$6&lt;=(V$6-$E14)))</f>
        <v>-2875475.8874999997</v>
      </c>
      <c r="W72" s="119" cm="1">
        <f t="array" ref="W72">SUMPRODUCT(($I67:W67))-SUMPRODUCT(($I67:W67)*($I$6:W$6&lt;=(W$6-$E14)))</f>
        <v>-2875475.8874999997</v>
      </c>
      <c r="X72" s="119" cm="1">
        <f t="array" ref="X72">SUMPRODUCT(($I67:X67))-SUMPRODUCT(($I67:X67)*($I$6:X$6&lt;=(X$6-$E14)))</f>
        <v>-2875475.8874999997</v>
      </c>
      <c r="Y72" s="119" cm="1">
        <f t="array" ref="Y72">SUMPRODUCT(($I67:Y67))-SUMPRODUCT(($I67:Y67)*($I$6:Y$6&lt;=(Y$6-$E14)))</f>
        <v>-2875475.8874999997</v>
      </c>
      <c r="Z72" s="119" cm="1">
        <f t="array" ref="Z72">SUMPRODUCT(($I67:Z67))-SUMPRODUCT(($I67:Z67)*($I$6:Z$6&lt;=(Z$6-$E14)))</f>
        <v>-2875475.8874999997</v>
      </c>
      <c r="AA72" s="119" cm="1">
        <f t="array" ref="AA72">SUMPRODUCT(($I67:AA67))-SUMPRODUCT(($I67:AA67)*($I$6:AA$6&lt;=(AA$6-$E14)))</f>
        <v>-2875475.8874999997</v>
      </c>
      <c r="AB72" s="119" cm="1">
        <f t="array" ref="AB72">SUMPRODUCT(($I67:AB67))-SUMPRODUCT(($I67:AB67)*($I$6:AB$6&lt;=(AB$6-$E14)))</f>
        <v>-2875475.8874999997</v>
      </c>
      <c r="AC72" s="119" cm="1">
        <f t="array" ref="AC72">SUMPRODUCT(($I67:AC67))-SUMPRODUCT(($I67:AC67)*($I$6:AC$6&lt;=(AC$6-$E14)))</f>
        <v>-2875475.8874999997</v>
      </c>
      <c r="AD72" s="119" cm="1">
        <f t="array" ref="AD72">SUMPRODUCT(($I67:AD67))-SUMPRODUCT(($I67:AD67)*($I$6:AD$6&lt;=(AD$6-$E14)))</f>
        <v>-2875475.8874999997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 t="str">
        <f>C15</f>
        <v>BESS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-3529986.1625000001</v>
      </c>
      <c r="L73" s="119" cm="1">
        <f t="array" ref="L73">SUMPRODUCT(($I68:L68))-SUMPRODUCT(($I68:L68)*($I$6:L$6&lt;=(L$6-$E15)))</f>
        <v>-3529986.1625000001</v>
      </c>
      <c r="M73" s="119" cm="1">
        <f t="array" ref="M73">SUMPRODUCT(($I68:M68))-SUMPRODUCT(($I68:M68)*($I$6:M$6&lt;=(M$6-$E15)))</f>
        <v>-3529986.1625000001</v>
      </c>
      <c r="N73" s="119" cm="1">
        <f t="array" ref="N73">SUMPRODUCT(($I68:N68))-SUMPRODUCT(($I68:N68)*($I$6:N$6&lt;=(N$6-$E15)))</f>
        <v>-3529986.1625000001</v>
      </c>
      <c r="O73" s="119" cm="1">
        <f t="array" ref="O73">SUMPRODUCT(($I68:O68))-SUMPRODUCT(($I68:O68)*($I$6:O$6&lt;=(O$6-$E15)))</f>
        <v>-3529986.1625000001</v>
      </c>
      <c r="P73" s="119" cm="1">
        <f t="array" ref="P73">SUMPRODUCT(($I68:P68))-SUMPRODUCT(($I68:P68)*($I$6:P$6&lt;=(P$6-$E15)))</f>
        <v>-3529986.1625000001</v>
      </c>
      <c r="Q73" s="119" cm="1">
        <f t="array" ref="Q73">SUMPRODUCT(($I68:Q68))-SUMPRODUCT(($I68:Q68)*($I$6:Q$6&lt;=(Q$6-$E15)))</f>
        <v>-3529986.1625000001</v>
      </c>
      <c r="R73" s="119" cm="1">
        <f t="array" ref="R73">SUMPRODUCT(($I68:R68))-SUMPRODUCT(($I68:R68)*($I$6:R$6&lt;=(R$6-$E15)))</f>
        <v>-3529986.1625000001</v>
      </c>
      <c r="S73" s="119" cm="1">
        <f t="array" ref="S73">SUMPRODUCT(($I68:S68))-SUMPRODUCT(($I68:S68)*($I$6:S$6&lt;=(S$6-$E15)))</f>
        <v>-3529986.1625000001</v>
      </c>
      <c r="T73" s="119" cm="1">
        <f t="array" ref="T73">SUMPRODUCT(($I68:T68))-SUMPRODUCT(($I68:T68)*($I$6:T$6&lt;=(T$6-$E15)))</f>
        <v>-3529986.1625000001</v>
      </c>
      <c r="U73" s="119" cm="1">
        <f t="array" ref="U73">SUMPRODUCT(($I68:U68))-SUMPRODUCT(($I68:U68)*($I$6:U$6&lt;=(U$6-$E15)))</f>
        <v>-3529986.1625000001</v>
      </c>
      <c r="V73" s="119" cm="1">
        <f t="array" ref="V73">SUMPRODUCT(($I68:V68))-SUMPRODUCT(($I68:V68)*($I$6:V$6&lt;=(V$6-$E15)))</f>
        <v>-3529986.1625000001</v>
      </c>
      <c r="W73" s="119" cm="1">
        <f t="array" ref="W73">SUMPRODUCT(($I68:W68))-SUMPRODUCT(($I68:W68)*($I$6:W$6&lt;=(W$6-$E15)))</f>
        <v>-3529986.1625000001</v>
      </c>
      <c r="X73" s="119" cm="1">
        <f t="array" ref="X73">SUMPRODUCT(($I68:X68))-SUMPRODUCT(($I68:X68)*($I$6:X$6&lt;=(X$6-$E15)))</f>
        <v>-3529986.1625000001</v>
      </c>
      <c r="Y73" s="119" cm="1">
        <f t="array" ref="Y73">SUMPRODUCT(($I68:Y68))-SUMPRODUCT(($I68:Y68)*($I$6:Y$6&lt;=(Y$6-$E15)))</f>
        <v>-3529986.1625000001</v>
      </c>
      <c r="Z73" s="119" cm="1">
        <f t="array" ref="Z73">SUMPRODUCT(($I68:Z68))-SUMPRODUCT(($I68:Z68)*($I$6:Z$6&lt;=(Z$6-$E15)))</f>
        <v>-3529986.1625000001</v>
      </c>
      <c r="AA73" s="119" cm="1">
        <f t="array" ref="AA73">SUMPRODUCT(($I68:AA68))-SUMPRODUCT(($I68:AA68)*($I$6:AA$6&lt;=(AA$6-$E15)))</f>
        <v>-3529986.1625000001</v>
      </c>
      <c r="AB73" s="119" cm="1">
        <f t="array" ref="AB73">SUMPRODUCT(($I68:AB68))-SUMPRODUCT(($I68:AB68)*($I$6:AB$6&lt;=(AB$6-$E15)))</f>
        <v>-3529986.1625000001</v>
      </c>
      <c r="AC73" s="119" cm="1">
        <f t="array" ref="AC73">SUMPRODUCT(($I68:AC68))-SUMPRODUCT(($I68:AC68)*($I$6:AC$6&lt;=(AC$6-$E15)))</f>
        <v>-3529986.1625000001</v>
      </c>
      <c r="AD73" s="119" cm="1">
        <f t="array" ref="AD73">SUMPRODUCT(($I68:AD68))-SUMPRODUCT(($I68:AD68)*($I$6:AD$6&lt;=(AD$6-$E15)))</f>
        <v>-3529986.1625000001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8" t="s">
        <v>91</v>
      </c>
      <c r="D76" s="38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Microgrid (exc BESS)</v>
      </c>
      <c r="D77" s="38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-202321.57970812789</v>
      </c>
      <c r="M77" s="119">
        <f t="shared" si="8"/>
        <v>-202321.57970812789</v>
      </c>
      <c r="N77" s="119">
        <f t="shared" si="8"/>
        <v>-202321.57970812789</v>
      </c>
      <c r="O77" s="119">
        <f t="shared" si="8"/>
        <v>-202321.57970812789</v>
      </c>
      <c r="P77" s="119">
        <f t="shared" si="8"/>
        <v>-202321.57970812789</v>
      </c>
      <c r="Q77" s="119">
        <f t="shared" si="8"/>
        <v>-202321.57970812789</v>
      </c>
      <c r="R77" s="119">
        <f t="shared" si="8"/>
        <v>-202321.57970812789</v>
      </c>
      <c r="S77" s="119">
        <f t="shared" si="8"/>
        <v>-202321.57970812789</v>
      </c>
      <c r="T77" s="119">
        <f t="shared" si="8"/>
        <v>-202321.57970812789</v>
      </c>
      <c r="U77" s="119">
        <f t="shared" si="8"/>
        <v>-202321.57970812789</v>
      </c>
      <c r="V77" s="119">
        <f t="shared" si="8"/>
        <v>-202321.57970812789</v>
      </c>
      <c r="W77" s="119">
        <f t="shared" si="8"/>
        <v>-202321.57970812789</v>
      </c>
      <c r="X77" s="119">
        <f t="shared" si="8"/>
        <v>-202321.57970812789</v>
      </c>
      <c r="Y77" s="119">
        <f t="shared" si="8"/>
        <v>-202321.57970812789</v>
      </c>
      <c r="Z77" s="119">
        <f t="shared" si="8"/>
        <v>-202321.57970812789</v>
      </c>
      <c r="AA77" s="119">
        <f t="shared" si="8"/>
        <v>-202321.57970812789</v>
      </c>
      <c r="AB77" s="119">
        <f t="shared" si="8"/>
        <v>-202321.57970812789</v>
      </c>
      <c r="AC77" s="119">
        <f t="shared" si="8"/>
        <v>-202321.57970812789</v>
      </c>
      <c r="AD77" s="119">
        <f t="shared" si="8"/>
        <v>-202321.57970812789</v>
      </c>
      <c r="AE77" s="119">
        <f t="shared" si="8"/>
        <v>-202321.57970812789</v>
      </c>
      <c r="AF77" s="119">
        <f t="shared" si="8"/>
        <v>0</v>
      </c>
      <c r="AG77" s="119">
        <f t="shared" si="8"/>
        <v>0</v>
      </c>
      <c r="AH77"/>
    </row>
    <row r="78" spans="1:34" x14ac:dyDescent="0.2">
      <c r="A78" s="8"/>
      <c r="B78" s="8"/>
      <c r="C78" s="4" t="str">
        <f>$C$76&amp;" - "&amp;C15</f>
        <v>Annualised capex - BESS</v>
      </c>
      <c r="D78" s="38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-248373.6274226825</v>
      </c>
      <c r="M78" s="119">
        <f t="shared" si="9"/>
        <v>-248373.6274226825</v>
      </c>
      <c r="N78" s="119">
        <f t="shared" si="9"/>
        <v>-248373.6274226825</v>
      </c>
      <c r="O78" s="119">
        <f t="shared" si="9"/>
        <v>-248373.6274226825</v>
      </c>
      <c r="P78" s="119">
        <f t="shared" si="9"/>
        <v>-248373.6274226825</v>
      </c>
      <c r="Q78" s="119">
        <f t="shared" si="9"/>
        <v>-248373.6274226825</v>
      </c>
      <c r="R78" s="119">
        <f t="shared" si="9"/>
        <v>-248373.6274226825</v>
      </c>
      <c r="S78" s="119">
        <f t="shared" si="9"/>
        <v>-248373.6274226825</v>
      </c>
      <c r="T78" s="119">
        <f t="shared" si="9"/>
        <v>-248373.6274226825</v>
      </c>
      <c r="U78" s="119">
        <f t="shared" si="9"/>
        <v>-248373.6274226825</v>
      </c>
      <c r="V78" s="119">
        <f t="shared" si="9"/>
        <v>-248373.6274226825</v>
      </c>
      <c r="W78" s="119">
        <f t="shared" si="9"/>
        <v>-248373.6274226825</v>
      </c>
      <c r="X78" s="119">
        <f t="shared" si="9"/>
        <v>-248373.6274226825</v>
      </c>
      <c r="Y78" s="119">
        <f t="shared" si="9"/>
        <v>-248373.6274226825</v>
      </c>
      <c r="Z78" s="119">
        <f t="shared" si="9"/>
        <v>-248373.6274226825</v>
      </c>
      <c r="AA78" s="119">
        <f t="shared" si="9"/>
        <v>-248373.6274226825</v>
      </c>
      <c r="AB78" s="119">
        <f t="shared" si="9"/>
        <v>-248373.6274226825</v>
      </c>
      <c r="AC78" s="119">
        <f t="shared" si="9"/>
        <v>-248373.6274226825</v>
      </c>
      <c r="AD78" s="119">
        <f t="shared" si="9"/>
        <v>-248373.6274226825</v>
      </c>
      <c r="AE78" s="119">
        <f t="shared" si="9"/>
        <v>-248373.6274226825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-450695.20713081036</v>
      </c>
      <c r="M80" s="177">
        <f t="shared" si="11"/>
        <v>-450695.20713081036</v>
      </c>
      <c r="N80" s="177">
        <f t="shared" si="11"/>
        <v>-450695.20713081036</v>
      </c>
      <c r="O80" s="177">
        <f t="shared" si="11"/>
        <v>-450695.20713081036</v>
      </c>
      <c r="P80" s="177">
        <f t="shared" si="11"/>
        <v>-450695.20713081036</v>
      </c>
      <c r="Q80" s="177">
        <f t="shared" si="11"/>
        <v>-450695.20713081036</v>
      </c>
      <c r="R80" s="177">
        <f t="shared" si="11"/>
        <v>-450695.20713081036</v>
      </c>
      <c r="S80" s="177">
        <f t="shared" si="11"/>
        <v>-450695.20713081036</v>
      </c>
      <c r="T80" s="177">
        <f t="shared" si="11"/>
        <v>-450695.20713081036</v>
      </c>
      <c r="U80" s="177">
        <f t="shared" si="11"/>
        <v>-450695.20713081036</v>
      </c>
      <c r="V80" s="177">
        <f t="shared" si="11"/>
        <v>-450695.20713081036</v>
      </c>
      <c r="W80" s="177">
        <f t="shared" si="11"/>
        <v>-450695.20713081036</v>
      </c>
      <c r="X80" s="177">
        <f t="shared" si="11"/>
        <v>-450695.20713081036</v>
      </c>
      <c r="Y80" s="177">
        <f t="shared" si="11"/>
        <v>-450695.20713081036</v>
      </c>
      <c r="Z80" s="177">
        <f t="shared" si="11"/>
        <v>-450695.20713081036</v>
      </c>
      <c r="AA80" s="177">
        <f t="shared" si="11"/>
        <v>-450695.20713081036</v>
      </c>
      <c r="AB80" s="177">
        <f t="shared" si="11"/>
        <v>-450695.20713081036</v>
      </c>
      <c r="AC80" s="177">
        <f>SUM(AC77:AC79)</f>
        <v>-450695.20713081036</v>
      </c>
      <c r="AD80" s="177">
        <f>SUM(AD77:AD79)</f>
        <v>-450695.20713081036</v>
      </c>
      <c r="AE80" s="177">
        <f>SUM(AE77:AE79)</f>
        <v>-450695.20713081036</v>
      </c>
      <c r="AF80" s="177">
        <f>SUM(AF77:AF79)</f>
        <v>0</v>
      </c>
      <c r="AG80" s="177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-450695.20713081036</v>
      </c>
      <c r="M82" s="119">
        <f t="shared" si="13"/>
        <v>-450695.20713081036</v>
      </c>
      <c r="N82" s="119">
        <f t="shared" si="13"/>
        <v>-450695.20713081036</v>
      </c>
      <c r="O82" s="119">
        <f t="shared" si="13"/>
        <v>-450695.20713081036</v>
      </c>
      <c r="P82" s="119">
        <f t="shared" si="13"/>
        <v>-450695.20713081036</v>
      </c>
      <c r="Q82" s="119">
        <f t="shared" si="13"/>
        <v>-450695.20713081036</v>
      </c>
      <c r="R82" s="119">
        <f t="shared" si="13"/>
        <v>-450695.20713081036</v>
      </c>
      <c r="S82" s="119">
        <f t="shared" si="13"/>
        <v>-450695.20713081036</v>
      </c>
      <c r="T82" s="119">
        <f t="shared" si="13"/>
        <v>-450695.20713081036</v>
      </c>
      <c r="U82" s="119">
        <f t="shared" si="13"/>
        <v>-450695.20713081036</v>
      </c>
      <c r="V82" s="119">
        <f t="shared" si="13"/>
        <v>-450695.20713081036</v>
      </c>
      <c r="W82" s="119">
        <f t="shared" si="13"/>
        <v>-450695.20713081036</v>
      </c>
      <c r="X82" s="119">
        <f t="shared" si="13"/>
        <v>-450695.20713081036</v>
      </c>
      <c r="Y82" s="119">
        <f t="shared" si="13"/>
        <v>-450695.20713081036</v>
      </c>
      <c r="Z82" s="119">
        <f t="shared" si="13"/>
        <v>-450695.20713081036</v>
      </c>
      <c r="AA82" s="119">
        <f t="shared" si="13"/>
        <v>-450695.20713081036</v>
      </c>
      <c r="AB82" s="119">
        <f t="shared" si="13"/>
        <v>-450695.20713081036</v>
      </c>
      <c r="AC82" s="119">
        <f>AC80</f>
        <v>-450695.20713081036</v>
      </c>
      <c r="AD82" s="119">
        <f>AD80</f>
        <v>-450695.20713081036</v>
      </c>
      <c r="AE82" s="119">
        <f>AE80</f>
        <v>-450695.20713081036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-180000</v>
      </c>
      <c r="M83" s="31">
        <f t="shared" si="14"/>
        <v>-180000</v>
      </c>
      <c r="N83" s="31">
        <f t="shared" si="14"/>
        <v>-180000</v>
      </c>
      <c r="O83" s="31">
        <f t="shared" si="14"/>
        <v>-180000</v>
      </c>
      <c r="P83" s="31">
        <f t="shared" si="14"/>
        <v>-180000</v>
      </c>
      <c r="Q83" s="31">
        <f t="shared" si="14"/>
        <v>-180000</v>
      </c>
      <c r="R83" s="31">
        <f t="shared" si="14"/>
        <v>-180000</v>
      </c>
      <c r="S83" s="31">
        <f t="shared" si="14"/>
        <v>-180000</v>
      </c>
      <c r="T83" s="31">
        <f t="shared" si="14"/>
        <v>-180000</v>
      </c>
      <c r="U83" s="31">
        <f t="shared" si="14"/>
        <v>-180000</v>
      </c>
      <c r="V83" s="31">
        <f t="shared" si="14"/>
        <v>-180000</v>
      </c>
      <c r="W83" s="31">
        <f t="shared" si="14"/>
        <v>-180000</v>
      </c>
      <c r="X83" s="31">
        <f t="shared" si="14"/>
        <v>-180000</v>
      </c>
      <c r="Y83" s="31">
        <f t="shared" si="14"/>
        <v>-180000</v>
      </c>
      <c r="Z83" s="31">
        <f t="shared" si="14"/>
        <v>-180000</v>
      </c>
      <c r="AA83" s="31">
        <f t="shared" si="14"/>
        <v>-180000</v>
      </c>
      <c r="AB83" s="31">
        <f t="shared" si="14"/>
        <v>-180000</v>
      </c>
      <c r="AC83" s="31">
        <f t="shared" si="14"/>
        <v>-180000</v>
      </c>
      <c r="AD83" s="31">
        <f t="shared" si="14"/>
        <v>-180000</v>
      </c>
      <c r="AE83" s="31">
        <f t="shared" si="14"/>
        <v>-180000</v>
      </c>
      <c r="AF83" s="31">
        <f t="shared" si="14"/>
        <v>-180000</v>
      </c>
      <c r="AG83" s="31">
        <f t="shared" si="14"/>
        <v>-180000</v>
      </c>
      <c r="AH83"/>
    </row>
    <row r="84" spans="1:34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0</v>
      </c>
      <c r="L84" s="31">
        <f t="shared" si="15"/>
        <v>297175.45790162554</v>
      </c>
      <c r="M84" s="31">
        <f t="shared" si="15"/>
        <v>307198.49902964314</v>
      </c>
      <c r="N84" s="31">
        <f t="shared" si="15"/>
        <v>313513.07707374793</v>
      </c>
      <c r="O84" s="31">
        <f t="shared" si="15"/>
        <v>323260.9918021583</v>
      </c>
      <c r="P84" s="31">
        <f t="shared" si="15"/>
        <v>334274.80328620097</v>
      </c>
      <c r="Q84" s="31">
        <f t="shared" si="15"/>
        <v>342242.96645065531</v>
      </c>
      <c r="R84" s="31">
        <f t="shared" si="15"/>
        <v>340966.88810169813</v>
      </c>
      <c r="S84" s="31">
        <f t="shared" si="15"/>
        <v>339690.80975274107</v>
      </c>
      <c r="T84" s="31">
        <f t="shared" si="15"/>
        <v>338414.73140378355</v>
      </c>
      <c r="U84" s="31">
        <f t="shared" si="15"/>
        <v>337138.65305482649</v>
      </c>
      <c r="V84" s="31">
        <f t="shared" si="15"/>
        <v>335862.57470586908</v>
      </c>
      <c r="W84" s="31">
        <f t="shared" si="15"/>
        <v>334586.4963569119</v>
      </c>
      <c r="X84" s="31">
        <f t="shared" si="15"/>
        <v>333310.41800795443</v>
      </c>
      <c r="Y84" s="31">
        <f t="shared" si="15"/>
        <v>332034.33965899731</v>
      </c>
      <c r="Z84" s="31">
        <f t="shared" si="15"/>
        <v>330758.26131003984</v>
      </c>
      <c r="AA84" s="31">
        <f t="shared" si="15"/>
        <v>329482.18296108278</v>
      </c>
      <c r="AB84" s="31">
        <f t="shared" si="15"/>
        <v>328206.10461212537</v>
      </c>
      <c r="AC84" s="31">
        <f t="shared" si="15"/>
        <v>326930.02626316814</v>
      </c>
      <c r="AD84" s="31">
        <f t="shared" si="15"/>
        <v>325653.94791421073</v>
      </c>
      <c r="AE84" s="31">
        <f t="shared" si="15"/>
        <v>324377.86956525361</v>
      </c>
      <c r="AF84" s="31">
        <f t="shared" si="15"/>
        <v>323101.79121629655</v>
      </c>
      <c r="AG84" s="31">
        <f t="shared" si="15"/>
        <v>321825.71286733908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46081.571541508129</v>
      </c>
      <c r="M85" s="31">
        <f t="shared" si="16"/>
        <v>49010.206176207743</v>
      </c>
      <c r="N85" s="31">
        <f t="shared" si="16"/>
        <v>49032.383041451874</v>
      </c>
      <c r="O85" s="31">
        <f t="shared" si="16"/>
        <v>49426.37186475793</v>
      </c>
      <c r="P85" s="31">
        <f t="shared" si="16"/>
        <v>49914.13687145336</v>
      </c>
      <c r="Q85" s="31">
        <f t="shared" si="16"/>
        <v>49994.428252951337</v>
      </c>
      <c r="R85" s="31">
        <f t="shared" si="16"/>
        <v>48998.564100172829</v>
      </c>
      <c r="S85" s="31">
        <f t="shared" si="16"/>
        <v>48002.699947394431</v>
      </c>
      <c r="T85" s="31">
        <f t="shared" si="16"/>
        <v>47006.835794615778</v>
      </c>
      <c r="U85" s="31">
        <f t="shared" si="16"/>
        <v>46010.971641837379</v>
      </c>
      <c r="V85" s="31">
        <f t="shared" si="16"/>
        <v>45015.107489058668</v>
      </c>
      <c r="W85" s="31">
        <f t="shared" si="16"/>
        <v>44019.243336280219</v>
      </c>
      <c r="X85" s="31">
        <f t="shared" si="16"/>
        <v>43023.379183501514</v>
      </c>
      <c r="Y85" s="31">
        <f t="shared" si="16"/>
        <v>42027.515030723116</v>
      </c>
      <c r="Z85" s="31">
        <f t="shared" si="16"/>
        <v>41031.650877944412</v>
      </c>
      <c r="AA85" s="31">
        <f t="shared" si="16"/>
        <v>40035.786725166006</v>
      </c>
      <c r="AB85" s="31">
        <f t="shared" si="16"/>
        <v>39039.92257238731</v>
      </c>
      <c r="AC85" s="31">
        <f t="shared" si="16"/>
        <v>38044.058419608904</v>
      </c>
      <c r="AD85" s="31">
        <f t="shared" si="16"/>
        <v>37048.1942668302</v>
      </c>
      <c r="AE85" s="31">
        <f t="shared" si="16"/>
        <v>36052.330114051751</v>
      </c>
      <c r="AF85" s="31">
        <f t="shared" si="16"/>
        <v>35056.465961273345</v>
      </c>
      <c r="AG85" s="31">
        <f t="shared" si="16"/>
        <v>34060.601808494641</v>
      </c>
      <c r="AH85"/>
    </row>
    <row r="86" spans="1:34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-287438.17768767668</v>
      </c>
      <c r="M87" s="180">
        <f t="shared" si="17"/>
        <v>-274486.50192495948</v>
      </c>
      <c r="N87" s="180">
        <f t="shared" si="17"/>
        <v>-268149.74701561057</v>
      </c>
      <c r="O87" s="180">
        <f t="shared" si="17"/>
        <v>-258007.84346389413</v>
      </c>
      <c r="P87" s="180">
        <f t="shared" si="17"/>
        <v>-246506.26697315602</v>
      </c>
      <c r="Q87" s="180">
        <f t="shared" si="17"/>
        <v>-238457.81242720372</v>
      </c>
      <c r="R87" s="180">
        <f t="shared" si="17"/>
        <v>-240729.75492893939</v>
      </c>
      <c r="S87" s="180">
        <f t="shared" si="17"/>
        <v>-243001.69743067486</v>
      </c>
      <c r="T87" s="180">
        <f t="shared" si="17"/>
        <v>-245273.63993241102</v>
      </c>
      <c r="U87" s="180">
        <f t="shared" si="17"/>
        <v>-247545.58243414649</v>
      </c>
      <c r="V87" s="180">
        <f t="shared" si="17"/>
        <v>-249817.52493588263</v>
      </c>
      <c r="W87" s="180">
        <f t="shared" si="17"/>
        <v>-252089.46743761824</v>
      </c>
      <c r="X87" s="180">
        <f t="shared" si="17"/>
        <v>-254361.4099393544</v>
      </c>
      <c r="Y87" s="180">
        <f t="shared" si="17"/>
        <v>-256633.35244108993</v>
      </c>
      <c r="Z87" s="180">
        <f t="shared" si="17"/>
        <v>-258905.29494282609</v>
      </c>
      <c r="AA87" s="180">
        <f t="shared" si="17"/>
        <v>-261177.23744456156</v>
      </c>
      <c r="AB87" s="180">
        <f t="shared" si="17"/>
        <v>-263449.17994629766</v>
      </c>
      <c r="AC87" s="180">
        <f>SUM(AC82:AC86)</f>
        <v>-265721.1224480333</v>
      </c>
      <c r="AD87" s="180">
        <f>SUM(AD82:AD86)</f>
        <v>-267993.06494976941</v>
      </c>
      <c r="AE87" s="180">
        <f>SUM(AE82:AE86)</f>
        <v>-270265.00745150499</v>
      </c>
      <c r="AF87" s="180">
        <f>SUM(AF82:AF86)</f>
        <v>178158.2571775699</v>
      </c>
      <c r="AG87" s="180">
        <f>SUM(AG82:AG86)</f>
        <v>175886.31467583374</v>
      </c>
      <c r="AH87"/>
    </row>
    <row r="88" spans="1:34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5"/>
      <c r="E91" s="232"/>
      <c r="F91" s="232"/>
      <c r="G91" s="234"/>
    </row>
    <row r="92" spans="1:34" x14ac:dyDescent="0.2">
      <c r="C92" s="236" t="s">
        <v>197</v>
      </c>
      <c r="D92" s="237"/>
      <c r="E92" s="237"/>
      <c r="F92" s="237"/>
      <c r="G92" s="238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-287438.17768767668</v>
      </c>
      <c r="M106" s="31">
        <f t="shared" si="18"/>
        <v>-274486.50192495948</v>
      </c>
      <c r="N106" s="31">
        <f t="shared" si="18"/>
        <v>-268149.74701561057</v>
      </c>
      <c r="O106" s="31">
        <f t="shared" si="18"/>
        <v>-258007.84346389413</v>
      </c>
      <c r="P106" s="31">
        <f t="shared" si="18"/>
        <v>-246506.26697315602</v>
      </c>
      <c r="Q106" s="31">
        <f t="shared" si="18"/>
        <v>-238457.81242720372</v>
      </c>
      <c r="R106" s="31">
        <f t="shared" si="18"/>
        <v>-240729.75492893939</v>
      </c>
      <c r="S106" s="31">
        <f t="shared" si="18"/>
        <v>-243001.69743067486</v>
      </c>
      <c r="T106" s="31">
        <f t="shared" si="18"/>
        <v>-245273.63993241102</v>
      </c>
      <c r="U106" s="31">
        <f t="shared" si="18"/>
        <v>-247545.58243414649</v>
      </c>
      <c r="V106" s="31">
        <f t="shared" si="18"/>
        <v>-249817.52493588263</v>
      </c>
      <c r="W106" s="31">
        <f t="shared" si="18"/>
        <v>-252089.46743761824</v>
      </c>
      <c r="X106" s="31">
        <f t="shared" si="18"/>
        <v>-254361.4099393544</v>
      </c>
      <c r="Y106" s="31">
        <f t="shared" si="18"/>
        <v>-256633.35244108993</v>
      </c>
      <c r="Z106" s="31">
        <f t="shared" si="18"/>
        <v>-258905.29494282609</v>
      </c>
      <c r="AA106" s="31">
        <f t="shared" si="18"/>
        <v>-261177.23744456156</v>
      </c>
      <c r="AB106" s="31">
        <f t="shared" si="18"/>
        <v>-263449.17994629766</v>
      </c>
      <c r="AC106" s="31">
        <f t="shared" si="18"/>
        <v>-265721.1224480333</v>
      </c>
      <c r="AD106" s="31">
        <f t="shared" si="18"/>
        <v>-267993.06494976941</v>
      </c>
      <c r="AE106" s="31">
        <f t="shared" si="18"/>
        <v>-270265.00745150499</v>
      </c>
      <c r="AF106" s="31">
        <f t="shared" si="18"/>
        <v>178158.2571775699</v>
      </c>
      <c r="AG106" s="31">
        <f t="shared" si="18"/>
        <v>175886.31467583374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-450695.20713081036</v>
      </c>
      <c r="M107" s="31">
        <f t="shared" si="19"/>
        <v>-450695.20713081036</v>
      </c>
      <c r="N107" s="31">
        <f t="shared" si="19"/>
        <v>-450695.20713081036</v>
      </c>
      <c r="O107" s="31">
        <f t="shared" si="19"/>
        <v>-450695.20713081036</v>
      </c>
      <c r="P107" s="31">
        <f t="shared" si="19"/>
        <v>-450695.20713081036</v>
      </c>
      <c r="Q107" s="31">
        <f t="shared" si="19"/>
        <v>-450695.20713081036</v>
      </c>
      <c r="R107" s="31">
        <f t="shared" si="19"/>
        <v>-450695.20713081036</v>
      </c>
      <c r="S107" s="31">
        <f t="shared" si="19"/>
        <v>-450695.20713081036</v>
      </c>
      <c r="T107" s="31">
        <f t="shared" si="19"/>
        <v>-450695.20713081036</v>
      </c>
      <c r="U107" s="31">
        <f t="shared" si="19"/>
        <v>-450695.20713081036</v>
      </c>
      <c r="V107" s="31">
        <f t="shared" si="19"/>
        <v>-450695.20713081036</v>
      </c>
      <c r="W107" s="31">
        <f t="shared" si="19"/>
        <v>-450695.20713081036</v>
      </c>
      <c r="X107" s="31">
        <f t="shared" si="19"/>
        <v>-450695.20713081036</v>
      </c>
      <c r="Y107" s="31">
        <f t="shared" si="19"/>
        <v>-450695.20713081036</v>
      </c>
      <c r="Z107" s="31">
        <f t="shared" si="19"/>
        <v>-450695.20713081036</v>
      </c>
      <c r="AA107" s="31">
        <f t="shared" si="19"/>
        <v>-450695.20713081036</v>
      </c>
      <c r="AB107" s="31">
        <f t="shared" si="19"/>
        <v>-450695.20713081036</v>
      </c>
      <c r="AC107" s="31">
        <f t="shared" si="19"/>
        <v>-450695.20713081036</v>
      </c>
      <c r="AD107" s="31">
        <f t="shared" si="19"/>
        <v>-450695.20713081036</v>
      </c>
      <c r="AE107" s="31">
        <f t="shared" si="19"/>
        <v>-450695.20713081036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343257.02944313368</v>
      </c>
      <c r="M108" s="31">
        <f t="shared" si="20"/>
        <v>356208.70520585089</v>
      </c>
      <c r="N108" s="31">
        <f t="shared" si="20"/>
        <v>362545.46011519979</v>
      </c>
      <c r="O108" s="31">
        <f t="shared" si="20"/>
        <v>372687.36366691621</v>
      </c>
      <c r="P108" s="31">
        <f t="shared" si="20"/>
        <v>384188.94015765435</v>
      </c>
      <c r="Q108" s="31">
        <f t="shared" si="20"/>
        <v>392237.39470360667</v>
      </c>
      <c r="R108" s="31">
        <f t="shared" si="20"/>
        <v>389965.45220187097</v>
      </c>
      <c r="S108" s="31">
        <f t="shared" si="20"/>
        <v>387693.5097001355</v>
      </c>
      <c r="T108" s="31">
        <f t="shared" si="20"/>
        <v>385421.56719839934</v>
      </c>
      <c r="U108" s="31">
        <f t="shared" si="20"/>
        <v>383149.62469666387</v>
      </c>
      <c r="V108" s="31">
        <f t="shared" si="20"/>
        <v>380877.68219492777</v>
      </c>
      <c r="W108" s="31">
        <f t="shared" si="20"/>
        <v>378605.73969319212</v>
      </c>
      <c r="X108" s="31">
        <f t="shared" si="20"/>
        <v>376333.79719145596</v>
      </c>
      <c r="Y108" s="31">
        <f t="shared" si="20"/>
        <v>374061.85468972044</v>
      </c>
      <c r="Z108" s="31">
        <f t="shared" si="20"/>
        <v>371789.91218798427</v>
      </c>
      <c r="AA108" s="31">
        <f t="shared" si="20"/>
        <v>369517.96968624881</v>
      </c>
      <c r="AB108" s="31">
        <f t="shared" si="20"/>
        <v>367246.0271845127</v>
      </c>
      <c r="AC108" s="31">
        <f t="shared" si="20"/>
        <v>364974.08468277706</v>
      </c>
      <c r="AD108" s="31">
        <f t="shared" si="20"/>
        <v>362702.14218104095</v>
      </c>
      <c r="AE108" s="31">
        <f t="shared" si="20"/>
        <v>360430.19967930537</v>
      </c>
      <c r="AF108" s="31">
        <f t="shared" si="20"/>
        <v>358158.2571775699</v>
      </c>
      <c r="AG108" s="31">
        <f t="shared" si="20"/>
        <v>355886.31467583374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-332507.69840075774</v>
      </c>
      <c r="M110" s="31" cm="1">
        <f t="array" ref="M110">M$106+IF($C110&lt;&gt;0,SUMPRODUCT((M$107:M$108)*TRANSPOSE(($D110:$E110))),0)</f>
        <v>-319556.02263804054</v>
      </c>
      <c r="N110" s="31" cm="1">
        <f t="array" ref="N110">N$106+IF($C110&lt;&gt;0,SUMPRODUCT((N$107:N$108)*TRANSPOSE(($D110:$E110))),0)</f>
        <v>-313219.26772869163</v>
      </c>
      <c r="O110" s="31" cm="1">
        <f t="array" ref="O110">O$106+IF($C110&lt;&gt;0,SUMPRODUCT((O$107:O$108)*TRANSPOSE(($D110:$E110))),0)</f>
        <v>-303077.36417697516</v>
      </c>
      <c r="P110" s="31" cm="1">
        <f t="array" ref="P110">P$106+IF($C110&lt;&gt;0,SUMPRODUCT((P$107:P$108)*TRANSPOSE(($D110:$E110))),0)</f>
        <v>-291575.78768623708</v>
      </c>
      <c r="Q110" s="31" cm="1">
        <f t="array" ref="Q110">Q$106+IF($C110&lt;&gt;0,SUMPRODUCT((Q$107:Q$108)*TRANSPOSE(($D110:$E110))),0)</f>
        <v>-283527.33314028475</v>
      </c>
      <c r="R110" s="31" cm="1">
        <f t="array" ref="R110">R$106+IF($C110&lt;&gt;0,SUMPRODUCT((R$107:R$108)*TRANSPOSE(($D110:$E110))),0)</f>
        <v>-285799.27564202045</v>
      </c>
      <c r="S110" s="31" cm="1">
        <f t="array" ref="S110">S$106+IF($C110&lt;&gt;0,SUMPRODUCT((S$107:S$108)*TRANSPOSE(($D110:$E110))),0)</f>
        <v>-288071.21814375592</v>
      </c>
      <c r="T110" s="31" cm="1">
        <f t="array" ref="T110">T$106+IF($C110&lt;&gt;0,SUMPRODUCT((T$107:T$108)*TRANSPOSE(($D110:$E110))),0)</f>
        <v>-290343.16064549208</v>
      </c>
      <c r="U110" s="31" cm="1">
        <f t="array" ref="U110">U$106+IF($C110&lt;&gt;0,SUMPRODUCT((U$107:U$108)*TRANSPOSE(($D110:$E110))),0)</f>
        <v>-292615.10314722755</v>
      </c>
      <c r="V110" s="31" cm="1">
        <f t="array" ref="V110">V$106+IF($C110&lt;&gt;0,SUMPRODUCT((V$107:V$108)*TRANSPOSE(($D110:$E110))),0)</f>
        <v>-294887.04564896366</v>
      </c>
      <c r="W110" s="31" cm="1">
        <f t="array" ref="W110">W$106+IF($C110&lt;&gt;0,SUMPRODUCT((W$107:W$108)*TRANSPOSE(($D110:$E110))),0)</f>
        <v>-297158.9881506993</v>
      </c>
      <c r="X110" s="31" cm="1">
        <f t="array" ref="X110">X$106+IF($C110&lt;&gt;0,SUMPRODUCT((X$107:X$108)*TRANSPOSE(($D110:$E110))),0)</f>
        <v>-299430.93065243546</v>
      </c>
      <c r="Y110" s="31" cm="1">
        <f t="array" ref="Y110">Y$106+IF($C110&lt;&gt;0,SUMPRODUCT((Y$107:Y$108)*TRANSPOSE(($D110:$E110))),0)</f>
        <v>-301702.87315417099</v>
      </c>
      <c r="Z110" s="31" cm="1">
        <f t="array" ref="Z110">Z$106+IF($C110&lt;&gt;0,SUMPRODUCT((Z$107:Z$108)*TRANSPOSE(($D110:$E110))),0)</f>
        <v>-303974.81565590715</v>
      </c>
      <c r="AA110" s="31" cm="1">
        <f t="array" ref="AA110">AA$106+IF($C110&lt;&gt;0,SUMPRODUCT((AA$107:AA$108)*TRANSPOSE(($D110:$E110))),0)</f>
        <v>-306246.75815764262</v>
      </c>
      <c r="AB110" s="31" cm="1">
        <f t="array" ref="AB110">AB$106+IF($C110&lt;&gt;0,SUMPRODUCT((AB$107:AB$108)*TRANSPOSE(($D110:$E110))),0)</f>
        <v>-308518.70065937872</v>
      </c>
      <c r="AC110" s="31" cm="1">
        <f t="array" ref="AC110">AC$106+IF($C110&lt;&gt;0,SUMPRODUCT((AC$107:AC$108)*TRANSPOSE(($D110:$E110))),0)</f>
        <v>-310790.64316111436</v>
      </c>
      <c r="AD110" s="31" cm="1">
        <f t="array" ref="AD110">AD$106+IF($C110&lt;&gt;0,SUMPRODUCT((AD$107:AD$108)*TRANSPOSE(($D110:$E110))),0)</f>
        <v>-313062.58566285047</v>
      </c>
      <c r="AE110" s="31" cm="1">
        <f t="array" ref="AE110">AE$106+IF($C110&lt;&gt;0,SUMPRODUCT((AE$107:AE$108)*TRANSPOSE(($D110:$E110))),0)</f>
        <v>-315334.52816458605</v>
      </c>
      <c r="AF110" s="31" cm="1">
        <f t="array" ref="AF110">AF$106+IF($C110&lt;&gt;0,SUMPRODUCT((AF$107:AF$108)*TRANSPOSE(($D110:$E110))),0)</f>
        <v>178158.2571775699</v>
      </c>
      <c r="AG110" s="31" cm="1">
        <f t="array" ref="AG110">AG$106+IF($C110&lt;&gt;0,SUMPRODUCT((AG$107:AG$108)*TRANSPOSE(($D110:$E110))),0)</f>
        <v>175886.31467583374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-242368.65697459565</v>
      </c>
      <c r="M111" s="31" cm="1">
        <f t="array" ref="M111">M$106+IF($C111&lt;&gt;0,SUMPRODUCT((M$107:M$108)*TRANSPOSE(($D111:$E111))),0)</f>
        <v>-229416.98121187845</v>
      </c>
      <c r="N111" s="31" cm="1">
        <f t="array" ref="N111">N$106+IF($C111&lt;&gt;0,SUMPRODUCT((N$107:N$108)*TRANSPOSE(($D111:$E111))),0)</f>
        <v>-223080.22630252954</v>
      </c>
      <c r="O111" s="31" cm="1">
        <f t="array" ref="O111">O$106+IF($C111&lt;&gt;0,SUMPRODUCT((O$107:O$108)*TRANSPOSE(($D111:$E111))),0)</f>
        <v>-212938.32275081309</v>
      </c>
      <c r="P111" s="31" cm="1">
        <f t="array" ref="P111">P$106+IF($C111&lt;&gt;0,SUMPRODUCT((P$107:P$108)*TRANSPOSE(($D111:$E111))),0)</f>
        <v>-201436.74626007499</v>
      </c>
      <c r="Q111" s="31" cm="1">
        <f t="array" ref="Q111">Q$106+IF($C111&lt;&gt;0,SUMPRODUCT((Q$107:Q$108)*TRANSPOSE(($D111:$E111))),0)</f>
        <v>-193388.29171412269</v>
      </c>
      <c r="R111" s="31" cm="1">
        <f t="array" ref="R111">R$106+IF($C111&lt;&gt;0,SUMPRODUCT((R$107:R$108)*TRANSPOSE(($D111:$E111))),0)</f>
        <v>-195660.23421585836</v>
      </c>
      <c r="S111" s="31" cm="1">
        <f t="array" ref="S111">S$106+IF($C111&lt;&gt;0,SUMPRODUCT((S$107:S$108)*TRANSPOSE(($D111:$E111))),0)</f>
        <v>-197932.17671759383</v>
      </c>
      <c r="T111" s="31" cm="1">
        <f t="array" ref="T111">T$106+IF($C111&lt;&gt;0,SUMPRODUCT((T$107:T$108)*TRANSPOSE(($D111:$E111))),0)</f>
        <v>-200204.11921932999</v>
      </c>
      <c r="U111" s="31" cm="1">
        <f t="array" ref="U111">U$106+IF($C111&lt;&gt;0,SUMPRODUCT((U$107:U$108)*TRANSPOSE(($D111:$E111))),0)</f>
        <v>-202476.06172106546</v>
      </c>
      <c r="V111" s="31" cm="1">
        <f t="array" ref="V111">V$106+IF($C111&lt;&gt;0,SUMPRODUCT((V$107:V$108)*TRANSPOSE(($D111:$E111))),0)</f>
        <v>-204748.0042228016</v>
      </c>
      <c r="W111" s="31" cm="1">
        <f t="array" ref="W111">W$106+IF($C111&lt;&gt;0,SUMPRODUCT((W$107:W$108)*TRANSPOSE(($D111:$E111))),0)</f>
        <v>-207019.94672453721</v>
      </c>
      <c r="X111" s="31" cm="1">
        <f t="array" ref="X111">X$106+IF($C111&lt;&gt;0,SUMPRODUCT((X$107:X$108)*TRANSPOSE(($D111:$E111))),0)</f>
        <v>-209291.88922627337</v>
      </c>
      <c r="Y111" s="31" cm="1">
        <f t="array" ref="Y111">Y$106+IF($C111&lt;&gt;0,SUMPRODUCT((Y$107:Y$108)*TRANSPOSE(($D111:$E111))),0)</f>
        <v>-211563.8317280089</v>
      </c>
      <c r="Z111" s="31" cm="1">
        <f t="array" ref="Z111">Z$106+IF($C111&lt;&gt;0,SUMPRODUCT((Z$107:Z$108)*TRANSPOSE(($D111:$E111))),0)</f>
        <v>-213835.77422974506</v>
      </c>
      <c r="AA111" s="31" cm="1">
        <f t="array" ref="AA111">AA$106+IF($C111&lt;&gt;0,SUMPRODUCT((AA$107:AA$108)*TRANSPOSE(($D111:$E111))),0)</f>
        <v>-216107.71673148053</v>
      </c>
      <c r="AB111" s="31" cm="1">
        <f t="array" ref="AB111">AB$106+IF($C111&lt;&gt;0,SUMPRODUCT((AB$107:AB$108)*TRANSPOSE(($D111:$E111))),0)</f>
        <v>-218379.65923321663</v>
      </c>
      <c r="AC111" s="31" cm="1">
        <f t="array" ref="AC111">AC$106+IF($C111&lt;&gt;0,SUMPRODUCT((AC$107:AC$108)*TRANSPOSE(($D111:$E111))),0)</f>
        <v>-220651.60173495227</v>
      </c>
      <c r="AD111" s="31" cm="1">
        <f t="array" ref="AD111">AD$106+IF($C111&lt;&gt;0,SUMPRODUCT((AD$107:AD$108)*TRANSPOSE(($D111:$E111))),0)</f>
        <v>-222923.54423668838</v>
      </c>
      <c r="AE111" s="31" cm="1">
        <f t="array" ref="AE111">AE$106+IF($C111&lt;&gt;0,SUMPRODUCT((AE$107:AE$108)*TRANSPOSE(($D111:$E111))),0)</f>
        <v>-225195.48673842396</v>
      </c>
      <c r="AF111" s="31" cm="1">
        <f t="array" ref="AF111">AF$106+IF($C111&lt;&gt;0,SUMPRODUCT((AF$107:AF$108)*TRANSPOSE(($D111:$E111))),0)</f>
        <v>178158.2571775699</v>
      </c>
      <c r="AG111" s="31" cm="1">
        <f t="array" ref="AG111">AG$106+IF($C111&lt;&gt;0,SUMPRODUCT((AG$107:AG$108)*TRANSPOSE(($D111:$E111))),0)</f>
        <v>175886.31467583374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Assumptions!H117/20</f>
        <v>7.4999999999999997E-3</v>
      </c>
      <c r="G112" s="38" t="str">
        <f t="shared" si="21"/>
        <v>Option 3sens3</v>
      </c>
      <c r="I112" s="335">
        <f>IF(I106&lt;&gt;0, I106+SUM(Workings_risks!$F$19*Workings_risks!I28,Workings_risks!I26*Workings_risks!$F$18)*Workings_risks!$F$13*Workings_risks!I8*$E$28,0)</f>
        <v>0</v>
      </c>
      <c r="J112" s="335">
        <f>IF(J106&lt;&gt;0, J106+SUM(Workings_risks!$F$19*Workings_risks!J28,Workings_risks!J26*Workings_risks!$F$18)*Workings_risks!$F$13*Workings_risks!J8*$E$28,0)</f>
        <v>0</v>
      </c>
      <c r="K112" s="335">
        <f>IF(K106&lt;&gt;0, K106+SUM(Workings_risks!$F$19*Workings_risks!K28,Workings_risks!K26*Workings_risks!$F$18)*Workings_risks!$F$13*Workings_risks!K8*$E$28,0)</f>
        <v>0</v>
      </c>
      <c r="L112" s="335">
        <f>IF(L106&lt;&gt;0, L106+SUM(Workings_risks!$F$19*Workings_risks!L28,Workings_risks!L26*Workings_risks!$F$18)*Workings_risks!$F$13*Workings_risks!L8*$E$28,0)</f>
        <v>-286117.39187201078</v>
      </c>
      <c r="M112" s="335">
        <f>IF(M106&lt;&gt;0, M106+SUM(Workings_risks!$F$19*Workings_risks!M28,Workings_risks!M26*Workings_risks!$F$18)*Workings_risks!$F$13*Workings_risks!M8*$E$28,0)</f>
        <v>-275563.57895728044</v>
      </c>
      <c r="N112" s="335">
        <f>IF(N106&lt;&gt;0, N106+SUM(Workings_risks!$F$19*Workings_risks!N28,Workings_risks!N26*Workings_risks!$F$18)*Workings_risks!$F$13*Workings_risks!N8*$E$28,0)</f>
        <v>-268128.63563787914</v>
      </c>
      <c r="O112" s="335">
        <f>IF(O106&lt;&gt;0, O106+SUM(Workings_risks!$F$19*Workings_risks!O28,Workings_risks!O26*Workings_risks!$F$18)*Workings_risks!$F$13*Workings_risks!O8*$E$28,0)</f>
        <v>-256813.49109623331</v>
      </c>
      <c r="P112" s="335">
        <f>IF(P106&lt;&gt;0, P106+SUM(Workings_risks!$F$19*Workings_risks!P28,Workings_risks!P26*Workings_risks!$F$18)*Workings_risks!$F$13*Workings_risks!P8*$E$28,0)</f>
        <v>-244040.36124753649</v>
      </c>
      <c r="Q112" s="335">
        <f>IF(Q106&lt;&gt;0, Q106+SUM(Workings_risks!$F$19*Workings_risks!Q28,Workings_risks!Q26*Workings_risks!$F$18)*Workings_risks!$F$13*Workings_risks!Q8*$E$28,0)</f>
        <v>-234653.84131491982</v>
      </c>
      <c r="R112" s="335">
        <f>IF(R106&lt;&gt;0, R106+SUM(Workings_risks!$F$19*Workings_risks!R28,Workings_risks!R26*Workings_risks!$F$18)*Workings_risks!$F$13*Workings_risks!R8*$E$28,0)</f>
        <v>-235646.11081639948</v>
      </c>
      <c r="S112" s="335">
        <f>IF(S106&lt;&gt;0, S106+SUM(Workings_risks!$F$19*Workings_risks!S28,Workings_risks!S26*Workings_risks!$F$18)*Workings_risks!$F$13*Workings_risks!S8*$E$28,0)</f>
        <v>-236628.46275337867</v>
      </c>
      <c r="T112" s="335">
        <f>IF(T106&lt;&gt;0, T106+SUM(Workings_risks!$F$19*Workings_risks!T28,Workings_risks!T26*Workings_risks!$F$18)*Workings_risks!$F$13*Workings_risks!T8*$E$28,0)</f>
        <v>-237600.77900583253</v>
      </c>
      <c r="U112" s="335">
        <f>IF(U106&lt;&gt;0, U106+SUM(Workings_risks!$F$19*Workings_risks!U28,Workings_risks!U26*Workings_risks!$F$18)*Workings_risks!$F$13*Workings_risks!U8*$E$28,0)</f>
        <v>-238562.93957048332</v>
      </c>
      <c r="V112" s="335">
        <f>IF(V106&lt;&gt;0, V106+SUM(Workings_risks!$F$19*Workings_risks!V28,Workings_risks!V26*Workings_risks!$F$18)*Workings_risks!$F$13*Workings_risks!V8*$E$28,0)</f>
        <v>-239514.82252312067</v>
      </c>
      <c r="W112" s="335">
        <f>IF(W106&lt;&gt;0, W106+SUM(Workings_risks!$F$19*Workings_risks!W28,Workings_risks!W26*Workings_risks!$F$18)*Workings_risks!$F$13*Workings_risks!W8*$E$28,0)</f>
        <v>-240456.30398000826</v>
      </c>
      <c r="X112" s="335">
        <f>IF(X106&lt;&gt;0, X106+SUM(Workings_risks!$F$19*Workings_risks!X28,Workings_risks!X26*Workings_risks!$F$18)*Workings_risks!$F$13*Workings_risks!X8*$E$28,0)</f>
        <v>-241387.25805836089</v>
      </c>
      <c r="Y112" s="335">
        <f>IF(Y106&lt;&gt;0, Y106+SUM(Workings_risks!$F$19*Workings_risks!Y28,Workings_risks!Y26*Workings_risks!$F$18)*Workings_risks!$F$13*Workings_risks!Y8*$E$28,0)</f>
        <v>-242307.55683585757</v>
      </c>
      <c r="Z112" s="335">
        <f>IF(Z106&lt;&gt;0, Z106+SUM(Workings_risks!$F$19*Workings_risks!Z28,Workings_risks!Z26*Workings_risks!$F$18)*Workings_risks!$F$13*Workings_risks!Z8*$E$28,0)</f>
        <v>-243217.07030916997</v>
      </c>
      <c r="AA112" s="335">
        <f>IF(AA106&lt;&gt;0, AA106+SUM(Workings_risks!$F$19*Workings_risks!AA28,Workings_risks!AA26*Workings_risks!$F$18)*Workings_risks!$F$13*Workings_risks!AA8*$E$28,0)</f>
        <v>-244115.66635147075</v>
      </c>
      <c r="AB112" s="335">
        <f>IF(AB106&lt;&gt;0, AB106+SUM(Workings_risks!$F$19*Workings_risks!AB28,Workings_risks!AB26*Workings_risks!$F$18)*Workings_risks!$F$13*Workings_risks!AB8*$E$28,0)</f>
        <v>-245003.21066890133</v>
      </c>
      <c r="AC112" s="335">
        <f>IF(AC106&lt;&gt;0, AC106+SUM(Workings_risks!$F$19*Workings_risks!AC28,Workings_risks!AC26*Workings_risks!$F$18)*Workings_risks!$F$13*Workings_risks!AC8*$E$28,0)</f>
        <v>-245879.56675595918</v>
      </c>
      <c r="AD112" s="335">
        <f>IF(AD106&lt;&gt;0, AD106+SUM(Workings_risks!$F$19*Workings_risks!AD28,Workings_risks!AD26*Workings_risks!$F$18)*Workings_risks!$F$13*Workings_risks!AD8*$E$28,0)</f>
        <v>-246744.59584978304</v>
      </c>
      <c r="AE112" s="335">
        <f>IF(AE106&lt;&gt;0, AE106+SUM(Workings_risks!$F$19*Workings_risks!AE28,Workings_risks!AE26*Workings_risks!$F$18)*Workings_risks!$F$13*Workings_risks!AE8*$E$28,0)</f>
        <v>-247598.15688329577</v>
      </c>
      <c r="AF112" s="335">
        <f>IF(AF106&lt;&gt;0, AF106+SUM(Workings_risks!$F$19*Workings_risks!AF28,Workings_risks!AF26*Workings_risks!$F$18)*Workings_risks!$F$13*Workings_risks!AF8*$E$28,0)</f>
        <v>202255.10069363195</v>
      </c>
      <c r="AG112" s="335">
        <f>IF(AG106&lt;&gt;0, AG106+SUM(Workings_risks!$F$19*Workings_risks!AG28,Workings_risks!AG26*Workings_risks!$F$18)*Workings_risks!$F$13*Workings_risks!AG8*$E$28,0)</f>
        <v>201424.90844017439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-287438.17768767668</v>
      </c>
      <c r="M113" s="31" cm="1">
        <f t="array" ref="M113">M$106+IF($C113&lt;&gt;0,SUMPRODUCT((M$107:M$108)*TRANSPOSE(($D113:$E113))),0)</f>
        <v>-274486.50192495948</v>
      </c>
      <c r="N113" s="31" cm="1">
        <f t="array" ref="N113">N$106+IF($C113&lt;&gt;0,SUMPRODUCT((N$107:N$108)*TRANSPOSE(($D113:$E113))),0)</f>
        <v>-268149.74701561057</v>
      </c>
      <c r="O113" s="31" cm="1">
        <f t="array" ref="O113">O$106+IF($C113&lt;&gt;0,SUMPRODUCT((O$107:O$108)*TRANSPOSE(($D113:$E113))),0)</f>
        <v>-258007.84346389413</v>
      </c>
      <c r="P113" s="31" cm="1">
        <f t="array" ref="P113">P$106+IF($C113&lt;&gt;0,SUMPRODUCT((P$107:P$108)*TRANSPOSE(($D113:$E113))),0)</f>
        <v>-246506.26697315602</v>
      </c>
      <c r="Q113" s="31" cm="1">
        <f t="array" ref="Q113">Q$106+IF($C113&lt;&gt;0,SUMPRODUCT((Q$107:Q$108)*TRANSPOSE(($D113:$E113))),0)</f>
        <v>-238457.81242720372</v>
      </c>
      <c r="R113" s="31" cm="1">
        <f t="array" ref="R113">R$106+IF($C113&lt;&gt;0,SUMPRODUCT((R$107:R$108)*TRANSPOSE(($D113:$E113))),0)</f>
        <v>-240729.75492893939</v>
      </c>
      <c r="S113" s="31" cm="1">
        <f t="array" ref="S113">S$106+IF($C113&lt;&gt;0,SUMPRODUCT((S$107:S$108)*TRANSPOSE(($D113:$E113))),0)</f>
        <v>-243001.69743067486</v>
      </c>
      <c r="T113" s="31" cm="1">
        <f t="array" ref="T113">T$106+IF($C113&lt;&gt;0,SUMPRODUCT((T$107:T$108)*TRANSPOSE(($D113:$E113))),0)</f>
        <v>-245273.63993241102</v>
      </c>
      <c r="U113" s="31" cm="1">
        <f t="array" ref="U113">U$106+IF($C113&lt;&gt;0,SUMPRODUCT((U$107:U$108)*TRANSPOSE(($D113:$E113))),0)</f>
        <v>-247545.58243414649</v>
      </c>
      <c r="V113" s="31" cm="1">
        <f t="array" ref="V113">V$106+IF($C113&lt;&gt;0,SUMPRODUCT((V$107:V$108)*TRANSPOSE(($D113:$E113))),0)</f>
        <v>-249817.52493588263</v>
      </c>
      <c r="W113" s="31" cm="1">
        <f t="array" ref="W113">W$106+IF($C113&lt;&gt;0,SUMPRODUCT((W$107:W$108)*TRANSPOSE(($D113:$E113))),0)</f>
        <v>-252089.46743761824</v>
      </c>
      <c r="X113" s="31" cm="1">
        <f t="array" ref="X113">X$106+IF($C113&lt;&gt;0,SUMPRODUCT((X$107:X$108)*TRANSPOSE(($D113:$E113))),0)</f>
        <v>-254361.4099393544</v>
      </c>
      <c r="Y113" s="31" cm="1">
        <f t="array" ref="Y113">Y$106+IF($C113&lt;&gt;0,SUMPRODUCT((Y$107:Y$108)*TRANSPOSE(($D113:$E113))),0)</f>
        <v>-256633.35244108993</v>
      </c>
      <c r="Z113" s="31" cm="1">
        <f t="array" ref="Z113">Z$106+IF($C113&lt;&gt;0,SUMPRODUCT((Z$107:Z$108)*TRANSPOSE(($D113:$E113))),0)</f>
        <v>-258905.29494282609</v>
      </c>
      <c r="AA113" s="31" cm="1">
        <f t="array" ref="AA113">AA$106+IF($C113&lt;&gt;0,SUMPRODUCT((AA$107:AA$108)*TRANSPOSE(($D113:$E113))),0)</f>
        <v>-261177.23744456156</v>
      </c>
      <c r="AB113" s="31" cm="1">
        <f t="array" ref="AB113">AB$106+IF($C113&lt;&gt;0,SUMPRODUCT((AB$107:AB$108)*TRANSPOSE(($D113:$E113))),0)</f>
        <v>-263449.17994629766</v>
      </c>
      <c r="AC113" s="31" cm="1">
        <f t="array" ref="AC113">AC$106+IF($C113&lt;&gt;0,SUMPRODUCT((AC$107:AC$108)*TRANSPOSE(($D113:$E113))),0)</f>
        <v>-265721.1224480333</v>
      </c>
      <c r="AD113" s="31" cm="1">
        <f t="array" ref="AD113">AD$106+IF($C113&lt;&gt;0,SUMPRODUCT((AD$107:AD$108)*TRANSPOSE(($D113:$E113))),0)</f>
        <v>-267993.06494976941</v>
      </c>
      <c r="AE113" s="31" cm="1">
        <f t="array" ref="AE113">AE$106+IF($C113&lt;&gt;0,SUMPRODUCT((AE$107:AE$108)*TRANSPOSE(($D113:$E113))),0)</f>
        <v>-270265.00745150499</v>
      </c>
      <c r="AF113" s="31" cm="1">
        <f t="array" ref="AF113">AF$106+IF($C113&lt;&gt;0,SUMPRODUCT((AF$107:AF$108)*TRANSPOSE(($D113:$E113))),0)</f>
        <v>178158.2571775699</v>
      </c>
      <c r="AG113" s="31" cm="1">
        <f t="array" ref="AG113">AG$106+IF($C113&lt;&gt;0,SUMPRODUCT((AG$107:AG$108)*TRANSPOSE(($D113:$E113))),0)</f>
        <v>175886.31467583374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-287438.17768767668</v>
      </c>
      <c r="M114" s="31" cm="1">
        <f t="array" ref="M114">M$106+IF($C114&lt;&gt;0,SUMPRODUCT((M$107:M$108)*TRANSPOSE(($D114:$E114))),0)</f>
        <v>-274486.50192495948</v>
      </c>
      <c r="N114" s="31" cm="1">
        <f t="array" ref="N114">N$106+IF($C114&lt;&gt;0,SUMPRODUCT((N$107:N$108)*TRANSPOSE(($D114:$E114))),0)</f>
        <v>-268149.74701561057</v>
      </c>
      <c r="O114" s="31" cm="1">
        <f t="array" ref="O114">O$106+IF($C114&lt;&gt;0,SUMPRODUCT((O$107:O$108)*TRANSPOSE(($D114:$E114))),0)</f>
        <v>-258007.84346389413</v>
      </c>
      <c r="P114" s="31" cm="1">
        <f t="array" ref="P114">P$106+IF($C114&lt;&gt;0,SUMPRODUCT((P$107:P$108)*TRANSPOSE(($D114:$E114))),0)</f>
        <v>-246506.26697315602</v>
      </c>
      <c r="Q114" s="31" cm="1">
        <f t="array" ref="Q114">Q$106+IF($C114&lt;&gt;0,SUMPRODUCT((Q$107:Q$108)*TRANSPOSE(($D114:$E114))),0)</f>
        <v>-238457.81242720372</v>
      </c>
      <c r="R114" s="31" cm="1">
        <f t="array" ref="R114">R$106+IF($C114&lt;&gt;0,SUMPRODUCT((R$107:R$108)*TRANSPOSE(($D114:$E114))),0)</f>
        <v>-240729.75492893939</v>
      </c>
      <c r="S114" s="31" cm="1">
        <f t="array" ref="S114">S$106+IF($C114&lt;&gt;0,SUMPRODUCT((S$107:S$108)*TRANSPOSE(($D114:$E114))),0)</f>
        <v>-243001.69743067486</v>
      </c>
      <c r="T114" s="31" cm="1">
        <f t="array" ref="T114">T$106+IF($C114&lt;&gt;0,SUMPRODUCT((T$107:T$108)*TRANSPOSE(($D114:$E114))),0)</f>
        <v>-245273.63993241102</v>
      </c>
      <c r="U114" s="31" cm="1">
        <f t="array" ref="U114">U$106+IF($C114&lt;&gt;0,SUMPRODUCT((U$107:U$108)*TRANSPOSE(($D114:$E114))),0)</f>
        <v>-247545.58243414649</v>
      </c>
      <c r="V114" s="31" cm="1">
        <f t="array" ref="V114">V$106+IF($C114&lt;&gt;0,SUMPRODUCT((V$107:V$108)*TRANSPOSE(($D114:$E114))),0)</f>
        <v>-249817.52493588263</v>
      </c>
      <c r="W114" s="31" cm="1">
        <f t="array" ref="W114">W$106+IF($C114&lt;&gt;0,SUMPRODUCT((W$107:W$108)*TRANSPOSE(($D114:$E114))),0)</f>
        <v>-252089.46743761824</v>
      </c>
      <c r="X114" s="31" cm="1">
        <f t="array" ref="X114">X$106+IF($C114&lt;&gt;0,SUMPRODUCT((X$107:X$108)*TRANSPOSE(($D114:$E114))),0)</f>
        <v>-254361.4099393544</v>
      </c>
      <c r="Y114" s="31" cm="1">
        <f t="array" ref="Y114">Y$106+IF($C114&lt;&gt;0,SUMPRODUCT((Y$107:Y$108)*TRANSPOSE(($D114:$E114))),0)</f>
        <v>-256633.35244108993</v>
      </c>
      <c r="Z114" s="31" cm="1">
        <f t="array" ref="Z114">Z$106+IF($C114&lt;&gt;0,SUMPRODUCT((Z$107:Z$108)*TRANSPOSE(($D114:$E114))),0)</f>
        <v>-258905.29494282609</v>
      </c>
      <c r="AA114" s="31" cm="1">
        <f t="array" ref="AA114">AA$106+IF($C114&lt;&gt;0,SUMPRODUCT((AA$107:AA$108)*TRANSPOSE(($D114:$E114))),0)</f>
        <v>-261177.23744456156</v>
      </c>
      <c r="AB114" s="31" cm="1">
        <f t="array" ref="AB114">AB$106+IF($C114&lt;&gt;0,SUMPRODUCT((AB$107:AB$108)*TRANSPOSE(($D114:$E114))),0)</f>
        <v>-263449.17994629766</v>
      </c>
      <c r="AC114" s="31" cm="1">
        <f t="array" ref="AC114">AC$106+IF($C114&lt;&gt;0,SUMPRODUCT((AC$107:AC$108)*TRANSPOSE(($D114:$E114))),0)</f>
        <v>-265721.1224480333</v>
      </c>
      <c r="AD114" s="31" cm="1">
        <f t="array" ref="AD114">AD$106+IF($C114&lt;&gt;0,SUMPRODUCT((AD$107:AD$108)*TRANSPOSE(($D114:$E114))),0)</f>
        <v>-267993.06494976941</v>
      </c>
      <c r="AE114" s="31" cm="1">
        <f t="array" ref="AE114">AE$106+IF($C114&lt;&gt;0,SUMPRODUCT((AE$107:AE$108)*TRANSPOSE(($D114:$E114))),0)</f>
        <v>-270265.00745150499</v>
      </c>
      <c r="AF114" s="31" cm="1">
        <f t="array" ref="AF114">AF$106+IF($C114&lt;&gt;0,SUMPRODUCT((AF$107:AF$108)*TRANSPOSE(($D114:$E114))),0)</f>
        <v>178158.2571775699</v>
      </c>
      <c r="AG114" s="31" cm="1">
        <f t="array" ref="AG114">AG$106+IF($C114&lt;&gt;0,SUMPRODUCT((AG$107:AG$108)*TRANSPOSE(($D114:$E114))),0)</f>
        <v>175886.31467583374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-287438.17768767668</v>
      </c>
      <c r="M115" s="31" cm="1">
        <f t="array" ref="M115">M$106+IF($C115&lt;&gt;0,SUMPRODUCT((M$107:M$108)*TRANSPOSE(($D115:$E115))),0)</f>
        <v>-274486.50192495948</v>
      </c>
      <c r="N115" s="31" cm="1">
        <f t="array" ref="N115">N$106+IF($C115&lt;&gt;0,SUMPRODUCT((N$107:N$108)*TRANSPOSE(($D115:$E115))),0)</f>
        <v>-268149.74701561057</v>
      </c>
      <c r="O115" s="31" cm="1">
        <f t="array" ref="O115">O$106+IF($C115&lt;&gt;0,SUMPRODUCT((O$107:O$108)*TRANSPOSE(($D115:$E115))),0)</f>
        <v>-258007.84346389413</v>
      </c>
      <c r="P115" s="31" cm="1">
        <f t="array" ref="P115">P$106+IF($C115&lt;&gt;0,SUMPRODUCT((P$107:P$108)*TRANSPOSE(($D115:$E115))),0)</f>
        <v>-246506.26697315602</v>
      </c>
      <c r="Q115" s="31" cm="1">
        <f t="array" ref="Q115">Q$106+IF($C115&lt;&gt;0,SUMPRODUCT((Q$107:Q$108)*TRANSPOSE(($D115:$E115))),0)</f>
        <v>-238457.81242720372</v>
      </c>
      <c r="R115" s="31" cm="1">
        <f t="array" ref="R115">R$106+IF($C115&lt;&gt;0,SUMPRODUCT((R$107:R$108)*TRANSPOSE(($D115:$E115))),0)</f>
        <v>-240729.75492893939</v>
      </c>
      <c r="S115" s="31" cm="1">
        <f t="array" ref="S115">S$106+IF($C115&lt;&gt;0,SUMPRODUCT((S$107:S$108)*TRANSPOSE(($D115:$E115))),0)</f>
        <v>-243001.69743067486</v>
      </c>
      <c r="T115" s="31" cm="1">
        <f t="array" ref="T115">T$106+IF($C115&lt;&gt;0,SUMPRODUCT((T$107:T$108)*TRANSPOSE(($D115:$E115))),0)</f>
        <v>-245273.63993241102</v>
      </c>
      <c r="U115" s="31" cm="1">
        <f t="array" ref="U115">U$106+IF($C115&lt;&gt;0,SUMPRODUCT((U$107:U$108)*TRANSPOSE(($D115:$E115))),0)</f>
        <v>-247545.58243414649</v>
      </c>
      <c r="V115" s="31" cm="1">
        <f t="array" ref="V115">V$106+IF($C115&lt;&gt;0,SUMPRODUCT((V$107:V$108)*TRANSPOSE(($D115:$E115))),0)</f>
        <v>-249817.52493588263</v>
      </c>
      <c r="W115" s="31" cm="1">
        <f t="array" ref="W115">W$106+IF($C115&lt;&gt;0,SUMPRODUCT((W$107:W$108)*TRANSPOSE(($D115:$E115))),0)</f>
        <v>-252089.46743761824</v>
      </c>
      <c r="X115" s="31" cm="1">
        <f t="array" ref="X115">X$106+IF($C115&lt;&gt;0,SUMPRODUCT((X$107:X$108)*TRANSPOSE(($D115:$E115))),0)</f>
        <v>-254361.4099393544</v>
      </c>
      <c r="Y115" s="31" cm="1">
        <f t="array" ref="Y115">Y$106+IF($C115&lt;&gt;0,SUMPRODUCT((Y$107:Y$108)*TRANSPOSE(($D115:$E115))),0)</f>
        <v>-256633.35244108993</v>
      </c>
      <c r="Z115" s="31" cm="1">
        <f t="array" ref="Z115">Z$106+IF($C115&lt;&gt;0,SUMPRODUCT((Z$107:Z$108)*TRANSPOSE(($D115:$E115))),0)</f>
        <v>-258905.29494282609</v>
      </c>
      <c r="AA115" s="31" cm="1">
        <f t="array" ref="AA115">AA$106+IF($C115&lt;&gt;0,SUMPRODUCT((AA$107:AA$108)*TRANSPOSE(($D115:$E115))),0)</f>
        <v>-261177.23744456156</v>
      </c>
      <c r="AB115" s="31" cm="1">
        <f t="array" ref="AB115">AB$106+IF($C115&lt;&gt;0,SUMPRODUCT((AB$107:AB$108)*TRANSPOSE(($D115:$E115))),0)</f>
        <v>-263449.17994629766</v>
      </c>
      <c r="AC115" s="31" cm="1">
        <f t="array" ref="AC115">AC$106+IF($C115&lt;&gt;0,SUMPRODUCT((AC$107:AC$108)*TRANSPOSE(($D115:$E115))),0)</f>
        <v>-265721.1224480333</v>
      </c>
      <c r="AD115" s="31" cm="1">
        <f t="array" ref="AD115">AD$106+IF($C115&lt;&gt;0,SUMPRODUCT((AD$107:AD$108)*TRANSPOSE(($D115:$E115))),0)</f>
        <v>-267993.06494976941</v>
      </c>
      <c r="AE115" s="31" cm="1">
        <f t="array" ref="AE115">AE$106+IF($C115&lt;&gt;0,SUMPRODUCT((AE$107:AE$108)*TRANSPOSE(($D115:$E115))),0)</f>
        <v>-270265.00745150499</v>
      </c>
      <c r="AF115" s="31" cm="1">
        <f t="array" ref="AF115">AF$106+IF($C115&lt;&gt;0,SUMPRODUCT((AF$107:AF$108)*TRANSPOSE(($D115:$E115))),0)</f>
        <v>178158.2571775699</v>
      </c>
      <c r="AG115" s="31" cm="1">
        <f t="array" ref="AG115">AG$106+IF($C115&lt;&gt;0,SUMPRODUCT((AG$107:AG$108)*TRANSPOSE(($D115:$E115))),0)</f>
        <v>175886.31467583374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-287438.17768767668</v>
      </c>
      <c r="M116" s="31" cm="1">
        <f t="array" ref="M116">M$106+IF($C116&lt;&gt;0,SUMPRODUCT((M$107:M$108)*TRANSPOSE(($D116:$E116))),0)</f>
        <v>-274486.50192495948</v>
      </c>
      <c r="N116" s="31" cm="1">
        <f t="array" ref="N116">N$106+IF($C116&lt;&gt;0,SUMPRODUCT((N$107:N$108)*TRANSPOSE(($D116:$E116))),0)</f>
        <v>-268149.74701561057</v>
      </c>
      <c r="O116" s="31" cm="1">
        <f t="array" ref="O116">O$106+IF($C116&lt;&gt;0,SUMPRODUCT((O$107:O$108)*TRANSPOSE(($D116:$E116))),0)</f>
        <v>-258007.84346389413</v>
      </c>
      <c r="P116" s="31" cm="1">
        <f t="array" ref="P116">P$106+IF($C116&lt;&gt;0,SUMPRODUCT((P$107:P$108)*TRANSPOSE(($D116:$E116))),0)</f>
        <v>-246506.26697315602</v>
      </c>
      <c r="Q116" s="31" cm="1">
        <f t="array" ref="Q116">Q$106+IF($C116&lt;&gt;0,SUMPRODUCT((Q$107:Q$108)*TRANSPOSE(($D116:$E116))),0)</f>
        <v>-238457.81242720372</v>
      </c>
      <c r="R116" s="31" cm="1">
        <f t="array" ref="R116">R$106+IF($C116&lt;&gt;0,SUMPRODUCT((R$107:R$108)*TRANSPOSE(($D116:$E116))),0)</f>
        <v>-240729.75492893939</v>
      </c>
      <c r="S116" s="31" cm="1">
        <f t="array" ref="S116">S$106+IF($C116&lt;&gt;0,SUMPRODUCT((S$107:S$108)*TRANSPOSE(($D116:$E116))),0)</f>
        <v>-243001.69743067486</v>
      </c>
      <c r="T116" s="31" cm="1">
        <f t="array" ref="T116">T$106+IF($C116&lt;&gt;0,SUMPRODUCT((T$107:T$108)*TRANSPOSE(($D116:$E116))),0)</f>
        <v>-245273.63993241102</v>
      </c>
      <c r="U116" s="31" cm="1">
        <f t="array" ref="U116">U$106+IF($C116&lt;&gt;0,SUMPRODUCT((U$107:U$108)*TRANSPOSE(($D116:$E116))),0)</f>
        <v>-247545.58243414649</v>
      </c>
      <c r="V116" s="31" cm="1">
        <f t="array" ref="V116">V$106+IF($C116&lt;&gt;0,SUMPRODUCT((V$107:V$108)*TRANSPOSE(($D116:$E116))),0)</f>
        <v>-249817.52493588263</v>
      </c>
      <c r="W116" s="31" cm="1">
        <f t="array" ref="W116">W$106+IF($C116&lt;&gt;0,SUMPRODUCT((W$107:W$108)*TRANSPOSE(($D116:$E116))),0)</f>
        <v>-252089.46743761824</v>
      </c>
      <c r="X116" s="31" cm="1">
        <f t="array" ref="X116">X$106+IF($C116&lt;&gt;0,SUMPRODUCT((X$107:X$108)*TRANSPOSE(($D116:$E116))),0)</f>
        <v>-254361.4099393544</v>
      </c>
      <c r="Y116" s="31" cm="1">
        <f t="array" ref="Y116">Y$106+IF($C116&lt;&gt;0,SUMPRODUCT((Y$107:Y$108)*TRANSPOSE(($D116:$E116))),0)</f>
        <v>-256633.35244108993</v>
      </c>
      <c r="Z116" s="31" cm="1">
        <f t="array" ref="Z116">Z$106+IF($C116&lt;&gt;0,SUMPRODUCT((Z$107:Z$108)*TRANSPOSE(($D116:$E116))),0)</f>
        <v>-258905.29494282609</v>
      </c>
      <c r="AA116" s="31" cm="1">
        <f t="array" ref="AA116">AA$106+IF($C116&lt;&gt;0,SUMPRODUCT((AA$107:AA$108)*TRANSPOSE(($D116:$E116))),0)</f>
        <v>-261177.23744456156</v>
      </c>
      <c r="AB116" s="31" cm="1">
        <f t="array" ref="AB116">AB$106+IF($C116&lt;&gt;0,SUMPRODUCT((AB$107:AB$108)*TRANSPOSE(($D116:$E116))),0)</f>
        <v>-263449.17994629766</v>
      </c>
      <c r="AC116" s="31" cm="1">
        <f t="array" ref="AC116">AC$106+IF($C116&lt;&gt;0,SUMPRODUCT((AC$107:AC$108)*TRANSPOSE(($D116:$E116))),0)</f>
        <v>-265721.1224480333</v>
      </c>
      <c r="AD116" s="31" cm="1">
        <f t="array" ref="AD116">AD$106+IF($C116&lt;&gt;0,SUMPRODUCT((AD$107:AD$108)*TRANSPOSE(($D116:$E116))),0)</f>
        <v>-267993.06494976941</v>
      </c>
      <c r="AE116" s="31" cm="1">
        <f t="array" ref="AE116">AE$106+IF($C116&lt;&gt;0,SUMPRODUCT((AE$107:AE$108)*TRANSPOSE(($D116:$E116))),0)</f>
        <v>-270265.00745150499</v>
      </c>
      <c r="AF116" s="31" cm="1">
        <f t="array" ref="AF116">AF$106+IF($C116&lt;&gt;0,SUMPRODUCT((AF$107:AF$108)*TRANSPOSE(($D116:$E116))),0)</f>
        <v>178158.2571775699</v>
      </c>
      <c r="AG116" s="31" cm="1">
        <f t="array" ref="AG116">AG$106+IF($C116&lt;&gt;0,SUMPRODUCT((AG$107:AG$108)*TRANSPOSE(($D116:$E116))),0)</f>
        <v>175886.31467583374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-287438.17768767668</v>
      </c>
      <c r="M117" s="31" cm="1">
        <f t="array" ref="M117">M$106+IF($C117&lt;&gt;0,SUMPRODUCT((M$107:M$108)*TRANSPOSE(($D117:$E117))),0)</f>
        <v>-274486.50192495948</v>
      </c>
      <c r="N117" s="31" cm="1">
        <f t="array" ref="N117">N$106+IF($C117&lt;&gt;0,SUMPRODUCT((N$107:N$108)*TRANSPOSE(($D117:$E117))),0)</f>
        <v>-268149.74701561057</v>
      </c>
      <c r="O117" s="31" cm="1">
        <f t="array" ref="O117">O$106+IF($C117&lt;&gt;0,SUMPRODUCT((O$107:O$108)*TRANSPOSE(($D117:$E117))),0)</f>
        <v>-258007.84346389413</v>
      </c>
      <c r="P117" s="31" cm="1">
        <f t="array" ref="P117">P$106+IF($C117&lt;&gt;0,SUMPRODUCT((P$107:P$108)*TRANSPOSE(($D117:$E117))),0)</f>
        <v>-246506.26697315602</v>
      </c>
      <c r="Q117" s="31" cm="1">
        <f t="array" ref="Q117">Q$106+IF($C117&lt;&gt;0,SUMPRODUCT((Q$107:Q$108)*TRANSPOSE(($D117:$E117))),0)</f>
        <v>-238457.81242720372</v>
      </c>
      <c r="R117" s="31" cm="1">
        <f t="array" ref="R117">R$106+IF($C117&lt;&gt;0,SUMPRODUCT((R$107:R$108)*TRANSPOSE(($D117:$E117))),0)</f>
        <v>-240729.75492893939</v>
      </c>
      <c r="S117" s="31" cm="1">
        <f t="array" ref="S117">S$106+IF($C117&lt;&gt;0,SUMPRODUCT((S$107:S$108)*TRANSPOSE(($D117:$E117))),0)</f>
        <v>-243001.69743067486</v>
      </c>
      <c r="T117" s="31" cm="1">
        <f t="array" ref="T117">T$106+IF($C117&lt;&gt;0,SUMPRODUCT((T$107:T$108)*TRANSPOSE(($D117:$E117))),0)</f>
        <v>-245273.63993241102</v>
      </c>
      <c r="U117" s="31" cm="1">
        <f t="array" ref="U117">U$106+IF($C117&lt;&gt;0,SUMPRODUCT((U$107:U$108)*TRANSPOSE(($D117:$E117))),0)</f>
        <v>-247545.58243414649</v>
      </c>
      <c r="V117" s="31" cm="1">
        <f t="array" ref="V117">V$106+IF($C117&lt;&gt;0,SUMPRODUCT((V$107:V$108)*TRANSPOSE(($D117:$E117))),0)</f>
        <v>-249817.52493588263</v>
      </c>
      <c r="W117" s="31" cm="1">
        <f t="array" ref="W117">W$106+IF($C117&lt;&gt;0,SUMPRODUCT((W$107:W$108)*TRANSPOSE(($D117:$E117))),0)</f>
        <v>-252089.46743761824</v>
      </c>
      <c r="X117" s="31" cm="1">
        <f t="array" ref="X117">X$106+IF($C117&lt;&gt;0,SUMPRODUCT((X$107:X$108)*TRANSPOSE(($D117:$E117))),0)</f>
        <v>-254361.4099393544</v>
      </c>
      <c r="Y117" s="31" cm="1">
        <f t="array" ref="Y117">Y$106+IF($C117&lt;&gt;0,SUMPRODUCT((Y$107:Y$108)*TRANSPOSE(($D117:$E117))),0)</f>
        <v>-256633.35244108993</v>
      </c>
      <c r="Z117" s="31" cm="1">
        <f t="array" ref="Z117">Z$106+IF($C117&lt;&gt;0,SUMPRODUCT((Z$107:Z$108)*TRANSPOSE(($D117:$E117))),0)</f>
        <v>-258905.29494282609</v>
      </c>
      <c r="AA117" s="31" cm="1">
        <f t="array" ref="AA117">AA$106+IF($C117&lt;&gt;0,SUMPRODUCT((AA$107:AA$108)*TRANSPOSE(($D117:$E117))),0)</f>
        <v>-261177.23744456156</v>
      </c>
      <c r="AB117" s="31" cm="1">
        <f t="array" ref="AB117">AB$106+IF($C117&lt;&gt;0,SUMPRODUCT((AB$107:AB$108)*TRANSPOSE(($D117:$E117))),0)</f>
        <v>-263449.17994629766</v>
      </c>
      <c r="AC117" s="31" cm="1">
        <f t="array" ref="AC117">AC$106+IF($C117&lt;&gt;0,SUMPRODUCT((AC$107:AC$108)*TRANSPOSE(($D117:$E117))),0)</f>
        <v>-265721.1224480333</v>
      </c>
      <c r="AD117" s="31" cm="1">
        <f t="array" ref="AD117">AD$106+IF($C117&lt;&gt;0,SUMPRODUCT((AD$107:AD$108)*TRANSPOSE(($D117:$E117))),0)</f>
        <v>-267993.06494976941</v>
      </c>
      <c r="AE117" s="31" cm="1">
        <f t="array" ref="AE117">AE$106+IF($C117&lt;&gt;0,SUMPRODUCT((AE$107:AE$108)*TRANSPOSE(($D117:$E117))),0)</f>
        <v>-270265.00745150499</v>
      </c>
      <c r="AF117" s="31" cm="1">
        <f t="array" ref="AF117">AF$106+IF($C117&lt;&gt;0,SUMPRODUCT((AF$107:AF$108)*TRANSPOSE(($D117:$E117))),0)</f>
        <v>178158.2571775699</v>
      </c>
      <c r="AG117" s="31" cm="1">
        <f t="array" ref="AG117">AG$106+IF($C117&lt;&gt;0,SUMPRODUCT((AG$107:AG$108)*TRANSPOSE(($D117:$E117))),0)</f>
        <v>175886.31467583374</v>
      </c>
    </row>
  </sheetData>
  <conditionalFormatting sqref="E28">
    <cfRule type="expression" dxfId="9" priority="5">
      <formula>AND(SUM($I$27:$AG$27)&gt;0, $E$28=0)</formula>
    </cfRule>
  </conditionalFormatting>
  <conditionalFormatting sqref="E14 E16">
    <cfRule type="expression" dxfId="8" priority="2">
      <formula>AND(SUM($I14:$AB14)&lt;&gt;0, E14=0)</formula>
    </cfRule>
  </conditionalFormatting>
  <conditionalFormatting sqref="E15">
    <cfRule type="expression" dxfId="7" priority="1">
      <formula>AND(SUM($I15:$AB15)&lt;&gt;0, E15=0)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2.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Ballan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134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6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  <c r="AL19"/>
      <c r="AM19"/>
    </row>
    <row r="20" spans="1:43" x14ac:dyDescent="0.2">
      <c r="G20" s="206"/>
      <c r="AH20"/>
      <c r="AI20"/>
      <c r="AJ20"/>
      <c r="AK20"/>
      <c r="AL20"/>
      <c r="AM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38093.432583798196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29406.567416201804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24910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3">
        <f>'Option1 (base case)'!E51</f>
        <v>0</v>
      </c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3">
        <f>'Option1 (base case)'!E52</f>
        <v>0</v>
      </c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08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4sens3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G29" sqref="G29"/>
      <selection pane="topRight" activeCell="G29" sqref="G29"/>
      <selection pane="bottomLeft" activeCell="G29" sqref="G29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Ballan microgrid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4" t="s">
        <v>189</v>
      </c>
      <c r="B3" s="5"/>
      <c r="C3" s="201">
        <f>INDEX(Assumptions!$E$14:$E$18, MATCH(A3,_xlfn.ANCHORARRAY( Assumptions!$C$14),0))</f>
        <v>0</v>
      </c>
    </row>
    <row r="4" spans="1:43" x14ac:dyDescent="0.2">
      <c r="A4" s="202" t="str">
        <f>(INDEX(Data!$D$9:$D$13, MATCH(A3, options,0)))</f>
        <v>Not used</v>
      </c>
      <c r="B4" s="188"/>
      <c r="C4" s="239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1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3"/>
      <c r="G9" s="18" t="s">
        <v>25</v>
      </c>
      <c r="H9" s="221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5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43" x14ac:dyDescent="0.2">
      <c r="A12" s="3"/>
      <c r="B12" s="3"/>
      <c r="C12" s="3"/>
      <c r="D12" s="3"/>
      <c r="G12" s="206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7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9">
        <v>0</v>
      </c>
      <c r="G14" s="208">
        <f>input_dollars</f>
        <v>45291</v>
      </c>
      <c r="H14" s="150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9">
        <v>0</v>
      </c>
      <c r="G15" s="208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9">
        <v>0</v>
      </c>
      <c r="G16" s="208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8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7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8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/>
      <c r="AI19"/>
      <c r="AJ19"/>
      <c r="AK19"/>
    </row>
    <row r="20" spans="1:43" x14ac:dyDescent="0.2">
      <c r="G20" s="206"/>
      <c r="AH20"/>
      <c r="AI20"/>
      <c r="AJ20"/>
      <c r="AK20"/>
    </row>
    <row r="21" spans="1:43" x14ac:dyDescent="0.2">
      <c r="C21"/>
      <c r="D21"/>
      <c r="E21"/>
      <c r="G21" s="20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154</v>
      </c>
      <c r="B22" s="89"/>
      <c r="C22" s="89"/>
      <c r="D22" s="89"/>
      <c r="E22" s="89"/>
      <c r="F22" s="89"/>
      <c r="G22" s="205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9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155</v>
      </c>
      <c r="D24" s="111"/>
      <c r="E24" s="111"/>
      <c r="F24" s="111"/>
      <c r="G24" s="209"/>
      <c r="H24" s="111"/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156</v>
      </c>
      <c r="D25" s="209"/>
      <c r="E25" s="111"/>
      <c r="F25" s="111"/>
      <c r="G25" s="209"/>
      <c r="H25" s="111"/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9"/>
      <c r="E26" s="111"/>
      <c r="F26" s="111"/>
      <c r="G26" s="209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6"/>
      <c r="E27"/>
      <c r="G27" s="208" t="s">
        <v>40</v>
      </c>
      <c r="H27"/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6" t="s">
        <v>63</v>
      </c>
      <c r="E28" s="113">
        <f>Assumptions!H41*vcr_esc</f>
        <v>38093.432583798196</v>
      </c>
      <c r="F28" s="239" t="str">
        <f>IF(AND(SUM(I27:AG27)&lt;&gt;0, E28=0), "!", "")</f>
        <v/>
      </c>
      <c r="G28" s="208">
        <f>input_dollars</f>
        <v>45291</v>
      </c>
      <c r="H28"/>
      <c r="I28" s="298">
        <f>I27*$E$28</f>
        <v>0</v>
      </c>
      <c r="J28" s="298">
        <f t="shared" ref="J28:AG28" si="2">J27*$E$28</f>
        <v>0</v>
      </c>
      <c r="K28" s="298">
        <f t="shared" si="2"/>
        <v>0</v>
      </c>
      <c r="L28" s="298">
        <f t="shared" si="2"/>
        <v>0</v>
      </c>
      <c r="M28" s="298">
        <f t="shared" si="2"/>
        <v>0</v>
      </c>
      <c r="N28" s="298">
        <f t="shared" si="2"/>
        <v>0</v>
      </c>
      <c r="O28" s="298">
        <f t="shared" si="2"/>
        <v>0</v>
      </c>
      <c r="P28" s="298">
        <f t="shared" si="2"/>
        <v>0</v>
      </c>
      <c r="Q28" s="298">
        <f t="shared" si="2"/>
        <v>0</v>
      </c>
      <c r="R28" s="298">
        <f t="shared" si="2"/>
        <v>0</v>
      </c>
      <c r="S28" s="298">
        <f t="shared" si="2"/>
        <v>0</v>
      </c>
      <c r="T28" s="298">
        <f t="shared" si="2"/>
        <v>0</v>
      </c>
      <c r="U28" s="298">
        <f t="shared" si="2"/>
        <v>0</v>
      </c>
      <c r="V28" s="298">
        <f t="shared" si="2"/>
        <v>0</v>
      </c>
      <c r="W28" s="298">
        <f t="shared" si="2"/>
        <v>0</v>
      </c>
      <c r="X28" s="298">
        <f t="shared" si="2"/>
        <v>0</v>
      </c>
      <c r="Y28" s="298">
        <f t="shared" si="2"/>
        <v>0</v>
      </c>
      <c r="Z28" s="298">
        <f t="shared" si="2"/>
        <v>0</v>
      </c>
      <c r="AA28" s="298">
        <f t="shared" si="2"/>
        <v>0</v>
      </c>
      <c r="AB28" s="298">
        <f t="shared" si="2"/>
        <v>0</v>
      </c>
      <c r="AC28" s="298">
        <f t="shared" si="2"/>
        <v>0</v>
      </c>
      <c r="AD28" s="298">
        <f t="shared" si="2"/>
        <v>0</v>
      </c>
      <c r="AE28" s="298">
        <f t="shared" si="2"/>
        <v>0</v>
      </c>
      <c r="AF28" s="298">
        <f t="shared" si="2"/>
        <v>0</v>
      </c>
      <c r="AG28" s="29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7"/>
      <c r="E29"/>
      <c r="G29" s="20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6" t="s">
        <v>210</v>
      </c>
      <c r="G30" s="208">
        <f>input_dollars</f>
        <v>45291</v>
      </c>
      <c r="H30" s="150"/>
      <c r="I30" s="171" cm="1">
        <f t="array" ref="I30">SUMPRODUCT((Assumptions!$H$74:$H$75)*(Assumptions!$G$74:$G$75)*(Assumptions!$I$74:$I$75)*(I$24:I$25))</f>
        <v>0</v>
      </c>
      <c r="J30" s="171" cm="1">
        <f t="array" ref="J30">SUMPRODUCT((Assumptions!$H$74:$H$75)*(Assumptions!$G$74:$G$75)*(Assumptions!$I$74:$I$75)*(J$24:J$25))</f>
        <v>0</v>
      </c>
      <c r="K30" s="171" cm="1">
        <f t="array" ref="K30">SUMPRODUCT((Assumptions!$H$74:$H$75)*(Assumptions!$G$74:$G$75)*(Assumptions!$I$74:$I$75)*(K$24:K$25))</f>
        <v>0</v>
      </c>
      <c r="L30" s="171" cm="1">
        <f t="array" ref="L30">SUMPRODUCT((Assumptions!$H$74:$H$75)*(Assumptions!$G$74:$G$75)*(Assumptions!$I$74:$I$75)*(L$24:L$25))</f>
        <v>0</v>
      </c>
      <c r="M30" s="171" cm="1">
        <f t="array" ref="M30">SUMPRODUCT((Assumptions!$H$74:$H$75)*(Assumptions!$G$74:$G$75)*(Assumptions!$I$74:$I$75)*(M$24:M$25))</f>
        <v>0</v>
      </c>
      <c r="N30" s="171" cm="1">
        <f t="array" ref="N30">SUMPRODUCT((Assumptions!$H$74:$H$75)*(Assumptions!$G$74:$G$75)*(Assumptions!$I$74:$I$75)*(N$24:N$25))</f>
        <v>0</v>
      </c>
      <c r="O30" s="171" cm="1">
        <f t="array" ref="O30">SUMPRODUCT((Assumptions!$H$74:$H$75)*(Assumptions!$G$74:$G$75)*(Assumptions!$I$74:$I$75)*(O$24:O$25))</f>
        <v>0</v>
      </c>
      <c r="P30" s="171" cm="1">
        <f t="array" ref="P30">SUMPRODUCT((Assumptions!$H$74:$H$75)*(Assumptions!$G$74:$G$75)*(Assumptions!$I$74:$I$75)*(P$24:P$25))</f>
        <v>0</v>
      </c>
      <c r="Q30" s="171" cm="1">
        <f t="array" ref="Q30">SUMPRODUCT((Assumptions!$H$74:$H$75)*(Assumptions!$G$74:$G$75)*(Assumptions!$I$74:$I$75)*(Q$24:Q$25))</f>
        <v>0</v>
      </c>
      <c r="R30" s="171" cm="1">
        <f t="array" ref="R30">SUMPRODUCT((Assumptions!$H$74:$H$75)*(Assumptions!$G$74:$G$75)*(Assumptions!$I$74:$I$75)*(R$24:R$25))</f>
        <v>0</v>
      </c>
      <c r="S30" s="171" cm="1">
        <f t="array" ref="S30">SUMPRODUCT((Assumptions!$H$74:$H$75)*(Assumptions!$G$74:$G$75)*(Assumptions!$I$74:$I$75)*(S$24:S$25))</f>
        <v>0</v>
      </c>
      <c r="T30" s="171" cm="1">
        <f t="array" ref="T30">SUMPRODUCT((Assumptions!$H$74:$H$75)*(Assumptions!$G$74:$G$75)*(Assumptions!$I$74:$I$75)*(T$24:T$25))</f>
        <v>0</v>
      </c>
      <c r="U30" s="171" cm="1">
        <f t="array" ref="U30">SUMPRODUCT((Assumptions!$H$74:$H$75)*(Assumptions!$G$74:$G$75)*(Assumptions!$I$74:$I$75)*(U$24:U$25))</f>
        <v>0</v>
      </c>
      <c r="V30" s="171" cm="1">
        <f t="array" ref="V30">SUMPRODUCT((Assumptions!$H$74:$H$75)*(Assumptions!$G$74:$G$75)*(Assumptions!$I$74:$I$75)*(V$24:V$25))</f>
        <v>0</v>
      </c>
      <c r="W30" s="171" cm="1">
        <f t="array" ref="W30">SUMPRODUCT((Assumptions!$H$74:$H$75)*(Assumptions!$G$74:$G$75)*(Assumptions!$I$74:$I$75)*(W$24:W$25))</f>
        <v>0</v>
      </c>
      <c r="X30" s="171" cm="1">
        <f t="array" ref="X30">SUMPRODUCT((Assumptions!$H$74:$H$75)*(Assumptions!$G$74:$G$75)*(Assumptions!$I$74:$I$75)*(X$24:X$25))</f>
        <v>0</v>
      </c>
      <c r="Y30" s="171" cm="1">
        <f t="array" ref="Y30">SUMPRODUCT((Assumptions!$H$74:$H$75)*(Assumptions!$G$74:$G$75)*(Assumptions!$I$74:$I$75)*(Y$24:Y$25))</f>
        <v>0</v>
      </c>
      <c r="Z30" s="171" cm="1">
        <f t="array" ref="Z30">SUMPRODUCT((Assumptions!$H$74:$H$75)*(Assumptions!$G$74:$G$75)*(Assumptions!$I$74:$I$75)*(Z$24:Z$25))</f>
        <v>0</v>
      </c>
      <c r="AA30" s="171" cm="1">
        <f t="array" ref="AA30">SUMPRODUCT((Assumptions!$H$74:$H$75)*(Assumptions!$G$74:$G$75)*(Assumptions!$I$74:$I$75)*(AA$24:AA$25))</f>
        <v>0</v>
      </c>
      <c r="AB30" s="171" cm="1">
        <f t="array" ref="AB30">SUMPRODUCT((Assumptions!$H$74:$H$75)*(Assumptions!$G$74:$G$75)*(Assumptions!$I$74:$I$75)*(AB$24:AB$25))</f>
        <v>0</v>
      </c>
      <c r="AC30" s="171" cm="1">
        <f t="array" ref="AC30">SUMPRODUCT((Assumptions!$H$74:$H$75)*(Assumptions!$G$74:$G$75)*(Assumptions!$I$74:$I$75)*(AC$24:AC$25))</f>
        <v>0</v>
      </c>
      <c r="AD30" s="171" cm="1">
        <f t="array" ref="AD30">SUMPRODUCT((Assumptions!$H$74:$H$75)*(Assumptions!$G$74:$G$75)*(Assumptions!$I$74:$I$75)*(AD$24:AD$25))</f>
        <v>0</v>
      </c>
      <c r="AE30" s="171" cm="1">
        <f t="array" ref="AE30">SUMPRODUCT((Assumptions!$H$74:$H$75)*(Assumptions!$G$74:$G$75)*(Assumptions!$I$74:$I$75)*(AE$24:AE$25))</f>
        <v>0</v>
      </c>
      <c r="AF30" s="171" cm="1">
        <f t="array" ref="AF30">SUMPRODUCT((Assumptions!$H$74:$H$75)*(Assumptions!$G$74:$G$75)*(Assumptions!$I$74:$I$75)*(AF$24:AF$25))</f>
        <v>0</v>
      </c>
      <c r="AG30" s="171" cm="1">
        <f t="array" ref="AG30">SUMPRODUCT((Assumptions!$H$74:$H$75)*(Assumptions!$G$74:$G$75)*(Assumptions!$I$74:$I$75)*(AG$24:AG$25))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7"/>
      <c r="E31"/>
      <c r="G31" s="208">
        <f>input_dollars</f>
        <v>45291</v>
      </c>
      <c r="H31" s="150"/>
      <c r="I31" s="171" cm="1">
        <f t="array" ref="I31">(1+Assumptions!$G$85)*SUMPRODUCT((Assumptions!$G$82:$G$83)*(I$24:I$25))</f>
        <v>0</v>
      </c>
      <c r="J31" s="171" cm="1">
        <f t="array" ref="J31">(1+Assumptions!$G$85)*SUMPRODUCT((Assumptions!$G$82:$G$83)*(J$24:J$25))</f>
        <v>0</v>
      </c>
      <c r="K31" s="171" cm="1">
        <f t="array" ref="K31">(1+Assumptions!$G$85)*SUMPRODUCT((Assumptions!$G$82:$G$83)*(K$24:K$25))</f>
        <v>0</v>
      </c>
      <c r="L31" s="171" cm="1">
        <f t="array" ref="L31">(1+Assumptions!$G$85)*SUMPRODUCT((Assumptions!$G$82:$G$83)*(L$24:L$25))</f>
        <v>0</v>
      </c>
      <c r="M31" s="171" cm="1">
        <f t="array" ref="M31">(1+Assumptions!$G$85)*SUMPRODUCT((Assumptions!$G$82:$G$83)*(M$24:M$25))</f>
        <v>0</v>
      </c>
      <c r="N31" s="171" cm="1">
        <f t="array" ref="N31">(1+Assumptions!$G$85)*SUMPRODUCT((Assumptions!$G$82:$G$83)*(N$24:N$25))</f>
        <v>0</v>
      </c>
      <c r="O31" s="171" cm="1">
        <f t="array" ref="O31">(1+Assumptions!$G$85)*SUMPRODUCT((Assumptions!$G$82:$G$83)*(O$24:O$25))</f>
        <v>0</v>
      </c>
      <c r="P31" s="171" cm="1">
        <f t="array" ref="P31">(1+Assumptions!$G$85)*SUMPRODUCT((Assumptions!$G$82:$G$83)*(P$24:P$25))</f>
        <v>0</v>
      </c>
      <c r="Q31" s="171" cm="1">
        <f t="array" ref="Q31">(1+Assumptions!$G$85)*SUMPRODUCT((Assumptions!$G$82:$G$83)*(Q$24:Q$25))</f>
        <v>0</v>
      </c>
      <c r="R31" s="171" cm="1">
        <f t="array" ref="R31">(1+Assumptions!$G$85)*SUMPRODUCT((Assumptions!$G$82:$G$83)*(R$24:R$25))</f>
        <v>0</v>
      </c>
      <c r="S31" s="171" cm="1">
        <f t="array" ref="S31">(1+Assumptions!$G$85)*SUMPRODUCT((Assumptions!$G$82:$G$83)*(S$24:S$25))</f>
        <v>0</v>
      </c>
      <c r="T31" s="171" cm="1">
        <f t="array" ref="T31">(1+Assumptions!$G$85)*SUMPRODUCT((Assumptions!$G$82:$G$83)*(T$24:T$25))</f>
        <v>0</v>
      </c>
      <c r="U31" s="171" cm="1">
        <f t="array" ref="U31">(1+Assumptions!$G$85)*SUMPRODUCT((Assumptions!$G$82:$G$83)*(U$24:U$25))</f>
        <v>0</v>
      </c>
      <c r="V31" s="171" cm="1">
        <f t="array" ref="V31">(1+Assumptions!$G$85)*SUMPRODUCT((Assumptions!$G$82:$G$83)*(V$24:V$25))</f>
        <v>0</v>
      </c>
      <c r="W31" s="171" cm="1">
        <f t="array" ref="W31">(1+Assumptions!$G$85)*SUMPRODUCT((Assumptions!$G$82:$G$83)*(W$24:W$25))</f>
        <v>0</v>
      </c>
      <c r="X31" s="171" cm="1">
        <f t="array" ref="X31">(1+Assumptions!$G$85)*SUMPRODUCT((Assumptions!$G$82:$G$83)*(X$24:X$25))</f>
        <v>0</v>
      </c>
      <c r="Y31" s="171" cm="1">
        <f t="array" ref="Y31">(1+Assumptions!$G$85)*SUMPRODUCT((Assumptions!$G$82:$G$83)*(Y$24:Y$25))</f>
        <v>0</v>
      </c>
      <c r="Z31" s="171" cm="1">
        <f t="array" ref="Z31">(1+Assumptions!$G$85)*SUMPRODUCT((Assumptions!$G$82:$G$83)*(Z$24:Z$25))</f>
        <v>0</v>
      </c>
      <c r="AA31" s="171" cm="1">
        <f t="array" ref="AA31">(1+Assumptions!$G$85)*SUMPRODUCT((Assumptions!$G$82:$G$83)*(AA$24:AA$25))</f>
        <v>0</v>
      </c>
      <c r="AB31" s="171" cm="1">
        <f t="array" ref="AB31">(1+Assumptions!$G$85)*SUMPRODUCT((Assumptions!$G$82:$G$83)*(AB$24:AB$25))</f>
        <v>0</v>
      </c>
      <c r="AC31" s="171" cm="1">
        <f t="array" ref="AC31">(1+Assumptions!$G$85)*SUMPRODUCT((Assumptions!$G$82:$G$83)*(AC$24:AC$25))</f>
        <v>0</v>
      </c>
      <c r="AD31" s="171" cm="1">
        <f t="array" ref="AD31">(1+Assumptions!$G$85)*SUMPRODUCT((Assumptions!$G$82:$G$83)*(AD$24:AD$25))</f>
        <v>0</v>
      </c>
      <c r="AE31" s="171" cm="1">
        <f t="array" ref="AE31">(1+Assumptions!$G$85)*SUMPRODUCT((Assumptions!$G$82:$G$83)*(AE$24:AE$25))</f>
        <v>0</v>
      </c>
      <c r="AF31" s="171" cm="1">
        <f t="array" ref="AF31">(1+Assumptions!$G$85)*SUMPRODUCT((Assumptions!$G$82:$G$83)*(AF$24:AF$25))</f>
        <v>0</v>
      </c>
      <c r="AG31" s="171" cm="1">
        <f t="array" ref="AG31">(1+Assumptions!$G$85)*SUMPRODUCT((Assumptions!$G$82:$G$83)*(AG$24:AG$25))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6" t="s">
        <v>210</v>
      </c>
      <c r="E32"/>
      <c r="G32" s="208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7">
        <v>0</v>
      </c>
      <c r="S32" s="137">
        <v>0</v>
      </c>
      <c r="T32" s="137">
        <v>0</v>
      </c>
      <c r="U32" s="137">
        <v>0</v>
      </c>
      <c r="V32" s="137">
        <v>0</v>
      </c>
      <c r="W32" s="137">
        <v>0</v>
      </c>
      <c r="X32" s="137">
        <v>0</v>
      </c>
      <c r="Y32" s="137">
        <v>0</v>
      </c>
      <c r="Z32" s="137">
        <v>0</v>
      </c>
      <c r="AA32" s="137">
        <v>0</v>
      </c>
      <c r="AB32" s="137">
        <v>0</v>
      </c>
      <c r="AC32" s="137">
        <v>0</v>
      </c>
      <c r="AD32" s="137">
        <v>0</v>
      </c>
      <c r="AE32" s="137">
        <v>0</v>
      </c>
      <c r="AF32" s="137">
        <v>0</v>
      </c>
      <c r="AG32" s="137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5" t="s">
        <v>177</v>
      </c>
      <c r="D33" s="220"/>
      <c r="E33"/>
      <c r="G33" s="208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>
        <v>0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5" t="s">
        <v>177</v>
      </c>
      <c r="D34" s="207"/>
      <c r="E34"/>
      <c r="G34" s="208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7"/>
      <c r="E35"/>
      <c r="G35" s="20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176</v>
      </c>
      <c r="D36" s="219"/>
      <c r="E36" s="107"/>
      <c r="F36" s="3"/>
      <c r="G36" s="210"/>
      <c r="H36" s="107"/>
      <c r="I36" s="171">
        <f>SUM(I28:I34)</f>
        <v>0</v>
      </c>
      <c r="J36" s="171">
        <f t="shared" ref="J36:AG36" si="3">SUM(J28:J34)</f>
        <v>0</v>
      </c>
      <c r="K36" s="171">
        <f t="shared" si="3"/>
        <v>0</v>
      </c>
      <c r="L36" s="171">
        <f t="shared" si="3"/>
        <v>0</v>
      </c>
      <c r="M36" s="171">
        <f t="shared" si="3"/>
        <v>0</v>
      </c>
      <c r="N36" s="171">
        <f t="shared" si="3"/>
        <v>0</v>
      </c>
      <c r="O36" s="171">
        <f t="shared" si="3"/>
        <v>0</v>
      </c>
      <c r="P36" s="171">
        <f t="shared" si="3"/>
        <v>0</v>
      </c>
      <c r="Q36" s="171">
        <f t="shared" si="3"/>
        <v>0</v>
      </c>
      <c r="R36" s="171">
        <f t="shared" si="3"/>
        <v>0</v>
      </c>
      <c r="S36" s="171">
        <f t="shared" si="3"/>
        <v>0</v>
      </c>
      <c r="T36" s="171">
        <f t="shared" si="3"/>
        <v>0</v>
      </c>
      <c r="U36" s="171">
        <f t="shared" si="3"/>
        <v>0</v>
      </c>
      <c r="V36" s="171">
        <f t="shared" si="3"/>
        <v>0</v>
      </c>
      <c r="W36" s="171">
        <f t="shared" si="3"/>
        <v>0</v>
      </c>
      <c r="X36" s="171">
        <f t="shared" si="3"/>
        <v>0</v>
      </c>
      <c r="Y36" s="171">
        <f t="shared" si="3"/>
        <v>0</v>
      </c>
      <c r="Z36" s="171">
        <f t="shared" si="3"/>
        <v>0</v>
      </c>
      <c r="AA36" s="171">
        <f t="shared" si="3"/>
        <v>0</v>
      </c>
      <c r="AB36" s="171">
        <f t="shared" si="3"/>
        <v>0</v>
      </c>
      <c r="AC36" s="171">
        <f t="shared" si="3"/>
        <v>0</v>
      </c>
      <c r="AD36" s="171">
        <f t="shared" si="3"/>
        <v>0</v>
      </c>
      <c r="AE36" s="171">
        <f t="shared" si="3"/>
        <v>0</v>
      </c>
      <c r="AF36" s="171">
        <f t="shared" si="3"/>
        <v>0</v>
      </c>
      <c r="AG36" s="171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5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8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8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6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6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8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7"/>
      <c r="E44"/>
      <c r="G44" s="208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tr">
        <f>'Option1 (base case)'!C45</f>
        <v>Incremental reliability in worst-served areas &gt; 500 mins</v>
      </c>
      <c r="D45" s="206" t="str">
        <f>'Option1 (base case)'!D45</f>
        <v>$/MWh</v>
      </c>
      <c r="E45" s="113">
        <f>'Option1 (base case)'!E45</f>
        <v>29406.567416201804</v>
      </c>
      <c r="G45" s="208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tr">
        <f>'Option1 (base case)'!C46</f>
        <v>Incremental network resilience (domestic)</v>
      </c>
      <c r="D46" s="206" t="str">
        <f>'Option1 (base case)'!D46</f>
        <v>$/MWh</v>
      </c>
      <c r="E46" s="113">
        <f>'Option1 (base case)'!E46</f>
        <v>24910</v>
      </c>
      <c r="G46" s="208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tr">
        <f>'Option1 (base case)'!C47</f>
        <v>Incremental network resilience (commercial)</v>
      </c>
      <c r="D47" s="206" t="str">
        <f>'Option1 (base case)'!D47</f>
        <v>$/MWh</v>
      </c>
      <c r="E47" s="113">
        <f>'Option1 (base case)'!E47</f>
        <v>52200</v>
      </c>
      <c r="G47" s="208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tr">
        <f>'Option1 (base case)'!C48</f>
        <v>Incremental network resilience (industrial)</v>
      </c>
      <c r="D48" s="206" t="str">
        <f>'Option1 (base case)'!D48</f>
        <v>$/customer</v>
      </c>
      <c r="E48" s="113">
        <f>'Option1 (base case)'!E48</f>
        <v>74790</v>
      </c>
      <c r="G48" s="208" t="s">
        <v>40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tr">
        <f>'Option1 (base case)'!C49</f>
        <v>Incremental network resilience (agricultural)</v>
      </c>
      <c r="D49" s="206" t="str">
        <f>'Option1 (base case)'!D49</f>
        <v>$/customer min</v>
      </c>
      <c r="E49" s="113">
        <f>'Option1 (base case)'!E49</f>
        <v>44400</v>
      </c>
      <c r="G49" s="208" t="s">
        <v>40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tr">
        <f>'Option1 (base case)'!C50</f>
        <v>Incremental network resilience (others)</v>
      </c>
      <c r="D50" s="206" t="str">
        <f>'Option1 (base case)'!D50</f>
        <v>$/customer min</v>
      </c>
      <c r="E50" s="113">
        <f>'Option1 (base case)'!E50</f>
        <v>52200</v>
      </c>
      <c r="G50" s="208" t="s">
        <v>40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D51" s="206"/>
      <c r="E51" s="112"/>
      <c r="G51" s="208"/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D52" s="206"/>
      <c r="E52" s="112"/>
      <c r="G52" s="208"/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6"/>
      <c r="G53" s="208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6"/>
      <c r="G54" s="208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6"/>
      <c r="G55" s="208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6"/>
      <c r="G56" s="206"/>
    </row>
    <row r="57" spans="1:43" x14ac:dyDescent="0.2">
      <c r="C57" s="3" t="s">
        <v>125</v>
      </c>
      <c r="D57" s="219"/>
      <c r="E57" s="107"/>
      <c r="F57" s="3"/>
      <c r="G57" s="211">
        <f>input_dollars</f>
        <v>45291</v>
      </c>
      <c r="H57" s="107"/>
      <c r="I57" s="171" cm="1">
        <f t="array" ref="I57">SUMPRODUCT((I$45:I$52)*($E$45:$E$52))+SUM(I54:I55)+I42</f>
        <v>0</v>
      </c>
      <c r="J57" s="171" cm="1">
        <f t="array" ref="J57">SUMPRODUCT((J$45:J$52)*($E$45:$E$52))+SUM(J54:J55)+J42</f>
        <v>0</v>
      </c>
      <c r="K57" s="171" cm="1">
        <f t="array" ref="K57">SUMPRODUCT((K$45:K$52)*($E$45:$E$52))+SUM(K54:K55)+K42</f>
        <v>0</v>
      </c>
      <c r="L57" s="171" cm="1">
        <f t="array" ref="L57">SUMPRODUCT((L$45:L$52)*($E$45:$E$52))+SUM(L54:L55)+L42</f>
        <v>0</v>
      </c>
      <c r="M57" s="171" cm="1">
        <f t="array" ref="M57">SUMPRODUCT((M$45:M$52)*($E$45:$E$52))+SUM(M54:M55)+M42</f>
        <v>0</v>
      </c>
      <c r="N57" s="171" cm="1">
        <f t="array" ref="N57">SUMPRODUCT((N$45:N$52)*($E$45:$E$52))+SUM(N54:N55)+N42</f>
        <v>0</v>
      </c>
      <c r="O57" s="171" cm="1">
        <f t="array" ref="O57">SUMPRODUCT((O$45:O$52)*($E$45:$E$52))+SUM(O54:O55)+O42</f>
        <v>0</v>
      </c>
      <c r="P57" s="171" cm="1">
        <f t="array" ref="P57">SUMPRODUCT((P$45:P$52)*($E$45:$E$52))+SUM(P54:P55)+P42</f>
        <v>0</v>
      </c>
      <c r="Q57" s="171" cm="1">
        <f t="array" ref="Q57">SUMPRODUCT((Q$45:Q$52)*($E$45:$E$52))+SUM(Q54:Q55)+Q42</f>
        <v>0</v>
      </c>
      <c r="R57" s="171" cm="1">
        <f t="array" ref="R57">SUMPRODUCT((R$45:R$52)*($E$45:$E$52))+SUM(R54:R55)+R42</f>
        <v>0</v>
      </c>
      <c r="S57" s="171" cm="1">
        <f t="array" ref="S57">SUMPRODUCT((S$45:S$52)*($E$45:$E$52))+SUM(S54:S55)+S42</f>
        <v>0</v>
      </c>
      <c r="T57" s="171" cm="1">
        <f t="array" ref="T57">SUMPRODUCT((T$45:T$52)*($E$45:$E$52))+SUM(T54:T55)+T42</f>
        <v>0</v>
      </c>
      <c r="U57" s="171" cm="1">
        <f t="array" ref="U57">SUMPRODUCT((U$45:U$52)*($E$45:$E$52))+SUM(U54:U55)+U42</f>
        <v>0</v>
      </c>
      <c r="V57" s="171" cm="1">
        <f t="array" ref="V57">SUMPRODUCT((V$45:V$52)*($E$45:$E$52))+SUM(V54:V55)+V42</f>
        <v>0</v>
      </c>
      <c r="W57" s="171" cm="1">
        <f t="array" ref="W57">SUMPRODUCT((W$45:W$52)*($E$45:$E$52))+SUM(W54:W55)+W42</f>
        <v>0</v>
      </c>
      <c r="X57" s="171" cm="1">
        <f t="array" ref="X57">SUMPRODUCT((X$45:X$52)*($E$45:$E$52))+SUM(X54:X55)+X42</f>
        <v>0</v>
      </c>
      <c r="Y57" s="171" cm="1">
        <f t="array" ref="Y57">SUMPRODUCT((Y$45:Y$52)*($E$45:$E$52))+SUM(Y54:Y55)+Y42</f>
        <v>0</v>
      </c>
      <c r="Z57" s="171" cm="1">
        <f t="array" ref="Z57">SUMPRODUCT((Z$45:Z$52)*($E$45:$E$52))+SUM(Z54:Z55)+Z42</f>
        <v>0</v>
      </c>
      <c r="AA57" s="171" cm="1">
        <f t="array" ref="AA57">SUMPRODUCT((AA$45:AA$52)*($E$45:$E$52))+SUM(AA54:AA55)+AA42</f>
        <v>0</v>
      </c>
      <c r="AB57" s="171" cm="1">
        <f t="array" ref="AB57">SUMPRODUCT((AB$45:AB$52)*($E$45:$E$52))+SUM(AB54:AB55)+AB42</f>
        <v>0</v>
      </c>
      <c r="AC57" s="171" cm="1">
        <f t="array" ref="AC57">SUMPRODUCT((AC$45:AC$52)*($E$45:$E$52))+SUM(AC54:AC55)+AC42</f>
        <v>0</v>
      </c>
      <c r="AD57" s="171" cm="1">
        <f t="array" ref="AD57">SUMPRODUCT((AD$45:AD$52)*($E$45:$E$52))+SUM(AD54:AD55)+AD42</f>
        <v>0</v>
      </c>
      <c r="AE57" s="171" cm="1">
        <f t="array" ref="AE57">SUMPRODUCT((AE$45:AE$52)*($E$45:$E$52))+SUM(AE54:AE55)+AE42</f>
        <v>0</v>
      </c>
      <c r="AF57" s="171" cm="1">
        <f t="array" ref="AF57">SUMPRODUCT((AF$45:AF$52)*($E$45:$E$52))+SUM(AF54:AF55)+AF42</f>
        <v>0</v>
      </c>
      <c r="AG57" s="171" cm="1">
        <f t="array" ref="AG57">SUMPRODUCT((AG$45:AG$52)*($E$45:$E$52))+SUM(AG54:AG55)+AG42</f>
        <v>0</v>
      </c>
    </row>
    <row r="58" spans="1:43" x14ac:dyDescent="0.2">
      <c r="D58" s="206"/>
      <c r="G58" s="206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6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5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9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2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3"/>
    </row>
    <row r="64" spans="1:43" x14ac:dyDescent="0.2">
      <c r="C64" s="4" t="str">
        <f>'Option1 (base case)'!C64</f>
        <v>Risks mitigated vs base case</v>
      </c>
      <c r="G64" s="211">
        <f>input_dollars</f>
        <v>45291</v>
      </c>
      <c r="I64" s="133">
        <f>(1-INDEX(Data!$C$9:$C$13, MATCH($A$3, options,0)))*('Option1 (base case)'!I36-I36)</f>
        <v>0</v>
      </c>
      <c r="J64" s="133">
        <f>(1-INDEX(Data!$C$9:$C$13, MATCH($A$3, options,0)))*('Option1 (base case)'!J36-J36)</f>
        <v>0</v>
      </c>
      <c r="K64" s="133">
        <f>(1-INDEX(Data!$C$9:$C$13, MATCH($A$3, options,0)))*('Option1 (base case)'!K36-K36)</f>
        <v>0</v>
      </c>
      <c r="L64" s="133">
        <f>(1-INDEX(Data!$C$9:$C$13, MATCH($A$3, options,0)))*('Option1 (base case)'!L36-L36)</f>
        <v>0</v>
      </c>
      <c r="M64" s="133">
        <f>(1-INDEX(Data!$C$9:$C$13, MATCH($A$3, options,0)))*('Option1 (base case)'!M36-M36)</f>
        <v>0</v>
      </c>
      <c r="N64" s="133">
        <f>(1-INDEX(Data!$C$9:$C$13, MATCH($A$3, options,0)))*('Option1 (base case)'!N36-N36)</f>
        <v>0</v>
      </c>
      <c r="O64" s="133">
        <f>(1-INDEX(Data!$C$9:$C$13, MATCH($A$3, options,0)))*('Option1 (base case)'!O36-O36)</f>
        <v>0</v>
      </c>
      <c r="P64" s="133">
        <f>(1-INDEX(Data!$C$9:$C$13, MATCH($A$3, options,0)))*('Option1 (base case)'!P36-P36)</f>
        <v>0</v>
      </c>
      <c r="Q64" s="133">
        <f>(1-INDEX(Data!$C$9:$C$13, MATCH($A$3, options,0)))*('Option1 (base case)'!Q36-Q36)</f>
        <v>0</v>
      </c>
      <c r="R64" s="133">
        <f>(1-INDEX(Data!$C$9:$C$13, MATCH($A$3, options,0)))*('Option1 (base case)'!R36-R36)</f>
        <v>0</v>
      </c>
      <c r="S64" s="133">
        <f>(1-INDEX(Data!$C$9:$C$13, MATCH($A$3, options,0)))*('Option1 (base case)'!S36-S36)</f>
        <v>0</v>
      </c>
      <c r="T64" s="133">
        <f>(1-INDEX(Data!$C$9:$C$13, MATCH($A$3, options,0)))*('Option1 (base case)'!T36-T36)</f>
        <v>0</v>
      </c>
      <c r="U64" s="133">
        <f>(1-INDEX(Data!$C$9:$C$13, MATCH($A$3, options,0)))*('Option1 (base case)'!U36-U36)</f>
        <v>0</v>
      </c>
      <c r="V64" s="133">
        <f>(1-INDEX(Data!$C$9:$C$13, MATCH($A$3, options,0)))*('Option1 (base case)'!V36-V36)</f>
        <v>0</v>
      </c>
      <c r="W64" s="133">
        <f>(1-INDEX(Data!$C$9:$C$13, MATCH($A$3, options,0)))*('Option1 (base case)'!W36-W36)</f>
        <v>0</v>
      </c>
      <c r="X64" s="133">
        <f>(1-INDEX(Data!$C$9:$C$13, MATCH($A$3, options,0)))*('Option1 (base case)'!X36-X36)</f>
        <v>0</v>
      </c>
      <c r="Y64" s="133">
        <f>(1-INDEX(Data!$C$9:$C$13, MATCH($A$3, options,0)))*('Option1 (base case)'!Y36-Y36)</f>
        <v>0</v>
      </c>
      <c r="Z64" s="133">
        <f>(1-INDEX(Data!$C$9:$C$13, MATCH($A$3, options,0)))*('Option1 (base case)'!Z36-Z36)</f>
        <v>0</v>
      </c>
      <c r="AA64" s="133">
        <f>(1-INDEX(Data!$C$9:$C$13, MATCH($A$3, options,0)))*('Option1 (base case)'!AA36-AA36)</f>
        <v>0</v>
      </c>
      <c r="AB64" s="133">
        <f>(1-INDEX(Data!$C$9:$C$13, MATCH($A$3, options,0)))*('Option1 (base case)'!AB36-AB36)</f>
        <v>0</v>
      </c>
      <c r="AC64" s="133">
        <f>(1-INDEX(Data!$C$9:$C$13, MATCH($A$3, options,0)))*('Option1 (base case)'!AC36-AC36)</f>
        <v>0</v>
      </c>
      <c r="AD64" s="133">
        <f>(1-INDEX(Data!$C$9:$C$13, MATCH($A$3, options,0)))*('Option1 (base case)'!AD36-AD36)</f>
        <v>0</v>
      </c>
      <c r="AE64" s="133">
        <f>(1-INDEX(Data!$C$9:$C$13, MATCH($A$3, options,0)))*('Option1 (base case)'!AE36-AE36)</f>
        <v>0</v>
      </c>
      <c r="AF64" s="133">
        <f>(1-INDEX(Data!$C$9:$C$13, MATCH($A$3, options,0)))*('Option1 (base case)'!AF36-AF36)</f>
        <v>0</v>
      </c>
      <c r="AG64" s="133">
        <f>(1-INDEX(Data!$C$9:$C$13, MATCH($A$3, options,0)))*('Option1 (base case)'!AG36-AG36)</f>
        <v>0</v>
      </c>
    </row>
    <row r="65" spans="1:33" x14ac:dyDescent="0.2">
      <c r="G65" s="213"/>
    </row>
    <row r="66" spans="1:33" x14ac:dyDescent="0.2">
      <c r="A66" s="8"/>
      <c r="B66" s="8"/>
      <c r="C66" s="148" t="s">
        <v>30</v>
      </c>
      <c r="D66" s="38"/>
      <c r="F66" s="97"/>
      <c r="G66" s="214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1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1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1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5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8" t="s">
        <v>160</v>
      </c>
      <c r="D71" s="38"/>
      <c r="F71" s="97"/>
      <c r="G71" s="214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1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1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1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5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8" t="s">
        <v>91</v>
      </c>
      <c r="D76" s="38"/>
      <c r="F76" s="97"/>
      <c r="G76" s="214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1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1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1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3" t="s">
        <v>161</v>
      </c>
      <c r="D80" s="173"/>
      <c r="E80" s="174"/>
      <c r="F80" s="175"/>
      <c r="G80" s="216">
        <f>input_dollars</f>
        <v>45291</v>
      </c>
      <c r="H80" s="176"/>
      <c r="I80" s="177">
        <f>SUM(I77:I79)</f>
        <v>0</v>
      </c>
      <c r="J80" s="177">
        <f t="shared" ref="J80:AB80" si="11">SUM(J77:J79)</f>
        <v>0</v>
      </c>
      <c r="K80" s="177">
        <f t="shared" si="11"/>
        <v>0</v>
      </c>
      <c r="L80" s="177">
        <f t="shared" si="11"/>
        <v>0</v>
      </c>
      <c r="M80" s="177">
        <f t="shared" si="11"/>
        <v>0</v>
      </c>
      <c r="N80" s="177">
        <f t="shared" si="11"/>
        <v>0</v>
      </c>
      <c r="O80" s="177">
        <f t="shared" si="11"/>
        <v>0</v>
      </c>
      <c r="P80" s="177">
        <f t="shared" si="11"/>
        <v>0</v>
      </c>
      <c r="Q80" s="177">
        <f t="shared" si="11"/>
        <v>0</v>
      </c>
      <c r="R80" s="177">
        <f t="shared" si="11"/>
        <v>0</v>
      </c>
      <c r="S80" s="177">
        <f t="shared" si="11"/>
        <v>0</v>
      </c>
      <c r="T80" s="177">
        <f t="shared" si="11"/>
        <v>0</v>
      </c>
      <c r="U80" s="177">
        <f t="shared" si="11"/>
        <v>0</v>
      </c>
      <c r="V80" s="177">
        <f t="shared" si="11"/>
        <v>0</v>
      </c>
      <c r="W80" s="177">
        <f t="shared" si="11"/>
        <v>0</v>
      </c>
      <c r="X80" s="177">
        <f t="shared" si="11"/>
        <v>0</v>
      </c>
      <c r="Y80" s="177">
        <f t="shared" si="11"/>
        <v>0</v>
      </c>
      <c r="Z80" s="177">
        <f t="shared" si="11"/>
        <v>0</v>
      </c>
      <c r="AA80" s="177">
        <f t="shared" si="11"/>
        <v>0</v>
      </c>
      <c r="AB80" s="177">
        <f t="shared" si="11"/>
        <v>0</v>
      </c>
      <c r="AC80" s="177">
        <f>SUM(AC77:AC79)</f>
        <v>0</v>
      </c>
      <c r="AD80" s="177">
        <f>SUM(AD77:AD79)</f>
        <v>0</v>
      </c>
      <c r="AE80" s="177">
        <f>SUM(AE77:AE79)</f>
        <v>0</v>
      </c>
      <c r="AF80" s="177">
        <f>SUM(AF77:AF79)</f>
        <v>0</v>
      </c>
      <c r="AG80" s="177">
        <f>SUM(AG77:AG79)</f>
        <v>0</v>
      </c>
    </row>
    <row r="81" spans="1:33" x14ac:dyDescent="0.2">
      <c r="A81" s="8"/>
      <c r="B81" s="8"/>
      <c r="C81" s="75"/>
      <c r="D81" s="38"/>
      <c r="F81"/>
      <c r="G81" s="217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1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1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142</v>
      </c>
      <c r="D84" s="38"/>
      <c r="F84" s="97"/>
      <c r="G84" s="211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1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8" t="s">
        <v>192</v>
      </c>
      <c r="D87" s="179"/>
      <c r="E87" s="174"/>
      <c r="F87" s="180"/>
      <c r="G87" s="216">
        <f t="shared" si="12"/>
        <v>45291</v>
      </c>
      <c r="H87" s="180"/>
      <c r="I87" s="180">
        <f t="shared" ref="I87:AB87" si="17">SUM(I82:I86)</f>
        <v>0</v>
      </c>
      <c r="J87" s="180">
        <f t="shared" si="17"/>
        <v>0</v>
      </c>
      <c r="K87" s="180">
        <f t="shared" si="17"/>
        <v>0</v>
      </c>
      <c r="L87" s="180">
        <f t="shared" si="17"/>
        <v>0</v>
      </c>
      <c r="M87" s="180">
        <f t="shared" si="17"/>
        <v>0</v>
      </c>
      <c r="N87" s="180">
        <f t="shared" si="17"/>
        <v>0</v>
      </c>
      <c r="O87" s="180">
        <f t="shared" si="17"/>
        <v>0</v>
      </c>
      <c r="P87" s="180">
        <f t="shared" si="17"/>
        <v>0</v>
      </c>
      <c r="Q87" s="180">
        <f t="shared" si="17"/>
        <v>0</v>
      </c>
      <c r="R87" s="180">
        <f t="shared" si="17"/>
        <v>0</v>
      </c>
      <c r="S87" s="180">
        <f t="shared" si="17"/>
        <v>0</v>
      </c>
      <c r="T87" s="180">
        <f t="shared" si="17"/>
        <v>0</v>
      </c>
      <c r="U87" s="180">
        <f t="shared" si="17"/>
        <v>0</v>
      </c>
      <c r="V87" s="180">
        <f t="shared" si="17"/>
        <v>0</v>
      </c>
      <c r="W87" s="180">
        <f t="shared" si="17"/>
        <v>0</v>
      </c>
      <c r="X87" s="180">
        <f t="shared" si="17"/>
        <v>0</v>
      </c>
      <c r="Y87" s="180">
        <f t="shared" si="17"/>
        <v>0</v>
      </c>
      <c r="Z87" s="180">
        <f t="shared" si="17"/>
        <v>0</v>
      </c>
      <c r="AA87" s="180">
        <f t="shared" si="17"/>
        <v>0</v>
      </c>
      <c r="AB87" s="180">
        <f t="shared" si="17"/>
        <v>0</v>
      </c>
      <c r="AC87" s="180">
        <f>SUM(AC82:AC86)</f>
        <v>0</v>
      </c>
      <c r="AD87" s="180">
        <f>SUM(AD82:AD86)</f>
        <v>0</v>
      </c>
      <c r="AE87" s="180">
        <f>SUM(AE82:AE86)</f>
        <v>0</v>
      </c>
      <c r="AF87" s="180">
        <f>SUM(AF82:AF86)</f>
        <v>0</v>
      </c>
      <c r="AG87" s="180">
        <f>SUM(AG82:AG86)</f>
        <v>0</v>
      </c>
    </row>
    <row r="88" spans="1:33" x14ac:dyDescent="0.2">
      <c r="A88" s="8"/>
      <c r="B88" s="8"/>
      <c r="C88" s="75"/>
      <c r="D88" s="139"/>
      <c r="E88" s="64"/>
      <c r="F88" s="142"/>
      <c r="G88" s="21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9"/>
      <c r="E89" s="64"/>
      <c r="F89" s="142"/>
      <c r="G89" s="21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1" t="s">
        <v>202</v>
      </c>
      <c r="D90" s="82"/>
      <c r="E90" s="232"/>
      <c r="F90" s="233"/>
      <c r="G90" s="234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5"/>
      <c r="E91" s="232"/>
      <c r="F91" s="232"/>
      <c r="G91" s="234"/>
    </row>
    <row r="92" spans="1:33" x14ac:dyDescent="0.2">
      <c r="C92" s="236" t="s">
        <v>197</v>
      </c>
      <c r="D92" s="237"/>
      <c r="E92" s="237"/>
      <c r="F92" s="237"/>
      <c r="G92" s="238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218</v>
      </c>
      <c r="B102" s="89"/>
      <c r="C102" s="89"/>
      <c r="D102" s="89"/>
      <c r="E102" s="89"/>
      <c r="F102" s="89"/>
      <c r="G102" s="205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</row>
    <row r="105" spans="1:43" x14ac:dyDescent="0.2"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</row>
    <row r="106" spans="1:43" x14ac:dyDescent="0.2">
      <c r="A106" s="1" t="s">
        <v>119</v>
      </c>
      <c r="C106" s="1" t="s">
        <v>192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161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243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2" t="str">
        <f>Assumptions!G114</f>
        <v>Capex</v>
      </c>
      <c r="E109" s="302" t="str">
        <f>Assumptions!H114</f>
        <v>Total benefits</v>
      </c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</row>
    <row r="110" spans="1:43" x14ac:dyDescent="0.2">
      <c r="A110" s="1" t="str">
        <f>"sens"&amp;Assumptions!B115</f>
        <v>sens1</v>
      </c>
      <c r="C110" s="301" t="str">
        <f>Assumptions!C115</f>
        <v>Capex 10% higher</v>
      </c>
      <c r="D110" s="302">
        <f>Assumptions!G115</f>
        <v>0.1</v>
      </c>
      <c r="E110" s="302">
        <f>Assumptions!H115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"sens"&amp;Assumptions!B116</f>
        <v>sens2</v>
      </c>
      <c r="C111" s="301" t="str">
        <f>Assumptions!C116</f>
        <v>Capex 10% lower</v>
      </c>
      <c r="D111" s="302">
        <f>Assumptions!G116</f>
        <v>-0.1</v>
      </c>
      <c r="E111" s="302">
        <f>Assumptions!H116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"sens"&amp;Assumptions!B117</f>
        <v>sens3</v>
      </c>
      <c r="C112" s="301" t="str">
        <f>Assumptions!C117</f>
        <v>Increasing wind escalation</v>
      </c>
      <c r="D112" s="302">
        <f>Assumptions!G117</f>
        <v>0</v>
      </c>
      <c r="E112" s="302">
        <f>Assumptions!H117</f>
        <v>0.15</v>
      </c>
      <c r="G112" s="38" t="str">
        <f t="shared" si="21"/>
        <v>Option 5sens3</v>
      </c>
      <c r="I112" s="335">
        <f>IF(I106&lt;&gt;0, I106+SUM(Workings_risks!$F$19*Workings_risks!I27*$E$112/20,Workings_risks!I26*Workings_risks!$F$18)*Workings_risks!$F$13*Workings_risks!I8*$E$28,0)</f>
        <v>0</v>
      </c>
      <c r="J112" s="335">
        <f>IF(J106&lt;&gt;0, J106+SUM(Workings_risks!$F$19*Workings_risks!J27*$E$112/20,Workings_risks!J26*Workings_risks!$F$18)*Workings_risks!$F$13*Workings_risks!J8*$E$28,0)</f>
        <v>0</v>
      </c>
      <c r="K112" s="335">
        <f>IF(K106&lt;&gt;0, K106+SUM(Workings_risks!$F$19*Workings_risks!K27*$E$112/20,Workings_risks!K26*Workings_risks!$F$18)*Workings_risks!$F$13*Workings_risks!K8*$E$28,0)</f>
        <v>0</v>
      </c>
      <c r="L112" s="335">
        <f>IF(L106&lt;&gt;0, L106+SUM(Workings_risks!$F$19*Workings_risks!L27*$E$112/20,Workings_risks!L26*Workings_risks!$F$18)*Workings_risks!$F$13*Workings_risks!L8*$E$28,0)</f>
        <v>0</v>
      </c>
      <c r="M112" s="335">
        <f>IF(M106&lt;&gt;0, M106+SUM(Workings_risks!$F$19*Workings_risks!M27*$E$112/20,Workings_risks!M26*Workings_risks!$F$18)*Workings_risks!$F$13*Workings_risks!M8*$E$28,0)</f>
        <v>0</v>
      </c>
      <c r="N112" s="335">
        <f>IF(N106&lt;&gt;0, N106+SUM(Workings_risks!$F$19*Workings_risks!N27*$E$112/20,Workings_risks!N26*Workings_risks!$F$18)*Workings_risks!$F$13*Workings_risks!N8*$E$28,0)</f>
        <v>0</v>
      </c>
      <c r="O112" s="335">
        <f>IF(O106&lt;&gt;0, O106+SUM(Workings_risks!$F$19*Workings_risks!O27*$E$112/20,Workings_risks!O26*Workings_risks!$F$18)*Workings_risks!$F$13*Workings_risks!O8*$E$28,0)</f>
        <v>0</v>
      </c>
      <c r="P112" s="335">
        <f>IF(P106&lt;&gt;0, P106+SUM(Workings_risks!$F$19*Workings_risks!P27*$E$112/20,Workings_risks!P26*Workings_risks!$F$18)*Workings_risks!$F$13*Workings_risks!P8*$E$28,0)</f>
        <v>0</v>
      </c>
      <c r="Q112" s="335">
        <f>IF(Q106&lt;&gt;0, Q106+SUM(Workings_risks!$F$19*Workings_risks!Q27*$E$112/20,Workings_risks!Q26*Workings_risks!$F$18)*Workings_risks!$F$13*Workings_risks!Q8*$E$28,0)</f>
        <v>0</v>
      </c>
      <c r="R112" s="335">
        <f>IF(R106&lt;&gt;0, R106+SUM(Workings_risks!$F$19*Workings_risks!R27*$E$112/20,Workings_risks!R26*Workings_risks!$F$18)*Workings_risks!$F$13*Workings_risks!R8*$E$28,0)</f>
        <v>0</v>
      </c>
      <c r="S112" s="335">
        <f>IF(S106&lt;&gt;0, S106+SUM(Workings_risks!$F$19*Workings_risks!S27*$E$112/20,Workings_risks!S26*Workings_risks!$F$18)*Workings_risks!$F$13*Workings_risks!S8*$E$28,0)</f>
        <v>0</v>
      </c>
      <c r="T112" s="335">
        <f>IF(T106&lt;&gt;0, T106+SUM(Workings_risks!$F$19*Workings_risks!T27*$E$112/20,Workings_risks!T26*Workings_risks!$F$18)*Workings_risks!$F$13*Workings_risks!T8*$E$28,0)</f>
        <v>0</v>
      </c>
      <c r="U112" s="335">
        <f>IF(U106&lt;&gt;0, U106+SUM(Workings_risks!$F$19*Workings_risks!U27*$E$112/20,Workings_risks!U26*Workings_risks!$F$18)*Workings_risks!$F$13*Workings_risks!U8*$E$28,0)</f>
        <v>0</v>
      </c>
      <c r="V112" s="335">
        <f>IF(V106&lt;&gt;0, V106+SUM(Workings_risks!$F$19*Workings_risks!V27*$E$112/20,Workings_risks!V26*Workings_risks!$F$18)*Workings_risks!$F$13*Workings_risks!V8*$E$28,0)</f>
        <v>0</v>
      </c>
      <c r="W112" s="335">
        <f>IF(W106&lt;&gt;0, W106+SUM(Workings_risks!$F$19*Workings_risks!W27*$E$112/20,Workings_risks!W26*Workings_risks!$F$18)*Workings_risks!$F$13*Workings_risks!W8*$E$28,0)</f>
        <v>0</v>
      </c>
      <c r="X112" s="335">
        <f>IF(X106&lt;&gt;0, X106+SUM(Workings_risks!$F$19*Workings_risks!X27*$E$112/20,Workings_risks!X26*Workings_risks!$F$18)*Workings_risks!$F$13*Workings_risks!X8*$E$28,0)</f>
        <v>0</v>
      </c>
      <c r="Y112" s="335">
        <f>IF(Y106&lt;&gt;0, Y106+SUM(Workings_risks!$F$19*Workings_risks!Y27*$E$112/20,Workings_risks!Y26*Workings_risks!$F$18)*Workings_risks!$F$13*Workings_risks!Y8*$E$28,0)</f>
        <v>0</v>
      </c>
      <c r="Z112" s="335">
        <f>IF(Z106&lt;&gt;0, Z106+SUM(Workings_risks!$F$19*Workings_risks!Z27*$E$112/20,Workings_risks!Z26*Workings_risks!$F$18)*Workings_risks!$F$13*Workings_risks!Z8*$E$28,0)</f>
        <v>0</v>
      </c>
      <c r="AA112" s="335">
        <f>IF(AA106&lt;&gt;0, AA106+SUM(Workings_risks!$F$19*Workings_risks!AA27*$E$112/20,Workings_risks!AA26*Workings_risks!$F$18)*Workings_risks!$F$13*Workings_risks!AA8*$E$28,0)</f>
        <v>0</v>
      </c>
      <c r="AB112" s="335">
        <f>IF(AB106&lt;&gt;0, AB106+SUM(Workings_risks!$F$19*Workings_risks!AB27*$E$112/20,Workings_risks!AB26*Workings_risks!$F$18)*Workings_risks!$F$13*Workings_risks!AB8*$E$28,0)</f>
        <v>0</v>
      </c>
      <c r="AC112" s="335">
        <f>IF(AC106&lt;&gt;0, AC106+SUM(Workings_risks!$F$19*Workings_risks!AC27*$E$112/20,Workings_risks!AC26*Workings_risks!$F$18)*Workings_risks!$F$13*Workings_risks!AC8*$E$28,0)</f>
        <v>0</v>
      </c>
      <c r="AD112" s="335">
        <f>IF(AD106&lt;&gt;0, AD106+SUM(Workings_risks!$F$19*Workings_risks!AD27*$E$112/20,Workings_risks!AD26*Workings_risks!$F$18)*Workings_risks!$F$13*Workings_risks!AD8*$E$28,0)</f>
        <v>0</v>
      </c>
      <c r="AE112" s="335">
        <f>IF(AE106&lt;&gt;0, AE106+SUM(Workings_risks!$F$19*Workings_risks!AE27*$E$112/20,Workings_risks!AE26*Workings_risks!$F$18)*Workings_risks!$F$13*Workings_risks!AE8*$E$28,0)</f>
        <v>0</v>
      </c>
      <c r="AF112" s="335">
        <f>IF(AF106&lt;&gt;0, AF106+SUM(Workings_risks!$F$19*Workings_risks!AF27*$E$112/20,Workings_risks!AF26*Workings_risks!$F$18)*Workings_risks!$F$13*Workings_risks!AF8*$E$28,0)</f>
        <v>0</v>
      </c>
      <c r="AG112" s="335">
        <f>IF(AG106&lt;&gt;0, AG106+SUM(Workings_risks!$F$19*Workings_risks!AG27*$E$112/20,Workings_risks!AG26*Workings_risks!$F$18)*Workings_risks!$F$13*Workings_risks!AG8*$E$28,0)</f>
        <v>0</v>
      </c>
    </row>
    <row r="113" spans="1:33" x14ac:dyDescent="0.2">
      <c r="A113" s="1" t="str">
        <f>"sens"&amp;Assumptions!B118</f>
        <v>sens4</v>
      </c>
      <c r="C113" s="301" t="str">
        <f>Assumptions!C118</f>
        <v/>
      </c>
      <c r="D113" s="302">
        <f>Assumptions!G118</f>
        <v>0</v>
      </c>
      <c r="E113" s="302">
        <f>Assumptions!H118</f>
        <v>0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"sens"&amp;Assumptions!B119</f>
        <v>sens5</v>
      </c>
      <c r="C114" s="301" t="str">
        <f>Assumptions!C119</f>
        <v/>
      </c>
      <c r="D114" s="302">
        <f>Assumptions!G119</f>
        <v>0</v>
      </c>
      <c r="E114" s="302">
        <f>Assumptions!H119</f>
        <v>0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"sens"&amp;Assumptions!B120</f>
        <v>sens</v>
      </c>
      <c r="C115" s="301">
        <f>Assumptions!C120</f>
        <v>0</v>
      </c>
      <c r="D115" s="302">
        <f>Assumptions!G120</f>
        <v>0</v>
      </c>
      <c r="E115" s="302">
        <f>Assumptions!H120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"sens"&amp;Assumptions!B121</f>
        <v>sens</v>
      </c>
      <c r="C116" s="301">
        <f>Assumptions!C121</f>
        <v>0</v>
      </c>
      <c r="D116" s="302">
        <f>Assumptions!G121</f>
        <v>0</v>
      </c>
      <c r="E116" s="302">
        <f>Assumptions!H121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"sens"&amp;Assumptions!B122</f>
        <v>sens</v>
      </c>
      <c r="C117" s="301">
        <f>Assumptions!C122</f>
        <v>0</v>
      </c>
      <c r="D117" s="302">
        <f>Assumptions!G122</f>
        <v>0</v>
      </c>
      <c r="E117" s="302">
        <f>Assumptions!H122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ignoredErrors>
    <ignoredError sqref="I112:AG11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Ballan microgrid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4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198</v>
      </c>
      <c r="B5" s="116"/>
      <c r="C5" s="117"/>
      <c r="D5" s="116"/>
      <c r="E5" s="116"/>
      <c r="F5" s="116"/>
      <c r="G5" s="101"/>
      <c r="H5" s="189">
        <f t="shared" ref="H5:AG5" si="0">IF(H9=start,1/((1+real_disc)^(1/2)),G5/(1+real_disc))</f>
        <v>0</v>
      </c>
      <c r="I5" s="189">
        <f t="shared" si="0"/>
        <v>0.98294637436598087</v>
      </c>
      <c r="J5" s="189">
        <f t="shared" si="0"/>
        <v>0.94970664189949849</v>
      </c>
      <c r="K5" s="189">
        <f t="shared" si="0"/>
        <v>0.91759095835700344</v>
      </c>
      <c r="L5" s="189">
        <f t="shared" si="0"/>
        <v>0.88656131242222558</v>
      </c>
      <c r="M5" s="189">
        <f t="shared" si="0"/>
        <v>0.85658097818572532</v>
      </c>
      <c r="N5" s="189">
        <f t="shared" si="0"/>
        <v>0.8276144716770294</v>
      </c>
      <c r="O5" s="189">
        <f t="shared" si="0"/>
        <v>0.79962750886669509</v>
      </c>
      <c r="P5" s="189">
        <f t="shared" si="0"/>
        <v>0.77258696508859437</v>
      </c>
      <c r="Q5" s="189">
        <f t="shared" si="0"/>
        <v>0.74646083583439071</v>
      </c>
      <c r="R5" s="189">
        <f t="shared" si="0"/>
        <v>0.72121819887380756</v>
      </c>
      <c r="S5" s="189">
        <f t="shared" si="0"/>
        <v>0.69682917765585273</v>
      </c>
      <c r="T5" s="189">
        <f t="shared" si="0"/>
        <v>0.67326490594768384</v>
      </c>
      <c r="U5" s="189">
        <f t="shared" si="0"/>
        <v>0.6504974936692598</v>
      </c>
      <c r="V5" s="189">
        <f t="shared" si="0"/>
        <v>0.62849999388334288</v>
      </c>
      <c r="W5" s="189">
        <f t="shared" si="0"/>
        <v>0.60724637090178057</v>
      </c>
      <c r="X5" s="189">
        <f t="shared" si="0"/>
        <v>0.58671146947031949</v>
      </c>
      <c r="Y5" s="189">
        <f t="shared" si="0"/>
        <v>0.56687098499547783</v>
      </c>
      <c r="Z5" s="189">
        <f t="shared" si="0"/>
        <v>0.54770143477823952</v>
      </c>
      <c r="AA5" s="189">
        <f t="shared" si="0"/>
        <v>0.52918013022052135</v>
      </c>
      <c r="AB5" s="189">
        <f t="shared" si="0"/>
        <v>0.5112851499715183</v>
      </c>
      <c r="AC5" s="189">
        <f t="shared" si="0"/>
        <v>0.4939953139821433</v>
      </c>
      <c r="AD5" s="189">
        <f t="shared" si="0"/>
        <v>0.47729015843685346</v>
      </c>
      <c r="AE5" s="189">
        <f t="shared" si="0"/>
        <v>0.46114991153319179</v>
      </c>
      <c r="AF5" s="189">
        <f t="shared" si="0"/>
        <v>0.4455554700803786</v>
      </c>
      <c r="AG5" s="189">
        <f t="shared" si="0"/>
        <v>0.43048837688925473</v>
      </c>
    </row>
    <row r="6" spans="1:34" s="2" customFormat="1" hidden="1" outlineLevel="1" x14ac:dyDescent="0.2">
      <c r="A6" s="190" t="str">
        <f>'Option1 (base case)'!A6</f>
        <v>Count</v>
      </c>
      <c r="B6" s="116"/>
      <c r="C6" s="117"/>
      <c r="D6" s="116"/>
      <c r="E6" s="116"/>
      <c r="F6" s="116"/>
      <c r="G6" s="101"/>
      <c r="H6" s="190">
        <f>'Option1 (base case)'!H6</f>
        <v>0</v>
      </c>
      <c r="I6" s="190">
        <f>'Option1 (base case)'!I6</f>
        <v>1</v>
      </c>
      <c r="J6" s="190">
        <f>'Option1 (base case)'!J6</f>
        <v>2</v>
      </c>
      <c r="K6" s="190">
        <f>'Option1 (base case)'!K6</f>
        <v>3</v>
      </c>
      <c r="L6" s="190">
        <f>'Option1 (base case)'!L6</f>
        <v>4</v>
      </c>
      <c r="M6" s="190">
        <f>'Option1 (base case)'!M6</f>
        <v>5</v>
      </c>
      <c r="N6" s="190">
        <f>'Option1 (base case)'!N6</f>
        <v>6</v>
      </c>
      <c r="O6" s="190">
        <f>'Option1 (base case)'!O6</f>
        <v>7</v>
      </c>
      <c r="P6" s="190">
        <f>'Option1 (base case)'!P6</f>
        <v>8</v>
      </c>
      <c r="Q6" s="190">
        <f>'Option1 (base case)'!Q6</f>
        <v>9</v>
      </c>
      <c r="R6" s="190">
        <f>'Option1 (base case)'!R6</f>
        <v>10</v>
      </c>
      <c r="S6" s="190">
        <f>'Option1 (base case)'!S6</f>
        <v>11</v>
      </c>
      <c r="T6" s="190">
        <f>'Option1 (base case)'!T6</f>
        <v>12</v>
      </c>
      <c r="U6" s="190">
        <f>'Option1 (base case)'!U6</f>
        <v>13</v>
      </c>
      <c r="V6" s="190">
        <f>'Option1 (base case)'!V6</f>
        <v>14</v>
      </c>
      <c r="W6" s="190">
        <f>'Option1 (base case)'!W6</f>
        <v>15</v>
      </c>
      <c r="X6" s="190">
        <f>'Option1 (base case)'!X6</f>
        <v>16</v>
      </c>
      <c r="Y6" s="190">
        <f>'Option1 (base case)'!Y6</f>
        <v>17</v>
      </c>
      <c r="Z6" s="190">
        <f>'Option1 (base case)'!Z6</f>
        <v>18</v>
      </c>
      <c r="AA6" s="190">
        <f>'Option1 (base case)'!AA6</f>
        <v>19</v>
      </c>
      <c r="AB6" s="190">
        <f>'Option1 (base case)'!AB6</f>
        <v>20</v>
      </c>
      <c r="AC6" s="190">
        <f>'Option1 (base case)'!AC6</f>
        <v>21</v>
      </c>
      <c r="AD6" s="190">
        <f>'Option1 (base case)'!AD6</f>
        <v>22</v>
      </c>
      <c r="AE6" s="190">
        <f>'Option1 (base case)'!AE6</f>
        <v>23</v>
      </c>
      <c r="AF6" s="190">
        <f>'Option1 (base case)'!AF6</f>
        <v>24</v>
      </c>
      <c r="AG6" s="190">
        <f>'Option1 (base case)'!AG6</f>
        <v>25</v>
      </c>
    </row>
    <row r="7" spans="1:34" s="2" customFormat="1" hidden="1" outlineLevel="1" x14ac:dyDescent="0.2">
      <c r="A7" s="116" t="s">
        <v>199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1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157</v>
      </c>
      <c r="G11" s="223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5"/>
      <c r="H12" s="118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</row>
    <row r="13" spans="1:34" s="2" customFormat="1" x14ac:dyDescent="0.2">
      <c r="A13" s="123"/>
      <c r="B13" s="123"/>
      <c r="C13" s="123"/>
      <c r="D13" s="118"/>
      <c r="F13" s="118"/>
      <c r="G13" s="222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1" customFormat="1" x14ac:dyDescent="0.2">
      <c r="A14" s="269" t="str">
        <f>A15</f>
        <v>Option 1 (base case)</v>
      </c>
      <c r="B14" s="269"/>
      <c r="C14" s="269" t="s">
        <v>124</v>
      </c>
      <c r="D14" s="270" t="str">
        <f t="shared" ref="D14:D25" si="2">A14&amp;C14</f>
        <v>Option 1 (base case)Energy at risk value</v>
      </c>
      <c r="F14" s="97">
        <f>SUMPRODUCT($H14:$AG14, $H$5:$AG$5)</f>
        <v>5940154.2960373601</v>
      </c>
      <c r="G14" s="272">
        <f>output_dollars</f>
        <v>46203</v>
      </c>
      <c r="H14" s="273"/>
      <c r="I14" s="31">
        <f>'Option1 (base case)'!I$28*conv_2026</f>
        <v>292217.80244029616</v>
      </c>
      <c r="J14" s="31">
        <f>'Option1 (base case)'!J$28*conv_2026</f>
        <v>303879.95925145812</v>
      </c>
      <c r="K14" s="31">
        <f>'Option1 (base case)'!K$28*conv_2026</f>
        <v>317325.91108706844</v>
      </c>
      <c r="L14" s="31">
        <f>'Option1 (base case)'!L$28*conv_2026</f>
        <v>330730.32530336204</v>
      </c>
      <c r="M14" s="31">
        <f>'Option1 (base case)'!M$28*conv_2026</f>
        <v>341885.0945302865</v>
      </c>
      <c r="N14" s="31">
        <f>'Option1 (base case)'!N$28*conv_2026</f>
        <v>348912.66829235532</v>
      </c>
      <c r="O14" s="31">
        <f>'Option1 (base case)'!O$28*conv_2026</f>
        <v>359761.24586979381</v>
      </c>
      <c r="P14" s="31">
        <f>'Option1 (base case)'!P$28*conv_2026</f>
        <v>372018.65595563326</v>
      </c>
      <c r="Q14" s="31">
        <f>'Option1 (base case)'!Q$28*conv_2026</f>
        <v>380886.52551006537</v>
      </c>
      <c r="R14" s="31">
        <f>'Option1 (base case)'!R$28*conv_2026</f>
        <v>379466.36177769251</v>
      </c>
      <c r="S14" s="31">
        <f>'Option1 (base case)'!S$28*conv_2026</f>
        <v>378046.19804531976</v>
      </c>
      <c r="T14" s="31">
        <f>'Option1 (base case)'!T$28*conv_2026</f>
        <v>376626.03431294655</v>
      </c>
      <c r="U14" s="31">
        <f>'Option1 (base case)'!U$28*conv_2026</f>
        <v>375205.8705805738</v>
      </c>
      <c r="V14" s="31">
        <f>'Option1 (base case)'!V$28*conv_2026</f>
        <v>373785.7068482007</v>
      </c>
      <c r="W14" s="31">
        <f>'Option1 (base case)'!W$28*conv_2026</f>
        <v>372365.54311582784</v>
      </c>
      <c r="X14" s="31">
        <f>'Option1 (base case)'!X$28*conv_2026</f>
        <v>370945.37938345468</v>
      </c>
      <c r="Y14" s="31">
        <f>'Option1 (base case)'!Y$28*conv_2026</f>
        <v>369525.21565108187</v>
      </c>
      <c r="Z14" s="31">
        <f>'Option1 (base case)'!Z$28*conv_2026</f>
        <v>368105.05191870872</v>
      </c>
      <c r="AA14" s="31">
        <f>'Option1 (base case)'!AA$28*conv_2026</f>
        <v>366684.88818633597</v>
      </c>
      <c r="AB14" s="31">
        <f>'Option1 (base case)'!AB$28*conv_2026</f>
        <v>365264.72445396287</v>
      </c>
      <c r="AC14" s="31">
        <f>'Option1 (base case)'!AC$28*conv_2026</f>
        <v>363844.56072158995</v>
      </c>
      <c r="AD14" s="31">
        <f>'Option1 (base case)'!AD$28*conv_2026</f>
        <v>362424.39698921685</v>
      </c>
      <c r="AE14" s="31">
        <f>'Option1 (base case)'!AE$28*conv_2026</f>
        <v>361004.23325684405</v>
      </c>
      <c r="AF14" s="31">
        <f>'Option1 (base case)'!AF$28*conv_2026</f>
        <v>359584.06952447136</v>
      </c>
      <c r="AG14" s="31">
        <f>'Option1 (base case)'!AG$28*conv_2026</f>
        <v>358163.90579209814</v>
      </c>
    </row>
    <row r="15" spans="1:34" s="1" customFormat="1" x14ac:dyDescent="0.2">
      <c r="A15" s="136" t="str">
        <f>Data!B9</f>
        <v>Option 1 (base case)</v>
      </c>
      <c r="B15" s="136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6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6" t="str">
        <f t="shared" ref="A16:A25" si="3">A15</f>
        <v>Option 1 (base case)</v>
      </c>
      <c r="B16" s="136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5459277.1782127116</v>
      </c>
      <c r="G16" s="226">
        <f>output_dollars</f>
        <v>46203</v>
      </c>
      <c r="H16" s="31"/>
      <c r="I16" s="31">
        <f>'Option1 (base case)'!I$36*conv_2026</f>
        <v>292217.80244029616</v>
      </c>
      <c r="J16" s="31">
        <f>'Option1 (base case)'!J$36*conv_2026</f>
        <v>303879.95925145812</v>
      </c>
      <c r="K16" s="31">
        <f>'Option1 (base case)'!K$36*conv_2026</f>
        <v>317325.91108706844</v>
      </c>
      <c r="L16" s="31">
        <f>'Option1 (base case)'!L$36*conv_2026</f>
        <v>330730.32530336204</v>
      </c>
      <c r="M16" s="31">
        <f>'Option1 (base case)'!M$36*conv_2026</f>
        <v>341885.0945302865</v>
      </c>
      <c r="N16" s="31">
        <f>'Option1 (base case)'!N$36*conv_2026</f>
        <v>348912.66829235532</v>
      </c>
      <c r="O16" s="31">
        <f>'Option1 (base case)'!O$36*conv_2026</f>
        <v>359761.24586979381</v>
      </c>
      <c r="P16" s="31">
        <f>'Option1 (base case)'!P$36*conv_2026</f>
        <v>372018.65595563326</v>
      </c>
      <c r="Q16" s="31">
        <f>'Option1 (base case)'!Q$36*conv_2026</f>
        <v>380886.52551006537</v>
      </c>
      <c r="R16" s="31">
        <f>'Option1 (base case)'!R$36*conv_2026</f>
        <v>379466.36177769251</v>
      </c>
      <c r="S16" s="31">
        <f>'Option1 (base case)'!S$36*conv_2026</f>
        <v>378046.19804531976</v>
      </c>
      <c r="T16" s="31">
        <f>'Option1 (base case)'!T$36*conv_2026</f>
        <v>376626.03431294655</v>
      </c>
      <c r="U16" s="31">
        <f>'Option1 (base case)'!U$36*conv_2026</f>
        <v>375205.8705805738</v>
      </c>
      <c r="V16" s="31">
        <f>'Option1 (base case)'!V$36*conv_2026</f>
        <v>373785.7068482007</v>
      </c>
      <c r="W16" s="31">
        <f>'Option1 (base case)'!W$36*conv_2026</f>
        <v>372365.54311582784</v>
      </c>
      <c r="X16" s="31">
        <f>'Option1 (base case)'!X$36*conv_2026</f>
        <v>370945.37938345468</v>
      </c>
      <c r="Y16" s="31">
        <f>'Option1 (base case)'!Y$36*conv_2026</f>
        <v>369525.21565108187</v>
      </c>
      <c r="Z16" s="31">
        <f>'Option1 (base case)'!Z$36*conv_2026</f>
        <v>368105.05191870872</v>
      </c>
      <c r="AA16" s="31">
        <f>'Option1 (base case)'!AA$36*conv_2026</f>
        <v>366684.88818633597</v>
      </c>
      <c r="AB16" s="31">
        <f>'Option1 (base case)'!AB$36*conv_2026</f>
        <v>365264.72445396287</v>
      </c>
      <c r="AC16" s="31">
        <f>'Option1 (base case)'!AC$36*conv_2026</f>
        <v>363844.56072158995</v>
      </c>
      <c r="AD16" s="31">
        <f>'Option1 (base case)'!AD$36*conv_2026</f>
        <v>362424.39698921685</v>
      </c>
      <c r="AE16" s="31">
        <f>'Option1 (base case)'!AE$36*conv_2026</f>
        <v>361004.23325684405</v>
      </c>
      <c r="AF16" s="31">
        <f>'Option1 (base case)'!AF$36*conv_2026</f>
        <v>359584.06952447136</v>
      </c>
      <c r="AG16" s="31">
        <f>'Option1 (base case)'!AG$36*conv_2026</f>
        <v>358163.90579209814</v>
      </c>
    </row>
    <row r="17" spans="1:33" s="1" customFormat="1" x14ac:dyDescent="0.2">
      <c r="A17" s="136" t="str">
        <f t="shared" si="3"/>
        <v>Option 1 (base case)</v>
      </c>
      <c r="B17" s="136"/>
      <c r="C17" s="75"/>
      <c r="D17" s="38" t="str">
        <f t="shared" si="2"/>
        <v>Option 1 (base case)</v>
      </c>
      <c r="F17"/>
      <c r="G17" s="22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6" t="str">
        <f t="shared" si="3"/>
        <v>Option 1 (base case)</v>
      </c>
      <c r="B18" s="136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6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6" t="str">
        <f t="shared" si="3"/>
        <v>Option 1 (base case)</v>
      </c>
      <c r="B19" s="136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6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6" t="str">
        <f t="shared" si="3"/>
        <v>Option 1 (base case)</v>
      </c>
      <c r="B20" s="136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6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6" t="str">
        <f t="shared" si="3"/>
        <v>Option 1 (base case)</v>
      </c>
      <c r="B21" s="136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6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6" t="str">
        <f t="shared" si="3"/>
        <v>Option 1 (base case)</v>
      </c>
      <c r="B22" s="136"/>
      <c r="C22" s="145" t="str">
        <f>'Option1 (base case)'!C$87</f>
        <v>Net benefits</v>
      </c>
      <c r="D22" s="109" t="str">
        <f t="shared" si="2"/>
        <v>Option 1 (base case)Net benefits</v>
      </c>
      <c r="E22" s="110"/>
      <c r="F22" s="144"/>
      <c r="G22" s="228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6" t="str">
        <f t="shared" si="3"/>
        <v>Option 1 (base case)</v>
      </c>
      <c r="B23" s="136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6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6" t="str">
        <f t="shared" si="3"/>
        <v>Option 1 (base case)</v>
      </c>
      <c r="B24" s="136"/>
      <c r="C24" s="8" t="s">
        <v>193</v>
      </c>
      <c r="D24" s="38" t="str">
        <f t="shared" si="2"/>
        <v>Option 1 (base case)PV of costs</v>
      </c>
      <c r="F24" s="108">
        <f>SUM(F18:F19)</f>
        <v>0</v>
      </c>
      <c r="G24" s="226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6" t="str">
        <f t="shared" si="3"/>
        <v>Option 1 (base case)</v>
      </c>
      <c r="B25" s="136"/>
      <c r="C25" s="8" t="s">
        <v>194</v>
      </c>
      <c r="D25" s="38" t="str">
        <f t="shared" si="2"/>
        <v>Option 1 (base case)PV of benefits</v>
      </c>
      <c r="F25" s="108">
        <f>SUM(F20:F21)</f>
        <v>0</v>
      </c>
      <c r="G25" s="226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9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2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1" customFormat="1" x14ac:dyDescent="0.2">
      <c r="A28" s="269" t="str">
        <f>A29</f>
        <v>Option 2</v>
      </c>
      <c r="B28" s="269"/>
      <c r="C28" s="269" t="s">
        <v>124</v>
      </c>
      <c r="D28" s="270" t="str">
        <f t="shared" si="6"/>
        <v>Option 2Energy at risk value</v>
      </c>
      <c r="F28" s="97">
        <f>SUMPRODUCT($H28:$AG28, $H$5:$AG$5)</f>
        <v>867006.63194103469</v>
      </c>
      <c r="G28" s="272">
        <f>output_dollars</f>
        <v>46203</v>
      </c>
      <c r="H28" s="273"/>
      <c r="I28" s="31">
        <f>Option2!I$28*conv_2026</f>
        <v>292217.80244029616</v>
      </c>
      <c r="J28" s="31">
        <f>Option2!J$28*conv_2026</f>
        <v>303879.95925145812</v>
      </c>
      <c r="K28" s="31">
        <f>Option2!K$28*conv_2026</f>
        <v>317325.91108706844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6" t="str">
        <f>Data!B10</f>
        <v>Option 2</v>
      </c>
      <c r="B29" s="136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-2936431.8982950654</v>
      </c>
      <c r="G29" s="226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0</v>
      </c>
      <c r="K29" s="31">
        <f>SUM(Option2!K$67:K$69)*conv_2026*K$7</f>
        <v>-3200153.4796647369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6" t="str">
        <f t="shared" ref="A30:A39" si="7">A29</f>
        <v>Option 2</v>
      </c>
      <c r="B30" s="136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867006.63194103469</v>
      </c>
      <c r="G30" s="226">
        <f>output_dollars</f>
        <v>46203</v>
      </c>
      <c r="H30" s="31"/>
      <c r="I30" s="31">
        <f>Option2!I$36*conv_2026*I$7</f>
        <v>292217.80244029616</v>
      </c>
      <c r="J30" s="31">
        <f>Option2!J$36*conv_2026*J$7</f>
        <v>303879.95925145812</v>
      </c>
      <c r="K30" s="31">
        <f>Option2!K$36*conv_2026*K$7</f>
        <v>317325.91108706844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6" t="str">
        <f t="shared" si="7"/>
        <v>Option 2</v>
      </c>
      <c r="B31" s="136"/>
      <c r="C31" s="75"/>
      <c r="D31" s="38" t="str">
        <f t="shared" si="6"/>
        <v>Option 2</v>
      </c>
      <c r="E31" s="1"/>
      <c r="F31" s="97"/>
      <c r="G31" s="22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6" t="str">
        <f t="shared" si="7"/>
        <v>Option 2</v>
      </c>
      <c r="B32" s="136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-2832596.5044713286</v>
      </c>
      <c r="G32" s="226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0</v>
      </c>
      <c r="L32" s="31">
        <f>Option2!L$82*conv_2026*L$7</f>
        <v>-225166.24470015903</v>
      </c>
      <c r="M32" s="31">
        <f>Option2!M$82*conv_2026*M$7</f>
        <v>-225166.24470015903</v>
      </c>
      <c r="N32" s="31">
        <f>Option2!N$82*conv_2026*N$7</f>
        <v>-225166.24470015903</v>
      </c>
      <c r="O32" s="31">
        <f>Option2!O$82*conv_2026*O$7</f>
        <v>-225166.24470015903</v>
      </c>
      <c r="P32" s="31">
        <f>Option2!P$82*conv_2026*P$7</f>
        <v>-225166.24470015903</v>
      </c>
      <c r="Q32" s="31">
        <f>Option2!Q$82*conv_2026*Q$7</f>
        <v>-225166.24470015903</v>
      </c>
      <c r="R32" s="31">
        <f>Option2!R$82*conv_2026*R$7</f>
        <v>-225166.24470015903</v>
      </c>
      <c r="S32" s="31">
        <f>Option2!S$82*conv_2026*S$7</f>
        <v>-225166.24470015903</v>
      </c>
      <c r="T32" s="31">
        <f>Option2!T$82*conv_2026*T$7</f>
        <v>-225166.24470015903</v>
      </c>
      <c r="U32" s="31">
        <f>Option2!U$82*conv_2026*U$7</f>
        <v>-225166.24470015903</v>
      </c>
      <c r="V32" s="31">
        <f>Option2!V$82*conv_2026*V$7</f>
        <v>-225166.24470015903</v>
      </c>
      <c r="W32" s="31">
        <f>Option2!W$82*conv_2026*W$7</f>
        <v>-225166.24470015903</v>
      </c>
      <c r="X32" s="31">
        <f>Option2!X$82*conv_2026*X$7</f>
        <v>-225166.24470015903</v>
      </c>
      <c r="Y32" s="31">
        <f>Option2!Y$82*conv_2026*Y$7</f>
        <v>-225166.24470015903</v>
      </c>
      <c r="Z32" s="31">
        <f>Option2!Z$82*conv_2026*Z$7</f>
        <v>-225166.24470015903</v>
      </c>
      <c r="AA32" s="31">
        <f>Option2!AA$82*conv_2026*AA$7</f>
        <v>-225166.24470015903</v>
      </c>
      <c r="AB32" s="31">
        <f>Option2!AB$82*conv_2026*AB$7</f>
        <v>-225166.24470015903</v>
      </c>
      <c r="AC32" s="31">
        <f>Option2!AC$82*conv_2026*AC$7</f>
        <v>-225166.24470015903</v>
      </c>
      <c r="AD32" s="31">
        <f>Option2!AD$82*conv_2026*AD$7</f>
        <v>-225166.24470015903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6" t="str">
        <f t="shared" si="7"/>
        <v>Option 2</v>
      </c>
      <c r="B33" s="136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-1120037.3221908114</v>
      </c>
      <c r="G33" s="226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-89033.011713327753</v>
      </c>
      <c r="M33" s="31">
        <f>Option2!M$83*conv_2026*M$7</f>
        <v>-89033.011713327753</v>
      </c>
      <c r="N33" s="31">
        <f>Option2!N$83*conv_2026*N$7</f>
        <v>-89033.011713327753</v>
      </c>
      <c r="O33" s="31">
        <f>Option2!O$83*conv_2026*O$7</f>
        <v>-89033.011713327753</v>
      </c>
      <c r="P33" s="31">
        <f>Option2!P$83*conv_2026*P$7</f>
        <v>-89033.011713327753</v>
      </c>
      <c r="Q33" s="31">
        <f>Option2!Q$83*conv_2026*Q$7</f>
        <v>-89033.011713327753</v>
      </c>
      <c r="R33" s="31">
        <f>Option2!R$83*conv_2026*R$7</f>
        <v>-89033.011713327753</v>
      </c>
      <c r="S33" s="31">
        <f>Option2!S$83*conv_2026*S$7</f>
        <v>-89033.011713327753</v>
      </c>
      <c r="T33" s="31">
        <f>Option2!T$83*conv_2026*T$7</f>
        <v>-89033.011713327753</v>
      </c>
      <c r="U33" s="31">
        <f>Option2!U$83*conv_2026*U$7</f>
        <v>-89033.011713327753</v>
      </c>
      <c r="V33" s="31">
        <f>Option2!V$83*conv_2026*V$7</f>
        <v>-89033.011713327753</v>
      </c>
      <c r="W33" s="31">
        <f>Option2!W$83*conv_2026*W$7</f>
        <v>-89033.011713327753</v>
      </c>
      <c r="X33" s="31">
        <f>Option2!X$83*conv_2026*X$7</f>
        <v>-89033.011713327753</v>
      </c>
      <c r="Y33" s="31">
        <f>Option2!Y$83*conv_2026*Y$7</f>
        <v>-89033.011713327753</v>
      </c>
      <c r="Z33" s="31">
        <f>Option2!Z$83*conv_2026*Z$7</f>
        <v>-89033.011713327753</v>
      </c>
      <c r="AA33" s="31">
        <f>Option2!AA$83*conv_2026*AA$7</f>
        <v>-89033.011713327753</v>
      </c>
      <c r="AB33" s="31">
        <f>Option2!AB$83*conv_2026*AB$7</f>
        <v>-89033.011713327753</v>
      </c>
      <c r="AC33" s="31">
        <f>Option2!AC$83*conv_2026*AC$7</f>
        <v>-89033.011713327753</v>
      </c>
      <c r="AD33" s="31">
        <f>Option2!AD$83*conv_2026*AD$7</f>
        <v>-89033.011713327753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6" t="str">
        <f t="shared" si="7"/>
        <v>Option 2</v>
      </c>
      <c r="B34" s="136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4592270.5462716771</v>
      </c>
      <c r="G34" s="226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330730.32530336204</v>
      </c>
      <c r="M34" s="31">
        <f>Option2!M$84*conv_2026*M$7</f>
        <v>341885.0945302865</v>
      </c>
      <c r="N34" s="31">
        <f>Option2!N$84*conv_2026*N$7</f>
        <v>348912.66829235532</v>
      </c>
      <c r="O34" s="31">
        <f>Option2!O$84*conv_2026*O$7</f>
        <v>359761.24586979381</v>
      </c>
      <c r="P34" s="31">
        <f>Option2!P$84*conv_2026*P$7</f>
        <v>372018.65595563326</v>
      </c>
      <c r="Q34" s="31">
        <f>Option2!Q$84*conv_2026*Q$7</f>
        <v>380886.52551006537</v>
      </c>
      <c r="R34" s="31">
        <f>Option2!R$84*conv_2026*R$7</f>
        <v>379466.36177769251</v>
      </c>
      <c r="S34" s="31">
        <f>Option2!S$84*conv_2026*S$7</f>
        <v>378046.19804531976</v>
      </c>
      <c r="T34" s="31">
        <f>Option2!T$84*conv_2026*T$7</f>
        <v>376626.03431294655</v>
      </c>
      <c r="U34" s="31">
        <f>Option2!U$84*conv_2026*U$7</f>
        <v>375205.8705805738</v>
      </c>
      <c r="V34" s="31">
        <f>Option2!V$84*conv_2026*V$7</f>
        <v>373785.7068482007</v>
      </c>
      <c r="W34" s="31">
        <f>Option2!W$84*conv_2026*W$7</f>
        <v>372365.54311582784</v>
      </c>
      <c r="X34" s="31">
        <f>Option2!X$84*conv_2026*X$7</f>
        <v>370945.37938345468</v>
      </c>
      <c r="Y34" s="31">
        <f>Option2!Y$84*conv_2026*Y$7</f>
        <v>369525.21565108187</v>
      </c>
      <c r="Z34" s="31">
        <f>Option2!Z$84*conv_2026*Z$7</f>
        <v>368105.05191870872</v>
      </c>
      <c r="AA34" s="31">
        <f>Option2!AA$84*conv_2026*AA$7</f>
        <v>366684.88818633597</v>
      </c>
      <c r="AB34" s="31">
        <f>Option2!AB$84*conv_2026*AB$7</f>
        <v>365264.72445396287</v>
      </c>
      <c r="AC34" s="31">
        <f>Option2!AC$84*conv_2026*AC$7</f>
        <v>363844.56072158995</v>
      </c>
      <c r="AD34" s="31">
        <f>Option2!AD$84*conv_2026*AD$7</f>
        <v>362424.39698921685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6" t="str">
        <f t="shared" si="7"/>
        <v>Option 2</v>
      </c>
      <c r="B35" s="136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484107.10167593171</v>
      </c>
      <c r="G35" s="226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39042.724624712981</v>
      </c>
      <c r="M35" s="31">
        <f>Option2!M$85*conv_2026*M$7</f>
        <v>42302.039146403833</v>
      </c>
      <c r="N35" s="31">
        <f>Option2!N$85*conv_2026*N$7</f>
        <v>42326.720060191903</v>
      </c>
      <c r="O35" s="31">
        <f>Option2!O$85*conv_2026*O$7</f>
        <v>42765.195204196003</v>
      </c>
      <c r="P35" s="31">
        <f>Option2!P$85*conv_2026*P$7</f>
        <v>43308.035048626829</v>
      </c>
      <c r="Q35" s="31">
        <f>Option2!Q$85*conv_2026*Q$7</f>
        <v>43397.392342494182</v>
      </c>
      <c r="R35" s="31">
        <f>Option2!R$85*conv_2026*R$7</f>
        <v>42289.08253275403</v>
      </c>
      <c r="S35" s="31">
        <f>Option2!S$85*conv_2026*S$7</f>
        <v>41180.772723014001</v>
      </c>
      <c r="T35" s="31">
        <f>Option2!T$85*conv_2026*T$7</f>
        <v>40072.462913273688</v>
      </c>
      <c r="U35" s="31">
        <f>Option2!U$85*conv_2026*U$7</f>
        <v>38964.153103533659</v>
      </c>
      <c r="V35" s="31">
        <f>Option2!V$85*conv_2026*V$7</f>
        <v>37855.843293793281</v>
      </c>
      <c r="W35" s="31">
        <f>Option2!W$85*conv_2026*W$7</f>
        <v>36747.533484053194</v>
      </c>
      <c r="X35" s="31">
        <f>Option2!X$85*conv_2026*X$7</f>
        <v>35639.223674312823</v>
      </c>
      <c r="Y35" s="31">
        <f>Option2!Y$85*conv_2026*Y$7</f>
        <v>34530.913864572802</v>
      </c>
      <c r="Z35" s="31">
        <f>Option2!Z$85*conv_2026*Z$7</f>
        <v>33422.604054832431</v>
      </c>
      <c r="AA35" s="31">
        <f>Option2!AA$85*conv_2026*AA$7</f>
        <v>32314.294245092391</v>
      </c>
      <c r="AB35" s="31">
        <f>Option2!AB$85*conv_2026*AB$7</f>
        <v>31205.984435352028</v>
      </c>
      <c r="AC35" s="31">
        <f>Option2!AC$85*conv_2026*AC$7</f>
        <v>30097.674625611991</v>
      </c>
      <c r="AD35" s="31">
        <f>Option2!AD$85*conv_2026*AD$7</f>
        <v>28989.364815871624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6" t="str">
        <f t="shared" si="7"/>
        <v>Option 2</v>
      </c>
      <c r="B36" s="136"/>
      <c r="C36" s="125" t="str">
        <f>Option2!C87</f>
        <v>Net benefits</v>
      </c>
      <c r="D36" s="109" t="str">
        <f t="shared" si="6"/>
        <v>Option 2Net benefits</v>
      </c>
      <c r="E36" s="110"/>
      <c r="F36" s="144"/>
      <c r="G36" s="228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0</v>
      </c>
      <c r="L36" s="52">
        <f t="shared" si="9"/>
        <v>55573.793514588237</v>
      </c>
      <c r="M36" s="52">
        <f t="shared" si="9"/>
        <v>69987.877263203554</v>
      </c>
      <c r="N36" s="52">
        <f t="shared" si="9"/>
        <v>77040.131939060433</v>
      </c>
      <c r="O36" s="52">
        <f t="shared" si="9"/>
        <v>88327.18466050303</v>
      </c>
      <c r="P36" s="52">
        <f t="shared" si="9"/>
        <v>101127.43459077331</v>
      </c>
      <c r="Q36" s="52">
        <f t="shared" si="9"/>
        <v>110084.66143907278</v>
      </c>
      <c r="R36" s="52">
        <f t="shared" si="9"/>
        <v>107556.18789695975</v>
      </c>
      <c r="S36" s="52">
        <f t="shared" si="9"/>
        <v>105027.71435484698</v>
      </c>
      <c r="T36" s="52">
        <f t="shared" si="9"/>
        <v>102499.24081273345</v>
      </c>
      <c r="U36" s="52">
        <f t="shared" si="9"/>
        <v>99970.767270620679</v>
      </c>
      <c r="V36" s="52">
        <f t="shared" si="9"/>
        <v>97442.293728507197</v>
      </c>
      <c r="W36" s="52">
        <f t="shared" si="9"/>
        <v>94913.820186394238</v>
      </c>
      <c r="X36" s="52">
        <f t="shared" si="9"/>
        <v>92385.346644280711</v>
      </c>
      <c r="Y36" s="52">
        <f t="shared" si="9"/>
        <v>89856.873102167883</v>
      </c>
      <c r="Z36" s="52">
        <f t="shared" si="9"/>
        <v>87328.399560054357</v>
      </c>
      <c r="AA36" s="52">
        <f t="shared" si="9"/>
        <v>84799.926017941572</v>
      </c>
      <c r="AB36" s="52">
        <f t="shared" si="9"/>
        <v>82271.452475828119</v>
      </c>
      <c r="AC36" s="52">
        <f t="shared" si="9"/>
        <v>79742.97893371516</v>
      </c>
      <c r="AD36" s="52">
        <f t="shared" si="9"/>
        <v>77214.505391601691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6" t="str">
        <f t="shared" si="7"/>
        <v>Option 2</v>
      </c>
      <c r="B37" s="136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1123743.8212854695</v>
      </c>
      <c r="G37" s="226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6" t="str">
        <f t="shared" si="7"/>
        <v>Option 2</v>
      </c>
      <c r="B38" s="136"/>
      <c r="C38" s="8" t="s">
        <v>193</v>
      </c>
      <c r="D38" s="38" t="str">
        <f t="shared" si="6"/>
        <v>Option 2PV of costs</v>
      </c>
      <c r="E38" s="1"/>
      <c r="F38" s="108">
        <f>SUM(F32:F33)</f>
        <v>-3952633.82666214</v>
      </c>
      <c r="G38" s="226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6" t="str">
        <f t="shared" si="7"/>
        <v>Option 2</v>
      </c>
      <c r="B39" s="136"/>
      <c r="C39" s="8" t="s">
        <v>194</v>
      </c>
      <c r="D39" s="38" t="str">
        <f t="shared" si="6"/>
        <v>Option 2PV of benefits</v>
      </c>
      <c r="E39" s="1"/>
      <c r="F39" s="108">
        <f>SUM(F34:F35)</f>
        <v>5076377.6479476085</v>
      </c>
      <c r="G39" s="226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6"/>
      <c r="B40" s="136"/>
      <c r="C40" s="1"/>
      <c r="D40" s="38"/>
      <c r="E40" s="1"/>
      <c r="F40" s="108"/>
      <c r="G40" s="229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2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1" customFormat="1" x14ac:dyDescent="0.2">
      <c r="A42" s="269" t="str">
        <f>A43</f>
        <v>Option 3</v>
      </c>
      <c r="B42" s="269"/>
      <c r="C42" s="269" t="s">
        <v>124</v>
      </c>
      <c r="D42" s="270" t="str">
        <f>A42&amp;C42</f>
        <v>Option 3Energy at risk value</v>
      </c>
      <c r="F42" s="97">
        <f>SUMPRODUCT($H42:$AG42, $H$5:$AG$5)</f>
        <v>867006.63194103469</v>
      </c>
      <c r="G42" s="272">
        <f>output_dollars</f>
        <v>46203</v>
      </c>
      <c r="H42" s="273"/>
      <c r="I42" s="31">
        <f>Option3!I$28*conv_2026</f>
        <v>292217.80244029616</v>
      </c>
      <c r="J42" s="31">
        <f>Option3!J$28*conv_2026</f>
        <v>303879.95925145812</v>
      </c>
      <c r="K42" s="31">
        <f>Option3!K$28*conv_2026</f>
        <v>317325.91108706844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6" t="str">
        <f>Data!B11</f>
        <v>Option 3</v>
      </c>
      <c r="B43" s="136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-6541248.7611891003</v>
      </c>
      <c r="G43" s="226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-7128719.7215865795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6" t="str">
        <f t="shared" ref="A44:A53" si="10">A43</f>
        <v>Option 3</v>
      </c>
      <c r="B44" s="136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867006.63194103469</v>
      </c>
      <c r="G44" s="226">
        <f>output_dollars</f>
        <v>46203</v>
      </c>
      <c r="H44" s="31"/>
      <c r="I44" s="31">
        <f>Option3!I$36*conv_2026*I$7</f>
        <v>292217.80244029616</v>
      </c>
      <c r="J44" s="31">
        <f>Option3!J$36*conv_2026*J$7</f>
        <v>303879.95925145812</v>
      </c>
      <c r="K44" s="31">
        <f>Option3!K$36*conv_2026*K$7</f>
        <v>317325.91108706844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6" t="str">
        <f t="shared" si="10"/>
        <v>Option 3</v>
      </c>
      <c r="B45" s="136"/>
      <c r="C45" s="58"/>
      <c r="D45" s="38"/>
      <c r="E45" s="1"/>
      <c r="F45" s="97"/>
      <c r="G45" s="22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6" t="str">
        <f t="shared" si="10"/>
        <v>Option 3</v>
      </c>
      <c r="B46" s="136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-6309943.1614878243</v>
      </c>
      <c r="G46" s="226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-501584.39569522644</v>
      </c>
      <c r="M46" s="31">
        <f>Option3!M$82*conv_2026*M$7</f>
        <v>-501584.39569522644</v>
      </c>
      <c r="N46" s="31">
        <f>Option3!N$82*conv_2026*N$7</f>
        <v>-501584.39569522644</v>
      </c>
      <c r="O46" s="31">
        <f>Option3!O$82*conv_2026*O$7</f>
        <v>-501584.39569522644</v>
      </c>
      <c r="P46" s="31">
        <f>Option3!P$82*conv_2026*P$7</f>
        <v>-501584.39569522644</v>
      </c>
      <c r="Q46" s="31">
        <f>Option3!Q$82*conv_2026*Q$7</f>
        <v>-501584.39569522644</v>
      </c>
      <c r="R46" s="31">
        <f>Option3!R$82*conv_2026*R$7</f>
        <v>-501584.39569522644</v>
      </c>
      <c r="S46" s="31">
        <f>Option3!S$82*conv_2026*S$7</f>
        <v>-501584.39569522644</v>
      </c>
      <c r="T46" s="31">
        <f>Option3!T$82*conv_2026*T$7</f>
        <v>-501584.39569522644</v>
      </c>
      <c r="U46" s="31">
        <f>Option3!U$82*conv_2026*U$7</f>
        <v>-501584.39569522644</v>
      </c>
      <c r="V46" s="31">
        <f>Option3!V$82*conv_2026*V$7</f>
        <v>-501584.39569522644</v>
      </c>
      <c r="W46" s="31">
        <f>Option3!W$82*conv_2026*W$7</f>
        <v>-501584.39569522644</v>
      </c>
      <c r="X46" s="31">
        <f>Option3!X$82*conv_2026*X$7</f>
        <v>-501584.39569522644</v>
      </c>
      <c r="Y46" s="31">
        <f>Option3!Y$82*conv_2026*Y$7</f>
        <v>-501584.39569522644</v>
      </c>
      <c r="Z46" s="31">
        <f>Option3!Z$82*conv_2026*Z$7</f>
        <v>-501584.39569522644</v>
      </c>
      <c r="AA46" s="31">
        <f>Option3!AA$82*conv_2026*AA$7</f>
        <v>-501584.39569522644</v>
      </c>
      <c r="AB46" s="31">
        <f>Option3!AB$82*conv_2026*AB$7</f>
        <v>-501584.39569522644</v>
      </c>
      <c r="AC46" s="31">
        <f>Option3!AC$82*conv_2026*AC$7</f>
        <v>-501584.39569522644</v>
      </c>
      <c r="AD46" s="31">
        <f>Option3!AD$82*conv_2026*AD$7</f>
        <v>-501584.39569522644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6" t="str">
        <f t="shared" si="10"/>
        <v>Option 3</v>
      </c>
      <c r="B47" s="136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-2520083.9749293253</v>
      </c>
      <c r="G47" s="226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-200324.27635498744</v>
      </c>
      <c r="M47" s="31">
        <f>Option3!M$83*conv_2026*M$7</f>
        <v>-200324.27635498744</v>
      </c>
      <c r="N47" s="31">
        <f>Option3!N$83*conv_2026*N$7</f>
        <v>-200324.27635498744</v>
      </c>
      <c r="O47" s="31">
        <f>Option3!O$83*conv_2026*O$7</f>
        <v>-200324.27635498744</v>
      </c>
      <c r="P47" s="31">
        <f>Option3!P$83*conv_2026*P$7</f>
        <v>-200324.27635498744</v>
      </c>
      <c r="Q47" s="31">
        <f>Option3!Q$83*conv_2026*Q$7</f>
        <v>-200324.27635498744</v>
      </c>
      <c r="R47" s="31">
        <f>Option3!R$83*conv_2026*R$7</f>
        <v>-200324.27635498744</v>
      </c>
      <c r="S47" s="31">
        <f>Option3!S$83*conv_2026*S$7</f>
        <v>-200324.27635498744</v>
      </c>
      <c r="T47" s="31">
        <f>Option3!T$83*conv_2026*T$7</f>
        <v>-200324.27635498744</v>
      </c>
      <c r="U47" s="31">
        <f>Option3!U$83*conv_2026*U$7</f>
        <v>-200324.27635498744</v>
      </c>
      <c r="V47" s="31">
        <f>Option3!V$83*conv_2026*V$7</f>
        <v>-200324.27635498744</v>
      </c>
      <c r="W47" s="31">
        <f>Option3!W$83*conv_2026*W$7</f>
        <v>-200324.27635498744</v>
      </c>
      <c r="X47" s="31">
        <f>Option3!X$83*conv_2026*X$7</f>
        <v>-200324.27635498744</v>
      </c>
      <c r="Y47" s="31">
        <f>Option3!Y$83*conv_2026*Y$7</f>
        <v>-200324.27635498744</v>
      </c>
      <c r="Z47" s="31">
        <f>Option3!Z$83*conv_2026*Z$7</f>
        <v>-200324.27635498744</v>
      </c>
      <c r="AA47" s="31">
        <f>Option3!AA$83*conv_2026*AA$7</f>
        <v>-200324.27635498744</v>
      </c>
      <c r="AB47" s="31">
        <f>Option3!AB$83*conv_2026*AB$7</f>
        <v>-200324.27635498744</v>
      </c>
      <c r="AC47" s="31">
        <f>Option3!AC$83*conv_2026*AC$7</f>
        <v>-200324.27635498744</v>
      </c>
      <c r="AD47" s="31">
        <f>Option3!AD$83*conv_2026*AD$7</f>
        <v>-200324.27635498744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6" t="str">
        <f t="shared" si="10"/>
        <v>Option 3</v>
      </c>
      <c r="B48" s="136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4592270.5462716771</v>
      </c>
      <c r="G48" s="226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0</v>
      </c>
      <c r="L48" s="31">
        <f>Option3!L$84*conv_2026*L$7</f>
        <v>330730.32530336204</v>
      </c>
      <c r="M48" s="31">
        <f>Option3!M$84*conv_2026*M$7</f>
        <v>341885.0945302865</v>
      </c>
      <c r="N48" s="31">
        <f>Option3!N$84*conv_2026*N$7</f>
        <v>348912.66829235532</v>
      </c>
      <c r="O48" s="31">
        <f>Option3!O$84*conv_2026*O$7</f>
        <v>359761.24586979381</v>
      </c>
      <c r="P48" s="31">
        <f>Option3!P$84*conv_2026*P$7</f>
        <v>372018.65595563326</v>
      </c>
      <c r="Q48" s="31">
        <f>Option3!Q$84*conv_2026*Q$7</f>
        <v>380886.52551006537</v>
      </c>
      <c r="R48" s="31">
        <f>Option3!R$84*conv_2026*R$7</f>
        <v>379466.36177769251</v>
      </c>
      <c r="S48" s="31">
        <f>Option3!S$84*conv_2026*S$7</f>
        <v>378046.19804531976</v>
      </c>
      <c r="T48" s="31">
        <f>Option3!T$84*conv_2026*T$7</f>
        <v>376626.03431294655</v>
      </c>
      <c r="U48" s="31">
        <f>Option3!U$84*conv_2026*U$7</f>
        <v>375205.8705805738</v>
      </c>
      <c r="V48" s="31">
        <f>Option3!V$84*conv_2026*V$7</f>
        <v>373785.7068482007</v>
      </c>
      <c r="W48" s="31">
        <f>Option3!W$84*conv_2026*W$7</f>
        <v>372365.54311582784</v>
      </c>
      <c r="X48" s="31">
        <f>Option3!X$84*conv_2026*X$7</f>
        <v>370945.37938345468</v>
      </c>
      <c r="Y48" s="31">
        <f>Option3!Y$84*conv_2026*Y$7</f>
        <v>369525.21565108187</v>
      </c>
      <c r="Z48" s="31">
        <f>Option3!Z$84*conv_2026*Z$7</f>
        <v>368105.05191870872</v>
      </c>
      <c r="AA48" s="31">
        <f>Option3!AA$84*conv_2026*AA$7</f>
        <v>366684.88818633597</v>
      </c>
      <c r="AB48" s="31">
        <f>Option3!AB$84*conv_2026*AB$7</f>
        <v>365264.72445396287</v>
      </c>
      <c r="AC48" s="31">
        <f>Option3!AC$84*conv_2026*AC$7</f>
        <v>363844.56072158995</v>
      </c>
      <c r="AD48" s="31">
        <f>Option3!AD$84*conv_2026*AD$7</f>
        <v>362424.39698921685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6" t="str">
        <f t="shared" si="10"/>
        <v>Option 3</v>
      </c>
      <c r="B49" s="136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638112.23347716802</v>
      </c>
      <c r="G49" s="226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51284.76373529555</v>
      </c>
      <c r="M49" s="31">
        <f>Option3!M$85*conv_2026*M$7</f>
        <v>54544.078256986395</v>
      </c>
      <c r="N49" s="31">
        <f>Option3!N$85*conv_2026*N$7</f>
        <v>54568.759170774465</v>
      </c>
      <c r="O49" s="31">
        <f>Option3!O$85*conv_2026*O$7</f>
        <v>55007.234314778572</v>
      </c>
      <c r="P49" s="31">
        <f>Option3!P$85*conv_2026*P$7</f>
        <v>55550.074159209391</v>
      </c>
      <c r="Q49" s="31">
        <f>Option3!Q$85*conv_2026*Q$7</f>
        <v>55639.431453076751</v>
      </c>
      <c r="R49" s="31">
        <f>Option3!R$85*conv_2026*R$7</f>
        <v>54531.121643336599</v>
      </c>
      <c r="S49" s="31">
        <f>Option3!S$85*conv_2026*S$7</f>
        <v>53422.81183359657</v>
      </c>
      <c r="T49" s="31">
        <f>Option3!T$85*conv_2026*T$7</f>
        <v>52314.502023856257</v>
      </c>
      <c r="U49" s="31">
        <f>Option3!U$85*conv_2026*U$7</f>
        <v>51206.192214116229</v>
      </c>
      <c r="V49" s="31">
        <f>Option3!V$85*conv_2026*V$7</f>
        <v>50097.88240437585</v>
      </c>
      <c r="W49" s="31">
        <f>Option3!W$85*conv_2026*W$7</f>
        <v>48989.572594635763</v>
      </c>
      <c r="X49" s="31">
        <f>Option3!X$85*conv_2026*X$7</f>
        <v>47881.262784895393</v>
      </c>
      <c r="Y49" s="31">
        <f>Option3!Y$85*conv_2026*Y$7</f>
        <v>46772.952975155364</v>
      </c>
      <c r="Z49" s="31">
        <f>Option3!Z$85*conv_2026*Z$7</f>
        <v>45664.643165414993</v>
      </c>
      <c r="AA49" s="31">
        <f>Option3!AA$85*conv_2026*AA$7</f>
        <v>44556.333355674957</v>
      </c>
      <c r="AB49" s="31">
        <f>Option3!AB$85*conv_2026*AB$7</f>
        <v>43448.023545934593</v>
      </c>
      <c r="AC49" s="31">
        <f>Option3!AC$85*conv_2026*AC$7</f>
        <v>42339.713736194557</v>
      </c>
      <c r="AD49" s="31">
        <f>Option3!AD$85*conv_2026*AD$7</f>
        <v>41231.403926454186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6" t="str">
        <f t="shared" si="10"/>
        <v>Option 3</v>
      </c>
      <c r="B50" s="136"/>
      <c r="C50" s="125" t="str">
        <f>Option3!C87</f>
        <v>Net benefits</v>
      </c>
      <c r="D50" s="109" t="str">
        <f t="shared" si="11"/>
        <v>Option 3Net benefits</v>
      </c>
      <c r="E50" s="110"/>
      <c r="F50" s="144"/>
      <c r="G50" s="228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0</v>
      </c>
      <c r="L50" s="52">
        <f t="shared" si="13"/>
        <v>-319893.5830115563</v>
      </c>
      <c r="M50" s="52">
        <f t="shared" si="13"/>
        <v>-305479.49926294101</v>
      </c>
      <c r="N50" s="52">
        <f t="shared" si="13"/>
        <v>-298427.2445870841</v>
      </c>
      <c r="O50" s="52">
        <f t="shared" si="13"/>
        <v>-287140.19186564151</v>
      </c>
      <c r="P50" s="52">
        <f t="shared" si="13"/>
        <v>-274339.94193537126</v>
      </c>
      <c r="Q50" s="52">
        <f t="shared" si="13"/>
        <v>-265382.71508707176</v>
      </c>
      <c r="R50" s="52">
        <f t="shared" si="13"/>
        <v>-267911.18862918479</v>
      </c>
      <c r="S50" s="52">
        <f t="shared" si="13"/>
        <v>-270439.66217129759</v>
      </c>
      <c r="T50" s="52">
        <f t="shared" si="13"/>
        <v>-272968.13571341109</v>
      </c>
      <c r="U50" s="52">
        <f t="shared" si="13"/>
        <v>-275496.60925552389</v>
      </c>
      <c r="V50" s="52">
        <f t="shared" si="13"/>
        <v>-278025.08279763733</v>
      </c>
      <c r="W50" s="52">
        <f t="shared" si="13"/>
        <v>-280553.5563397503</v>
      </c>
      <c r="X50" s="52">
        <f t="shared" si="13"/>
        <v>-283082.02988186385</v>
      </c>
      <c r="Y50" s="52">
        <f t="shared" si="13"/>
        <v>-285610.50342397665</v>
      </c>
      <c r="Z50" s="52">
        <f t="shared" si="13"/>
        <v>-288138.97696609021</v>
      </c>
      <c r="AA50" s="52">
        <f t="shared" si="13"/>
        <v>-290667.45050820301</v>
      </c>
      <c r="AB50" s="52">
        <f t="shared" si="13"/>
        <v>-293195.92405031645</v>
      </c>
      <c r="AC50" s="52">
        <f>SUM(AC46:AC49)</f>
        <v>-295724.39759242942</v>
      </c>
      <c r="AD50" s="52">
        <f>SUM(AD46:AD49)</f>
        <v>-298252.87113454286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6" t="str">
        <f t="shared" si="10"/>
        <v>Option 3</v>
      </c>
      <c r="B51" s="136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-3599644.3566683028</v>
      </c>
      <c r="G51" s="226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6" t="str">
        <f t="shared" si="10"/>
        <v>Option 3</v>
      </c>
      <c r="B52" s="136"/>
      <c r="C52" s="8" t="s">
        <v>193</v>
      </c>
      <c r="D52" s="38" t="str">
        <f t="shared" si="11"/>
        <v>Option 3PV of costs</v>
      </c>
      <c r="E52" s="1"/>
      <c r="F52" s="108">
        <f>SUM(F46:F47)</f>
        <v>-8830027.1364171505</v>
      </c>
      <c r="G52" s="226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6" t="str">
        <f t="shared" si="10"/>
        <v>Option 3</v>
      </c>
      <c r="B53" s="136"/>
      <c r="C53" s="8" t="s">
        <v>194</v>
      </c>
      <c r="D53" s="38" t="str">
        <f t="shared" si="11"/>
        <v>Option 3PV of benefits</v>
      </c>
      <c r="E53" s="1"/>
      <c r="F53" s="108">
        <f>SUM(F48:F49)</f>
        <v>5230382.7797488449</v>
      </c>
      <c r="G53" s="226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6"/>
      <c r="B54" s="136"/>
      <c r="C54" s="1"/>
      <c r="D54" s="38"/>
      <c r="E54" s="1"/>
      <c r="F54" s="108"/>
      <c r="G54" s="229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2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1" customFormat="1" x14ac:dyDescent="0.2">
      <c r="A56" s="269" t="str">
        <f>A57</f>
        <v>Option 4</v>
      </c>
      <c r="B56" s="269"/>
      <c r="C56" s="269" t="s">
        <v>124</v>
      </c>
      <c r="D56" s="270" t="str">
        <f>A56&amp;C56</f>
        <v>Option 4Energy at risk value</v>
      </c>
      <c r="F56" s="97">
        <f>SUMPRODUCT($H56:$AG56, $H$5:$AG$5)</f>
        <v>0</v>
      </c>
      <c r="G56" s="272">
        <f>output_dollars</f>
        <v>46203</v>
      </c>
      <c r="H56" s="273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6" t="str">
        <f>Data!B12</f>
        <v>Option 4</v>
      </c>
      <c r="B57" s="136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6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6" t="str">
        <f t="shared" ref="A58:A67" si="15">A57</f>
        <v>Option 4</v>
      </c>
      <c r="B58" s="136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6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6" t="str">
        <f t="shared" si="15"/>
        <v>Option 4</v>
      </c>
      <c r="B59" s="136"/>
      <c r="C59" s="75"/>
      <c r="D59" s="38" t="str">
        <f t="shared" si="14"/>
        <v>Option 4</v>
      </c>
      <c r="E59" s="1"/>
      <c r="F59"/>
      <c r="G59" s="227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6" t="str">
        <f t="shared" si="15"/>
        <v>Option 4</v>
      </c>
      <c r="B60" s="136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6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6" t="str">
        <f t="shared" si="15"/>
        <v>Option 4</v>
      </c>
      <c r="B61" s="136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6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6" t="str">
        <f t="shared" si="15"/>
        <v>Option 4</v>
      </c>
      <c r="B62" s="136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6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6" t="str">
        <f t="shared" si="15"/>
        <v>Option 4</v>
      </c>
      <c r="B63" s="136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6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6" t="str">
        <f t="shared" si="15"/>
        <v>Option 4</v>
      </c>
      <c r="B64" s="136"/>
      <c r="C64" s="125" t="str">
        <f>Option4!C87</f>
        <v>Net benefits</v>
      </c>
      <c r="D64" s="109" t="str">
        <f t="shared" si="14"/>
        <v>Option 4Net benefits</v>
      </c>
      <c r="E64" s="110"/>
      <c r="F64" s="144"/>
      <c r="G64" s="228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6" t="str">
        <f t="shared" si="15"/>
        <v>Option 4</v>
      </c>
      <c r="B65" s="136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6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6" t="str">
        <f t="shared" si="15"/>
        <v>Option 4</v>
      </c>
      <c r="B66" s="136"/>
      <c r="C66" s="8" t="s">
        <v>193</v>
      </c>
      <c r="D66" s="38" t="str">
        <f t="shared" si="14"/>
        <v>Option 4PV of costs</v>
      </c>
      <c r="E66" s="1"/>
      <c r="F66" s="108">
        <f>SUM(F60:F61)</f>
        <v>0</v>
      </c>
      <c r="G66" s="226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6" t="str">
        <f t="shared" si="15"/>
        <v>Option 4</v>
      </c>
      <c r="B67" s="136"/>
      <c r="C67" s="8" t="s">
        <v>194</v>
      </c>
      <c r="D67" s="38" t="str">
        <f t="shared" si="14"/>
        <v>Option 4PV of benefits</v>
      </c>
      <c r="E67" s="1"/>
      <c r="F67" s="108">
        <f>SUM(F62:F63)</f>
        <v>0</v>
      </c>
      <c r="G67" s="226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6"/>
      <c r="B68" s="136"/>
      <c r="C68" s="1"/>
      <c r="D68" s="38"/>
      <c r="E68" s="1"/>
      <c r="F68" s="108"/>
      <c r="G68" s="229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2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1" customFormat="1" x14ac:dyDescent="0.2">
      <c r="A70" s="269" t="str">
        <f>A71</f>
        <v>Option 5</v>
      </c>
      <c r="B70" s="269"/>
      <c r="C70" s="269" t="s">
        <v>124</v>
      </c>
      <c r="D70" s="270" t="str">
        <f t="shared" si="18"/>
        <v>Option 5Energy at risk value</v>
      </c>
      <c r="F70" s="97">
        <f>SUMPRODUCT($H70:$AG70, $H$5:$AG$5)</f>
        <v>0</v>
      </c>
      <c r="G70" s="272">
        <f>output_dollars</f>
        <v>46203</v>
      </c>
      <c r="H70" s="273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6" t="str">
        <f>Data!B13</f>
        <v>Option 5</v>
      </c>
      <c r="B71" s="136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6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6" t="str">
        <f t="shared" ref="A72:A81" si="19">A71</f>
        <v>Option 5</v>
      </c>
      <c r="B72" s="136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6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6" t="str">
        <f t="shared" si="19"/>
        <v>Option 5</v>
      </c>
      <c r="B73" s="136"/>
      <c r="C73" s="75"/>
      <c r="D73" s="38" t="str">
        <f t="shared" si="18"/>
        <v>Option 5</v>
      </c>
      <c r="E73" s="1"/>
      <c r="F73"/>
      <c r="G73" s="227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6" t="str">
        <f t="shared" si="19"/>
        <v>Option 5</v>
      </c>
      <c r="B74" s="136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6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6" t="str">
        <f t="shared" si="19"/>
        <v>Option 5</v>
      </c>
      <c r="B75" s="136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6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6" t="str">
        <f t="shared" si="19"/>
        <v>Option 5</v>
      </c>
      <c r="B76" s="136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6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6" t="str">
        <f t="shared" si="19"/>
        <v>Option 5</v>
      </c>
      <c r="B77" s="136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6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6" t="str">
        <f t="shared" si="19"/>
        <v>Option 5</v>
      </c>
      <c r="B78" s="136"/>
      <c r="C78" s="125" t="str">
        <f>Option5!C87</f>
        <v>Net benefits</v>
      </c>
      <c r="D78" s="109" t="str">
        <f t="shared" si="18"/>
        <v>Option 5Net benefits</v>
      </c>
      <c r="E78" s="110"/>
      <c r="F78" s="144"/>
      <c r="G78" s="228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6" t="str">
        <f t="shared" si="19"/>
        <v>Option 5</v>
      </c>
      <c r="B79" s="136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6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6" t="str">
        <f t="shared" si="19"/>
        <v>Option 5</v>
      </c>
      <c r="B80" s="136"/>
      <c r="C80" s="8" t="s">
        <v>193</v>
      </c>
      <c r="D80" s="38" t="str">
        <f t="shared" si="18"/>
        <v>Option 5PV of costs</v>
      </c>
      <c r="E80" s="1"/>
      <c r="F80" s="108">
        <f>SUM(F74:F75)</f>
        <v>0</v>
      </c>
      <c r="G80" s="226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6" t="str">
        <f t="shared" si="19"/>
        <v>Option 5</v>
      </c>
      <c r="B81" s="136"/>
      <c r="C81" s="8" t="s">
        <v>194</v>
      </c>
      <c r="D81" s="38" t="str">
        <f t="shared" si="18"/>
        <v>Option 5PV of benefits</v>
      </c>
      <c r="E81" s="1"/>
      <c r="F81" s="108">
        <f>SUM(F76:F77)</f>
        <v>0</v>
      </c>
      <c r="G81" s="226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2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30"/>
    </row>
    <row r="84" spans="1:33" ht="12" x14ac:dyDescent="0.2">
      <c r="E84" s="84"/>
      <c r="G84" s="230"/>
    </row>
    <row r="85" spans="1:33" ht="12" x14ac:dyDescent="0.2">
      <c r="E85" s="84"/>
      <c r="G85" s="230"/>
    </row>
    <row r="86" spans="1:33" ht="12" x14ac:dyDescent="0.2">
      <c r="E86" s="84"/>
      <c r="G86" s="230"/>
    </row>
    <row r="87" spans="1:33" ht="12" x14ac:dyDescent="0.2">
      <c r="E87" s="10"/>
      <c r="G87" s="230"/>
    </row>
    <row r="88" spans="1:33" ht="15" x14ac:dyDescent="0.25">
      <c r="A88" s="203" t="s">
        <v>206</v>
      </c>
      <c r="B88" s="54"/>
      <c r="C88" s="19"/>
      <c r="D88" s="19"/>
      <c r="E88" s="83"/>
      <c r="F88" s="19"/>
      <c r="G88" s="224"/>
      <c r="H88" s="224"/>
      <c r="I88" s="200" t="str">
        <f>"FY"&amp;RIGHT(I$9,2)</f>
        <v>FY27</v>
      </c>
      <c r="J88" s="200" t="str">
        <f t="shared" ref="J88:AG88" si="22">"FY"&amp;RIGHT(J$9,2)</f>
        <v>FY28</v>
      </c>
      <c r="K88" s="200" t="str">
        <f t="shared" si="22"/>
        <v>FY29</v>
      </c>
      <c r="L88" s="200" t="str">
        <f t="shared" si="22"/>
        <v>FY30</v>
      </c>
      <c r="M88" s="200" t="str">
        <f t="shared" si="22"/>
        <v>FY31</v>
      </c>
      <c r="N88" s="200" t="str">
        <f t="shared" si="22"/>
        <v>FY32</v>
      </c>
      <c r="O88" s="200" t="str">
        <f t="shared" si="22"/>
        <v>FY33</v>
      </c>
      <c r="P88" s="200" t="str">
        <f t="shared" si="22"/>
        <v>FY34</v>
      </c>
      <c r="Q88" s="200" t="str">
        <f t="shared" si="22"/>
        <v>FY35</v>
      </c>
      <c r="R88" s="200" t="str">
        <f t="shared" si="22"/>
        <v>FY36</v>
      </c>
      <c r="S88" s="200" t="str">
        <f t="shared" si="22"/>
        <v>FY37</v>
      </c>
      <c r="T88" s="200" t="str">
        <f t="shared" si="22"/>
        <v>FY38</v>
      </c>
      <c r="U88" s="200" t="str">
        <f t="shared" si="22"/>
        <v>FY39</v>
      </c>
      <c r="V88" s="200" t="str">
        <f t="shared" si="22"/>
        <v>FY40</v>
      </c>
      <c r="W88" s="200" t="str">
        <f t="shared" si="22"/>
        <v>FY41</v>
      </c>
      <c r="X88" s="200" t="str">
        <f t="shared" si="22"/>
        <v>FY42</v>
      </c>
      <c r="Y88" s="200" t="str">
        <f t="shared" si="22"/>
        <v>FY43</v>
      </c>
      <c r="Z88" s="200" t="str">
        <f t="shared" si="22"/>
        <v>FY44</v>
      </c>
      <c r="AA88" s="200" t="str">
        <f t="shared" si="22"/>
        <v>FY45</v>
      </c>
      <c r="AB88" s="200" t="str">
        <f t="shared" si="22"/>
        <v>FY46</v>
      </c>
      <c r="AC88" s="200" t="str">
        <f t="shared" si="22"/>
        <v>FY47</v>
      </c>
      <c r="AD88" s="200" t="str">
        <f t="shared" si="22"/>
        <v>FY48</v>
      </c>
      <c r="AE88" s="200" t="str">
        <f t="shared" si="22"/>
        <v>FY49</v>
      </c>
      <c r="AF88" s="200" t="str">
        <f t="shared" si="22"/>
        <v>FY50</v>
      </c>
      <c r="AG88" s="200" t="str">
        <f t="shared" si="22"/>
        <v>FY51</v>
      </c>
    </row>
    <row r="89" spans="1:33" ht="12" x14ac:dyDescent="0.2">
      <c r="E89" s="84"/>
      <c r="G89" s="230"/>
    </row>
    <row r="90" spans="1:33" ht="12" x14ac:dyDescent="0.2">
      <c r="E90" s="84"/>
    </row>
    <row r="91" spans="1:33" x14ac:dyDescent="0.2">
      <c r="A91" s="199" t="str">
        <f>Summary!$C$26</f>
        <v>Option 2</v>
      </c>
      <c r="B91" s="140"/>
      <c r="C91" s="197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8" cm="1">
        <f t="array" ref="I91">MAX($D91*INDEX(I$15:W$81, MATCH($A91&amp;$C91, $D$15:$D$81,0),))/mill_conv</f>
        <v>0.22516624470015903</v>
      </c>
      <c r="J91" s="298" cm="1">
        <f t="array" ref="J91">MAX($D91*INDEX(J$15:X$81, MATCH($A91&amp;$C91, $D$15:$D$81,0),))/mill_conv</f>
        <v>0.22516624470015903</v>
      </c>
      <c r="K91" s="298" cm="1">
        <f t="array" ref="K91">MAX($D91*INDEX(K$15:Y$81, MATCH($A91&amp;$C91, $D$15:$D$81,0),))/mill_conv</f>
        <v>0.22516624470015903</v>
      </c>
      <c r="L91" s="298" cm="1">
        <f t="array" ref="L91">MAX($D91*INDEX(L$15:Z$81, MATCH($A91&amp;$C91, $D$15:$D$81,0),))/mill_conv</f>
        <v>0.22516624470015903</v>
      </c>
      <c r="M91" s="298" cm="1">
        <f t="array" ref="M91">MAX($D91*INDEX(M$15:AA$81, MATCH($A91&amp;$C91, $D$15:$D$81,0),))/mill_conv</f>
        <v>0.22516624470015903</v>
      </c>
      <c r="N91" s="298" cm="1">
        <f t="array" ref="N91">MAX($D91*INDEX(N$15:AB$81, MATCH($A91&amp;$C91, $D$15:$D$81,0),))/mill_conv</f>
        <v>0.22516624470015903</v>
      </c>
      <c r="O91" s="298" cm="1">
        <f t="array" ref="O91">MAX($D91*INDEX(O$15:AC$81, MATCH($A91&amp;$C91, $D$15:$D$81,0),))/mill_conv</f>
        <v>0.22516624470015903</v>
      </c>
      <c r="P91" s="298" cm="1">
        <f t="array" ref="P91">MAX($D91*INDEX(P$15:AD$81, MATCH($A91&amp;$C91, $D$15:$D$81,0),))/mill_conv</f>
        <v>0.22516624470015903</v>
      </c>
      <c r="Q91" s="298" cm="1">
        <f t="array" ref="Q91">MAX($D91*INDEX(Q$15:AE$81, MATCH($A91&amp;$C91, $D$15:$D$81,0),))/mill_conv</f>
        <v>0.22516624470015903</v>
      </c>
      <c r="R91" s="298" cm="1">
        <f t="array" ref="R91">MAX($D91*INDEX(R$15:AF$81, MATCH($A91&amp;$C91, $D$15:$D$81,0),))/mill_conv</f>
        <v>0.22516624470015903</v>
      </c>
      <c r="S91" s="298" cm="1">
        <f t="array" ref="S91">MAX($D91*INDEX(S$15:AG$81, MATCH($A91&amp;$C91, $D$15:$D$81,0),))/mill_conv</f>
        <v>0.22516624470015903</v>
      </c>
      <c r="T91" s="298" cm="1">
        <f t="array" ref="T91">MAX($D91*INDEX(T$15:AH$81, MATCH($A91&amp;$C91, $D$15:$D$81,0),))/mill_conv</f>
        <v>0.22516624470015903</v>
      </c>
      <c r="U91" s="298" cm="1">
        <f t="array" ref="U91">MAX($D91*INDEX(U$15:AI$81, MATCH($A91&amp;$C91, $D$15:$D$81,0),))/mill_conv</f>
        <v>0.22516624470015903</v>
      </c>
      <c r="V91" s="298" cm="1">
        <f t="array" ref="V91">MAX($D91*INDEX(V$15:AJ$81, MATCH($A91&amp;$C91, $D$15:$D$81,0),))/mill_conv</f>
        <v>0.22516624470015903</v>
      </c>
      <c r="W91" s="298" cm="1">
        <f t="array" ref="W91">MAX($D91*INDEX(W$15:AK$81, MATCH($A91&amp;$C91, $D$15:$D$81,0),))/mill_conv</f>
        <v>0.22516624470015903</v>
      </c>
      <c r="X91" s="298" cm="1">
        <f t="array" ref="X91">MAX($D91*INDEX(X$15:AL$81, MATCH($A91&amp;$C91, $D$15:$D$81,0),))/mill_conv</f>
        <v>0.22516624470015903</v>
      </c>
      <c r="Y91" s="298" cm="1">
        <f t="array" ref="Y91">MAX($D91*INDEX(Y$15:AM$81, MATCH($A91&amp;$C91, $D$15:$D$81,0),))/mill_conv</f>
        <v>0.22516624470015903</v>
      </c>
      <c r="Z91" s="298" cm="1">
        <f t="array" ref="Z91">MAX($D91*INDEX(Z$15:AN$81, MATCH($A91&amp;$C91, $D$15:$D$81,0),))/mill_conv</f>
        <v>0.22516624470015903</v>
      </c>
      <c r="AA91" s="298" cm="1">
        <f t="array" ref="AA91">MAX($D91*INDEX(AA$15:AO$81, MATCH($A91&amp;$C91, $D$15:$D$81,0),))/mill_conv</f>
        <v>0.22516624470015903</v>
      </c>
      <c r="AB91" s="298" cm="1">
        <f t="array" ref="AB91">MAX($D91*INDEX(AB$15:AP$81, MATCH($A91&amp;$C91, $D$15:$D$81,0),))/mill_conv</f>
        <v>0.22516624470015903</v>
      </c>
      <c r="AC91" s="298" cm="1">
        <f t="array" ref="AC91">MAX($D91*INDEX(AC$15:AQ$81, MATCH($A91&amp;$C91, $D$15:$D$81,0),))/mill_conv</f>
        <v>0.22516624470015903</v>
      </c>
      <c r="AD91" s="298" cm="1">
        <f t="array" ref="AD91">MAX($D91*INDEX(AD$15:AR$81, MATCH($A91&amp;$C91, $D$15:$D$81,0),))/mill_conv</f>
        <v>0.22516624470015903</v>
      </c>
      <c r="AE91" s="298" cm="1">
        <f t="array" ref="AE91">MAX($D91*INDEX(AE$15:AS$81, MATCH($A91&amp;$C91, $D$15:$D$81,0),))/mill_conv</f>
        <v>0</v>
      </c>
      <c r="AF91" s="298" cm="1">
        <f t="array" ref="AF91">MAX($D91*INDEX(AF$15:AT$81, MATCH($A91&amp;$C91, $D$15:$D$81,0),))/mill_conv</f>
        <v>0</v>
      </c>
      <c r="AG91" s="298" cm="1">
        <f t="array" ref="AG91">MAX($D91*INDEX(AG$15:AU$81, MATCH($A91&amp;$C91, $D$15:$D$81,0),))/mill_conv</f>
        <v>0</v>
      </c>
    </row>
    <row r="92" spans="1:33" x14ac:dyDescent="0.2">
      <c r="A92" s="198" t="str">
        <f>A16</f>
        <v>Option 1 (base case)</v>
      </c>
      <c r="B92" s="140"/>
      <c r="C92" s="198" t="s">
        <v>176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8">
        <f t="shared" ref="I92:R92" si="23">$D92*INDEX(I$15:I$81, MATCH($A92&amp;$C92, $D$15:$D$81,0))/mill_conv</f>
        <v>0.29221780244029616</v>
      </c>
      <c r="J92" s="298">
        <f t="shared" si="23"/>
        <v>0.30387995925145811</v>
      </c>
      <c r="K92" s="298">
        <f t="shared" si="23"/>
        <v>0.31732591108706842</v>
      </c>
      <c r="L92" s="298">
        <f t="shared" si="23"/>
        <v>0.33073032530336205</v>
      </c>
      <c r="M92" s="298">
        <f t="shared" si="23"/>
        <v>0.34188509453028648</v>
      </c>
      <c r="N92" s="298">
        <f t="shared" si="23"/>
        <v>0.34891266829235534</v>
      </c>
      <c r="O92" s="298">
        <f t="shared" si="23"/>
        <v>0.3597612458697938</v>
      </c>
      <c r="P92" s="298">
        <f t="shared" si="23"/>
        <v>0.37201865595563327</v>
      </c>
      <c r="Q92" s="298">
        <f t="shared" si="23"/>
        <v>0.38088652551006535</v>
      </c>
      <c r="R92" s="298">
        <f t="shared" si="23"/>
        <v>0.3794663617776925</v>
      </c>
      <c r="S92" s="298">
        <f t="shared" ref="S92:AG92" si="24">$D92*INDEX(S$15:S$81, MATCH($A92&amp;$C92, $D$15:$D$81,0))/mill_conv</f>
        <v>0.37804619804531975</v>
      </c>
      <c r="T92" s="298">
        <f t="shared" si="24"/>
        <v>0.37662603431294656</v>
      </c>
      <c r="U92" s="298">
        <f t="shared" si="24"/>
        <v>0.37520587058057381</v>
      </c>
      <c r="V92" s="298">
        <f t="shared" si="24"/>
        <v>0.37378570684820073</v>
      </c>
      <c r="W92" s="298">
        <f t="shared" si="24"/>
        <v>0.37236554311582781</v>
      </c>
      <c r="X92" s="298">
        <f t="shared" si="24"/>
        <v>0.37094537938345468</v>
      </c>
      <c r="Y92" s="298">
        <f t="shared" si="24"/>
        <v>0.36952521565108187</v>
      </c>
      <c r="Z92" s="298">
        <f t="shared" si="24"/>
        <v>0.36810505191870874</v>
      </c>
      <c r="AA92" s="298">
        <f t="shared" si="24"/>
        <v>0.36668488818633599</v>
      </c>
      <c r="AB92" s="298">
        <f t="shared" si="24"/>
        <v>0.36526472445396285</v>
      </c>
      <c r="AC92" s="298">
        <f t="shared" si="24"/>
        <v>0.36384456072158994</v>
      </c>
      <c r="AD92" s="298">
        <f t="shared" si="24"/>
        <v>0.36242439698921686</v>
      </c>
      <c r="AE92" s="298">
        <f t="shared" si="24"/>
        <v>0.36100423325684405</v>
      </c>
      <c r="AF92" s="298">
        <f t="shared" si="24"/>
        <v>0.35958406952447136</v>
      </c>
      <c r="AG92" s="298">
        <f t="shared" si="24"/>
        <v>0.35816390579209817</v>
      </c>
    </row>
    <row r="93" spans="1:33" ht="12" x14ac:dyDescent="0.2">
      <c r="E93" s="84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5" t="str">
        <f>I88</f>
        <v>FY27</v>
      </c>
      <c r="J97" s="295" t="str">
        <f t="shared" ref="J97:AG97" si="25">J88</f>
        <v>FY28</v>
      </c>
      <c r="K97" s="295" t="str">
        <f t="shared" si="25"/>
        <v>FY29</v>
      </c>
      <c r="L97" s="295" t="str">
        <f t="shared" si="25"/>
        <v>FY30</v>
      </c>
      <c r="M97" s="295" t="str">
        <f t="shared" si="25"/>
        <v>FY31</v>
      </c>
      <c r="N97" s="295" t="str">
        <f t="shared" si="25"/>
        <v>FY32</v>
      </c>
      <c r="O97" s="295" t="str">
        <f t="shared" si="25"/>
        <v>FY33</v>
      </c>
      <c r="P97" s="295" t="str">
        <f t="shared" si="25"/>
        <v>FY34</v>
      </c>
      <c r="Q97" s="295" t="str">
        <f t="shared" si="25"/>
        <v>FY35</v>
      </c>
      <c r="R97" s="295" t="str">
        <f t="shared" si="25"/>
        <v>FY36</v>
      </c>
      <c r="S97" s="295" t="str">
        <f t="shared" si="25"/>
        <v>FY37</v>
      </c>
      <c r="T97" s="295" t="str">
        <f t="shared" si="25"/>
        <v>FY38</v>
      </c>
      <c r="U97" s="295" t="str">
        <f t="shared" si="25"/>
        <v>FY39</v>
      </c>
      <c r="V97" s="295" t="str">
        <f t="shared" si="25"/>
        <v>FY40</v>
      </c>
      <c r="W97" s="295" t="str">
        <f t="shared" si="25"/>
        <v>FY41</v>
      </c>
      <c r="X97" s="295" t="str">
        <f t="shared" si="25"/>
        <v>FY42</v>
      </c>
      <c r="Y97" s="295" t="str">
        <f t="shared" si="25"/>
        <v>FY43</v>
      </c>
      <c r="Z97" s="295" t="str">
        <f t="shared" si="25"/>
        <v>FY44</v>
      </c>
      <c r="AA97" s="295" t="str">
        <f t="shared" si="25"/>
        <v>FY45</v>
      </c>
      <c r="AB97" s="295" t="str">
        <f t="shared" si="25"/>
        <v>FY46</v>
      </c>
      <c r="AC97" s="295" t="str">
        <f t="shared" si="25"/>
        <v>FY47</v>
      </c>
      <c r="AD97" s="295" t="str">
        <f t="shared" si="25"/>
        <v>FY48</v>
      </c>
      <c r="AE97" s="295" t="str">
        <f t="shared" si="25"/>
        <v>FY49</v>
      </c>
      <c r="AF97" s="295" t="str">
        <f t="shared" si="25"/>
        <v>FY50</v>
      </c>
      <c r="AG97" s="295" t="str">
        <f t="shared" si="25"/>
        <v>FY51</v>
      </c>
    </row>
    <row r="98" spans="1:33" x14ac:dyDescent="0.2">
      <c r="A98" s="199" t="s">
        <v>236</v>
      </c>
      <c r="B98" s="140"/>
      <c r="C98" s="197" t="s">
        <v>123</v>
      </c>
      <c r="D98" s="191">
        <f>MAX(H98:AG98)</f>
        <v>8.9843036774852685</v>
      </c>
      <c r="E98" s="294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6.8927969388658203</v>
      </c>
      <c r="J98" s="119">
        <f>INDEX('Option1 (base case)'!J$14:J$87, MATCH($C98, 'Option1 (base case)'!$C$14:$C$87,0))</f>
        <v>7.1678824336483427</v>
      </c>
      <c r="K98" s="119">
        <f>INDEX('Option1 (base case)'!K$14:K$87, MATCH($C98, 'Option1 (base case)'!$C$14:$C$87,0))</f>
        <v>7.4850438621399142</v>
      </c>
      <c r="L98" s="119">
        <f>INDEX('Option1 (base case)'!L$14:L$87, MATCH($C98, 'Option1 (base case)'!$C$14:$C$87,0))</f>
        <v>7.8012255064674711</v>
      </c>
      <c r="M98" s="119">
        <f>INDEX('Option1 (base case)'!M$14:M$87, MATCH($C98, 'Option1 (base case)'!$C$14:$C$87,0))</f>
        <v>8.0643428064369296</v>
      </c>
      <c r="N98" s="119">
        <f>INDEX('Option1 (base case)'!N$14:N$87, MATCH($C98, 'Option1 (base case)'!$C$14:$C$87,0))</f>
        <v>8.2301083364981533</v>
      </c>
      <c r="O98" s="119">
        <f>INDEX('Option1 (base case)'!O$14:O$87, MATCH($C98, 'Option1 (base case)'!$C$14:$C$87,0))</f>
        <v>8.4860032261741321</v>
      </c>
      <c r="P98" s="119">
        <f>INDEX('Option1 (base case)'!P$14:P$87, MATCH($C98, 'Option1 (base case)'!$C$14:$C$87,0))</f>
        <v>8.7751294806752043</v>
      </c>
      <c r="Q98" s="119">
        <f>INDEX('Option1 (base case)'!Q$14:Q$87, MATCH($C98, 'Option1 (base case)'!$C$14:$C$87,0))</f>
        <v>8.9843036774852685</v>
      </c>
      <c r="R98" s="119">
        <f>INDEX('Option1 (base case)'!R$14:R$87, MATCH($C98, 'Option1 (base case)'!$C$14:$C$87,0))</f>
        <v>8.9508050331677733</v>
      </c>
      <c r="S98" s="119">
        <f>INDEX('Option1 (base case)'!S$14:S$87, MATCH($C98, 'Option1 (base case)'!$C$14:$C$87,0))</f>
        <v>8.9173063888502799</v>
      </c>
      <c r="T98" s="119">
        <f>INDEX('Option1 (base case)'!T$14:T$87, MATCH($C98, 'Option1 (base case)'!$C$14:$C$87,0))</f>
        <v>8.8838077445327741</v>
      </c>
      <c r="U98" s="119">
        <f>INDEX('Option1 (base case)'!U$14:U$87, MATCH($C98, 'Option1 (base case)'!$C$14:$C$87,0))</f>
        <v>8.8503091002152807</v>
      </c>
      <c r="V98" s="119">
        <f>INDEX('Option1 (base case)'!V$14:V$87, MATCH($C98, 'Option1 (base case)'!$C$14:$C$87,0))</f>
        <v>8.8168104558977785</v>
      </c>
      <c r="W98" s="119">
        <f>INDEX('Option1 (base case)'!W$14:W$87, MATCH($C98, 'Option1 (base case)'!$C$14:$C$87,0))</f>
        <v>8.7833118115802833</v>
      </c>
      <c r="X98" s="119">
        <f>INDEX('Option1 (base case)'!X$14:X$87, MATCH($C98, 'Option1 (base case)'!$C$14:$C$87,0))</f>
        <v>8.7498131672627792</v>
      </c>
      <c r="Y98" s="119">
        <f>INDEX('Option1 (base case)'!Y$14:Y$87, MATCH($C98, 'Option1 (base case)'!$C$14:$C$87,0))</f>
        <v>8.7163145229452841</v>
      </c>
      <c r="Z98" s="119">
        <f>INDEX('Option1 (base case)'!Z$14:Z$87, MATCH($C98, 'Option1 (base case)'!$C$14:$C$87,0))</f>
        <v>8.68281587862778</v>
      </c>
      <c r="AA98" s="119">
        <f>INDEX('Option1 (base case)'!AA$14:AA$87, MATCH($C98, 'Option1 (base case)'!$C$14:$C$87,0))</f>
        <v>8.6493172343102867</v>
      </c>
      <c r="AB98" s="119">
        <f>INDEX('Option1 (base case)'!AB$14:AB$87, MATCH($C98, 'Option1 (base case)'!$C$14:$C$87,0))</f>
        <v>8.6158185899927844</v>
      </c>
      <c r="AC98" s="119">
        <f>INDEX('Option1 (base case)'!AC$14:AC$87, MATCH($C98, 'Option1 (base case)'!$C$14:$C$87,0))</f>
        <v>8.5823199456752874</v>
      </c>
      <c r="AD98" s="119">
        <f>INDEX('Option1 (base case)'!AD$14:AD$87, MATCH($C98, 'Option1 (base case)'!$C$14:$C$87,0))</f>
        <v>8.5488213013577852</v>
      </c>
      <c r="AE98" s="119">
        <f>INDEX('Option1 (base case)'!AE$14:AE$87, MATCH($C98, 'Option1 (base case)'!$C$14:$C$87,0))</f>
        <v>8.51532265704029</v>
      </c>
      <c r="AF98" s="119">
        <f>INDEX('Option1 (base case)'!AF$14:AF$87, MATCH($C98, 'Option1 (base case)'!$C$14:$C$87,0))</f>
        <v>8.4818240127227966</v>
      </c>
      <c r="AG98" s="119">
        <f>INDEX('Option1 (base case)'!AG$14:AG$87, MATCH($C98, 'Option1 (base case)'!$C$14:$C$87,0))</f>
        <v>8.4483253684052926</v>
      </c>
    </row>
    <row r="99" spans="1:33" x14ac:dyDescent="0.2">
      <c r="A99" s="198" t="str">
        <f>A23</f>
        <v>Option 1 (base case)</v>
      </c>
      <c r="B99" s="140"/>
      <c r="C99" s="198" t="s">
        <v>124</v>
      </c>
      <c r="D99" s="191">
        <f>MAX(H99:AG99)</f>
        <v>0.34224296645065533</v>
      </c>
      <c r="E99" s="294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0.26257029550449568</v>
      </c>
      <c r="J99" s="119">
        <f>INDEX('Option1 (base case)'!J$14:J$87, MATCH($C99, 'Option1 (base case)'!$C$14:$C$87,0))/10^6</f>
        <v>0.2730492462547745</v>
      </c>
      <c r="K99" s="119">
        <f>INDEX('Option1 (base case)'!K$14:K$87, MATCH($C99, 'Option1 (base case)'!$C$14:$C$87,0))/10^6</f>
        <v>0.2851310137491993</v>
      </c>
      <c r="L99" s="119">
        <f>INDEX('Option1 (base case)'!L$14:L$87, MATCH($C99, 'Option1 (base case)'!$C$14:$C$87,0))/10^6</f>
        <v>0.29717545790162553</v>
      </c>
      <c r="M99" s="119">
        <f>INDEX('Option1 (base case)'!M$14:M$87, MATCH($C99, 'Option1 (base case)'!$C$14:$C$87,0))/10^6</f>
        <v>0.30719849902964314</v>
      </c>
      <c r="N99" s="119">
        <f>INDEX('Option1 (base case)'!N$14:N$87, MATCH($C99, 'Option1 (base case)'!$C$14:$C$87,0))/10^6</f>
        <v>0.31351307707374793</v>
      </c>
      <c r="O99" s="119">
        <f>INDEX('Option1 (base case)'!O$14:O$87, MATCH($C99, 'Option1 (base case)'!$C$14:$C$87,0))/10^6</f>
        <v>0.32326099180215828</v>
      </c>
      <c r="P99" s="119">
        <f>INDEX('Option1 (base case)'!P$14:P$87, MATCH($C99, 'Option1 (base case)'!$C$14:$C$87,0))/10^6</f>
        <v>0.33427480328620096</v>
      </c>
      <c r="Q99" s="119">
        <f>INDEX('Option1 (base case)'!Q$14:Q$87, MATCH($C99, 'Option1 (base case)'!$C$14:$C$87,0))/10^6</f>
        <v>0.34224296645065533</v>
      </c>
      <c r="R99" s="119">
        <f>INDEX('Option1 (base case)'!R$14:R$87, MATCH($C99, 'Option1 (base case)'!$C$14:$C$87,0))/10^6</f>
        <v>0.34096688810169812</v>
      </c>
      <c r="S99" s="119">
        <f>INDEX('Option1 (base case)'!S$14:S$87, MATCH($C99, 'Option1 (base case)'!$C$14:$C$87,0))/10^6</f>
        <v>0.33969080975274107</v>
      </c>
      <c r="T99" s="119">
        <f>INDEX('Option1 (base case)'!T$14:T$87, MATCH($C99, 'Option1 (base case)'!$C$14:$C$87,0))/10^6</f>
        <v>0.33841473140378353</v>
      </c>
      <c r="U99" s="119">
        <f>INDEX('Option1 (base case)'!U$14:U$87, MATCH($C99, 'Option1 (base case)'!$C$14:$C$87,0))/10^6</f>
        <v>0.33713865305482649</v>
      </c>
      <c r="V99" s="119">
        <f>INDEX('Option1 (base case)'!V$14:V$87, MATCH($C99, 'Option1 (base case)'!$C$14:$C$87,0))/10^6</f>
        <v>0.33586257470586905</v>
      </c>
      <c r="W99" s="119">
        <f>INDEX('Option1 (base case)'!W$14:W$87, MATCH($C99, 'Option1 (base case)'!$C$14:$C$87,0))/10^6</f>
        <v>0.3345864963569119</v>
      </c>
      <c r="X99" s="119">
        <f>INDEX('Option1 (base case)'!X$14:X$87, MATCH($C99, 'Option1 (base case)'!$C$14:$C$87,0))/10^6</f>
        <v>0.33331041800795441</v>
      </c>
      <c r="Y99" s="119">
        <f>INDEX('Option1 (base case)'!Y$14:Y$87, MATCH($C99, 'Option1 (base case)'!$C$14:$C$87,0))/10^6</f>
        <v>0.33203433965899731</v>
      </c>
      <c r="Z99" s="119">
        <f>INDEX('Option1 (base case)'!Z$14:Z$87, MATCH($C99, 'Option1 (base case)'!$C$14:$C$87,0))/10^6</f>
        <v>0.33075826131003982</v>
      </c>
      <c r="AA99" s="119">
        <f>INDEX('Option1 (base case)'!AA$14:AA$87, MATCH($C99, 'Option1 (base case)'!$C$14:$C$87,0))/10^6</f>
        <v>0.32948218296108278</v>
      </c>
      <c r="AB99" s="119">
        <f>INDEX('Option1 (base case)'!AB$14:AB$87, MATCH($C99, 'Option1 (base case)'!$C$14:$C$87,0))/10^6</f>
        <v>0.32820610461212535</v>
      </c>
      <c r="AC99" s="119">
        <f>INDEX('Option1 (base case)'!AC$14:AC$87, MATCH($C99, 'Option1 (base case)'!$C$14:$C$87,0))/10^6</f>
        <v>0.32693002626316814</v>
      </c>
      <c r="AD99" s="119">
        <f>INDEX('Option1 (base case)'!AD$14:AD$87, MATCH($C99, 'Option1 (base case)'!$C$14:$C$87,0))/10^6</f>
        <v>0.32565394791421071</v>
      </c>
      <c r="AE99" s="119">
        <f>INDEX('Option1 (base case)'!AE$14:AE$87, MATCH($C99, 'Option1 (base case)'!$C$14:$C$87,0))/10^6</f>
        <v>0.32437786956525361</v>
      </c>
      <c r="AF99" s="119">
        <f>INDEX('Option1 (base case)'!AF$14:AF$87, MATCH($C99, 'Option1 (base case)'!$C$14:$C$87,0))/10^6</f>
        <v>0.32310179121629656</v>
      </c>
      <c r="AG99" s="119">
        <f>INDEX('Option1 (base case)'!AG$14:AG$87, MATCH($C99, 'Option1 (base case)'!$C$14:$C$87,0))/10^6</f>
        <v>0.32182571286733908</v>
      </c>
    </row>
    <row r="100" spans="1:33" ht="12" x14ac:dyDescent="0.2">
      <c r="E100" s="10"/>
    </row>
    <row r="101" spans="1:33" s="296" customFormat="1" ht="12" x14ac:dyDescent="0.2"/>
    <row r="102" spans="1:33" ht="12" x14ac:dyDescent="0.2">
      <c r="E102" s="10"/>
    </row>
    <row r="103" spans="1:33" ht="12" x14ac:dyDescent="0.2">
      <c r="E103" s="10"/>
      <c r="I103" s="296"/>
    </row>
    <row r="104" spans="1:33" ht="12" x14ac:dyDescent="0.2">
      <c r="E104" s="10"/>
      <c r="H104" s="151"/>
    </row>
    <row r="105" spans="1:33" ht="12" x14ac:dyDescent="0.2">
      <c r="E105" s="10"/>
      <c r="H105" s="151"/>
    </row>
    <row r="106" spans="1:33" ht="12" x14ac:dyDescent="0.2">
      <c r="D106" s="191"/>
      <c r="E106" s="10"/>
    </row>
    <row r="107" spans="1:33" ht="12" x14ac:dyDescent="0.2">
      <c r="D107" s="191"/>
      <c r="E107" s="10"/>
    </row>
    <row r="108" spans="1:33" ht="12" x14ac:dyDescent="0.2">
      <c r="D108" s="191"/>
      <c r="E108" s="84"/>
    </row>
    <row r="109" spans="1:33" ht="12" x14ac:dyDescent="0.2">
      <c r="C109" s="124"/>
      <c r="D109" s="191"/>
      <c r="E109" s="191"/>
    </row>
    <row r="110" spans="1:33" ht="12" x14ac:dyDescent="0.2">
      <c r="D110" s="191"/>
      <c r="E110" s="84"/>
    </row>
    <row r="111" spans="1:33" ht="12" x14ac:dyDescent="0.2">
      <c r="D111" s="191"/>
      <c r="E111" s="84"/>
    </row>
    <row r="112" spans="1:33" ht="12" x14ac:dyDescent="0.2">
      <c r="D112" s="191"/>
      <c r="E112" s="84"/>
    </row>
    <row r="113" spans="4:5" ht="12" x14ac:dyDescent="0.2">
      <c r="D113" s="191"/>
      <c r="E113" s="84"/>
    </row>
    <row r="114" spans="4:5" ht="12" x14ac:dyDescent="0.2">
      <c r="D114" s="191"/>
      <c r="E114" s="84"/>
    </row>
    <row r="115" spans="4:5" ht="12" x14ac:dyDescent="0.2">
      <c r="D115" s="191"/>
      <c r="E115" s="84"/>
    </row>
    <row r="116" spans="4:5" ht="12" x14ac:dyDescent="0.2">
      <c r="D116" s="191"/>
      <c r="E116" s="84"/>
    </row>
    <row r="117" spans="4:5" ht="12" x14ac:dyDescent="0.2">
      <c r="D117" s="191"/>
      <c r="E117" s="84"/>
    </row>
    <row r="118" spans="4:5" ht="12" x14ac:dyDescent="0.2">
      <c r="D118" s="191"/>
      <c r="E118" s="84"/>
    </row>
    <row r="119" spans="4:5" ht="12" x14ac:dyDescent="0.2">
      <c r="D119" s="191"/>
      <c r="E119" s="84"/>
    </row>
    <row r="120" spans="4:5" ht="12" x14ac:dyDescent="0.2">
      <c r="D120" s="191"/>
      <c r="E120" s="84"/>
    </row>
    <row r="121" spans="4:5" ht="12" x14ac:dyDescent="0.2">
      <c r="D121" s="191"/>
      <c r="E121" s="84"/>
    </row>
    <row r="122" spans="4:5" ht="12" x14ac:dyDescent="0.2">
      <c r="D122" s="191"/>
      <c r="E122" s="84"/>
    </row>
    <row r="123" spans="4:5" ht="12" x14ac:dyDescent="0.2">
      <c r="D123" s="191"/>
      <c r="E123" s="84"/>
    </row>
    <row r="124" spans="4:5" ht="12" x14ac:dyDescent="0.2">
      <c r="D124" s="191"/>
      <c r="E124" s="84"/>
    </row>
    <row r="125" spans="4:5" ht="12" x14ac:dyDescent="0.2">
      <c r="D125" s="191"/>
      <c r="E125" s="84"/>
    </row>
    <row r="126" spans="4:5" ht="12" x14ac:dyDescent="0.2">
      <c r="D126" s="191"/>
      <c r="E126" s="84"/>
    </row>
    <row r="127" spans="4:5" ht="12" x14ac:dyDescent="0.2">
      <c r="D127" s="191"/>
      <c r="E127" s="84"/>
    </row>
    <row r="128" spans="4:5" ht="12" x14ac:dyDescent="0.2">
      <c r="D128" s="191"/>
      <c r="E128" s="84"/>
    </row>
    <row r="129" spans="4:5" ht="12" x14ac:dyDescent="0.2">
      <c r="D129" s="191"/>
      <c r="E129" s="84"/>
    </row>
    <row r="130" spans="4:5" ht="12" x14ac:dyDescent="0.2">
      <c r="D130" s="191"/>
      <c r="E130" s="84"/>
    </row>
    <row r="131" spans="4:5" ht="12" x14ac:dyDescent="0.2">
      <c r="D131" s="191"/>
      <c r="E131" s="84"/>
    </row>
    <row r="132" spans="4:5" ht="12" x14ac:dyDescent="0.2">
      <c r="D132" s="191"/>
      <c r="E132" s="84"/>
    </row>
    <row r="133" spans="4:5" ht="12" x14ac:dyDescent="0.2">
      <c r="D133" s="191"/>
      <c r="E133" s="84"/>
    </row>
    <row r="134" spans="4:5" ht="12" x14ac:dyDescent="0.2">
      <c r="D134" s="191"/>
      <c r="E134" s="84"/>
    </row>
    <row r="135" spans="4:5" ht="12" x14ac:dyDescent="0.2">
      <c r="D135" s="191"/>
      <c r="E135" s="84"/>
    </row>
    <row r="136" spans="4:5" ht="12" x14ac:dyDescent="0.2">
      <c r="D136" s="191"/>
      <c r="E136" s="84"/>
    </row>
    <row r="137" spans="4:5" ht="12" x14ac:dyDescent="0.2">
      <c r="D137" s="191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Ballan microgrid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4" t="s">
        <v>224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198</v>
      </c>
      <c r="B5" s="116"/>
      <c r="D5" s="117"/>
      <c r="E5" s="116"/>
      <c r="F5" s="116"/>
      <c r="G5" s="101"/>
      <c r="H5" s="189">
        <f>Consol!H5</f>
        <v>0</v>
      </c>
      <c r="I5" s="189">
        <f>Consol!I5</f>
        <v>0.98294637436598087</v>
      </c>
      <c r="J5" s="189">
        <f>Consol!J5</f>
        <v>0.94970664189949849</v>
      </c>
      <c r="K5" s="189">
        <f>Consol!K5</f>
        <v>0.91759095835700344</v>
      </c>
      <c r="L5" s="189">
        <f>Consol!L5</f>
        <v>0.88656131242222558</v>
      </c>
      <c r="M5" s="189">
        <f>Consol!M5</f>
        <v>0.85658097818572532</v>
      </c>
      <c r="N5" s="189">
        <f>Consol!N5</f>
        <v>0.8276144716770294</v>
      </c>
      <c r="O5" s="189">
        <f>Consol!O5</f>
        <v>0.79962750886669509</v>
      </c>
      <c r="P5" s="189">
        <f>Consol!P5</f>
        <v>0.77258696508859437</v>
      </c>
      <c r="Q5" s="189">
        <f>Consol!Q5</f>
        <v>0.74646083583439071</v>
      </c>
      <c r="R5" s="189">
        <f>Consol!R5</f>
        <v>0.72121819887380756</v>
      </c>
      <c r="S5" s="189">
        <f>Consol!S5</f>
        <v>0.69682917765585273</v>
      </c>
      <c r="T5" s="189">
        <f>Consol!T5</f>
        <v>0.67326490594768384</v>
      </c>
      <c r="U5" s="189">
        <f>Consol!U5</f>
        <v>0.6504974936692598</v>
      </c>
      <c r="V5" s="189">
        <f>Consol!V5</f>
        <v>0.62849999388334288</v>
      </c>
      <c r="W5" s="189">
        <f>Consol!W5</f>
        <v>0.60724637090178057</v>
      </c>
      <c r="X5" s="189">
        <f>Consol!X5</f>
        <v>0.58671146947031949</v>
      </c>
      <c r="Y5" s="189">
        <f>Consol!Y5</f>
        <v>0.56687098499547783</v>
      </c>
      <c r="Z5" s="189">
        <f>Consol!Z5</f>
        <v>0.54770143477823952</v>
      </c>
      <c r="AA5" s="189">
        <f>Consol!AA5</f>
        <v>0.52918013022052135</v>
      </c>
      <c r="AB5" s="189">
        <f>Consol!AB5</f>
        <v>0.5112851499715183</v>
      </c>
      <c r="AC5" s="189">
        <f>Consol!AC5</f>
        <v>0.4939953139821433</v>
      </c>
      <c r="AD5" s="189">
        <f>Consol!AD5</f>
        <v>0.47729015843685346</v>
      </c>
      <c r="AE5" s="189">
        <f>Consol!AE5</f>
        <v>0.46114991153319179</v>
      </c>
      <c r="AF5" s="189">
        <f>Consol!AF5</f>
        <v>0.4455554700803786</v>
      </c>
      <c r="AG5" s="189">
        <f>Consol!AG5</f>
        <v>0.43048837688925473</v>
      </c>
    </row>
    <row r="6" spans="1:33" s="2" customFormat="1" hidden="1" outlineLevel="1" x14ac:dyDescent="0.2">
      <c r="A6" s="190" t="str">
        <f>'Option1 (base case)'!A6</f>
        <v>Count</v>
      </c>
      <c r="B6" s="116"/>
      <c r="D6" s="117"/>
      <c r="E6" s="116"/>
      <c r="F6" s="116"/>
      <c r="G6" s="101"/>
      <c r="H6" s="190">
        <f>Consol!H6</f>
        <v>0</v>
      </c>
      <c r="I6" s="190">
        <f>Consol!I6</f>
        <v>1</v>
      </c>
      <c r="J6" s="190">
        <f>Consol!J6</f>
        <v>2</v>
      </c>
      <c r="K6" s="190">
        <f>Consol!K6</f>
        <v>3</v>
      </c>
      <c r="L6" s="190">
        <f>Consol!L6</f>
        <v>4</v>
      </c>
      <c r="M6" s="190">
        <f>Consol!M6</f>
        <v>5</v>
      </c>
      <c r="N6" s="190">
        <f>Consol!N6</f>
        <v>6</v>
      </c>
      <c r="O6" s="190">
        <f>Consol!O6</f>
        <v>7</v>
      </c>
      <c r="P6" s="190">
        <f>Consol!P6</f>
        <v>8</v>
      </c>
      <c r="Q6" s="190">
        <f>Consol!Q6</f>
        <v>9</v>
      </c>
      <c r="R6" s="190">
        <f>Consol!R6</f>
        <v>10</v>
      </c>
      <c r="S6" s="190">
        <f>Consol!S6</f>
        <v>11</v>
      </c>
      <c r="T6" s="190">
        <f>Consol!T6</f>
        <v>12</v>
      </c>
      <c r="U6" s="190">
        <f>Consol!U6</f>
        <v>13</v>
      </c>
      <c r="V6" s="190">
        <f>Consol!V6</f>
        <v>14</v>
      </c>
      <c r="W6" s="190">
        <f>Consol!W6</f>
        <v>15</v>
      </c>
      <c r="X6" s="190">
        <f>Consol!X6</f>
        <v>16</v>
      </c>
      <c r="Y6" s="190">
        <f>Consol!Y6</f>
        <v>17</v>
      </c>
      <c r="Z6" s="190">
        <f>Consol!Z6</f>
        <v>18</v>
      </c>
      <c r="AA6" s="190">
        <f>Consol!AA6</f>
        <v>19</v>
      </c>
      <c r="AB6" s="190">
        <f>Consol!AB6</f>
        <v>20</v>
      </c>
      <c r="AC6" s="190">
        <f>Consol!AC6</f>
        <v>21</v>
      </c>
      <c r="AD6" s="190">
        <f>Consol!AD6</f>
        <v>22</v>
      </c>
      <c r="AE6" s="190">
        <f>Consol!AE6</f>
        <v>23</v>
      </c>
      <c r="AF6" s="190">
        <f>Consol!AF6</f>
        <v>24</v>
      </c>
      <c r="AG6" s="190">
        <f>Consol!AG6</f>
        <v>25</v>
      </c>
    </row>
    <row r="7" spans="1:33" s="2" customFormat="1" collapsed="1" x14ac:dyDescent="0.2">
      <c r="A7" s="116" t="s">
        <v>199</v>
      </c>
      <c r="B7" s="116"/>
      <c r="D7" s="117"/>
      <c r="E7" s="116"/>
      <c r="F7" s="116"/>
      <c r="G7" s="101"/>
      <c r="H7" s="256" t="b">
        <f>Consol!H7</f>
        <v>1</v>
      </c>
      <c r="I7" s="256" t="b">
        <f>Consol!I7</f>
        <v>1</v>
      </c>
      <c r="J7" s="256" t="b">
        <f>Consol!J7</f>
        <v>1</v>
      </c>
      <c r="K7" s="256" t="b">
        <f>Consol!K7</f>
        <v>1</v>
      </c>
      <c r="L7" s="256" t="b">
        <f>Consol!L7</f>
        <v>1</v>
      </c>
      <c r="M7" s="256" t="b">
        <f>Consol!M7</f>
        <v>1</v>
      </c>
      <c r="N7" s="256" t="b">
        <f>Consol!N7</f>
        <v>1</v>
      </c>
      <c r="O7" s="256" t="b">
        <f>Consol!O7</f>
        <v>1</v>
      </c>
      <c r="P7" s="256" t="b">
        <f>Consol!P7</f>
        <v>1</v>
      </c>
      <c r="Q7" s="256" t="b">
        <f>Consol!Q7</f>
        <v>1</v>
      </c>
      <c r="R7" s="256" t="b">
        <f>Consol!R7</f>
        <v>1</v>
      </c>
      <c r="S7" s="256" t="b">
        <f>Consol!S7</f>
        <v>1</v>
      </c>
      <c r="T7" s="256" t="b">
        <f>Consol!T7</f>
        <v>1</v>
      </c>
      <c r="U7" s="256" t="b">
        <f>Consol!U7</f>
        <v>1</v>
      </c>
      <c r="V7" s="256" t="b">
        <f>Consol!V7</f>
        <v>1</v>
      </c>
      <c r="W7" s="256" t="b">
        <f>Consol!W7</f>
        <v>1</v>
      </c>
      <c r="X7" s="256" t="b">
        <f>Consol!X7</f>
        <v>1</v>
      </c>
      <c r="Y7" s="256" t="b">
        <f>Consol!Y7</f>
        <v>1</v>
      </c>
      <c r="Z7" s="256" t="b">
        <f>Consol!Z7</f>
        <v>1</v>
      </c>
      <c r="AA7" s="256" t="b">
        <f>Consol!AA7</f>
        <v>1</v>
      </c>
      <c r="AB7" s="256" t="b">
        <f>Consol!AB7</f>
        <v>1</v>
      </c>
      <c r="AC7" s="256" t="b">
        <f>Consol!AC7</f>
        <v>1</v>
      </c>
      <c r="AD7" s="256" t="b">
        <f>Consol!AD7</f>
        <v>1</v>
      </c>
      <c r="AE7" s="256" t="b">
        <f>Consol!AE7</f>
        <v>0</v>
      </c>
      <c r="AF7" s="256" t="b">
        <f>Consol!AF7</f>
        <v>0</v>
      </c>
      <c r="AG7" s="256" t="b">
        <f>Consol!AG7</f>
        <v>0</v>
      </c>
    </row>
    <row r="8" spans="1:33" s="2" customFormat="1" ht="4.5" customHeight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20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2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157</v>
      </c>
      <c r="G11" s="223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6"/>
      <c r="B12" s="246"/>
      <c r="C12" s="246"/>
      <c r="D12" s="246"/>
      <c r="E12" s="246"/>
      <c r="F12" s="246"/>
      <c r="G12" s="247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84799.926017941572</v>
      </c>
      <c r="AA12" s="31">
        <f>Consol!AB36</f>
        <v>82271.452475828119</v>
      </c>
      <c r="AB12" s="31">
        <f>Consol!AC36</f>
        <v>79742.97893371516</v>
      </c>
      <c r="AC12" s="31">
        <f>Consol!AD36</f>
        <v>77214.505391601691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7"/>
    </row>
    <row r="13" spans="1:33" s="7" customFormat="1" x14ac:dyDescent="0.2">
      <c r="A13" s="246"/>
      <c r="B13" s="246"/>
      <c r="C13" s="246"/>
      <c r="D13" s="246"/>
      <c r="E13" s="246"/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spans="1:33" s="7" customFormat="1" x14ac:dyDescent="0.2">
      <c r="A14" s="254" t="s">
        <v>146</v>
      </c>
      <c r="B14" s="254" t="s">
        <v>119</v>
      </c>
      <c r="C14" s="254" t="s">
        <v>192</v>
      </c>
      <c r="D14" s="254" t="str">
        <f>A14&amp;B14</f>
        <v>OPTION 1 (base case)NPV</v>
      </c>
      <c r="E14" s="255"/>
      <c r="F14" s="31">
        <f>SUMPRODUCT($H14:$AG14, $H$5:$AG$5)</f>
        <v>0</v>
      </c>
      <c r="G14" s="247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6"/>
      <c r="B15" s="246"/>
      <c r="C15" s="246"/>
      <c r="D15" s="246"/>
      <c r="E15" s="246"/>
      <c r="F15" s="246"/>
      <c r="G15" s="24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4" t="s">
        <v>146</v>
      </c>
      <c r="B16" s="254" t="str">
        <f>'Option1 (base case)'!A110</f>
        <v>sens1</v>
      </c>
      <c r="C16" s="254" t="str">
        <f>'Option1 (base case)'!C110</f>
        <v>Capex 10% higher</v>
      </c>
      <c r="D16" s="254" t="str">
        <f t="shared" ref="D16:D23" si="0">A16&amp;B16</f>
        <v>OPTION 1 (base case)sens1</v>
      </c>
      <c r="E16" s="255"/>
      <c r="F16" s="31">
        <f>SUMPRODUCT($H16:$AG16, $H$5:$AG$5)</f>
        <v>0</v>
      </c>
      <c r="G16" s="247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4" t="s">
        <v>146</v>
      </c>
      <c r="B17" s="254" t="str">
        <f>'Option1 (base case)'!A111</f>
        <v>sens2</v>
      </c>
      <c r="C17" s="254" t="str">
        <f>'Option1 (base case)'!C111</f>
        <v>Capex 10% lower</v>
      </c>
      <c r="D17" s="254" t="str">
        <f t="shared" si="0"/>
        <v>OPTION 1 (base case)sens2</v>
      </c>
      <c r="E17" s="255"/>
      <c r="F17" s="31">
        <f t="shared" ref="F17:F23" si="1">SUMPRODUCT($H17:$AG17, $H$5:$AG$5)</f>
        <v>0</v>
      </c>
      <c r="G17" s="254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4" t="s">
        <v>146</v>
      </c>
      <c r="B18" s="254" t="str">
        <f>'Option1 (base case)'!A112</f>
        <v>sens3</v>
      </c>
      <c r="C18" s="254" t="str">
        <f>'Option1 (base case)'!C112</f>
        <v>Increasing wind escalation</v>
      </c>
      <c r="D18" s="254" t="str">
        <f t="shared" si="0"/>
        <v>OPTION 1 (base case)sens3</v>
      </c>
      <c r="E18" s="255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4" t="s">
        <v>146</v>
      </c>
      <c r="B19" s="254" t="str">
        <f>'Option1 (base case)'!A113</f>
        <v>sens4</v>
      </c>
      <c r="C19" s="254" t="str">
        <f>'Option1 (base case)'!C113</f>
        <v/>
      </c>
      <c r="D19" s="254" t="str">
        <f t="shared" si="0"/>
        <v>OPTION 1 (base case)sens4</v>
      </c>
      <c r="E19" s="255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4" t="s">
        <v>146</v>
      </c>
      <c r="B20" s="254" t="str">
        <f>'Option1 (base case)'!A114</f>
        <v>sens5</v>
      </c>
      <c r="C20" s="254" t="str">
        <f>'Option1 (base case)'!C114</f>
        <v/>
      </c>
      <c r="D20" s="254" t="str">
        <f t="shared" si="0"/>
        <v>OPTION 1 (base case)sens5</v>
      </c>
      <c r="E20" s="255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4" t="s">
        <v>146</v>
      </c>
      <c r="B21" s="254" t="str">
        <f>'Option1 (base case)'!A115</f>
        <v>sens</v>
      </c>
      <c r="C21" s="254">
        <f>'Option1 (base case)'!C115</f>
        <v>0</v>
      </c>
      <c r="D21" s="254" t="str">
        <f t="shared" si="0"/>
        <v>OPTION 1 (base case)sens</v>
      </c>
      <c r="E21" s="255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4" t="s">
        <v>146</v>
      </c>
      <c r="B22" s="254" t="str">
        <f>'Option1 (base case)'!A116</f>
        <v>sens</v>
      </c>
      <c r="C22" s="254">
        <f>'Option1 (base case)'!C116</f>
        <v>0</v>
      </c>
      <c r="D22" s="254" t="str">
        <f t="shared" si="0"/>
        <v>OPTION 1 (base case)sens</v>
      </c>
      <c r="E22" s="255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4" t="s">
        <v>146</v>
      </c>
      <c r="B23" s="254" t="str">
        <f>'Option1 (base case)'!A117</f>
        <v>sens</v>
      </c>
      <c r="C23" s="254">
        <f>'Option1 (base case)'!C117</f>
        <v>0</v>
      </c>
      <c r="D23" s="254" t="str">
        <f t="shared" si="0"/>
        <v>OPTION 1 (base case)sens</v>
      </c>
      <c r="E23" s="255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6"/>
      <c r="B24" s="246"/>
      <c r="C24" s="246"/>
      <c r="D24" s="246"/>
      <c r="E24" s="246"/>
      <c r="F24" s="246"/>
      <c r="G24" s="24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6"/>
      <c r="B25" s="246"/>
      <c r="C25" s="246"/>
      <c r="D25" s="246"/>
      <c r="E25" s="246"/>
      <c r="F25" s="246"/>
      <c r="G25" s="247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6"/>
      <c r="B26" s="246"/>
      <c r="C26" s="246"/>
      <c r="D26" s="246"/>
      <c r="E26" s="246"/>
      <c r="F26" s="246"/>
      <c r="G26" s="24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6"/>
      <c r="B27" s="246"/>
      <c r="C27" s="246"/>
      <c r="D27" s="246"/>
      <c r="E27" s="246"/>
      <c r="F27" s="246"/>
      <c r="G27" s="24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4" t="s">
        <v>131</v>
      </c>
      <c r="B28" s="254" t="s">
        <v>119</v>
      </c>
      <c r="C28" s="254" t="s">
        <v>192</v>
      </c>
      <c r="D28" s="254" t="str">
        <f>A28&amp;B28</f>
        <v>Option 2NPV</v>
      </c>
      <c r="E28" s="255"/>
      <c r="F28" s="31">
        <f>SUMPRODUCT($H28:$AG28, $H$5:$AG$5)</f>
        <v>1123743.8212854695</v>
      </c>
      <c r="G28" s="247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0</v>
      </c>
      <c r="L28" s="31">
        <f>(INDEX(Option2!L$106:L$117, MATCH($D28, Option2!$G$106:$G$117,0)))*conv_2026*L$7</f>
        <v>55573.793514588237</v>
      </c>
      <c r="M28" s="31">
        <f>(INDEX(Option2!M$106:M$117, MATCH($D28, Option2!$G$106:$G$117,0)))*conv_2026*M$7</f>
        <v>69987.87726320354</v>
      </c>
      <c r="N28" s="31">
        <f>(INDEX(Option2!N$106:N$117, MATCH($D28, Option2!$G$106:$G$117,0)))*conv_2026*N$7</f>
        <v>77040.131939060419</v>
      </c>
      <c r="O28" s="31">
        <f>(INDEX(Option2!O$106:O$117, MATCH($D28, Option2!$G$106:$G$117,0)))*conv_2026*O$7</f>
        <v>88327.18466050303</v>
      </c>
      <c r="P28" s="31">
        <f>(INDEX(Option2!P$106:P$117, MATCH($D28, Option2!$G$106:$G$117,0)))*conv_2026*P$7</f>
        <v>101127.43459077328</v>
      </c>
      <c r="Q28" s="31">
        <f>(INDEX(Option2!Q$106:Q$117, MATCH($D28, Option2!$G$106:$G$117,0)))*conv_2026*Q$7</f>
        <v>110084.66143907275</v>
      </c>
      <c r="R28" s="31">
        <f>(INDEX(Option2!R$106:R$117, MATCH($D28, Option2!$G$106:$G$117,0)))*conv_2026*R$7</f>
        <v>107556.18789695976</v>
      </c>
      <c r="S28" s="31">
        <f>(INDEX(Option2!S$106:S$117, MATCH($D28, Option2!$G$106:$G$117,0)))*conv_2026*S$7</f>
        <v>105027.714354847</v>
      </c>
      <c r="T28" s="31">
        <f>(INDEX(Option2!T$106:T$117, MATCH($D28, Option2!$G$106:$G$117,0)))*conv_2026*T$7</f>
        <v>102499.24081273345</v>
      </c>
      <c r="U28" s="31">
        <f>(INDEX(Option2!U$106:U$117, MATCH($D28, Option2!$G$106:$G$117,0)))*conv_2026*U$7</f>
        <v>99970.767270620694</v>
      </c>
      <c r="V28" s="31">
        <f>(INDEX(Option2!V$106:V$117, MATCH($D28, Option2!$G$106:$G$117,0)))*conv_2026*V$7</f>
        <v>97442.293728507197</v>
      </c>
      <c r="W28" s="31">
        <f>(INDEX(Option2!W$106:W$117, MATCH($D28, Option2!$G$106:$G$117,0)))*conv_2026*W$7</f>
        <v>94913.820186394267</v>
      </c>
      <c r="X28" s="31">
        <f>(INDEX(Option2!X$106:X$117, MATCH($D28, Option2!$G$106:$G$117,0)))*conv_2026*X$7</f>
        <v>92385.346644280711</v>
      </c>
      <c r="Y28" s="31">
        <f>(INDEX(Option2!Y$106:Y$117, MATCH($D28, Option2!$G$106:$G$117,0)))*conv_2026*Y$7</f>
        <v>89856.873102167912</v>
      </c>
      <c r="Z28" s="31">
        <f>(INDEX(Option2!Z$106:Z$117, MATCH($D28, Option2!$G$106:$G$117,0)))*conv_2026*Z$7</f>
        <v>87328.399560054357</v>
      </c>
      <c r="AA28" s="31">
        <f>(INDEX(Option2!AA$106:AA$117, MATCH($D28, Option2!$G$106:$G$117,0)))*conv_2026*AA$7</f>
        <v>84799.926017941587</v>
      </c>
      <c r="AB28" s="31">
        <f>(INDEX(Option2!AB$106:AB$117, MATCH($D28, Option2!$G$106:$G$117,0)))*conv_2026*AB$7</f>
        <v>82271.452475828119</v>
      </c>
      <c r="AC28" s="31">
        <f>(INDEX(Option2!AC$106:AC$117, MATCH($D28, Option2!$G$106:$G$117,0)))*conv_2026*AC$7</f>
        <v>79742.97893371516</v>
      </c>
      <c r="AD28" s="31">
        <f>(INDEX(Option2!AD$106:AD$117, MATCH($D28, Option2!$G$106:$G$117,0)))*conv_2026*AD$7</f>
        <v>77214.505391601677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6"/>
      <c r="B29" s="246"/>
      <c r="C29" s="246"/>
      <c r="D29" s="246"/>
      <c r="E29" s="246"/>
      <c r="F29" s="246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spans="1:35" s="7" customFormat="1" x14ac:dyDescent="0.2">
      <c r="A30" s="254" t="s">
        <v>131</v>
      </c>
      <c r="B30" s="254" t="str">
        <f>Option2!A110</f>
        <v>sens1</v>
      </c>
      <c r="C30" s="254" t="str">
        <f>Option2!C110</f>
        <v>Capex 10% higher</v>
      </c>
      <c r="D30" s="254" t="str">
        <f t="shared" ref="D30:D37" si="2">A30&amp;B30</f>
        <v>Option 2sens1</v>
      </c>
      <c r="E30" s="255"/>
      <c r="F30" s="31">
        <f>SUMPRODUCT($H30:$AG30, $H$5:$AG$5)</f>
        <v>840484.17083833634</v>
      </c>
      <c r="G30" s="247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0</v>
      </c>
      <c r="L30" s="31">
        <f>IF($B30=0,0, (INDEX(Option2!L$106:L$117, MATCH($D30, Option2!$G$106:$G$117,0)))*conv_2026*L$7)</f>
        <v>33057.169044572329</v>
      </c>
      <c r="M30" s="31">
        <f>IF($B30=0,0, (INDEX(Option2!M$106:M$117, MATCH($D30, Option2!$G$106:$G$117,0)))*conv_2026*M$7)</f>
        <v>47471.252793187632</v>
      </c>
      <c r="N30" s="31">
        <f>IF($B30=0,0, (INDEX(Option2!N$106:N$117, MATCH($D30, Option2!$G$106:$G$117,0)))*conv_2026*N$7)</f>
        <v>54523.507469044511</v>
      </c>
      <c r="O30" s="31">
        <f>IF($B30=0,0, (INDEX(Option2!O$106:O$117, MATCH($D30, Option2!$G$106:$G$117,0)))*conv_2026*O$7)</f>
        <v>65810.560190487129</v>
      </c>
      <c r="P30" s="31">
        <f>IF($B30=0,0, (INDEX(Option2!P$106:P$117, MATCH($D30, Option2!$G$106:$G$117,0)))*conv_2026*P$7)</f>
        <v>78610.810120757364</v>
      </c>
      <c r="Q30" s="31">
        <f>IF($B30=0,0, (INDEX(Option2!Q$106:Q$117, MATCH($D30, Option2!$G$106:$G$117,0)))*conv_2026*Q$7)</f>
        <v>87568.036969056848</v>
      </c>
      <c r="R30" s="31">
        <f>IF($B30=0,0, (INDEX(Option2!R$106:R$117, MATCH($D30, Option2!$G$106:$G$117,0)))*conv_2026*R$7)</f>
        <v>85039.56342694386</v>
      </c>
      <c r="S30" s="31">
        <f>IF($B30=0,0, (INDEX(Option2!S$106:S$117, MATCH($D30, Option2!$G$106:$G$117,0)))*conv_2026*S$7)</f>
        <v>82511.089884831104</v>
      </c>
      <c r="T30" s="31">
        <f>IF($B30=0,0, (INDEX(Option2!T$106:T$117, MATCH($D30, Option2!$G$106:$G$117,0)))*conv_2026*T$7)</f>
        <v>79982.616342717534</v>
      </c>
      <c r="U30" s="31">
        <f>IF($B30=0,0, (INDEX(Option2!U$106:U$117, MATCH($D30, Option2!$G$106:$G$117,0)))*conv_2026*U$7)</f>
        <v>77454.142800604808</v>
      </c>
      <c r="V30" s="31">
        <f>IF($B30=0,0, (INDEX(Option2!V$106:V$117, MATCH($D30, Option2!$G$106:$G$117,0)))*conv_2026*V$7)</f>
        <v>74925.669258491296</v>
      </c>
      <c r="W30" s="31">
        <f>IF($B30=0,0, (INDEX(Option2!W$106:W$117, MATCH($D30, Option2!$G$106:$G$117,0)))*conv_2026*W$7)</f>
        <v>72397.195716378366</v>
      </c>
      <c r="X30" s="31">
        <f>IF($B30=0,0, (INDEX(Option2!X$106:X$117, MATCH($D30, Option2!$G$106:$G$117,0)))*conv_2026*X$7)</f>
        <v>69868.722174264811</v>
      </c>
      <c r="Y30" s="31">
        <f>IF($B30=0,0, (INDEX(Option2!Y$106:Y$117, MATCH($D30, Option2!$G$106:$G$117,0)))*conv_2026*Y$7)</f>
        <v>67340.248632151997</v>
      </c>
      <c r="Z30" s="31">
        <f>IF($B30=0,0, (INDEX(Option2!Z$106:Z$117, MATCH($D30, Option2!$G$106:$G$117,0)))*conv_2026*Z$7)</f>
        <v>64811.775090038449</v>
      </c>
      <c r="AA30" s="31">
        <f>IF($B30=0,0, (INDEX(Option2!AA$106:AA$117, MATCH($D30, Option2!$G$106:$G$117,0)))*conv_2026*AA$7)</f>
        <v>62283.301547925686</v>
      </c>
      <c r="AB30" s="31">
        <f>IF($B30=0,0, (INDEX(Option2!AB$106:AB$117, MATCH($D30, Option2!$G$106:$G$117,0)))*conv_2026*AB$7)</f>
        <v>59754.828005812211</v>
      </c>
      <c r="AC30" s="31">
        <f>IF($B30=0,0, (INDEX(Option2!AC$106:AC$117, MATCH($D30, Option2!$G$106:$G$117,0)))*conv_2026*AC$7)</f>
        <v>57226.354463699259</v>
      </c>
      <c r="AD30" s="31">
        <f>IF($B30=0,0, (INDEX(Option2!AD$106:AD$117, MATCH($D30, Option2!$G$106:$G$117,0)))*conv_2026*AD$7)</f>
        <v>54697.880921585769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4" t="s">
        <v>131</v>
      </c>
      <c r="B31" s="254" t="str">
        <f>Option2!A111</f>
        <v>sens2</v>
      </c>
      <c r="C31" s="254" t="str">
        <f>Option2!C111</f>
        <v>Capex 10% lower</v>
      </c>
      <c r="D31" s="254" t="str">
        <f t="shared" si="2"/>
        <v>Option 2sens2</v>
      </c>
      <c r="E31" s="255"/>
      <c r="F31" s="31">
        <f t="shared" ref="F31:F37" si="3">SUMPRODUCT($H31:$AG31, $H$5:$AG$5)</f>
        <v>1407003.4717326022</v>
      </c>
      <c r="G31" s="254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0</v>
      </c>
      <c r="L31" s="31">
        <f>IF($B31=0,0, (INDEX(Option2!L$106:L$117, MATCH($D31, Option2!$G$106:$G$117,0)))*conv_2026*L$7)</f>
        <v>78090.417984604137</v>
      </c>
      <c r="M31" s="31">
        <f>IF($B31=0,0, (INDEX(Option2!M$106:M$117, MATCH($D31, Option2!$G$106:$G$117,0)))*conv_2026*M$7)</f>
        <v>92504.50173321944</v>
      </c>
      <c r="N31" s="31">
        <f>IF($B31=0,0, (INDEX(Option2!N$106:N$117, MATCH($D31, Option2!$G$106:$G$117,0)))*conv_2026*N$7)</f>
        <v>99556.756409076334</v>
      </c>
      <c r="O31" s="31">
        <f>IF($B31=0,0, (INDEX(Option2!O$106:O$117, MATCH($D31, Option2!$G$106:$G$117,0)))*conv_2026*O$7)</f>
        <v>110843.80913051893</v>
      </c>
      <c r="P31" s="31">
        <f>IF($B31=0,0, (INDEX(Option2!P$106:P$117, MATCH($D31, Option2!$G$106:$G$117,0)))*conv_2026*P$7)</f>
        <v>123644.05906078919</v>
      </c>
      <c r="Q31" s="31">
        <f>IF($B31=0,0, (INDEX(Option2!Q$106:Q$117, MATCH($D31, Option2!$G$106:$G$117,0)))*conv_2026*Q$7)</f>
        <v>132601.28590908865</v>
      </c>
      <c r="R31" s="31">
        <f>IF($B31=0,0, (INDEX(Option2!R$106:R$117, MATCH($D31, Option2!$G$106:$G$117,0)))*conv_2026*R$7)</f>
        <v>130072.81236697566</v>
      </c>
      <c r="S31" s="31">
        <f>IF($B31=0,0, (INDEX(Option2!S$106:S$117, MATCH($D31, Option2!$G$106:$G$117,0)))*conv_2026*S$7)</f>
        <v>127544.33882486289</v>
      </c>
      <c r="T31" s="31">
        <f>IF($B31=0,0, (INDEX(Option2!T$106:T$117, MATCH($D31, Option2!$G$106:$G$117,0)))*conv_2026*T$7)</f>
        <v>125015.86528274936</v>
      </c>
      <c r="U31" s="31">
        <f>IF($B31=0,0, (INDEX(Option2!U$106:U$117, MATCH($D31, Option2!$G$106:$G$117,0)))*conv_2026*U$7)</f>
        <v>122487.39174063659</v>
      </c>
      <c r="V31" s="31">
        <f>IF($B31=0,0, (INDEX(Option2!V$106:V$117, MATCH($D31, Option2!$G$106:$G$117,0)))*conv_2026*V$7)</f>
        <v>119958.9181985231</v>
      </c>
      <c r="W31" s="31">
        <f>IF($B31=0,0, (INDEX(Option2!W$106:W$117, MATCH($D31, Option2!$G$106:$G$117,0)))*conv_2026*W$7)</f>
        <v>117430.44465641017</v>
      </c>
      <c r="X31" s="31">
        <f>IF($B31=0,0, (INDEX(Option2!X$106:X$117, MATCH($D31, Option2!$G$106:$G$117,0)))*conv_2026*X$7)</f>
        <v>114901.97111429663</v>
      </c>
      <c r="Y31" s="31">
        <f>IF($B31=0,0, (INDEX(Option2!Y$106:Y$117, MATCH($D31, Option2!$G$106:$G$117,0)))*conv_2026*Y$7)</f>
        <v>112373.4975721838</v>
      </c>
      <c r="Z31" s="31">
        <f>IF($B31=0,0, (INDEX(Option2!Z$106:Z$117, MATCH($D31, Option2!$G$106:$G$117,0)))*conv_2026*Z$7)</f>
        <v>109845.02403007027</v>
      </c>
      <c r="AA31" s="31">
        <f>IF($B31=0,0, (INDEX(Option2!AA$106:AA$117, MATCH($D31, Option2!$G$106:$G$117,0)))*conv_2026*AA$7)</f>
        <v>107316.5504879575</v>
      </c>
      <c r="AB31" s="31">
        <f>IF($B31=0,0, (INDEX(Option2!AB$106:AB$117, MATCH($D31, Option2!$G$106:$G$117,0)))*conv_2026*AB$7)</f>
        <v>104788.07694584403</v>
      </c>
      <c r="AC31" s="31">
        <f>IF($B31=0,0, (INDEX(Option2!AC$106:AC$117, MATCH($D31, Option2!$G$106:$G$117,0)))*conv_2026*AC$7)</f>
        <v>102259.60340373107</v>
      </c>
      <c r="AD31" s="31">
        <f>IF($B31=0,0, (INDEX(Option2!AD$106:AD$117, MATCH($D31, Option2!$G$106:$G$117,0)))*conv_2026*AD$7)</f>
        <v>99731.129861617563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4" t="s">
        <v>131</v>
      </c>
      <c r="B32" s="254" t="str">
        <f>Option2!A112</f>
        <v>sens3</v>
      </c>
      <c r="C32" s="254" t="str">
        <f>Option2!C112</f>
        <v>Increasing wind escalation</v>
      </c>
      <c r="D32" s="254" t="str">
        <f t="shared" si="2"/>
        <v>Option 2sens3</v>
      </c>
      <c r="E32" s="255"/>
      <c r="F32" s="31">
        <f t="shared" si="3"/>
        <v>1236537.5368967052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0</v>
      </c>
      <c r="L32" s="31">
        <f>IF($B32=0,0, (INDEX(Option2!L$106:L$117, MATCH($D32, Option2!$G$106:$G$117,0)))*conv_2026*L$7)</f>
        <v>57043.712752050465</v>
      </c>
      <c r="M32" s="31">
        <f>IF($B32=0,0, (INDEX(Option2!M$106:M$117, MATCH($D32, Option2!$G$106:$G$117,0)))*conv_2026*M$7)</f>
        <v>68789.184612768659</v>
      </c>
      <c r="N32" s="31">
        <f>IF($B32=0,0, (INDEX(Option2!N$106:N$117, MATCH($D32, Option2!$G$106:$G$117,0)))*conv_2026*N$7)</f>
        <v>77063.627058321013</v>
      </c>
      <c r="O32" s="31">
        <f>IF($B32=0,0, (INDEX(Option2!O$106:O$117, MATCH($D32, Option2!$G$106:$G$117,0)))*conv_2026*O$7)</f>
        <v>89656.394514750369</v>
      </c>
      <c r="P32" s="31">
        <f>IF($B32=0,0, (INDEX(Option2!P$106:P$117, MATCH($D32, Option2!$G$106:$G$117,0)))*conv_2026*P$7)</f>
        <v>103871.77225768635</v>
      </c>
      <c r="Q32" s="31">
        <f>IF($B32=0,0, (INDEX(Option2!Q$106:Q$117, MATCH($D32, Option2!$G$106:$G$117,0)))*conv_2026*Q$7)</f>
        <v>114318.14899653691</v>
      </c>
      <c r="R32" s="31">
        <f>IF($B32=0,0, (INDEX(Option2!R$106:R$117, MATCH($D32, Option2!$G$106:$G$117,0)))*conv_2026*R$7)</f>
        <v>113213.83971968672</v>
      </c>
      <c r="S32" s="31">
        <f>IF($B32=0,0, (INDEX(Option2!S$106:S$117, MATCH($D32, Option2!$G$106:$G$117,0)))*conv_2026*S$7)</f>
        <v>112120.56782579073</v>
      </c>
      <c r="T32" s="31">
        <f>IF($B32=0,0, (INDEX(Option2!T$106:T$117, MATCH($D32, Option2!$G$106:$G$117,0)))*conv_2026*T$7)</f>
        <v>111038.46477211843</v>
      </c>
      <c r="U32" s="31">
        <f>IF($B32=0,0, (INDEX(Option2!U$106:U$117, MATCH($D32, Option2!$G$106:$G$117,0)))*conv_2026*U$7)</f>
        <v>109967.66411183523</v>
      </c>
      <c r="V32" s="31">
        <f>IF($B32=0,0, (INDEX(Option2!V$106:V$117, MATCH($D32, Option2!$G$106:$G$117,0)))*conv_2026*V$7)</f>
        <v>108908.30153593676</v>
      </c>
      <c r="W32" s="31">
        <f>IF($B32=0,0, (INDEX(Option2!W$106:W$117, MATCH($D32, Option2!$G$106:$G$117,0)))*conv_2026*W$7)</f>
        <v>107860.51491619983</v>
      </c>
      <c r="X32" s="31">
        <f>IF($B32=0,0, (INDEX(Option2!X$106:X$117, MATCH($D32, Option2!$G$106:$G$117,0)))*conv_2026*X$7)</f>
        <v>106824.44434916809</v>
      </c>
      <c r="Y32" s="31">
        <f>IF($B32=0,0, (INDEX(Option2!Y$106:Y$117, MATCH($D32, Option2!$G$106:$G$117,0)))*conv_2026*Y$7)</f>
        <v>105800.2322012103</v>
      </c>
      <c r="Z32" s="31">
        <f>IF($B32=0,0, (INDEX(Option2!Z$106:Z$117, MATCH($D32, Option2!$G$106:$G$117,0)))*conv_2026*Z$7)</f>
        <v>104788.02315467464</v>
      </c>
      <c r="AA32" s="31">
        <f>IF($B32=0,0, (INDEX(Option2!AA$106:AA$117, MATCH($D32, Option2!$G$106:$G$117,0)))*conv_2026*AA$7)</f>
        <v>103787.96425517819</v>
      </c>
      <c r="AB32" s="31">
        <f>IF($B32=0,0, (INDEX(Option2!AB$106:AB$117, MATCH($D32, Option2!$G$106:$G$117,0)))*conv_2026*AB$7)</f>
        <v>102800.20496005453</v>
      </c>
      <c r="AC32" s="31">
        <f>IF($B32=0,0, (INDEX(Option2!AC$106:AC$117, MATCH($D32, Option2!$G$106:$G$117,0)))*conv_2026*AC$7)</f>
        <v>101824.89718800364</v>
      </c>
      <c r="AD32" s="31">
        <f>IF($B32=0,0, (INDEX(Option2!AD$106:AD$117, MATCH($D32, Option2!$G$106:$G$117,0)))*conv_2026*AD$7)</f>
        <v>100862.19536996879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4" t="s">
        <v>131</v>
      </c>
      <c r="B33" s="254" t="str">
        <f>Option2!A113</f>
        <v>sens4</v>
      </c>
      <c r="C33" s="254" t="str">
        <f>Option2!C113</f>
        <v/>
      </c>
      <c r="D33" s="254" t="str">
        <f t="shared" si="2"/>
        <v>Option 2sens4</v>
      </c>
      <c r="E33" s="255"/>
      <c r="F33" s="31">
        <f t="shared" si="3"/>
        <v>1123743.8212854695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0</v>
      </c>
      <c r="L33" s="31">
        <f>IF($B33=0,0, (INDEX(Option2!L$106:L$117, MATCH($D33, Option2!$G$106:$G$117,0)))*conv_2026*L$7)</f>
        <v>55573.793514588237</v>
      </c>
      <c r="M33" s="31">
        <f>IF($B33=0,0, (INDEX(Option2!M$106:M$117, MATCH($D33, Option2!$G$106:$G$117,0)))*conv_2026*M$7)</f>
        <v>69987.87726320354</v>
      </c>
      <c r="N33" s="31">
        <f>IF($B33=0,0, (INDEX(Option2!N$106:N$117, MATCH($D33, Option2!$G$106:$G$117,0)))*conv_2026*N$7)</f>
        <v>77040.131939060419</v>
      </c>
      <c r="O33" s="31">
        <f>IF($B33=0,0, (INDEX(Option2!O$106:O$117, MATCH($D33, Option2!$G$106:$G$117,0)))*conv_2026*O$7)</f>
        <v>88327.18466050303</v>
      </c>
      <c r="P33" s="31">
        <f>IF($B33=0,0, (INDEX(Option2!P$106:P$117, MATCH($D33, Option2!$G$106:$G$117,0)))*conv_2026*P$7)</f>
        <v>101127.43459077328</v>
      </c>
      <c r="Q33" s="31">
        <f>IF($B33=0,0, (INDEX(Option2!Q$106:Q$117, MATCH($D33, Option2!$G$106:$G$117,0)))*conv_2026*Q$7)</f>
        <v>110084.66143907275</v>
      </c>
      <c r="R33" s="31">
        <f>IF($B33=0,0, (INDEX(Option2!R$106:R$117, MATCH($D33, Option2!$G$106:$G$117,0)))*conv_2026*R$7)</f>
        <v>107556.18789695976</v>
      </c>
      <c r="S33" s="31">
        <f>IF($B33=0,0, (INDEX(Option2!S$106:S$117, MATCH($D33, Option2!$G$106:$G$117,0)))*conv_2026*S$7)</f>
        <v>105027.714354847</v>
      </c>
      <c r="T33" s="31">
        <f>IF($B33=0,0, (INDEX(Option2!T$106:T$117, MATCH($D33, Option2!$G$106:$G$117,0)))*conv_2026*T$7)</f>
        <v>102499.24081273345</v>
      </c>
      <c r="U33" s="31">
        <f>IF($B33=0,0, (INDEX(Option2!U$106:U$117, MATCH($D33, Option2!$G$106:$G$117,0)))*conv_2026*U$7)</f>
        <v>99970.767270620694</v>
      </c>
      <c r="V33" s="31">
        <f>IF($B33=0,0, (INDEX(Option2!V$106:V$117, MATCH($D33, Option2!$G$106:$G$117,0)))*conv_2026*V$7)</f>
        <v>97442.293728507197</v>
      </c>
      <c r="W33" s="31">
        <f>IF($B33=0,0, (INDEX(Option2!W$106:W$117, MATCH($D33, Option2!$G$106:$G$117,0)))*conv_2026*W$7)</f>
        <v>94913.820186394267</v>
      </c>
      <c r="X33" s="31">
        <f>IF($B33=0,0, (INDEX(Option2!X$106:X$117, MATCH($D33, Option2!$G$106:$G$117,0)))*conv_2026*X$7)</f>
        <v>92385.346644280711</v>
      </c>
      <c r="Y33" s="31">
        <f>IF($B33=0,0, (INDEX(Option2!Y$106:Y$117, MATCH($D33, Option2!$G$106:$G$117,0)))*conv_2026*Y$7)</f>
        <v>89856.873102167912</v>
      </c>
      <c r="Z33" s="31">
        <f>IF($B33=0,0, (INDEX(Option2!Z$106:Z$117, MATCH($D33, Option2!$G$106:$G$117,0)))*conv_2026*Z$7)</f>
        <v>87328.399560054357</v>
      </c>
      <c r="AA33" s="31">
        <f>IF($B33=0,0, (INDEX(Option2!AA$106:AA$117, MATCH($D33, Option2!$G$106:$G$117,0)))*conv_2026*AA$7)</f>
        <v>84799.926017941587</v>
      </c>
      <c r="AB33" s="31">
        <f>IF($B33=0,0, (INDEX(Option2!AB$106:AB$117, MATCH($D33, Option2!$G$106:$G$117,0)))*conv_2026*AB$7)</f>
        <v>82271.452475828119</v>
      </c>
      <c r="AC33" s="31">
        <f>IF($B33=0,0, (INDEX(Option2!AC$106:AC$117, MATCH($D33, Option2!$G$106:$G$117,0)))*conv_2026*AC$7)</f>
        <v>79742.97893371516</v>
      </c>
      <c r="AD33" s="31">
        <f>IF($B33=0,0, (INDEX(Option2!AD$106:AD$117, MATCH($D33, Option2!$G$106:$G$117,0)))*conv_2026*AD$7)</f>
        <v>77214.505391601677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4" t="s">
        <v>131</v>
      </c>
      <c r="B34" s="254" t="str">
        <f>Option2!A114</f>
        <v>sens5</v>
      </c>
      <c r="C34" s="254" t="str">
        <f>Option2!C114</f>
        <v/>
      </c>
      <c r="D34" s="254" t="str">
        <f t="shared" si="2"/>
        <v>Option 2sens5</v>
      </c>
      <c r="E34" s="255"/>
      <c r="F34" s="31">
        <f t="shared" si="3"/>
        <v>1123743.8212854695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0</v>
      </c>
      <c r="L34" s="31">
        <f>IF($B34=0,0, (INDEX(Option2!L$106:L$117, MATCH($D34, Option2!$G$106:$G$117,0)))*conv_2026*L$7)</f>
        <v>55573.793514588237</v>
      </c>
      <c r="M34" s="31">
        <f>IF($B34=0,0, (INDEX(Option2!M$106:M$117, MATCH($D34, Option2!$G$106:$G$117,0)))*conv_2026*M$7)</f>
        <v>69987.87726320354</v>
      </c>
      <c r="N34" s="31">
        <f>IF($B34=0,0, (INDEX(Option2!N$106:N$117, MATCH($D34, Option2!$G$106:$G$117,0)))*conv_2026*N$7)</f>
        <v>77040.131939060419</v>
      </c>
      <c r="O34" s="31">
        <f>IF($B34=0,0, (INDEX(Option2!O$106:O$117, MATCH($D34, Option2!$G$106:$G$117,0)))*conv_2026*O$7)</f>
        <v>88327.18466050303</v>
      </c>
      <c r="P34" s="31">
        <f>IF($B34=0,0, (INDEX(Option2!P$106:P$117, MATCH($D34, Option2!$G$106:$G$117,0)))*conv_2026*P$7)</f>
        <v>101127.43459077328</v>
      </c>
      <c r="Q34" s="31">
        <f>IF($B34=0,0, (INDEX(Option2!Q$106:Q$117, MATCH($D34, Option2!$G$106:$G$117,0)))*conv_2026*Q$7)</f>
        <v>110084.66143907275</v>
      </c>
      <c r="R34" s="31">
        <f>IF($B34=0,0, (INDEX(Option2!R$106:R$117, MATCH($D34, Option2!$G$106:$G$117,0)))*conv_2026*R$7)</f>
        <v>107556.18789695976</v>
      </c>
      <c r="S34" s="31">
        <f>IF($B34=0,0, (INDEX(Option2!S$106:S$117, MATCH($D34, Option2!$G$106:$G$117,0)))*conv_2026*S$7)</f>
        <v>105027.714354847</v>
      </c>
      <c r="T34" s="31">
        <f>IF($B34=0,0, (INDEX(Option2!T$106:T$117, MATCH($D34, Option2!$G$106:$G$117,0)))*conv_2026*T$7)</f>
        <v>102499.24081273345</v>
      </c>
      <c r="U34" s="31">
        <f>IF($B34=0,0, (INDEX(Option2!U$106:U$117, MATCH($D34, Option2!$G$106:$G$117,0)))*conv_2026*U$7)</f>
        <v>99970.767270620694</v>
      </c>
      <c r="V34" s="31">
        <f>IF($B34=0,0, (INDEX(Option2!V$106:V$117, MATCH($D34, Option2!$G$106:$G$117,0)))*conv_2026*V$7)</f>
        <v>97442.293728507197</v>
      </c>
      <c r="W34" s="31">
        <f>IF($B34=0,0, (INDEX(Option2!W$106:W$117, MATCH($D34, Option2!$G$106:$G$117,0)))*conv_2026*W$7)</f>
        <v>94913.820186394267</v>
      </c>
      <c r="X34" s="31">
        <f>IF($B34=0,0, (INDEX(Option2!X$106:X$117, MATCH($D34, Option2!$G$106:$G$117,0)))*conv_2026*X$7)</f>
        <v>92385.346644280711</v>
      </c>
      <c r="Y34" s="31">
        <f>IF($B34=0,0, (INDEX(Option2!Y$106:Y$117, MATCH($D34, Option2!$G$106:$G$117,0)))*conv_2026*Y$7)</f>
        <v>89856.873102167912</v>
      </c>
      <c r="Z34" s="31">
        <f>IF($B34=0,0, (INDEX(Option2!Z$106:Z$117, MATCH($D34, Option2!$G$106:$G$117,0)))*conv_2026*Z$7)</f>
        <v>87328.399560054357</v>
      </c>
      <c r="AA34" s="31">
        <f>IF($B34=0,0, (INDEX(Option2!AA$106:AA$117, MATCH($D34, Option2!$G$106:$G$117,0)))*conv_2026*AA$7)</f>
        <v>84799.926017941587</v>
      </c>
      <c r="AB34" s="31">
        <f>IF($B34=0,0, (INDEX(Option2!AB$106:AB$117, MATCH($D34, Option2!$G$106:$G$117,0)))*conv_2026*AB$7)</f>
        <v>82271.452475828119</v>
      </c>
      <c r="AC34" s="31">
        <f>IF($B34=0,0, (INDEX(Option2!AC$106:AC$117, MATCH($D34, Option2!$G$106:$G$117,0)))*conv_2026*AC$7)</f>
        <v>79742.97893371516</v>
      </c>
      <c r="AD34" s="31">
        <f>IF($B34=0,0, (INDEX(Option2!AD$106:AD$117, MATCH($D34, Option2!$G$106:$G$117,0)))*conv_2026*AD$7)</f>
        <v>77214.505391601677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4" t="s">
        <v>131</v>
      </c>
      <c r="B35" s="254" t="str">
        <f>Option2!A115</f>
        <v>sens</v>
      </c>
      <c r="C35" s="254">
        <f>Option2!C115</f>
        <v>0</v>
      </c>
      <c r="D35" s="254" t="str">
        <f t="shared" si="2"/>
        <v>Option 2sens</v>
      </c>
      <c r="E35" s="255"/>
      <c r="F35" s="31">
        <f t="shared" si="3"/>
        <v>1123743.8212854695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0</v>
      </c>
      <c r="L35" s="31">
        <f>IF($B35=0,0, (INDEX(Option2!L$106:L$117, MATCH($D35, Option2!$G$106:$G$117,0)))*conv_2026*L$7)</f>
        <v>55573.793514588237</v>
      </c>
      <c r="M35" s="31">
        <f>IF($B35=0,0, (INDEX(Option2!M$106:M$117, MATCH($D35, Option2!$G$106:$G$117,0)))*conv_2026*M$7)</f>
        <v>69987.87726320354</v>
      </c>
      <c r="N35" s="31">
        <f>IF($B35=0,0, (INDEX(Option2!N$106:N$117, MATCH($D35, Option2!$G$106:$G$117,0)))*conv_2026*N$7)</f>
        <v>77040.131939060419</v>
      </c>
      <c r="O35" s="31">
        <f>IF($B35=0,0, (INDEX(Option2!O$106:O$117, MATCH($D35, Option2!$G$106:$G$117,0)))*conv_2026*O$7)</f>
        <v>88327.18466050303</v>
      </c>
      <c r="P35" s="31">
        <f>IF($B35=0,0, (INDEX(Option2!P$106:P$117, MATCH($D35, Option2!$G$106:$G$117,0)))*conv_2026*P$7)</f>
        <v>101127.43459077328</v>
      </c>
      <c r="Q35" s="31">
        <f>IF($B35=0,0, (INDEX(Option2!Q$106:Q$117, MATCH($D35, Option2!$G$106:$G$117,0)))*conv_2026*Q$7)</f>
        <v>110084.66143907275</v>
      </c>
      <c r="R35" s="31">
        <f>IF($B35=0,0, (INDEX(Option2!R$106:R$117, MATCH($D35, Option2!$G$106:$G$117,0)))*conv_2026*R$7)</f>
        <v>107556.18789695976</v>
      </c>
      <c r="S35" s="31">
        <f>IF($B35=0,0, (INDEX(Option2!S$106:S$117, MATCH($D35, Option2!$G$106:$G$117,0)))*conv_2026*S$7)</f>
        <v>105027.714354847</v>
      </c>
      <c r="T35" s="31">
        <f>IF($B35=0,0, (INDEX(Option2!T$106:T$117, MATCH($D35, Option2!$G$106:$G$117,0)))*conv_2026*T$7)</f>
        <v>102499.24081273345</v>
      </c>
      <c r="U35" s="31">
        <f>IF($B35=0,0, (INDEX(Option2!U$106:U$117, MATCH($D35, Option2!$G$106:$G$117,0)))*conv_2026*U$7)</f>
        <v>99970.767270620694</v>
      </c>
      <c r="V35" s="31">
        <f>IF($B35=0,0, (INDEX(Option2!V$106:V$117, MATCH($D35, Option2!$G$106:$G$117,0)))*conv_2026*V$7)</f>
        <v>97442.293728507197</v>
      </c>
      <c r="W35" s="31">
        <f>IF($B35=0,0, (INDEX(Option2!W$106:W$117, MATCH($D35, Option2!$G$106:$G$117,0)))*conv_2026*W$7)</f>
        <v>94913.820186394267</v>
      </c>
      <c r="X35" s="31">
        <f>IF($B35=0,0, (INDEX(Option2!X$106:X$117, MATCH($D35, Option2!$G$106:$G$117,0)))*conv_2026*X$7)</f>
        <v>92385.346644280711</v>
      </c>
      <c r="Y35" s="31">
        <f>IF($B35=0,0, (INDEX(Option2!Y$106:Y$117, MATCH($D35, Option2!$G$106:$G$117,0)))*conv_2026*Y$7)</f>
        <v>89856.873102167912</v>
      </c>
      <c r="Z35" s="31">
        <f>IF($B35=0,0, (INDEX(Option2!Z$106:Z$117, MATCH($D35, Option2!$G$106:$G$117,0)))*conv_2026*Z$7)</f>
        <v>87328.399560054357</v>
      </c>
      <c r="AA35" s="31">
        <f>IF($B35=0,0, (INDEX(Option2!AA$106:AA$117, MATCH($D35, Option2!$G$106:$G$117,0)))*conv_2026*AA$7)</f>
        <v>84799.926017941587</v>
      </c>
      <c r="AB35" s="31">
        <f>IF($B35=0,0, (INDEX(Option2!AB$106:AB$117, MATCH($D35, Option2!$G$106:$G$117,0)))*conv_2026*AB$7)</f>
        <v>82271.452475828119</v>
      </c>
      <c r="AC35" s="31">
        <f>IF($B35=0,0, (INDEX(Option2!AC$106:AC$117, MATCH($D35, Option2!$G$106:$G$117,0)))*conv_2026*AC$7)</f>
        <v>79742.97893371516</v>
      </c>
      <c r="AD35" s="31">
        <f>IF($B35=0,0, (INDEX(Option2!AD$106:AD$117, MATCH($D35, Option2!$G$106:$G$117,0)))*conv_2026*AD$7)</f>
        <v>77214.505391601677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4" t="s">
        <v>131</v>
      </c>
      <c r="B36" s="254" t="str">
        <f>Option2!A116</f>
        <v>sens</v>
      </c>
      <c r="C36" s="254">
        <f>Option2!C116</f>
        <v>0</v>
      </c>
      <c r="D36" s="254" t="str">
        <f t="shared" si="2"/>
        <v>Option 2sens</v>
      </c>
      <c r="E36" s="255"/>
      <c r="F36" s="31">
        <f t="shared" si="3"/>
        <v>1123743.8212854695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0</v>
      </c>
      <c r="L36" s="31">
        <f>IF($B36=0,0, (INDEX(Option2!L$106:L$117, MATCH($D36, Option2!$G$106:$G$117,0)))*conv_2026*L$7)</f>
        <v>55573.793514588237</v>
      </c>
      <c r="M36" s="31">
        <f>IF($B36=0,0, (INDEX(Option2!M$106:M$117, MATCH($D36, Option2!$G$106:$G$117,0)))*conv_2026*M$7)</f>
        <v>69987.87726320354</v>
      </c>
      <c r="N36" s="31">
        <f>IF($B36=0,0, (INDEX(Option2!N$106:N$117, MATCH($D36, Option2!$G$106:$G$117,0)))*conv_2026*N$7)</f>
        <v>77040.131939060419</v>
      </c>
      <c r="O36" s="31">
        <f>IF($B36=0,0, (INDEX(Option2!O$106:O$117, MATCH($D36, Option2!$G$106:$G$117,0)))*conv_2026*O$7)</f>
        <v>88327.18466050303</v>
      </c>
      <c r="P36" s="31">
        <f>IF($B36=0,0, (INDEX(Option2!P$106:P$117, MATCH($D36, Option2!$G$106:$G$117,0)))*conv_2026*P$7)</f>
        <v>101127.43459077328</v>
      </c>
      <c r="Q36" s="31">
        <f>IF($B36=0,0, (INDEX(Option2!Q$106:Q$117, MATCH($D36, Option2!$G$106:$G$117,0)))*conv_2026*Q$7)</f>
        <v>110084.66143907275</v>
      </c>
      <c r="R36" s="31">
        <f>IF($B36=0,0, (INDEX(Option2!R$106:R$117, MATCH($D36, Option2!$G$106:$G$117,0)))*conv_2026*R$7)</f>
        <v>107556.18789695976</v>
      </c>
      <c r="S36" s="31">
        <f>IF($B36=0,0, (INDEX(Option2!S$106:S$117, MATCH($D36, Option2!$G$106:$G$117,0)))*conv_2026*S$7)</f>
        <v>105027.714354847</v>
      </c>
      <c r="T36" s="31">
        <f>IF($B36=0,0, (INDEX(Option2!T$106:T$117, MATCH($D36, Option2!$G$106:$G$117,0)))*conv_2026*T$7)</f>
        <v>102499.24081273345</v>
      </c>
      <c r="U36" s="31">
        <f>IF($B36=0,0, (INDEX(Option2!U$106:U$117, MATCH($D36, Option2!$G$106:$G$117,0)))*conv_2026*U$7)</f>
        <v>99970.767270620694</v>
      </c>
      <c r="V36" s="31">
        <f>IF($B36=0,0, (INDEX(Option2!V$106:V$117, MATCH($D36, Option2!$G$106:$G$117,0)))*conv_2026*V$7)</f>
        <v>97442.293728507197</v>
      </c>
      <c r="W36" s="31">
        <f>IF($B36=0,0, (INDEX(Option2!W$106:W$117, MATCH($D36, Option2!$G$106:$G$117,0)))*conv_2026*W$7)</f>
        <v>94913.820186394267</v>
      </c>
      <c r="X36" s="31">
        <f>IF($B36=0,0, (INDEX(Option2!X$106:X$117, MATCH($D36, Option2!$G$106:$G$117,0)))*conv_2026*X$7)</f>
        <v>92385.346644280711</v>
      </c>
      <c r="Y36" s="31">
        <f>IF($B36=0,0, (INDEX(Option2!Y$106:Y$117, MATCH($D36, Option2!$G$106:$G$117,0)))*conv_2026*Y$7)</f>
        <v>89856.873102167912</v>
      </c>
      <c r="Z36" s="31">
        <f>IF($B36=0,0, (INDEX(Option2!Z$106:Z$117, MATCH($D36, Option2!$G$106:$G$117,0)))*conv_2026*Z$7)</f>
        <v>87328.399560054357</v>
      </c>
      <c r="AA36" s="31">
        <f>IF($B36=0,0, (INDEX(Option2!AA$106:AA$117, MATCH($D36, Option2!$G$106:$G$117,0)))*conv_2026*AA$7)</f>
        <v>84799.926017941587</v>
      </c>
      <c r="AB36" s="31">
        <f>IF($B36=0,0, (INDEX(Option2!AB$106:AB$117, MATCH($D36, Option2!$G$106:$G$117,0)))*conv_2026*AB$7)</f>
        <v>82271.452475828119</v>
      </c>
      <c r="AC36" s="31">
        <f>IF($B36=0,0, (INDEX(Option2!AC$106:AC$117, MATCH($D36, Option2!$G$106:$G$117,0)))*conv_2026*AC$7)</f>
        <v>79742.97893371516</v>
      </c>
      <c r="AD36" s="31">
        <f>IF($B36=0,0, (INDEX(Option2!AD$106:AD$117, MATCH($D36, Option2!$G$106:$G$117,0)))*conv_2026*AD$7)</f>
        <v>77214.505391601677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4" t="s">
        <v>131</v>
      </c>
      <c r="B37" s="254" t="str">
        <f>Option2!A117</f>
        <v>sens</v>
      </c>
      <c r="C37" s="254">
        <f>Option2!C117</f>
        <v>0</v>
      </c>
      <c r="D37" s="254" t="str">
        <f t="shared" si="2"/>
        <v>Option 2sens</v>
      </c>
      <c r="E37" s="255"/>
      <c r="F37" s="31">
        <f t="shared" si="3"/>
        <v>1123743.8212854695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0</v>
      </c>
      <c r="L37" s="31">
        <f>IF($B37=0,0, (INDEX(Option2!L$106:L$117, MATCH($D37, Option2!$G$106:$G$117,0)))*conv_2026*L$7)</f>
        <v>55573.793514588237</v>
      </c>
      <c r="M37" s="31">
        <f>IF($B37=0,0, (INDEX(Option2!M$106:M$117, MATCH($D37, Option2!$G$106:$G$117,0)))*conv_2026*M$7)</f>
        <v>69987.87726320354</v>
      </c>
      <c r="N37" s="31">
        <f>IF($B37=0,0, (INDEX(Option2!N$106:N$117, MATCH($D37, Option2!$G$106:$G$117,0)))*conv_2026*N$7)</f>
        <v>77040.131939060419</v>
      </c>
      <c r="O37" s="31">
        <f>IF($B37=0,0, (INDEX(Option2!O$106:O$117, MATCH($D37, Option2!$G$106:$G$117,0)))*conv_2026*O$7)</f>
        <v>88327.18466050303</v>
      </c>
      <c r="P37" s="31">
        <f>IF($B37=0,0, (INDEX(Option2!P$106:P$117, MATCH($D37, Option2!$G$106:$G$117,0)))*conv_2026*P$7)</f>
        <v>101127.43459077328</v>
      </c>
      <c r="Q37" s="31">
        <f>IF($B37=0,0, (INDEX(Option2!Q$106:Q$117, MATCH($D37, Option2!$G$106:$G$117,0)))*conv_2026*Q$7)</f>
        <v>110084.66143907275</v>
      </c>
      <c r="R37" s="31">
        <f>IF($B37=0,0, (INDEX(Option2!R$106:R$117, MATCH($D37, Option2!$G$106:$G$117,0)))*conv_2026*R$7)</f>
        <v>107556.18789695976</v>
      </c>
      <c r="S37" s="31">
        <f>IF($B37=0,0, (INDEX(Option2!S$106:S$117, MATCH($D37, Option2!$G$106:$G$117,0)))*conv_2026*S$7)</f>
        <v>105027.714354847</v>
      </c>
      <c r="T37" s="31">
        <f>IF($B37=0,0, (INDEX(Option2!T$106:T$117, MATCH($D37, Option2!$G$106:$G$117,0)))*conv_2026*T$7)</f>
        <v>102499.24081273345</v>
      </c>
      <c r="U37" s="31">
        <f>IF($B37=0,0, (INDEX(Option2!U$106:U$117, MATCH($D37, Option2!$G$106:$G$117,0)))*conv_2026*U$7)</f>
        <v>99970.767270620694</v>
      </c>
      <c r="V37" s="31">
        <f>IF($B37=0,0, (INDEX(Option2!V$106:V$117, MATCH($D37, Option2!$G$106:$G$117,0)))*conv_2026*V$7)</f>
        <v>97442.293728507197</v>
      </c>
      <c r="W37" s="31">
        <f>IF($B37=0,0, (INDEX(Option2!W$106:W$117, MATCH($D37, Option2!$G$106:$G$117,0)))*conv_2026*W$7)</f>
        <v>94913.820186394267</v>
      </c>
      <c r="X37" s="31">
        <f>IF($B37=0,0, (INDEX(Option2!X$106:X$117, MATCH($D37, Option2!$G$106:$G$117,0)))*conv_2026*X$7)</f>
        <v>92385.346644280711</v>
      </c>
      <c r="Y37" s="31">
        <f>IF($B37=0,0, (INDEX(Option2!Y$106:Y$117, MATCH($D37, Option2!$G$106:$G$117,0)))*conv_2026*Y$7)</f>
        <v>89856.873102167912</v>
      </c>
      <c r="Z37" s="31">
        <f>IF($B37=0,0, (INDEX(Option2!Z$106:Z$117, MATCH($D37, Option2!$G$106:$G$117,0)))*conv_2026*Z$7)</f>
        <v>87328.399560054357</v>
      </c>
      <c r="AA37" s="31">
        <f>IF($B37=0,0, (INDEX(Option2!AA$106:AA$117, MATCH($D37, Option2!$G$106:$G$117,0)))*conv_2026*AA$7)</f>
        <v>84799.926017941587</v>
      </c>
      <c r="AB37" s="31">
        <f>IF($B37=0,0, (INDEX(Option2!AB$106:AB$117, MATCH($D37, Option2!$G$106:$G$117,0)))*conv_2026*AB$7)</f>
        <v>82271.452475828119</v>
      </c>
      <c r="AC37" s="31">
        <f>IF($B37=0,0, (INDEX(Option2!AC$106:AC$117, MATCH($D37, Option2!$G$106:$G$117,0)))*conv_2026*AC$7)</f>
        <v>79742.97893371516</v>
      </c>
      <c r="AD37" s="31">
        <f>IF($B37=0,0, (INDEX(Option2!AD$106:AD$117, MATCH($D37, Option2!$G$106:$G$117,0)))*conv_2026*AD$7)</f>
        <v>77214.505391601677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4"/>
      <c r="B38" s="254"/>
      <c r="C38" s="254"/>
      <c r="D38" s="254"/>
      <c r="E38" s="254"/>
      <c r="F38" s="31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</row>
    <row r="39" spans="1:35" s="8" customFormat="1" x14ac:dyDescent="0.2">
      <c r="A39" s="254"/>
      <c r="B39" s="254"/>
      <c r="C39" s="254"/>
      <c r="D39" s="254"/>
      <c r="E39" s="254"/>
      <c r="F39" s="31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</row>
    <row r="40" spans="1:35" s="8" customFormat="1" x14ac:dyDescent="0.2">
      <c r="A40" s="254"/>
      <c r="B40" s="254"/>
      <c r="C40" s="254"/>
      <c r="D40" s="254"/>
      <c r="E40" s="254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0</v>
      </c>
      <c r="L40" s="31">
        <f>Consol!L50</f>
        <v>-319893.5830115563</v>
      </c>
      <c r="M40" s="31">
        <f>Consol!M50</f>
        <v>-305479.49926294101</v>
      </c>
      <c r="N40" s="31">
        <f>Consol!N50</f>
        <v>-298427.2445870841</v>
      </c>
      <c r="O40" s="31">
        <f>Consol!O50</f>
        <v>-287140.19186564151</v>
      </c>
      <c r="P40" s="31">
        <f>Consol!P50</f>
        <v>-274339.94193537126</v>
      </c>
      <c r="Q40" s="31">
        <f>Consol!Q50</f>
        <v>-265382.71508707176</v>
      </c>
      <c r="R40" s="31">
        <f>Consol!R50</f>
        <v>-267911.18862918479</v>
      </c>
      <c r="S40" s="31">
        <f>Consol!S50</f>
        <v>-270439.66217129759</v>
      </c>
      <c r="T40" s="31">
        <f>Consol!T50</f>
        <v>-272968.13571341109</v>
      </c>
      <c r="U40" s="31">
        <f>Consol!U50</f>
        <v>-275496.60925552389</v>
      </c>
      <c r="V40" s="31">
        <f>Consol!V50</f>
        <v>-278025.08279763733</v>
      </c>
      <c r="W40" s="31">
        <f>Consol!W50</f>
        <v>-280553.5563397503</v>
      </c>
      <c r="X40" s="31">
        <f>Consol!X50</f>
        <v>-283082.02988186385</v>
      </c>
      <c r="Y40" s="31">
        <f>Consol!Y50</f>
        <v>-285610.50342397665</v>
      </c>
      <c r="Z40" s="31">
        <f>Consol!Z50</f>
        <v>-288138.97696609021</v>
      </c>
      <c r="AA40" s="31">
        <f>Consol!AA50</f>
        <v>-290667.45050820301</v>
      </c>
      <c r="AB40" s="31">
        <f>Consol!AB50</f>
        <v>-293195.92405031645</v>
      </c>
      <c r="AC40" s="31">
        <f>Consol!AC50</f>
        <v>-295724.39759242942</v>
      </c>
      <c r="AD40" s="31">
        <f>Consol!AD50</f>
        <v>-298252.87113454286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4"/>
      <c r="B41" s="254"/>
      <c r="C41" s="254"/>
      <c r="D41" s="254"/>
      <c r="E41" s="254"/>
      <c r="F41" s="31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</row>
    <row r="42" spans="1:35" s="8" customFormat="1" x14ac:dyDescent="0.2">
      <c r="A42" s="254" t="s">
        <v>132</v>
      </c>
      <c r="B42" s="254" t="s">
        <v>119</v>
      </c>
      <c r="C42" s="254" t="s">
        <v>192</v>
      </c>
      <c r="D42" s="254" t="str">
        <f>A42&amp;B42</f>
        <v>Option 3NPV</v>
      </c>
      <c r="E42" s="255"/>
      <c r="F42" s="31">
        <f t="shared" ref="F42:F51" si="4">SUMPRODUCT($H42:$AG42, $H$5:$AG$5)</f>
        <v>-3599644.3566683023</v>
      </c>
      <c r="G42" s="247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0</v>
      </c>
      <c r="L42" s="31">
        <f>(INDEX(Option3!L$106:L$117, MATCH($D42, Option3!$G$106:$G$117,0)))*conv_2026*L$7</f>
        <v>-319893.58301155624</v>
      </c>
      <c r="M42" s="31">
        <f>(INDEX(Option3!M$106:M$117, MATCH($D42, Option3!$G$106:$G$117,0)))*conv_2026*M$7</f>
        <v>-305479.49926294095</v>
      </c>
      <c r="N42" s="31">
        <f>(INDEX(Option3!N$106:N$117, MATCH($D42, Option3!$G$106:$G$117,0)))*conv_2026*N$7</f>
        <v>-298427.2445870841</v>
      </c>
      <c r="O42" s="31">
        <f>(INDEX(Option3!O$106:O$117, MATCH($D42, Option3!$G$106:$G$117,0)))*conv_2026*O$7</f>
        <v>-287140.19186564145</v>
      </c>
      <c r="P42" s="31">
        <f>(INDEX(Option3!P$106:P$117, MATCH($D42, Option3!$G$106:$G$117,0)))*conv_2026*P$7</f>
        <v>-274339.9419353712</v>
      </c>
      <c r="Q42" s="31">
        <f>(INDEX(Option3!Q$106:Q$117, MATCH($D42, Option3!$G$106:$G$117,0)))*conv_2026*Q$7</f>
        <v>-265382.71508707176</v>
      </c>
      <c r="R42" s="31">
        <f>(INDEX(Option3!R$106:R$117, MATCH($D42, Option3!$G$106:$G$117,0)))*conv_2026*R$7</f>
        <v>-267911.18862918473</v>
      </c>
      <c r="S42" s="31">
        <f>(INDEX(Option3!S$106:S$117, MATCH($D42, Option3!$G$106:$G$117,0)))*conv_2026*S$7</f>
        <v>-270439.66217129747</v>
      </c>
      <c r="T42" s="31">
        <f>(INDEX(Option3!T$106:T$117, MATCH($D42, Option3!$G$106:$G$117,0)))*conv_2026*T$7</f>
        <v>-272968.13571341103</v>
      </c>
      <c r="U42" s="31">
        <f>(INDEX(Option3!U$106:U$117, MATCH($D42, Option3!$G$106:$G$117,0)))*conv_2026*U$7</f>
        <v>-275496.60925552377</v>
      </c>
      <c r="V42" s="31">
        <f>(INDEX(Option3!V$106:V$117, MATCH($D42, Option3!$G$106:$G$117,0)))*conv_2026*V$7</f>
        <v>-278025.08279763733</v>
      </c>
      <c r="W42" s="31">
        <f>(INDEX(Option3!W$106:W$117, MATCH($D42, Option3!$G$106:$G$117,0)))*conv_2026*W$7</f>
        <v>-280553.55633975024</v>
      </c>
      <c r="X42" s="31">
        <f>(INDEX(Option3!X$106:X$117, MATCH($D42, Option3!$G$106:$G$117,0)))*conv_2026*X$7</f>
        <v>-283082.02988186374</v>
      </c>
      <c r="Y42" s="31">
        <f>(INDEX(Option3!Y$106:Y$117, MATCH($D42, Option3!$G$106:$G$117,0)))*conv_2026*Y$7</f>
        <v>-285610.5034239766</v>
      </c>
      <c r="Z42" s="31">
        <f>(INDEX(Option3!Z$106:Z$117, MATCH($D42, Option3!$G$106:$G$117,0)))*conv_2026*Z$7</f>
        <v>-288138.97696609015</v>
      </c>
      <c r="AA42" s="31">
        <f>(INDEX(Option3!AA$106:AA$117, MATCH($D42, Option3!$G$106:$G$117,0)))*conv_2026*AA$7</f>
        <v>-290667.45050820289</v>
      </c>
      <c r="AB42" s="31">
        <f>(INDEX(Option3!AB$106:AB$117, MATCH($D42, Option3!$G$106:$G$117,0)))*conv_2026*AB$7</f>
        <v>-293195.92405031639</v>
      </c>
      <c r="AC42" s="31">
        <f>(INDEX(Option3!AC$106:AC$117, MATCH($D42, Option3!$G$106:$G$117,0)))*conv_2026*AC$7</f>
        <v>-295724.3975924293</v>
      </c>
      <c r="AD42" s="31">
        <f>(INDEX(Option3!AD$106:AD$117, MATCH($D42, Option3!$G$106:$G$117,0)))*conv_2026*AD$7</f>
        <v>-298252.8711345428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6"/>
      <c r="B43" s="246"/>
      <c r="C43" s="246"/>
      <c r="D43" s="246"/>
      <c r="E43" s="246"/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7"/>
      <c r="AI43" s="7"/>
    </row>
    <row r="44" spans="1:35" s="8" customFormat="1" x14ac:dyDescent="0.2">
      <c r="A44" s="254" t="s">
        <v>132</v>
      </c>
      <c r="B44" s="254" t="str">
        <f>Option3!A110</f>
        <v>sens1</v>
      </c>
      <c r="C44" s="254" t="str">
        <f>Option3!C110</f>
        <v>Capex 10% higher</v>
      </c>
      <c r="D44" s="254" t="str">
        <f t="shared" ref="D44:D51" si="5">A44&amp;B44</f>
        <v>Option 3sens1</v>
      </c>
      <c r="E44" s="255"/>
      <c r="F44" s="31">
        <f t="shared" si="4"/>
        <v>-4230638.6728170849</v>
      </c>
      <c r="G44" s="247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0</v>
      </c>
      <c r="L44" s="31">
        <f>(INDEX(Option3!L$106:L$117, MATCH($D44, Option3!$G$106:$G$117,0)))*conv_2026*L$7</f>
        <v>-370052.02258107893</v>
      </c>
      <c r="M44" s="31">
        <f>(INDEX(Option3!M$106:M$117, MATCH($D44, Option3!$G$106:$G$117,0)))*conv_2026*M$7</f>
        <v>-355637.93883246364</v>
      </c>
      <c r="N44" s="31">
        <f>(INDEX(Option3!N$106:N$117, MATCH($D44, Option3!$G$106:$G$117,0)))*conv_2026*N$7</f>
        <v>-348585.68415660679</v>
      </c>
      <c r="O44" s="31">
        <f>(INDEX(Option3!O$106:O$117, MATCH($D44, Option3!$G$106:$G$117,0)))*conv_2026*O$7</f>
        <v>-337298.63143516408</v>
      </c>
      <c r="P44" s="31">
        <f>(INDEX(Option3!P$106:P$117, MATCH($D44, Option3!$G$106:$G$117,0)))*conv_2026*P$7</f>
        <v>-324498.38150489388</v>
      </c>
      <c r="Q44" s="31">
        <f>(INDEX(Option3!Q$106:Q$117, MATCH($D44, Option3!$G$106:$G$117,0)))*conv_2026*Q$7</f>
        <v>-315541.15465659439</v>
      </c>
      <c r="R44" s="31">
        <f>(INDEX(Option3!R$106:R$117, MATCH($D44, Option3!$G$106:$G$117,0)))*conv_2026*R$7</f>
        <v>-318069.62819870742</v>
      </c>
      <c r="S44" s="31">
        <f>(INDEX(Option3!S$106:S$117, MATCH($D44, Option3!$G$106:$G$117,0)))*conv_2026*S$7</f>
        <v>-320598.10174082016</v>
      </c>
      <c r="T44" s="31">
        <f>(INDEX(Option3!T$106:T$117, MATCH($D44, Option3!$G$106:$G$117,0)))*conv_2026*T$7</f>
        <v>-323126.57528293371</v>
      </c>
      <c r="U44" s="31">
        <f>(INDEX(Option3!U$106:U$117, MATCH($D44, Option3!$G$106:$G$117,0)))*conv_2026*U$7</f>
        <v>-325655.04882504646</v>
      </c>
      <c r="V44" s="31">
        <f>(INDEX(Option3!V$106:V$117, MATCH($D44, Option3!$G$106:$G$117,0)))*conv_2026*V$7</f>
        <v>-328183.52236715995</v>
      </c>
      <c r="W44" s="31">
        <f>(INDEX(Option3!W$106:W$117, MATCH($D44, Option3!$G$106:$G$117,0)))*conv_2026*W$7</f>
        <v>-330711.99590927287</v>
      </c>
      <c r="X44" s="31">
        <f>(INDEX(Option3!X$106:X$117, MATCH($D44, Option3!$G$106:$G$117,0)))*conv_2026*X$7</f>
        <v>-333240.46945138642</v>
      </c>
      <c r="Y44" s="31">
        <f>(INDEX(Option3!Y$106:Y$117, MATCH($D44, Option3!$G$106:$G$117,0)))*conv_2026*Y$7</f>
        <v>-335768.94299349928</v>
      </c>
      <c r="Z44" s="31">
        <f>(INDEX(Option3!Z$106:Z$117, MATCH($D44, Option3!$G$106:$G$117,0)))*conv_2026*Z$7</f>
        <v>-338297.41653561278</v>
      </c>
      <c r="AA44" s="31">
        <f>(INDEX(Option3!AA$106:AA$117, MATCH($D44, Option3!$G$106:$G$117,0)))*conv_2026*AA$7</f>
        <v>-340825.89007772558</v>
      </c>
      <c r="AB44" s="31">
        <f>(INDEX(Option3!AB$106:AB$117, MATCH($D44, Option3!$G$106:$G$117,0)))*conv_2026*AB$7</f>
        <v>-343354.36361983902</v>
      </c>
      <c r="AC44" s="31">
        <f>(INDEX(Option3!AC$106:AC$117, MATCH($D44, Option3!$G$106:$G$117,0)))*conv_2026*AC$7</f>
        <v>-345882.83716195199</v>
      </c>
      <c r="AD44" s="31">
        <f>(INDEX(Option3!AD$106:AD$117, MATCH($D44, Option3!$G$106:$G$117,0)))*conv_2026*AD$7</f>
        <v>-348411.31070406543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4" t="s">
        <v>132</v>
      </c>
      <c r="B45" s="254" t="str">
        <f>Option3!A111</f>
        <v>sens2</v>
      </c>
      <c r="C45" s="254" t="str">
        <f>Option3!C111</f>
        <v>Capex 10% lower</v>
      </c>
      <c r="D45" s="254" t="str">
        <f t="shared" si="5"/>
        <v>Option 3sens2</v>
      </c>
      <c r="E45" s="255"/>
      <c r="F45" s="31">
        <f t="shared" si="4"/>
        <v>-2968650.0405195202</v>
      </c>
      <c r="G45" s="254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0</v>
      </c>
      <c r="L45" s="31">
        <f>(INDEX(Option3!L$106:L$117, MATCH($D45, Option3!$G$106:$G$117,0)))*conv_2026*L$7</f>
        <v>-269735.14344203362</v>
      </c>
      <c r="M45" s="31">
        <f>(INDEX(Option3!M$106:M$117, MATCH($D45, Option3!$G$106:$G$117,0)))*conv_2026*M$7</f>
        <v>-255321.05969341833</v>
      </c>
      <c r="N45" s="31">
        <f>(INDEX(Option3!N$106:N$117, MATCH($D45, Option3!$G$106:$G$117,0)))*conv_2026*N$7</f>
        <v>-248268.80501756145</v>
      </c>
      <c r="O45" s="31">
        <f>(INDEX(Option3!O$106:O$117, MATCH($D45, Option3!$G$106:$G$117,0)))*conv_2026*O$7</f>
        <v>-236981.75229611882</v>
      </c>
      <c r="P45" s="31">
        <f>(INDEX(Option3!P$106:P$117, MATCH($D45, Option3!$G$106:$G$117,0)))*conv_2026*P$7</f>
        <v>-224181.50236584857</v>
      </c>
      <c r="Q45" s="31">
        <f>(INDEX(Option3!Q$106:Q$117, MATCH($D45, Option3!$G$106:$G$117,0)))*conv_2026*Q$7</f>
        <v>-215224.2755175491</v>
      </c>
      <c r="R45" s="31">
        <f>(INDEX(Option3!R$106:R$117, MATCH($D45, Option3!$G$106:$G$117,0)))*conv_2026*R$7</f>
        <v>-217752.74905966211</v>
      </c>
      <c r="S45" s="31">
        <f>(INDEX(Option3!S$106:S$117, MATCH($D45, Option3!$G$106:$G$117,0)))*conv_2026*S$7</f>
        <v>-220281.22260177485</v>
      </c>
      <c r="T45" s="31">
        <f>(INDEX(Option3!T$106:T$117, MATCH($D45, Option3!$G$106:$G$117,0)))*conv_2026*T$7</f>
        <v>-222809.6961438884</v>
      </c>
      <c r="U45" s="31">
        <f>(INDEX(Option3!U$106:U$117, MATCH($D45, Option3!$G$106:$G$117,0)))*conv_2026*U$7</f>
        <v>-225338.16968600117</v>
      </c>
      <c r="V45" s="31">
        <f>(INDEX(Option3!V$106:V$117, MATCH($D45, Option3!$G$106:$G$117,0)))*conv_2026*V$7</f>
        <v>-227866.64322811467</v>
      </c>
      <c r="W45" s="31">
        <f>(INDEX(Option3!W$106:W$117, MATCH($D45, Option3!$G$106:$G$117,0)))*conv_2026*W$7</f>
        <v>-230395.11677022759</v>
      </c>
      <c r="X45" s="31">
        <f>(INDEX(Option3!X$106:X$117, MATCH($D45, Option3!$G$106:$G$117,0)))*conv_2026*X$7</f>
        <v>-232923.59031234111</v>
      </c>
      <c r="Y45" s="31">
        <f>(INDEX(Option3!Y$106:Y$117, MATCH($D45, Option3!$G$106:$G$117,0)))*conv_2026*Y$7</f>
        <v>-235452.06385445394</v>
      </c>
      <c r="Z45" s="31">
        <f>(INDEX(Option3!Z$106:Z$117, MATCH($D45, Option3!$G$106:$G$117,0)))*conv_2026*Z$7</f>
        <v>-237980.5373965675</v>
      </c>
      <c r="AA45" s="31">
        <f>(INDEX(Option3!AA$106:AA$117, MATCH($D45, Option3!$G$106:$G$117,0)))*conv_2026*AA$7</f>
        <v>-240509.01093868027</v>
      </c>
      <c r="AB45" s="31">
        <f>(INDEX(Option3!AB$106:AB$117, MATCH($D45, Option3!$G$106:$G$117,0)))*conv_2026*AB$7</f>
        <v>-243037.48448079373</v>
      </c>
      <c r="AC45" s="31">
        <f>(INDEX(Option3!AC$106:AC$117, MATCH($D45, Option3!$G$106:$G$117,0)))*conv_2026*AC$7</f>
        <v>-245565.95802290668</v>
      </c>
      <c r="AD45" s="31">
        <f>(INDEX(Option3!AD$106:AD$117, MATCH($D45, Option3!$G$106:$G$117,0)))*conv_2026*AD$7</f>
        <v>-248094.43156502015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4" t="s">
        <v>132</v>
      </c>
      <c r="B46" s="254" t="str">
        <f>Option3!A112</f>
        <v>sens3</v>
      </c>
      <c r="C46" s="254" t="str">
        <f>Option3!C112</f>
        <v>Increasing wind escalation</v>
      </c>
      <c r="D46" s="254" t="str">
        <f t="shared" si="5"/>
        <v>Option 3sens3</v>
      </c>
      <c r="E46" s="255"/>
      <c r="F46" s="31">
        <f t="shared" si="4"/>
        <v>-3486850.6410570662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0</v>
      </c>
      <c r="L46" s="31">
        <f>(INDEX(Option3!L$106:L$117, MATCH($D46, Option3!$G$106:$G$117,0)))*conv_2026*L$7</f>
        <v>-318423.66377409402</v>
      </c>
      <c r="M46" s="31">
        <f>(INDEX(Option3!M$106:M$117, MATCH($D46, Option3!$G$106:$G$117,0)))*conv_2026*M$7</f>
        <v>-306678.19191337581</v>
      </c>
      <c r="N46" s="31">
        <f>(INDEX(Option3!N$106:N$117, MATCH($D46, Option3!$G$106:$G$117,0)))*conv_2026*N$7</f>
        <v>-298403.74946782348</v>
      </c>
      <c r="O46" s="31">
        <f>(INDEX(Option3!O$106:O$117, MATCH($D46, Option3!$G$106:$G$117,0)))*conv_2026*O$7</f>
        <v>-285810.98201139411</v>
      </c>
      <c r="P46" s="31">
        <f>(INDEX(Option3!P$106:P$117, MATCH($D46, Option3!$G$106:$G$117,0)))*conv_2026*P$7</f>
        <v>-271595.60426845815</v>
      </c>
      <c r="Q46" s="31">
        <f>(INDEX(Option3!Q$106:Q$117, MATCH($D46, Option3!$G$106:$G$117,0)))*conv_2026*Q$7</f>
        <v>-261149.22752960757</v>
      </c>
      <c r="R46" s="31">
        <f>(INDEX(Option3!R$106:R$117, MATCH($D46, Option3!$G$106:$G$117,0)))*conv_2026*R$7</f>
        <v>-262253.53680645779</v>
      </c>
      <c r="S46" s="31">
        <f>(INDEX(Option3!S$106:S$117, MATCH($D46, Option3!$G$106:$G$117,0)))*conv_2026*S$7</f>
        <v>-263346.80870035378</v>
      </c>
      <c r="T46" s="31">
        <f>(INDEX(Option3!T$106:T$117, MATCH($D46, Option3!$G$106:$G$117,0)))*conv_2026*T$7</f>
        <v>-264428.91175402608</v>
      </c>
      <c r="U46" s="31">
        <f>(INDEX(Option3!U$106:U$117, MATCH($D46, Option3!$G$106:$G$117,0)))*conv_2026*U$7</f>
        <v>-265499.71241430927</v>
      </c>
      <c r="V46" s="31">
        <f>(INDEX(Option3!V$106:V$117, MATCH($D46, Option3!$G$106:$G$117,0)))*conv_2026*V$7</f>
        <v>-266559.07499020774</v>
      </c>
      <c r="W46" s="31">
        <f>(INDEX(Option3!W$106:W$117, MATCH($D46, Option3!$G$106:$G$117,0)))*conv_2026*W$7</f>
        <v>-267606.86160994467</v>
      </c>
      <c r="X46" s="31">
        <f>(INDEX(Option3!X$106:X$117, MATCH($D46, Option3!$G$106:$G$117,0)))*conv_2026*X$7</f>
        <v>-268642.93217697641</v>
      </c>
      <c r="Y46" s="31">
        <f>(INDEX(Option3!Y$106:Y$117, MATCH($D46, Option3!$G$106:$G$117,0)))*conv_2026*Y$7</f>
        <v>-269667.14432493417</v>
      </c>
      <c r="Z46" s="31">
        <f>(INDEX(Option3!Z$106:Z$117, MATCH($D46, Option3!$G$106:$G$117,0)))*conv_2026*Z$7</f>
        <v>-270679.35337146983</v>
      </c>
      <c r="AA46" s="31">
        <f>(INDEX(Option3!AA$106:AA$117, MATCH($D46, Option3!$G$106:$G$117,0)))*conv_2026*AA$7</f>
        <v>-271679.41227096628</v>
      </c>
      <c r="AB46" s="31">
        <f>(INDEX(Option3!AB$106:AB$117, MATCH($D46, Option3!$G$106:$G$117,0)))*conv_2026*AB$7</f>
        <v>-272667.17156608996</v>
      </c>
      <c r="AC46" s="31">
        <f>(INDEX(Option3!AC$106:AC$117, MATCH($D46, Option3!$G$106:$G$117,0)))*conv_2026*AC$7</f>
        <v>-273642.47933814081</v>
      </c>
      <c r="AD46" s="31">
        <f>(INDEX(Option3!AD$106:AD$117, MATCH($D46, Option3!$G$106:$G$117,0)))*conv_2026*AD$7</f>
        <v>-274605.18115617568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4" t="s">
        <v>132</v>
      </c>
      <c r="B47" s="254" t="str">
        <f>Option3!A113</f>
        <v>sens4</v>
      </c>
      <c r="C47" s="254" t="str">
        <f>Option3!C113</f>
        <v/>
      </c>
      <c r="D47" s="254" t="str">
        <f t="shared" si="5"/>
        <v>Option 3sens4</v>
      </c>
      <c r="E47" s="255"/>
      <c r="F47" s="31">
        <f t="shared" si="4"/>
        <v>-3599644.3566683023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0</v>
      </c>
      <c r="L47" s="31">
        <f>(INDEX(Option3!L$106:L$117, MATCH($D47, Option3!$G$106:$G$117,0)))*conv_2026*L$7</f>
        <v>-319893.58301155624</v>
      </c>
      <c r="M47" s="31">
        <f>(INDEX(Option3!M$106:M$117, MATCH($D47, Option3!$G$106:$G$117,0)))*conv_2026*M$7</f>
        <v>-305479.49926294095</v>
      </c>
      <c r="N47" s="31">
        <f>(INDEX(Option3!N$106:N$117, MATCH($D47, Option3!$G$106:$G$117,0)))*conv_2026*N$7</f>
        <v>-298427.2445870841</v>
      </c>
      <c r="O47" s="31">
        <f>(INDEX(Option3!O$106:O$117, MATCH($D47, Option3!$G$106:$G$117,0)))*conv_2026*O$7</f>
        <v>-287140.19186564145</v>
      </c>
      <c r="P47" s="31">
        <f>(INDEX(Option3!P$106:P$117, MATCH($D47, Option3!$G$106:$G$117,0)))*conv_2026*P$7</f>
        <v>-274339.9419353712</v>
      </c>
      <c r="Q47" s="31">
        <f>(INDEX(Option3!Q$106:Q$117, MATCH($D47, Option3!$G$106:$G$117,0)))*conv_2026*Q$7</f>
        <v>-265382.71508707176</v>
      </c>
      <c r="R47" s="31">
        <f>(INDEX(Option3!R$106:R$117, MATCH($D47, Option3!$G$106:$G$117,0)))*conv_2026*R$7</f>
        <v>-267911.18862918473</v>
      </c>
      <c r="S47" s="31">
        <f>(INDEX(Option3!S$106:S$117, MATCH($D47, Option3!$G$106:$G$117,0)))*conv_2026*S$7</f>
        <v>-270439.66217129747</v>
      </c>
      <c r="T47" s="31">
        <f>(INDEX(Option3!T$106:T$117, MATCH($D47, Option3!$G$106:$G$117,0)))*conv_2026*T$7</f>
        <v>-272968.13571341103</v>
      </c>
      <c r="U47" s="31">
        <f>(INDEX(Option3!U$106:U$117, MATCH($D47, Option3!$G$106:$G$117,0)))*conv_2026*U$7</f>
        <v>-275496.60925552377</v>
      </c>
      <c r="V47" s="31">
        <f>(INDEX(Option3!V$106:V$117, MATCH($D47, Option3!$G$106:$G$117,0)))*conv_2026*V$7</f>
        <v>-278025.08279763733</v>
      </c>
      <c r="W47" s="31">
        <f>(INDEX(Option3!W$106:W$117, MATCH($D47, Option3!$G$106:$G$117,0)))*conv_2026*W$7</f>
        <v>-280553.55633975024</v>
      </c>
      <c r="X47" s="31">
        <f>(INDEX(Option3!X$106:X$117, MATCH($D47, Option3!$G$106:$G$117,0)))*conv_2026*X$7</f>
        <v>-283082.02988186374</v>
      </c>
      <c r="Y47" s="31">
        <f>(INDEX(Option3!Y$106:Y$117, MATCH($D47, Option3!$G$106:$G$117,0)))*conv_2026*Y$7</f>
        <v>-285610.5034239766</v>
      </c>
      <c r="Z47" s="31">
        <f>(INDEX(Option3!Z$106:Z$117, MATCH($D47, Option3!$G$106:$G$117,0)))*conv_2026*Z$7</f>
        <v>-288138.97696609015</v>
      </c>
      <c r="AA47" s="31">
        <f>(INDEX(Option3!AA$106:AA$117, MATCH($D47, Option3!$G$106:$G$117,0)))*conv_2026*AA$7</f>
        <v>-290667.45050820289</v>
      </c>
      <c r="AB47" s="31">
        <f>(INDEX(Option3!AB$106:AB$117, MATCH($D47, Option3!$G$106:$G$117,0)))*conv_2026*AB$7</f>
        <v>-293195.92405031639</v>
      </c>
      <c r="AC47" s="31">
        <f>(INDEX(Option3!AC$106:AC$117, MATCH($D47, Option3!$G$106:$G$117,0)))*conv_2026*AC$7</f>
        <v>-295724.3975924293</v>
      </c>
      <c r="AD47" s="31">
        <f>(INDEX(Option3!AD$106:AD$117, MATCH($D47, Option3!$G$106:$G$117,0)))*conv_2026*AD$7</f>
        <v>-298252.8711345428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4" t="s">
        <v>132</v>
      </c>
      <c r="B48" s="254" t="str">
        <f>Option3!A114</f>
        <v>sens5</v>
      </c>
      <c r="C48" s="254" t="str">
        <f>Option3!C114</f>
        <v/>
      </c>
      <c r="D48" s="254" t="str">
        <f t="shared" si="5"/>
        <v>Option 3sens5</v>
      </c>
      <c r="E48" s="255"/>
      <c r="F48" s="31">
        <f t="shared" si="4"/>
        <v>-3599644.3566683023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0</v>
      </c>
      <c r="L48" s="31">
        <f>(INDEX(Option3!L$106:L$117, MATCH($D48, Option3!$G$106:$G$117,0)))*conv_2026*L$7</f>
        <v>-319893.58301155624</v>
      </c>
      <c r="M48" s="31">
        <f>(INDEX(Option3!M$106:M$117, MATCH($D48, Option3!$G$106:$G$117,0)))*conv_2026*M$7</f>
        <v>-305479.49926294095</v>
      </c>
      <c r="N48" s="31">
        <f>(INDEX(Option3!N$106:N$117, MATCH($D48, Option3!$G$106:$G$117,0)))*conv_2026*N$7</f>
        <v>-298427.2445870841</v>
      </c>
      <c r="O48" s="31">
        <f>(INDEX(Option3!O$106:O$117, MATCH($D48, Option3!$G$106:$G$117,0)))*conv_2026*O$7</f>
        <v>-287140.19186564145</v>
      </c>
      <c r="P48" s="31">
        <f>(INDEX(Option3!P$106:P$117, MATCH($D48, Option3!$G$106:$G$117,0)))*conv_2026*P$7</f>
        <v>-274339.9419353712</v>
      </c>
      <c r="Q48" s="31">
        <f>(INDEX(Option3!Q$106:Q$117, MATCH($D48, Option3!$G$106:$G$117,0)))*conv_2026*Q$7</f>
        <v>-265382.71508707176</v>
      </c>
      <c r="R48" s="31">
        <f>(INDEX(Option3!R$106:R$117, MATCH($D48, Option3!$G$106:$G$117,0)))*conv_2026*R$7</f>
        <v>-267911.18862918473</v>
      </c>
      <c r="S48" s="31">
        <f>(INDEX(Option3!S$106:S$117, MATCH($D48, Option3!$G$106:$G$117,0)))*conv_2026*S$7</f>
        <v>-270439.66217129747</v>
      </c>
      <c r="T48" s="31">
        <f>(INDEX(Option3!T$106:T$117, MATCH($D48, Option3!$G$106:$G$117,0)))*conv_2026*T$7</f>
        <v>-272968.13571341103</v>
      </c>
      <c r="U48" s="31">
        <f>(INDEX(Option3!U$106:U$117, MATCH($D48, Option3!$G$106:$G$117,0)))*conv_2026*U$7</f>
        <v>-275496.60925552377</v>
      </c>
      <c r="V48" s="31">
        <f>(INDEX(Option3!V$106:V$117, MATCH($D48, Option3!$G$106:$G$117,0)))*conv_2026*V$7</f>
        <v>-278025.08279763733</v>
      </c>
      <c r="W48" s="31">
        <f>(INDEX(Option3!W$106:W$117, MATCH($D48, Option3!$G$106:$G$117,0)))*conv_2026*W$7</f>
        <v>-280553.55633975024</v>
      </c>
      <c r="X48" s="31">
        <f>(INDEX(Option3!X$106:X$117, MATCH($D48, Option3!$G$106:$G$117,0)))*conv_2026*X$7</f>
        <v>-283082.02988186374</v>
      </c>
      <c r="Y48" s="31">
        <f>(INDEX(Option3!Y$106:Y$117, MATCH($D48, Option3!$G$106:$G$117,0)))*conv_2026*Y$7</f>
        <v>-285610.5034239766</v>
      </c>
      <c r="Z48" s="31">
        <f>(INDEX(Option3!Z$106:Z$117, MATCH($D48, Option3!$G$106:$G$117,0)))*conv_2026*Z$7</f>
        <v>-288138.97696609015</v>
      </c>
      <c r="AA48" s="31">
        <f>(INDEX(Option3!AA$106:AA$117, MATCH($D48, Option3!$G$106:$G$117,0)))*conv_2026*AA$7</f>
        <v>-290667.45050820289</v>
      </c>
      <c r="AB48" s="31">
        <f>(INDEX(Option3!AB$106:AB$117, MATCH($D48, Option3!$G$106:$G$117,0)))*conv_2026*AB$7</f>
        <v>-293195.92405031639</v>
      </c>
      <c r="AC48" s="31">
        <f>(INDEX(Option3!AC$106:AC$117, MATCH($D48, Option3!$G$106:$G$117,0)))*conv_2026*AC$7</f>
        <v>-295724.3975924293</v>
      </c>
      <c r="AD48" s="31">
        <f>(INDEX(Option3!AD$106:AD$117, MATCH($D48, Option3!$G$106:$G$117,0)))*conv_2026*AD$7</f>
        <v>-298252.8711345428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4" t="s">
        <v>132</v>
      </c>
      <c r="B49" s="254" t="str">
        <f>Option3!A115</f>
        <v>sens</v>
      </c>
      <c r="C49" s="254">
        <f>Option3!C115</f>
        <v>0</v>
      </c>
      <c r="D49" s="254" t="str">
        <f t="shared" si="5"/>
        <v>Option 3sens</v>
      </c>
      <c r="E49" s="255"/>
      <c r="F49" s="31">
        <f t="shared" si="4"/>
        <v>-3599644.3566683023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0</v>
      </c>
      <c r="L49" s="31">
        <f>(INDEX(Option3!L$106:L$117, MATCH($D49, Option3!$G$106:$G$117,0)))*conv_2026*L$7</f>
        <v>-319893.58301155624</v>
      </c>
      <c r="M49" s="31">
        <f>(INDEX(Option3!M$106:M$117, MATCH($D49, Option3!$G$106:$G$117,0)))*conv_2026*M$7</f>
        <v>-305479.49926294095</v>
      </c>
      <c r="N49" s="31">
        <f>(INDEX(Option3!N$106:N$117, MATCH($D49, Option3!$G$106:$G$117,0)))*conv_2026*N$7</f>
        <v>-298427.2445870841</v>
      </c>
      <c r="O49" s="31">
        <f>(INDEX(Option3!O$106:O$117, MATCH($D49, Option3!$G$106:$G$117,0)))*conv_2026*O$7</f>
        <v>-287140.19186564145</v>
      </c>
      <c r="P49" s="31">
        <f>(INDEX(Option3!P$106:P$117, MATCH($D49, Option3!$G$106:$G$117,0)))*conv_2026*P$7</f>
        <v>-274339.9419353712</v>
      </c>
      <c r="Q49" s="31">
        <f>(INDEX(Option3!Q$106:Q$117, MATCH($D49, Option3!$G$106:$G$117,0)))*conv_2026*Q$7</f>
        <v>-265382.71508707176</v>
      </c>
      <c r="R49" s="31">
        <f>(INDEX(Option3!R$106:R$117, MATCH($D49, Option3!$G$106:$G$117,0)))*conv_2026*R$7</f>
        <v>-267911.18862918473</v>
      </c>
      <c r="S49" s="31">
        <f>(INDEX(Option3!S$106:S$117, MATCH($D49, Option3!$G$106:$G$117,0)))*conv_2026*S$7</f>
        <v>-270439.66217129747</v>
      </c>
      <c r="T49" s="31">
        <f>(INDEX(Option3!T$106:T$117, MATCH($D49, Option3!$G$106:$G$117,0)))*conv_2026*T$7</f>
        <v>-272968.13571341103</v>
      </c>
      <c r="U49" s="31">
        <f>(INDEX(Option3!U$106:U$117, MATCH($D49, Option3!$G$106:$G$117,0)))*conv_2026*U$7</f>
        <v>-275496.60925552377</v>
      </c>
      <c r="V49" s="31">
        <f>(INDEX(Option3!V$106:V$117, MATCH($D49, Option3!$G$106:$G$117,0)))*conv_2026*V$7</f>
        <v>-278025.08279763733</v>
      </c>
      <c r="W49" s="31">
        <f>(INDEX(Option3!W$106:W$117, MATCH($D49, Option3!$G$106:$G$117,0)))*conv_2026*W$7</f>
        <v>-280553.55633975024</v>
      </c>
      <c r="X49" s="31">
        <f>(INDEX(Option3!X$106:X$117, MATCH($D49, Option3!$G$106:$G$117,0)))*conv_2026*X$7</f>
        <v>-283082.02988186374</v>
      </c>
      <c r="Y49" s="31">
        <f>(INDEX(Option3!Y$106:Y$117, MATCH($D49, Option3!$G$106:$G$117,0)))*conv_2026*Y$7</f>
        <v>-285610.5034239766</v>
      </c>
      <c r="Z49" s="31">
        <f>(INDEX(Option3!Z$106:Z$117, MATCH($D49, Option3!$G$106:$G$117,0)))*conv_2026*Z$7</f>
        <v>-288138.97696609015</v>
      </c>
      <c r="AA49" s="31">
        <f>(INDEX(Option3!AA$106:AA$117, MATCH($D49, Option3!$G$106:$G$117,0)))*conv_2026*AA$7</f>
        <v>-290667.45050820289</v>
      </c>
      <c r="AB49" s="31">
        <f>(INDEX(Option3!AB$106:AB$117, MATCH($D49, Option3!$G$106:$G$117,0)))*conv_2026*AB$7</f>
        <v>-293195.92405031639</v>
      </c>
      <c r="AC49" s="31">
        <f>(INDEX(Option3!AC$106:AC$117, MATCH($D49, Option3!$G$106:$G$117,0)))*conv_2026*AC$7</f>
        <v>-295724.3975924293</v>
      </c>
      <c r="AD49" s="31">
        <f>(INDEX(Option3!AD$106:AD$117, MATCH($D49, Option3!$G$106:$G$117,0)))*conv_2026*AD$7</f>
        <v>-298252.8711345428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4" t="s">
        <v>132</v>
      </c>
      <c r="B50" s="254" t="str">
        <f>Option3!A116</f>
        <v>sens</v>
      </c>
      <c r="C50" s="254">
        <f>Option3!C116</f>
        <v>0</v>
      </c>
      <c r="D50" s="254" t="str">
        <f t="shared" si="5"/>
        <v>Option 3sens</v>
      </c>
      <c r="E50" s="255"/>
      <c r="F50" s="31">
        <f t="shared" si="4"/>
        <v>-3599644.3566683023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0</v>
      </c>
      <c r="L50" s="31">
        <f>(INDEX(Option3!L$106:L$117, MATCH($D50, Option3!$G$106:$G$117,0)))*conv_2026*L$7</f>
        <v>-319893.58301155624</v>
      </c>
      <c r="M50" s="31">
        <f>(INDEX(Option3!M$106:M$117, MATCH($D50, Option3!$G$106:$G$117,0)))*conv_2026*M$7</f>
        <v>-305479.49926294095</v>
      </c>
      <c r="N50" s="31">
        <f>(INDEX(Option3!N$106:N$117, MATCH($D50, Option3!$G$106:$G$117,0)))*conv_2026*N$7</f>
        <v>-298427.2445870841</v>
      </c>
      <c r="O50" s="31">
        <f>(INDEX(Option3!O$106:O$117, MATCH($D50, Option3!$G$106:$G$117,0)))*conv_2026*O$7</f>
        <v>-287140.19186564145</v>
      </c>
      <c r="P50" s="31">
        <f>(INDEX(Option3!P$106:P$117, MATCH($D50, Option3!$G$106:$G$117,0)))*conv_2026*P$7</f>
        <v>-274339.9419353712</v>
      </c>
      <c r="Q50" s="31">
        <f>(INDEX(Option3!Q$106:Q$117, MATCH($D50, Option3!$G$106:$G$117,0)))*conv_2026*Q$7</f>
        <v>-265382.71508707176</v>
      </c>
      <c r="R50" s="31">
        <f>(INDEX(Option3!R$106:R$117, MATCH($D50, Option3!$G$106:$G$117,0)))*conv_2026*R$7</f>
        <v>-267911.18862918473</v>
      </c>
      <c r="S50" s="31">
        <f>(INDEX(Option3!S$106:S$117, MATCH($D50, Option3!$G$106:$G$117,0)))*conv_2026*S$7</f>
        <v>-270439.66217129747</v>
      </c>
      <c r="T50" s="31">
        <f>(INDEX(Option3!T$106:T$117, MATCH($D50, Option3!$G$106:$G$117,0)))*conv_2026*T$7</f>
        <v>-272968.13571341103</v>
      </c>
      <c r="U50" s="31">
        <f>(INDEX(Option3!U$106:U$117, MATCH($D50, Option3!$G$106:$G$117,0)))*conv_2026*U$7</f>
        <v>-275496.60925552377</v>
      </c>
      <c r="V50" s="31">
        <f>(INDEX(Option3!V$106:V$117, MATCH($D50, Option3!$G$106:$G$117,0)))*conv_2026*V$7</f>
        <v>-278025.08279763733</v>
      </c>
      <c r="W50" s="31">
        <f>(INDEX(Option3!W$106:W$117, MATCH($D50, Option3!$G$106:$G$117,0)))*conv_2026*W$7</f>
        <v>-280553.55633975024</v>
      </c>
      <c r="X50" s="31">
        <f>(INDEX(Option3!X$106:X$117, MATCH($D50, Option3!$G$106:$G$117,0)))*conv_2026*X$7</f>
        <v>-283082.02988186374</v>
      </c>
      <c r="Y50" s="31">
        <f>(INDEX(Option3!Y$106:Y$117, MATCH($D50, Option3!$G$106:$G$117,0)))*conv_2026*Y$7</f>
        <v>-285610.5034239766</v>
      </c>
      <c r="Z50" s="31">
        <f>(INDEX(Option3!Z$106:Z$117, MATCH($D50, Option3!$G$106:$G$117,0)))*conv_2026*Z$7</f>
        <v>-288138.97696609015</v>
      </c>
      <c r="AA50" s="31">
        <f>(INDEX(Option3!AA$106:AA$117, MATCH($D50, Option3!$G$106:$G$117,0)))*conv_2026*AA$7</f>
        <v>-290667.45050820289</v>
      </c>
      <c r="AB50" s="31">
        <f>(INDEX(Option3!AB$106:AB$117, MATCH($D50, Option3!$G$106:$G$117,0)))*conv_2026*AB$7</f>
        <v>-293195.92405031639</v>
      </c>
      <c r="AC50" s="31">
        <f>(INDEX(Option3!AC$106:AC$117, MATCH($D50, Option3!$G$106:$G$117,0)))*conv_2026*AC$7</f>
        <v>-295724.3975924293</v>
      </c>
      <c r="AD50" s="31">
        <f>(INDEX(Option3!AD$106:AD$117, MATCH($D50, Option3!$G$106:$G$117,0)))*conv_2026*AD$7</f>
        <v>-298252.8711345428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4" t="s">
        <v>132</v>
      </c>
      <c r="B51" s="254" t="str">
        <f>Option3!A117</f>
        <v>sens</v>
      </c>
      <c r="C51" s="254">
        <f>Option3!C117</f>
        <v>0</v>
      </c>
      <c r="D51" s="254" t="str">
        <f t="shared" si="5"/>
        <v>Option 3sens</v>
      </c>
      <c r="E51" s="255"/>
      <c r="F51" s="31">
        <f t="shared" si="4"/>
        <v>-3599644.3566683023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0</v>
      </c>
      <c r="L51" s="31">
        <f>(INDEX(Option3!L$106:L$117, MATCH($D51, Option3!$G$106:$G$117,0)))*conv_2026*L$7</f>
        <v>-319893.58301155624</v>
      </c>
      <c r="M51" s="31">
        <f>(INDEX(Option3!M$106:M$117, MATCH($D51, Option3!$G$106:$G$117,0)))*conv_2026*M$7</f>
        <v>-305479.49926294095</v>
      </c>
      <c r="N51" s="31">
        <f>(INDEX(Option3!N$106:N$117, MATCH($D51, Option3!$G$106:$G$117,0)))*conv_2026*N$7</f>
        <v>-298427.2445870841</v>
      </c>
      <c r="O51" s="31">
        <f>(INDEX(Option3!O$106:O$117, MATCH($D51, Option3!$G$106:$G$117,0)))*conv_2026*O$7</f>
        <v>-287140.19186564145</v>
      </c>
      <c r="P51" s="31">
        <f>(INDEX(Option3!P$106:P$117, MATCH($D51, Option3!$G$106:$G$117,0)))*conv_2026*P$7</f>
        <v>-274339.9419353712</v>
      </c>
      <c r="Q51" s="31">
        <f>(INDEX(Option3!Q$106:Q$117, MATCH($D51, Option3!$G$106:$G$117,0)))*conv_2026*Q$7</f>
        <v>-265382.71508707176</v>
      </c>
      <c r="R51" s="31">
        <f>(INDEX(Option3!R$106:R$117, MATCH($D51, Option3!$G$106:$G$117,0)))*conv_2026*R$7</f>
        <v>-267911.18862918473</v>
      </c>
      <c r="S51" s="31">
        <f>(INDEX(Option3!S$106:S$117, MATCH($D51, Option3!$G$106:$G$117,0)))*conv_2026*S$7</f>
        <v>-270439.66217129747</v>
      </c>
      <c r="T51" s="31">
        <f>(INDEX(Option3!T$106:T$117, MATCH($D51, Option3!$G$106:$G$117,0)))*conv_2026*T$7</f>
        <v>-272968.13571341103</v>
      </c>
      <c r="U51" s="31">
        <f>(INDEX(Option3!U$106:U$117, MATCH($D51, Option3!$G$106:$G$117,0)))*conv_2026*U$7</f>
        <v>-275496.60925552377</v>
      </c>
      <c r="V51" s="31">
        <f>(INDEX(Option3!V$106:V$117, MATCH($D51, Option3!$G$106:$G$117,0)))*conv_2026*V$7</f>
        <v>-278025.08279763733</v>
      </c>
      <c r="W51" s="31">
        <f>(INDEX(Option3!W$106:W$117, MATCH($D51, Option3!$G$106:$G$117,0)))*conv_2026*W$7</f>
        <v>-280553.55633975024</v>
      </c>
      <c r="X51" s="31">
        <f>(INDEX(Option3!X$106:X$117, MATCH($D51, Option3!$G$106:$G$117,0)))*conv_2026*X$7</f>
        <v>-283082.02988186374</v>
      </c>
      <c r="Y51" s="31">
        <f>(INDEX(Option3!Y$106:Y$117, MATCH($D51, Option3!$G$106:$G$117,0)))*conv_2026*Y$7</f>
        <v>-285610.5034239766</v>
      </c>
      <c r="Z51" s="31">
        <f>(INDEX(Option3!Z$106:Z$117, MATCH($D51, Option3!$G$106:$G$117,0)))*conv_2026*Z$7</f>
        <v>-288138.97696609015</v>
      </c>
      <c r="AA51" s="31">
        <f>(INDEX(Option3!AA$106:AA$117, MATCH($D51, Option3!$G$106:$G$117,0)))*conv_2026*AA$7</f>
        <v>-290667.45050820289</v>
      </c>
      <c r="AB51" s="31">
        <f>(INDEX(Option3!AB$106:AB$117, MATCH($D51, Option3!$G$106:$G$117,0)))*conv_2026*AB$7</f>
        <v>-293195.92405031639</v>
      </c>
      <c r="AC51" s="31">
        <f>(INDEX(Option3!AC$106:AC$117, MATCH($D51, Option3!$G$106:$G$117,0)))*conv_2026*AC$7</f>
        <v>-295724.3975924293</v>
      </c>
      <c r="AD51" s="31">
        <f>(INDEX(Option3!AD$106:AD$117, MATCH($D51, Option3!$G$106:$G$117,0)))*conv_2026*AD$7</f>
        <v>-298252.8711345428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4"/>
      <c r="B52" s="254"/>
      <c r="C52" s="254"/>
      <c r="D52" s="254"/>
      <c r="E52" s="254"/>
      <c r="F52" s="31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</row>
    <row r="53" spans="1:35" s="8" customFormat="1" x14ac:dyDescent="0.2">
      <c r="A53" s="254"/>
      <c r="B53" s="254"/>
      <c r="C53" s="254"/>
      <c r="D53" s="254"/>
      <c r="E53" s="254"/>
      <c r="F53" s="31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</row>
    <row r="54" spans="1:35" s="8" customFormat="1" x14ac:dyDescent="0.2">
      <c r="A54" s="254"/>
      <c r="B54" s="254"/>
      <c r="C54" s="254"/>
      <c r="D54" s="254"/>
      <c r="E54" s="254"/>
      <c r="F54" s="31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</row>
    <row r="55" spans="1:35" s="8" customFormat="1" x14ac:dyDescent="0.2">
      <c r="A55" s="254"/>
      <c r="B55" s="254"/>
      <c r="C55" s="254"/>
      <c r="D55" s="254"/>
      <c r="E55" s="254"/>
      <c r="F55" s="31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</row>
    <row r="56" spans="1:35" s="8" customFormat="1" x14ac:dyDescent="0.2">
      <c r="A56" s="254" t="s">
        <v>133</v>
      </c>
      <c r="B56" s="254" t="s">
        <v>119</v>
      </c>
      <c r="C56" s="254" t="s">
        <v>192</v>
      </c>
      <c r="D56" s="254" t="str">
        <f>A56&amp;B56</f>
        <v>Option 4NPV</v>
      </c>
      <c r="E56" s="255"/>
      <c r="F56" s="31">
        <f t="shared" ref="F56:F65" si="6">SUMPRODUCT($H56:$AG56, $H$5:$AG$5)</f>
        <v>0</v>
      </c>
      <c r="G56" s="247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6"/>
      <c r="B57" s="246"/>
      <c r="C57" s="246"/>
      <c r="D57" s="246"/>
      <c r="E57" s="246"/>
      <c r="F57" s="246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7"/>
      <c r="AI57" s="7"/>
    </row>
    <row r="58" spans="1:35" s="8" customFormat="1" x14ac:dyDescent="0.2">
      <c r="A58" s="254" t="s">
        <v>133</v>
      </c>
      <c r="B58" s="254" t="str">
        <f>Option4!A110</f>
        <v>sens1</v>
      </c>
      <c r="C58" s="254" t="str">
        <f>Option4!C110</f>
        <v>Capex 10% higher</v>
      </c>
      <c r="D58" s="254" t="str">
        <f t="shared" ref="D58:D65" si="7">A58&amp;B58</f>
        <v>Option 4sens1</v>
      </c>
      <c r="E58" s="255"/>
      <c r="F58" s="31">
        <f t="shared" si="6"/>
        <v>0</v>
      </c>
      <c r="G58" s="247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4" t="s">
        <v>133</v>
      </c>
      <c r="B59" s="254" t="str">
        <f>Option4!A111</f>
        <v>sens2</v>
      </c>
      <c r="C59" s="254" t="str">
        <f>Option4!C111</f>
        <v>Capex 10% lower</v>
      </c>
      <c r="D59" s="254" t="str">
        <f t="shared" si="7"/>
        <v>Option 4sens2</v>
      </c>
      <c r="E59" s="255"/>
      <c r="F59" s="31">
        <f t="shared" si="6"/>
        <v>0</v>
      </c>
      <c r="G59" s="254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4" t="s">
        <v>133</v>
      </c>
      <c r="B60" s="254" t="str">
        <f>Option4!A112</f>
        <v>sens3</v>
      </c>
      <c r="C60" s="254" t="str">
        <f>Option4!C112</f>
        <v>Increasing wind escalation</v>
      </c>
      <c r="D60" s="254" t="str">
        <f t="shared" si="7"/>
        <v>Option 4sens3</v>
      </c>
      <c r="E60" s="255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4" t="s">
        <v>133</v>
      </c>
      <c r="B61" s="254" t="str">
        <f>Option4!A113</f>
        <v>sens4</v>
      </c>
      <c r="C61" s="254" t="str">
        <f>Option4!C113</f>
        <v/>
      </c>
      <c r="D61" s="254" t="str">
        <f t="shared" si="7"/>
        <v>Option 4sens4</v>
      </c>
      <c r="E61" s="255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4" t="s">
        <v>133</v>
      </c>
      <c r="B62" s="254" t="str">
        <f>Option4!A114</f>
        <v>sens5</v>
      </c>
      <c r="C62" s="254" t="str">
        <f>Option4!C114</f>
        <v/>
      </c>
      <c r="D62" s="254" t="str">
        <f t="shared" si="7"/>
        <v>Option 4sens5</v>
      </c>
      <c r="E62" s="255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4" t="s">
        <v>133</v>
      </c>
      <c r="B63" s="254" t="str">
        <f>Option4!A115</f>
        <v>sens</v>
      </c>
      <c r="C63" s="254">
        <f>Option4!C115</f>
        <v>0</v>
      </c>
      <c r="D63" s="254" t="str">
        <f t="shared" si="7"/>
        <v>Option 4sens</v>
      </c>
      <c r="E63" s="255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4" t="s">
        <v>133</v>
      </c>
      <c r="B64" s="254" t="str">
        <f>Option4!A116</f>
        <v>sens</v>
      </c>
      <c r="C64" s="254">
        <f>Option4!C116</f>
        <v>0</v>
      </c>
      <c r="D64" s="254" t="str">
        <f t="shared" si="7"/>
        <v>Option 4sens</v>
      </c>
      <c r="E64" s="255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4" t="s">
        <v>133</v>
      </c>
      <c r="B65" s="254" t="str">
        <f>Option4!A117</f>
        <v>sens</v>
      </c>
      <c r="C65" s="254">
        <f>Option4!C117</f>
        <v>0</v>
      </c>
      <c r="D65" s="254" t="str">
        <f t="shared" si="7"/>
        <v>Option 4sens</v>
      </c>
      <c r="E65" s="255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4"/>
      <c r="B66" s="254"/>
      <c r="C66" s="254"/>
      <c r="D66" s="254"/>
      <c r="E66" s="254"/>
      <c r="F66" s="31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</row>
    <row r="67" spans="1:35" s="8" customFormat="1" x14ac:dyDescent="0.2">
      <c r="A67" s="254"/>
      <c r="B67" s="254"/>
      <c r="C67" s="254"/>
      <c r="D67" s="254"/>
      <c r="E67" s="254"/>
      <c r="F67" s="31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</row>
    <row r="68" spans="1:35" s="8" customFormat="1" x14ac:dyDescent="0.2">
      <c r="A68" s="254"/>
      <c r="B68" s="254"/>
      <c r="C68" s="254"/>
      <c r="D68" s="254"/>
      <c r="E68" s="254"/>
      <c r="F68" s="31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</row>
    <row r="69" spans="1:35" s="8" customFormat="1" x14ac:dyDescent="0.2">
      <c r="A69" s="254"/>
      <c r="B69" s="254"/>
      <c r="C69" s="254"/>
      <c r="D69" s="254"/>
      <c r="E69" s="254"/>
      <c r="F69" s="31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</row>
    <row r="70" spans="1:35" s="8" customFormat="1" x14ac:dyDescent="0.2">
      <c r="A70" s="254" t="s">
        <v>158</v>
      </c>
      <c r="B70" s="254" t="s">
        <v>119</v>
      </c>
      <c r="C70" s="254" t="s">
        <v>192</v>
      </c>
      <c r="D70" s="254" t="str">
        <f>A70&amp;B70</f>
        <v>Option 5NPV</v>
      </c>
      <c r="E70" s="255"/>
      <c r="F70" s="31">
        <f t="shared" ref="F70:F79" si="8">SUMPRODUCT($H70:$AG70, $H$5:$AG$5)</f>
        <v>0</v>
      </c>
      <c r="G70" s="247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6"/>
      <c r="B71" s="246"/>
      <c r="C71" s="246"/>
      <c r="D71" s="246"/>
      <c r="E71" s="246"/>
      <c r="F71" s="246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  <c r="AG71" s="247"/>
      <c r="AH71" s="7"/>
      <c r="AI71" s="7"/>
    </row>
    <row r="72" spans="1:35" s="8" customFormat="1" x14ac:dyDescent="0.2">
      <c r="A72" s="254" t="s">
        <v>158</v>
      </c>
      <c r="B72" s="254" t="str">
        <f>Option5!A110</f>
        <v>sens1</v>
      </c>
      <c r="C72" s="254" t="str">
        <f>Option5!C110</f>
        <v>Capex 10% higher</v>
      </c>
      <c r="D72" s="254" t="str">
        <f t="shared" ref="D72:D79" si="9">A72&amp;B72</f>
        <v>Option 5sens1</v>
      </c>
      <c r="E72" s="255"/>
      <c r="F72" s="31">
        <f t="shared" si="8"/>
        <v>0</v>
      </c>
      <c r="G72" s="247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4" t="s">
        <v>158</v>
      </c>
      <c r="B73" s="254" t="str">
        <f>Option5!A111</f>
        <v>sens2</v>
      </c>
      <c r="C73" s="254" t="str">
        <f>Option5!C111</f>
        <v>Capex 10% lower</v>
      </c>
      <c r="D73" s="254" t="str">
        <f t="shared" si="9"/>
        <v>Option 5sens2</v>
      </c>
      <c r="E73" s="255"/>
      <c r="F73" s="31">
        <f t="shared" si="8"/>
        <v>0</v>
      </c>
      <c r="G73" s="254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4" t="s">
        <v>158</v>
      </c>
      <c r="B74" s="254" t="str">
        <f>Option5!A112</f>
        <v>sens3</v>
      </c>
      <c r="C74" s="254" t="str">
        <f>Option5!C112</f>
        <v>Increasing wind escalation</v>
      </c>
      <c r="D74" s="254" t="str">
        <f t="shared" si="9"/>
        <v>Option 5sens3</v>
      </c>
      <c r="E74" s="255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4" t="s">
        <v>158</v>
      </c>
      <c r="B75" s="254" t="str">
        <f>Option5!A113</f>
        <v>sens4</v>
      </c>
      <c r="C75" s="254" t="str">
        <f>Option5!C113</f>
        <v/>
      </c>
      <c r="D75" s="254" t="str">
        <f t="shared" si="9"/>
        <v>Option 5sens4</v>
      </c>
      <c r="E75" s="255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4" t="s">
        <v>158</v>
      </c>
      <c r="B76" s="254" t="str">
        <f>Option5!A114</f>
        <v>sens5</v>
      </c>
      <c r="C76" s="254" t="str">
        <f>Option5!C114</f>
        <v/>
      </c>
      <c r="D76" s="254" t="str">
        <f t="shared" si="9"/>
        <v>Option 5sens5</v>
      </c>
      <c r="E76" s="255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4" t="s">
        <v>158</v>
      </c>
      <c r="B77" s="254" t="str">
        <f>Option5!A115</f>
        <v>sens</v>
      </c>
      <c r="C77" s="254">
        <f>Option5!C115</f>
        <v>0</v>
      </c>
      <c r="D77" s="254" t="str">
        <f t="shared" si="9"/>
        <v>Option 5sens</v>
      </c>
      <c r="E77" s="255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4" t="s">
        <v>158</v>
      </c>
      <c r="B78" s="254" t="str">
        <f>Option5!A116</f>
        <v>sens</v>
      </c>
      <c r="C78" s="254">
        <f>Option5!C116</f>
        <v>0</v>
      </c>
      <c r="D78" s="254" t="str">
        <f t="shared" si="9"/>
        <v>Option 5sens</v>
      </c>
      <c r="E78" s="255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4" t="s">
        <v>158</v>
      </c>
      <c r="B79" s="254" t="str">
        <f>Option5!A117</f>
        <v>sens</v>
      </c>
      <c r="C79" s="254">
        <f>Option5!C117</f>
        <v>0</v>
      </c>
      <c r="D79" s="254" t="str">
        <f t="shared" si="9"/>
        <v>Option 5sens</v>
      </c>
      <c r="E79" s="255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50"/>
    </row>
    <row r="81" spans="1:34" s="8" customFormat="1" x14ac:dyDescent="0.2">
      <c r="F81" s="250"/>
    </row>
    <row r="82" spans="1:34" s="8" customFormat="1" x14ac:dyDescent="0.2">
      <c r="F82" s="250"/>
    </row>
    <row r="83" spans="1:34" s="8" customFormat="1" x14ac:dyDescent="0.2">
      <c r="F83" s="250"/>
    </row>
    <row r="84" spans="1:34" s="8" customFormat="1" ht="15" x14ac:dyDescent="0.25">
      <c r="A84" s="203" t="s">
        <v>163</v>
      </c>
      <c r="B84" s="54"/>
      <c r="C84" s="19"/>
      <c r="D84" s="19"/>
      <c r="E84" s="83"/>
      <c r="F84" s="19"/>
      <c r="G84" s="224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10"/>
      <c r="AH84" s="10"/>
    </row>
    <row r="85" spans="1:34" s="8" customFormat="1" x14ac:dyDescent="0.2">
      <c r="F85" s="250"/>
    </row>
    <row r="86" spans="1:34" s="8" customFormat="1" x14ac:dyDescent="0.2">
      <c r="F86" s="250"/>
    </row>
    <row r="87" spans="1:34" s="8" customFormat="1" x14ac:dyDescent="0.2">
      <c r="E87" s="250"/>
    </row>
    <row r="88" spans="1:34" s="8" customFormat="1" x14ac:dyDescent="0.2">
      <c r="C88" s="276" t="b" cm="1">
        <f t="array" ref="C88:G88">TRANSPOSE(Data!F9:F13)</f>
        <v>0</v>
      </c>
      <c r="D88" s="276" t="b">
        <v>0</v>
      </c>
      <c r="E88" s="277" t="b">
        <v>0</v>
      </c>
      <c r="F88" s="276" t="b">
        <v>1</v>
      </c>
      <c r="G88" s="276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8" t="str" cm="1">
        <f t="array" ref="C89:G89">TRANSPOSE(options)</f>
        <v>Option 1 (base case)</v>
      </c>
      <c r="D89" s="278" t="str">
        <v>Option 2</v>
      </c>
      <c r="E89" s="278" t="str">
        <v>Option 3</v>
      </c>
      <c r="F89" s="278" t="str">
        <v>Option 4</v>
      </c>
      <c r="G89" s="278" t="str">
        <v>Option 5</v>
      </c>
      <c r="I89" s="278" t="s">
        <v>230</v>
      </c>
      <c r="K89" s="284" t="s">
        <v>231</v>
      </c>
    </row>
    <row r="90" spans="1:34" s="8" customFormat="1" x14ac:dyDescent="0.2">
      <c r="A90" s="262" t="s">
        <v>119</v>
      </c>
      <c r="B90" s="262" t="s">
        <v>221</v>
      </c>
      <c r="C90" s="105">
        <f t="shared" ref="C90:G98" si="10">IF(OR($B90=0,C$88),"", INDEX($F$14:$F$81, MATCH(C$89&amp;$A90,$D$14:$D$81,0))/10^6)</f>
        <v>0</v>
      </c>
      <c r="D90" s="105">
        <f t="shared" si="10"/>
        <v>1.1237438212854696</v>
      </c>
      <c r="E90" s="105">
        <f t="shared" si="10"/>
        <v>-3.5996443566683025</v>
      </c>
      <c r="F90" s="105" t="str">
        <f t="shared" si="10"/>
        <v/>
      </c>
      <c r="G90" s="105" t="str">
        <f t="shared" si="10"/>
        <v/>
      </c>
      <c r="H90" s="187"/>
      <c r="I90" s="105">
        <f t="shared" ref="I90:I98" si="11">_xlfn.MAXIFS(C90:G90,_xlfn.ANCHORARRAY( C$88),FALSE)</f>
        <v>1.1237438212854696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2" t="str">
        <f>"sens"&amp;Assumptions!B115</f>
        <v>sens1</v>
      </c>
      <c r="B91" s="262" t="str">
        <f>Assumptions!C115</f>
        <v>Capex 10% higher</v>
      </c>
      <c r="C91" s="105">
        <f t="shared" si="10"/>
        <v>0</v>
      </c>
      <c r="D91" s="105">
        <f t="shared" si="10"/>
        <v>0.84048417083833638</v>
      </c>
      <c r="E91" s="105">
        <f t="shared" si="10"/>
        <v>-4.2306386728170846</v>
      </c>
      <c r="F91" s="105" t="str">
        <f t="shared" si="10"/>
        <v/>
      </c>
      <c r="G91" s="105" t="str">
        <f t="shared" si="10"/>
        <v/>
      </c>
      <c r="H91" s="187"/>
      <c r="I91" s="105">
        <f t="shared" si="11"/>
        <v>0.84048417083833638</v>
      </c>
      <c r="K91" s="8" t="str">
        <f t="shared" si="12"/>
        <v>Option 2</v>
      </c>
    </row>
    <row r="92" spans="1:34" s="8" customFormat="1" x14ac:dyDescent="0.2">
      <c r="A92" s="262" t="str">
        <f>"sens"&amp;Assumptions!B116</f>
        <v>sens2</v>
      </c>
      <c r="B92" s="262" t="str">
        <f>Assumptions!C116</f>
        <v>Capex 10% lower</v>
      </c>
      <c r="C92" s="105">
        <f t="shared" si="10"/>
        <v>0</v>
      </c>
      <c r="D92" s="105">
        <f t="shared" si="10"/>
        <v>1.4070034717326023</v>
      </c>
      <c r="E92" s="105">
        <f t="shared" si="10"/>
        <v>-2.96865004051952</v>
      </c>
      <c r="F92" s="105" t="str">
        <f t="shared" si="10"/>
        <v/>
      </c>
      <c r="G92" s="105" t="str">
        <f t="shared" si="10"/>
        <v/>
      </c>
      <c r="H92" s="187"/>
      <c r="I92" s="105">
        <f t="shared" si="11"/>
        <v>1.4070034717326023</v>
      </c>
      <c r="K92" s="8" t="str">
        <f t="shared" si="12"/>
        <v>Option 2</v>
      </c>
    </row>
    <row r="93" spans="1:34" s="8" customFormat="1" x14ac:dyDescent="0.2">
      <c r="A93" s="262" t="str">
        <f>"sens"&amp;Assumptions!B117</f>
        <v>sens3</v>
      </c>
      <c r="B93" s="262" t="str">
        <f>Assumptions!C117</f>
        <v>Increasing wind escalation</v>
      </c>
      <c r="C93" s="105">
        <f t="shared" si="10"/>
        <v>0</v>
      </c>
      <c r="D93" s="105">
        <f t="shared" si="10"/>
        <v>1.2365375368967051</v>
      </c>
      <c r="E93" s="105">
        <f t="shared" si="10"/>
        <v>-3.4868506410570661</v>
      </c>
      <c r="F93" s="105" t="str">
        <f t="shared" si="10"/>
        <v/>
      </c>
      <c r="G93" s="105" t="str">
        <f t="shared" si="10"/>
        <v/>
      </c>
      <c r="H93" s="187"/>
      <c r="I93" s="105">
        <f t="shared" si="11"/>
        <v>1.2365375368967051</v>
      </c>
      <c r="K93" s="8" t="str">
        <f t="shared" si="12"/>
        <v>Option 2</v>
      </c>
    </row>
    <row r="94" spans="1:34" s="8" customFormat="1" x14ac:dyDescent="0.2">
      <c r="A94" s="262" t="str">
        <f>"sens"&amp;Assumptions!B118</f>
        <v>sens4</v>
      </c>
      <c r="B94" s="262" t="str">
        <f>Assumptions!C118</f>
        <v/>
      </c>
      <c r="C94" s="105">
        <f t="shared" si="10"/>
        <v>0</v>
      </c>
      <c r="D94" s="105">
        <f t="shared" si="10"/>
        <v>1.1237438212854696</v>
      </c>
      <c r="E94" s="105">
        <f t="shared" si="10"/>
        <v>-3.5996443566683025</v>
      </c>
      <c r="F94" s="105" t="str">
        <f t="shared" si="10"/>
        <v/>
      </c>
      <c r="G94" s="105" t="str">
        <f t="shared" si="10"/>
        <v/>
      </c>
      <c r="H94" s="187"/>
      <c r="I94" s="105">
        <f t="shared" si="11"/>
        <v>1.1237438212854696</v>
      </c>
      <c r="K94" s="8" t="str">
        <f t="shared" si="12"/>
        <v>Option 2</v>
      </c>
    </row>
    <row r="95" spans="1:34" s="8" customFormat="1" x14ac:dyDescent="0.2">
      <c r="A95" s="262" t="str">
        <f>"sens"&amp;Assumptions!B119</f>
        <v>sens5</v>
      </c>
      <c r="B95" s="262" t="str">
        <f>Assumptions!C119</f>
        <v/>
      </c>
      <c r="C95" s="105">
        <f t="shared" si="10"/>
        <v>0</v>
      </c>
      <c r="D95" s="105">
        <f t="shared" si="10"/>
        <v>1.1237438212854696</v>
      </c>
      <c r="E95" s="105">
        <f t="shared" si="10"/>
        <v>-3.5996443566683025</v>
      </c>
      <c r="F95" s="105" t="str">
        <f t="shared" si="10"/>
        <v/>
      </c>
      <c r="G95" s="105" t="str">
        <f t="shared" si="10"/>
        <v/>
      </c>
      <c r="H95" s="187"/>
      <c r="I95" s="105">
        <f t="shared" si="11"/>
        <v>1.1237438212854696</v>
      </c>
      <c r="K95" s="8" t="str">
        <f t="shared" si="12"/>
        <v>Option 2</v>
      </c>
    </row>
    <row r="96" spans="1:34" s="8" customFormat="1" x14ac:dyDescent="0.2">
      <c r="A96" s="262" t="str">
        <f>"sens"&amp;Assumptions!B120</f>
        <v>sens</v>
      </c>
      <c r="B96" s="262">
        <f>Assumptions!C120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7"/>
      <c r="I96" s="105">
        <f t="shared" si="11"/>
        <v>0</v>
      </c>
      <c r="K96" s="8" t="str">
        <f t="shared" si="12"/>
        <v/>
      </c>
    </row>
    <row r="97" spans="1:11" x14ac:dyDescent="0.2">
      <c r="A97" s="262" t="str">
        <f>"sens"&amp;Assumptions!B121</f>
        <v>sens</v>
      </c>
      <c r="B97" s="262">
        <f>Assumptions!C121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3"/>
      <c r="I97" s="105">
        <f t="shared" si="11"/>
        <v>0</v>
      </c>
      <c r="K97" s="8" t="str">
        <f t="shared" si="12"/>
        <v/>
      </c>
    </row>
    <row r="98" spans="1:11" x14ac:dyDescent="0.2">
      <c r="A98" s="262" t="str">
        <f>"sens"&amp;Assumptions!B122</f>
        <v>sens</v>
      </c>
      <c r="B98" s="262">
        <f>Assumptions!C122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3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D94DF-4BA3-4282-8C08-1C9DB42D834F}">
  <sheetPr codeName="Sheet4">
    <tabColor rgb="FFFFFF00"/>
  </sheetPr>
  <dimension ref="A1:AQ83"/>
  <sheetViews>
    <sheetView showGridLines="0" workbookViewId="0">
      <selection activeCell="H14" sqref="H14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3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9" ht="18.75" x14ac:dyDescent="0.3">
      <c r="A2" s="56" t="str">
        <f>proj</f>
        <v>Ballan microgrid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9" ht="18.75" x14ac:dyDescent="0.3">
      <c r="A3" s="5" t="s">
        <v>275</v>
      </c>
      <c r="B3" s="323"/>
      <c r="C3" s="5"/>
      <c r="D3" s="5"/>
    </row>
    <row r="5" spans="1:39" ht="15" x14ac:dyDescent="0.2">
      <c r="A5" s="324"/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</row>
    <row r="6" spans="1:39" x14ac:dyDescent="0.2">
      <c r="C6" s="3"/>
      <c r="D6" s="3"/>
    </row>
    <row r="8" spans="1:39" s="168" customFormat="1" x14ac:dyDescent="0.2">
      <c r="A8" s="115"/>
      <c r="B8" s="115"/>
      <c r="C8" s="115" t="s">
        <v>285</v>
      </c>
      <c r="E8" s="364" t="s">
        <v>286</v>
      </c>
      <c r="I8" s="365">
        <v>1.1039959241903037</v>
      </c>
      <c r="J8" s="365">
        <v>1.1376612893832454</v>
      </c>
      <c r="K8" s="365">
        <v>1.1773407580515935</v>
      </c>
      <c r="L8" s="365">
        <v>1.2161617714040152</v>
      </c>
      <c r="M8" s="365">
        <v>1.2460989445764614</v>
      </c>
      <c r="N8" s="365">
        <v>1.2764021903241582</v>
      </c>
      <c r="O8" s="365">
        <v>1.3209595760577049</v>
      </c>
      <c r="P8" s="365">
        <v>1.3710401195877422</v>
      </c>
      <c r="Q8" s="365">
        <v>1.4089557083950581</v>
      </c>
      <c r="R8" s="365">
        <v>1.4089557083950581</v>
      </c>
      <c r="S8" s="365">
        <v>1.4089557083950581</v>
      </c>
      <c r="T8" s="365">
        <v>1.4089557083950581</v>
      </c>
      <c r="U8" s="365">
        <v>1.4089557083950581</v>
      </c>
      <c r="V8" s="365">
        <v>1.4089557083950581</v>
      </c>
      <c r="W8" s="365">
        <v>1.4089557083950581</v>
      </c>
      <c r="X8" s="365">
        <v>1.4089557083950581</v>
      </c>
      <c r="Y8" s="365">
        <v>1.4089557083950581</v>
      </c>
      <c r="Z8" s="365">
        <v>1.4089557083950581</v>
      </c>
      <c r="AA8" s="365">
        <v>1.4089557083950581</v>
      </c>
      <c r="AB8" s="365">
        <v>1.4089557083950581</v>
      </c>
      <c r="AC8" s="365">
        <v>1.4089557083950581</v>
      </c>
      <c r="AD8" s="365">
        <v>1.4089557083950581</v>
      </c>
      <c r="AE8" s="365">
        <v>1.4089557083950581</v>
      </c>
      <c r="AF8" s="365">
        <v>1.4089557083950581</v>
      </c>
      <c r="AG8" s="365">
        <v>1.4089557083950581</v>
      </c>
    </row>
    <row r="10" spans="1:39" x14ac:dyDescent="0.2">
      <c r="C10" s="8" t="s">
        <v>287</v>
      </c>
      <c r="F10" s="345">
        <v>0.63900000000000001</v>
      </c>
    </row>
    <row r="11" spans="1:39" x14ac:dyDescent="0.2">
      <c r="C11" s="326" t="s">
        <v>278</v>
      </c>
      <c r="D11" s="327"/>
      <c r="F11" s="330">
        <v>0</v>
      </c>
    </row>
    <row r="12" spans="1:39" s="8" customFormat="1" x14ac:dyDescent="0.2">
      <c r="I12" s="66"/>
      <c r="J12" s="66"/>
    </row>
    <row r="13" spans="1:39" s="8" customFormat="1" x14ac:dyDescent="0.2">
      <c r="C13" s="8" t="s">
        <v>306</v>
      </c>
      <c r="F13" s="347">
        <f>F10*(1+solar_demand_correction)</f>
        <v>0.63900000000000001</v>
      </c>
      <c r="H13" s="43"/>
      <c r="I13" s="43"/>
      <c r="J13" s="43"/>
    </row>
    <row r="14" spans="1:39" s="8" customFormat="1" x14ac:dyDescent="0.2">
      <c r="C14" s="8" t="s">
        <v>305</v>
      </c>
      <c r="F14" s="348">
        <v>946</v>
      </c>
      <c r="H14" s="43"/>
      <c r="I14" s="43"/>
      <c r="J14" s="43"/>
    </row>
    <row r="15" spans="1:39" s="8" customFormat="1" x14ac:dyDescent="0.2">
      <c r="C15" s="8" t="s">
        <v>288</v>
      </c>
      <c r="D15" s="14"/>
      <c r="F15" s="348">
        <v>2</v>
      </c>
      <c r="G15" s="346" t="s">
        <v>289</v>
      </c>
      <c r="H15" s="43"/>
      <c r="I15" s="43"/>
      <c r="J15" s="43"/>
    </row>
    <row r="16" spans="1:39" x14ac:dyDescent="0.2">
      <c r="C16" s="6"/>
      <c r="D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43" x14ac:dyDescent="0.2">
      <c r="C17" s="6"/>
      <c r="D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43" ht="12.75" customHeight="1" x14ac:dyDescent="0.2">
      <c r="A18" s="325"/>
      <c r="B18" s="325"/>
      <c r="C18" s="326" t="s">
        <v>280</v>
      </c>
      <c r="D18" s="343"/>
      <c r="F18" s="349">
        <v>25.1</v>
      </c>
      <c r="G18" s="344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8"/>
      <c r="AI18" s="8"/>
      <c r="AJ18" s="8"/>
      <c r="AK18" s="8"/>
      <c r="AL18" s="8"/>
      <c r="AM18" s="8"/>
      <c r="AN18"/>
      <c r="AO18"/>
      <c r="AP18"/>
      <c r="AQ18"/>
    </row>
    <row r="19" spans="1:43" ht="12.75" customHeight="1" x14ac:dyDescent="0.2">
      <c r="A19" s="325"/>
      <c r="B19" s="325"/>
      <c r="C19" s="326" t="s">
        <v>281</v>
      </c>
      <c r="D19" s="343"/>
      <c r="F19" s="350">
        <f>'Reliability data'!K4/60</f>
        <v>9.4766666666666666</v>
      </c>
      <c r="G19" s="344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8"/>
      <c r="AI19" s="8"/>
      <c r="AJ19" s="8"/>
      <c r="AK19" s="8"/>
      <c r="AL19" s="8"/>
      <c r="AM19" s="8"/>
      <c r="AN19"/>
      <c r="AO19"/>
      <c r="AP19"/>
      <c r="AQ19"/>
    </row>
    <row r="20" spans="1:43" ht="12.75" customHeight="1" x14ac:dyDescent="0.2">
      <c r="A20" s="325"/>
      <c r="B20" s="325"/>
      <c r="C20" s="343"/>
      <c r="D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8"/>
      <c r="AI20" s="8"/>
      <c r="AJ20" s="8"/>
      <c r="AK20" s="8"/>
      <c r="AL20" s="8"/>
      <c r="AM20" s="8"/>
      <c r="AN20"/>
      <c r="AO20"/>
      <c r="AP20"/>
      <c r="AQ20"/>
    </row>
    <row r="21" spans="1:43" ht="12.75" customHeight="1" x14ac:dyDescent="0.2">
      <c r="A21" s="325"/>
      <c r="B21" s="325"/>
      <c r="C21" s="326" t="s">
        <v>279</v>
      </c>
      <c r="D21" s="343"/>
      <c r="F21" s="330">
        <v>0</v>
      </c>
      <c r="G21" s="6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8"/>
      <c r="AI21" s="8"/>
      <c r="AJ21" s="8"/>
      <c r="AK21" s="8"/>
      <c r="AL21" s="8"/>
      <c r="AM21" s="8"/>
      <c r="AN21"/>
      <c r="AO21"/>
      <c r="AP21"/>
      <c r="AQ21"/>
    </row>
    <row r="22" spans="1:43" x14ac:dyDescent="0.2">
      <c r="C22" s="6"/>
      <c r="D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43" x14ac:dyDescent="0.2">
      <c r="C23" s="6"/>
      <c r="D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43" x14ac:dyDescent="0.2">
      <c r="C24" s="30"/>
      <c r="D24" s="30"/>
      <c r="E24" s="30"/>
      <c r="F24" s="30"/>
      <c r="G24" s="30"/>
      <c r="H24" s="30"/>
      <c r="I24" s="70" t="str">
        <f>'Option1 (base case)'!I$9</f>
        <v>2026-27</v>
      </c>
      <c r="J24" s="70" t="str">
        <f>'Option1 (base case)'!J$9</f>
        <v>2027-28</v>
      </c>
      <c r="K24" s="70" t="str">
        <f>'Option1 (base case)'!K$9</f>
        <v>2028-29</v>
      </c>
      <c r="L24" s="70" t="str">
        <f>'Option1 (base case)'!L$9</f>
        <v>2029-30</v>
      </c>
      <c r="M24" s="70" t="str">
        <f>'Option1 (base case)'!M$9</f>
        <v>2030-31</v>
      </c>
      <c r="N24" s="70" t="str">
        <f>'Option1 (base case)'!N$9</f>
        <v>2031-32</v>
      </c>
      <c r="O24" s="70" t="str">
        <f>'Option1 (base case)'!O$9</f>
        <v>2032-33</v>
      </c>
      <c r="P24" s="70" t="str">
        <f>'Option1 (base case)'!P$9</f>
        <v>2033-34</v>
      </c>
      <c r="Q24" s="70" t="str">
        <f>'Option1 (base case)'!Q$9</f>
        <v>2034-35</v>
      </c>
      <c r="R24" s="70" t="str">
        <f>'Option1 (base case)'!R$9</f>
        <v>2035-36</v>
      </c>
      <c r="S24" s="70" t="str">
        <f>'Option1 (base case)'!S$9</f>
        <v>2036-37</v>
      </c>
      <c r="T24" s="70" t="str">
        <f>'Option1 (base case)'!T$9</f>
        <v>2037-38</v>
      </c>
      <c r="U24" s="70" t="str">
        <f>'Option1 (base case)'!U$9</f>
        <v>2038-39</v>
      </c>
      <c r="V24" s="70" t="str">
        <f>'Option1 (base case)'!V$9</f>
        <v>2039-40</v>
      </c>
      <c r="W24" s="70" t="str">
        <f>'Option1 (base case)'!W$9</f>
        <v>2040-41</v>
      </c>
      <c r="X24" s="70" t="str">
        <f>'Option1 (base case)'!X$9</f>
        <v>2041-42</v>
      </c>
      <c r="Y24" s="70" t="str">
        <f>'Option1 (base case)'!Y$9</f>
        <v>2042-43</v>
      </c>
      <c r="Z24" s="70" t="str">
        <f>'Option1 (base case)'!Z$9</f>
        <v>2043-44</v>
      </c>
      <c r="AA24" s="70" t="str">
        <f>'Option1 (base case)'!AA$9</f>
        <v>2044-45</v>
      </c>
      <c r="AB24" s="70" t="str">
        <f>'Option1 (base case)'!AB$9</f>
        <v>2045-46</v>
      </c>
      <c r="AC24" s="70" t="str">
        <f>'Option1 (base case)'!AC$9</f>
        <v>2046-47</v>
      </c>
      <c r="AD24" s="70" t="str">
        <f>'Option1 (base case)'!AD$9</f>
        <v>2047-48</v>
      </c>
      <c r="AE24" s="70" t="str">
        <f>'Option1 (base case)'!AE$9</f>
        <v>2048-49</v>
      </c>
      <c r="AF24" s="70" t="str">
        <f>'Option1 (base case)'!AF$9</f>
        <v>2049-50</v>
      </c>
      <c r="AG24" s="70" t="str">
        <f>'Option1 (base case)'!AG$9</f>
        <v>2050-51</v>
      </c>
      <c r="AH24" s="6"/>
      <c r="AI24" s="6"/>
      <c r="AJ24" s="6"/>
      <c r="AK24" s="6"/>
      <c r="AL24" s="6"/>
      <c r="AM24" s="6"/>
    </row>
    <row r="25" spans="1:43" ht="12.75" customHeight="1" x14ac:dyDescent="0.2">
      <c r="C25" s="353" t="s">
        <v>282</v>
      </c>
      <c r="D25" s="351"/>
      <c r="E25" s="351"/>
      <c r="F25" s="351"/>
      <c r="G25" s="254"/>
      <c r="H25" s="351"/>
      <c r="I25" s="254">
        <v>1</v>
      </c>
      <c r="J25" s="254">
        <f t="shared" ref="J25:AG25" si="0">I25+$F$21/(2046-2026)</f>
        <v>1</v>
      </c>
      <c r="K25" s="254">
        <f t="shared" si="0"/>
        <v>1</v>
      </c>
      <c r="L25" s="254">
        <f t="shared" si="0"/>
        <v>1</v>
      </c>
      <c r="M25" s="254">
        <f t="shared" si="0"/>
        <v>1</v>
      </c>
      <c r="N25" s="254">
        <f t="shared" si="0"/>
        <v>1</v>
      </c>
      <c r="O25" s="254">
        <f t="shared" si="0"/>
        <v>1</v>
      </c>
      <c r="P25" s="254">
        <f t="shared" si="0"/>
        <v>1</v>
      </c>
      <c r="Q25" s="254">
        <f t="shared" si="0"/>
        <v>1</v>
      </c>
      <c r="R25" s="254">
        <f t="shared" si="0"/>
        <v>1</v>
      </c>
      <c r="S25" s="254">
        <f t="shared" si="0"/>
        <v>1</v>
      </c>
      <c r="T25" s="254">
        <f t="shared" si="0"/>
        <v>1</v>
      </c>
      <c r="U25" s="254">
        <f t="shared" si="0"/>
        <v>1</v>
      </c>
      <c r="V25" s="254">
        <f t="shared" si="0"/>
        <v>1</v>
      </c>
      <c r="W25" s="254">
        <f t="shared" si="0"/>
        <v>1</v>
      </c>
      <c r="X25" s="254">
        <f t="shared" si="0"/>
        <v>1</v>
      </c>
      <c r="Y25" s="254">
        <f t="shared" si="0"/>
        <v>1</v>
      </c>
      <c r="Z25" s="254">
        <f t="shared" si="0"/>
        <v>1</v>
      </c>
      <c r="AA25" s="254">
        <f t="shared" si="0"/>
        <v>1</v>
      </c>
      <c r="AB25" s="254">
        <f t="shared" si="0"/>
        <v>1</v>
      </c>
      <c r="AC25" s="254">
        <f t="shared" si="0"/>
        <v>1</v>
      </c>
      <c r="AD25" s="254">
        <f t="shared" si="0"/>
        <v>1</v>
      </c>
      <c r="AE25" s="254">
        <f t="shared" si="0"/>
        <v>1</v>
      </c>
      <c r="AF25" s="254">
        <f t="shared" si="0"/>
        <v>1</v>
      </c>
      <c r="AG25" s="254">
        <f t="shared" si="0"/>
        <v>1</v>
      </c>
      <c r="AH25" s="8"/>
      <c r="AI25" s="8"/>
      <c r="AJ25" s="8"/>
      <c r="AK25" s="8"/>
      <c r="AL25" s="8"/>
      <c r="AM25" s="8"/>
      <c r="AN25"/>
      <c r="AO25"/>
      <c r="AP25"/>
      <c r="AQ25"/>
    </row>
    <row r="26" spans="1:43" ht="12.75" customHeight="1" x14ac:dyDescent="0.2">
      <c r="A26" s="325"/>
      <c r="B26" s="325"/>
      <c r="C26" s="353" t="s">
        <v>283</v>
      </c>
      <c r="D26" s="254"/>
      <c r="E26" s="351"/>
      <c r="F26" s="352"/>
      <c r="G26" s="254"/>
      <c r="H26" s="351"/>
      <c r="I26" s="354">
        <v>1.17157996E-2</v>
      </c>
      <c r="J26" s="354">
        <v>1.1790838200000001E-2</v>
      </c>
      <c r="K26" s="354">
        <v>1.1865876800000001E-2</v>
      </c>
      <c r="L26" s="354">
        <v>1.1940915400000002E-2</v>
      </c>
      <c r="M26" s="354">
        <v>1.2015954000000002E-2</v>
      </c>
      <c r="N26" s="354">
        <v>1.2045773800000003E-2</v>
      </c>
      <c r="O26" s="354">
        <v>1.2075593600000004E-2</v>
      </c>
      <c r="P26" s="354">
        <v>1.2105413400000004E-2</v>
      </c>
      <c r="Q26" s="354">
        <v>1.2135233200000005E-2</v>
      </c>
      <c r="R26" s="354">
        <v>1.2165053000000006E-2</v>
      </c>
      <c r="S26" s="354">
        <v>1.2194872800000006E-2</v>
      </c>
      <c r="T26" s="354">
        <v>1.2224692600000007E-2</v>
      </c>
      <c r="U26" s="354">
        <v>1.2254512400000007E-2</v>
      </c>
      <c r="V26" s="354">
        <v>1.2284332200000008E-2</v>
      </c>
      <c r="W26" s="354">
        <v>1.2314152000000009E-2</v>
      </c>
      <c r="X26" s="354">
        <v>1.2343971800000009E-2</v>
      </c>
      <c r="Y26" s="354">
        <v>1.237379160000001E-2</v>
      </c>
      <c r="Z26" s="354">
        <v>1.2403611400000011E-2</v>
      </c>
      <c r="AA26" s="354">
        <v>1.2433431200000011E-2</v>
      </c>
      <c r="AB26" s="354">
        <v>1.2463251000000012E-2</v>
      </c>
      <c r="AC26" s="354">
        <v>1.2493070800000013E-2</v>
      </c>
      <c r="AD26" s="354">
        <v>1.2522890600000013E-2</v>
      </c>
      <c r="AE26" s="354">
        <v>1.2552710400000014E-2</v>
      </c>
      <c r="AF26" s="354">
        <v>1.2582530200000015E-2</v>
      </c>
      <c r="AG26" s="354">
        <v>1.2612350000000015E-2</v>
      </c>
      <c r="AH26" s="8"/>
      <c r="AI26" s="8"/>
      <c r="AJ26" s="8"/>
      <c r="AK26" s="8"/>
      <c r="AL26" s="8"/>
      <c r="AM26" s="8"/>
      <c r="AN26"/>
      <c r="AO26"/>
      <c r="AP26"/>
      <c r="AQ26"/>
    </row>
    <row r="27" spans="1:43" ht="12.75" customHeight="1" x14ac:dyDescent="0.2">
      <c r="A27" s="325"/>
      <c r="B27" s="325"/>
      <c r="C27" s="353" t="s">
        <v>284</v>
      </c>
      <c r="D27" s="254"/>
      <c r="E27" s="351"/>
      <c r="F27" s="254"/>
      <c r="G27" s="351"/>
      <c r="H27" s="351"/>
      <c r="I27" s="355">
        <v>1</v>
      </c>
      <c r="J27" s="355">
        <v>1.0092211757794507</v>
      </c>
      <c r="K27" s="355">
        <v>1.0184423515588994</v>
      </c>
      <c r="L27" s="355">
        <v>1.0276635273383479</v>
      </c>
      <c r="M27" s="355">
        <v>1.0368847031177986</v>
      </c>
      <c r="N27" s="355">
        <v>1.0328795129587576</v>
      </c>
      <c r="O27" s="355">
        <v>1.0288743227997166</v>
      </c>
      <c r="P27" s="355">
        <v>1.0248691326406767</v>
      </c>
      <c r="Q27" s="355">
        <v>1.0208639424816357</v>
      </c>
      <c r="R27" s="355">
        <v>1.0168587523225956</v>
      </c>
      <c r="S27" s="355">
        <v>1.0128535621635557</v>
      </c>
      <c r="T27" s="355">
        <v>1.0088483720045147</v>
      </c>
      <c r="U27" s="355">
        <v>1.0048431818454748</v>
      </c>
      <c r="V27" s="355">
        <v>1.0008379916864338</v>
      </c>
      <c r="W27" s="355">
        <v>0.99683280152739384</v>
      </c>
      <c r="X27" s="355">
        <v>0.99282761136835274</v>
      </c>
      <c r="Y27" s="355">
        <v>0.98882242120931285</v>
      </c>
      <c r="Z27" s="355">
        <v>0.98481723105027175</v>
      </c>
      <c r="AA27" s="355">
        <v>0.98081204089123186</v>
      </c>
      <c r="AB27" s="355">
        <v>0.97680685073219087</v>
      </c>
      <c r="AC27" s="355">
        <v>0.97280166057315087</v>
      </c>
      <c r="AD27" s="355">
        <v>0.96879647041410988</v>
      </c>
      <c r="AE27" s="355">
        <v>0.96479128025506988</v>
      </c>
      <c r="AF27" s="355">
        <v>0.96078609009603</v>
      </c>
      <c r="AG27" s="355">
        <v>0.95678089993698889</v>
      </c>
      <c r="AH27" s="8"/>
      <c r="AI27" s="8"/>
      <c r="AJ27" s="8"/>
      <c r="AK27" s="8"/>
      <c r="AL27" s="8"/>
      <c r="AM27" s="8"/>
      <c r="AN27"/>
      <c r="AO27"/>
      <c r="AP27"/>
      <c r="AQ27"/>
    </row>
    <row r="28" spans="1:43" x14ac:dyDescent="0.2">
      <c r="C28" s="351" t="s">
        <v>307</v>
      </c>
      <c r="D28" s="351"/>
      <c r="E28" s="64"/>
      <c r="F28" s="351"/>
      <c r="G28" s="351"/>
      <c r="H28" s="351"/>
      <c r="I28" s="351"/>
      <c r="J28" s="351">
        <f>J25/J27-1</f>
        <v>-9.1369226099807799E-3</v>
      </c>
      <c r="K28" s="351">
        <f t="shared" ref="K28:AG28" si="1">K25/K27-1</f>
        <v>-1.8108390259566676E-2</v>
      </c>
      <c r="L28" s="351">
        <f t="shared" si="1"/>
        <v>-2.6918856807146341E-2</v>
      </c>
      <c r="M28" s="351">
        <f t="shared" si="1"/>
        <v>-3.5572617675707185E-2</v>
      </c>
      <c r="N28" s="351">
        <f t="shared" si="1"/>
        <v>-3.1832863897718222E-2</v>
      </c>
      <c r="O28" s="351">
        <f t="shared" si="1"/>
        <v>-2.806399397853121E-2</v>
      </c>
      <c r="P28" s="351">
        <f t="shared" si="1"/>
        <v>-2.4265666560372323E-2</v>
      </c>
      <c r="Q28" s="351">
        <f t="shared" si="1"/>
        <v>-2.0437534928422707E-2</v>
      </c>
      <c r="R28" s="351">
        <f t="shared" si="1"/>
        <v>-1.657924690532353E-2</v>
      </c>
      <c r="S28" s="351">
        <f t="shared" si="1"/>
        <v>-1.2690444743166274E-2</v>
      </c>
      <c r="T28" s="351">
        <f t="shared" si="1"/>
        <v>-8.7707650129162928E-3</v>
      </c>
      <c r="U28" s="351">
        <f t="shared" si="1"/>
        <v>-4.81983849119616E-3</v>
      </c>
      <c r="V28" s="351">
        <f t="shared" si="1"/>
        <v>-8.3729004433752419E-4</v>
      </c>
      <c r="W28" s="351">
        <f t="shared" si="1"/>
        <v>3.1772614903453622E-3</v>
      </c>
      <c r="X28" s="351">
        <f t="shared" si="1"/>
        <v>7.2242034261738031E-3</v>
      </c>
      <c r="Y28" s="351">
        <f t="shared" si="1"/>
        <v>1.1303929351659692E-2</v>
      </c>
      <c r="Z28" s="351">
        <f t="shared" si="1"/>
        <v>1.5416839258119319E-2</v>
      </c>
      <c r="AA28" s="351">
        <f t="shared" si="1"/>
        <v>1.9563339670394697E-2</v>
      </c>
      <c r="AB28" s="351">
        <f t="shared" si="1"/>
        <v>2.3743843780809071E-2</v>
      </c>
      <c r="AC28" s="351">
        <f t="shared" si="1"/>
        <v>2.7958771586414244E-2</v>
      </c>
      <c r="AD28" s="351">
        <f t="shared" si="1"/>
        <v>3.2208550029659166E-2</v>
      </c>
      <c r="AE28" s="351">
        <f t="shared" si="1"/>
        <v>3.6493613142545955E-2</v>
      </c>
      <c r="AF28" s="351">
        <f t="shared" si="1"/>
        <v>4.0814402194405908E-2</v>
      </c>
      <c r="AG28" s="351">
        <f t="shared" si="1"/>
        <v>4.5171365843378997E-2</v>
      </c>
      <c r="AH28" s="6"/>
      <c r="AI28" s="6"/>
      <c r="AJ28" s="6"/>
      <c r="AK28" s="6"/>
      <c r="AL28" s="6"/>
      <c r="AM28" s="6"/>
    </row>
    <row r="29" spans="1:43" x14ac:dyDescent="0.2">
      <c r="C29" s="6"/>
      <c r="D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43" x14ac:dyDescent="0.2">
      <c r="C30" s="6"/>
      <c r="D30" s="6"/>
      <c r="F30" s="6"/>
      <c r="G30" s="6"/>
      <c r="H30" s="6"/>
      <c r="AH30" s="6"/>
      <c r="AI30" s="6"/>
      <c r="AJ30" s="6"/>
      <c r="AK30" s="6"/>
      <c r="AL30" s="6"/>
      <c r="AM30" s="6"/>
    </row>
    <row r="31" spans="1:43" x14ac:dyDescent="0.2">
      <c r="C31" s="6" t="s">
        <v>276</v>
      </c>
      <c r="D31" s="6"/>
      <c r="F31" s="6"/>
      <c r="G31" s="6"/>
      <c r="H31" s="6"/>
      <c r="I31" s="356">
        <f>'Reliability data'!$K$8*Workings_risks!I27</f>
        <v>567</v>
      </c>
      <c r="J31" s="356">
        <f>'Reliability data'!$K$8*Workings_risks!J27</f>
        <v>572.22840666694856</v>
      </c>
      <c r="K31" s="356">
        <f>'Reliability data'!$K$8*Workings_risks!K27</f>
        <v>577.45681333389598</v>
      </c>
      <c r="L31" s="356">
        <f>'Reliability data'!$K$8*Workings_risks!L27</f>
        <v>582.68522000084329</v>
      </c>
      <c r="M31" s="356">
        <f>'Reliability data'!$K$8*Workings_risks!M27</f>
        <v>587.91362666779173</v>
      </c>
      <c r="N31" s="356">
        <f>'Reliability data'!$K$8*Workings_risks!N27</f>
        <v>585.64268384761556</v>
      </c>
      <c r="O31" s="356">
        <f>'Reliability data'!$K$8*Workings_risks!O27</f>
        <v>583.37174102743927</v>
      </c>
      <c r="P31" s="356">
        <f>'Reliability data'!$K$8*Workings_risks!P27</f>
        <v>581.10079820726367</v>
      </c>
      <c r="Q31" s="356">
        <f>'Reliability data'!$K$8*Workings_risks!Q27</f>
        <v>578.82985538708749</v>
      </c>
      <c r="R31" s="356">
        <f>'Reliability data'!$K$8*Workings_risks!R27</f>
        <v>576.55891256691166</v>
      </c>
      <c r="S31" s="356">
        <f>'Reliability data'!$K$8*Workings_risks!S27</f>
        <v>574.28796974673605</v>
      </c>
      <c r="T31" s="356">
        <f>'Reliability data'!$K$8*Workings_risks!T27</f>
        <v>572.01702692655988</v>
      </c>
      <c r="U31" s="356">
        <f>'Reliability data'!$K$8*Workings_risks!U27</f>
        <v>569.74608410638427</v>
      </c>
      <c r="V31" s="356">
        <f>'Reliability data'!$K$8*Workings_risks!V27</f>
        <v>567.47514128620799</v>
      </c>
      <c r="W31" s="356">
        <f>'Reliability data'!$K$8*Workings_risks!W27</f>
        <v>565.20419846603227</v>
      </c>
      <c r="X31" s="356">
        <f>'Reliability data'!$K$8*Workings_risks!X27</f>
        <v>562.93325564585598</v>
      </c>
      <c r="Y31" s="356">
        <f>'Reliability data'!$K$8*Workings_risks!Y27</f>
        <v>560.66231282568037</v>
      </c>
      <c r="Z31" s="356">
        <f>'Reliability data'!$K$8*Workings_risks!Z27</f>
        <v>558.39137000550409</v>
      </c>
      <c r="AA31" s="356">
        <f>'Reliability data'!$K$8*Workings_risks!AA27</f>
        <v>556.12042718532848</v>
      </c>
      <c r="AB31" s="356">
        <f>'Reliability data'!$K$8*Workings_risks!AB27</f>
        <v>553.84948436515219</v>
      </c>
      <c r="AC31" s="356">
        <f>'Reliability data'!$K$8*Workings_risks!AC27</f>
        <v>551.57854154497659</v>
      </c>
      <c r="AD31" s="356">
        <f>'Reliability data'!$K$8*Workings_risks!AD27</f>
        <v>549.3075987248003</v>
      </c>
      <c r="AE31" s="356">
        <f>'Reliability data'!$K$8*Workings_risks!AE27</f>
        <v>547.03665590462458</v>
      </c>
      <c r="AF31" s="356">
        <f>'Reliability data'!$K$8*Workings_risks!AF27</f>
        <v>544.76571308444898</v>
      </c>
      <c r="AG31" s="356">
        <f>'Reliability data'!$K$8*Workings_risks!AG27</f>
        <v>542.49477026427269</v>
      </c>
      <c r="AH31" s="6"/>
      <c r="AI31" s="6"/>
      <c r="AJ31" s="6"/>
      <c r="AK31" s="6"/>
      <c r="AL31" s="6"/>
      <c r="AM31" s="6"/>
    </row>
    <row r="32" spans="1:43" x14ac:dyDescent="0.2">
      <c r="C32" s="6" t="s">
        <v>277</v>
      </c>
      <c r="D32" s="6"/>
      <c r="F32" s="6"/>
      <c r="G32" s="6"/>
      <c r="H32" s="6"/>
      <c r="I32" s="356">
        <f>'Reliability data'!$K$8*Workings_risks!I25</f>
        <v>567</v>
      </c>
      <c r="J32" s="356">
        <f>'Reliability data'!$K$8*Workings_risks!J25</f>
        <v>567</v>
      </c>
      <c r="K32" s="356">
        <f>'Reliability data'!$K$8*Workings_risks!K25</f>
        <v>567</v>
      </c>
      <c r="L32" s="356">
        <f>'Reliability data'!$K$8*Workings_risks!L25</f>
        <v>567</v>
      </c>
      <c r="M32" s="356">
        <f>'Reliability data'!$K$8*Workings_risks!M25</f>
        <v>567</v>
      </c>
      <c r="N32" s="356">
        <f>'Reliability data'!$K$8*Workings_risks!N25</f>
        <v>567</v>
      </c>
      <c r="O32" s="356">
        <f>'Reliability data'!$K$8*Workings_risks!O25</f>
        <v>567</v>
      </c>
      <c r="P32" s="356">
        <f>'Reliability data'!$K$8*Workings_risks!P25</f>
        <v>567</v>
      </c>
      <c r="Q32" s="356">
        <f>'Reliability data'!$K$8*Workings_risks!Q25</f>
        <v>567</v>
      </c>
      <c r="R32" s="356">
        <f>'Reliability data'!$K$8*Workings_risks!R25</f>
        <v>567</v>
      </c>
      <c r="S32" s="356">
        <f>'Reliability data'!$K$8*Workings_risks!S25</f>
        <v>567</v>
      </c>
      <c r="T32" s="356">
        <f>'Reliability data'!$K$8*Workings_risks!T25</f>
        <v>567</v>
      </c>
      <c r="U32" s="356">
        <f>'Reliability data'!$K$8*Workings_risks!U25</f>
        <v>567</v>
      </c>
      <c r="V32" s="356">
        <f>'Reliability data'!$K$8*Workings_risks!V25</f>
        <v>567</v>
      </c>
      <c r="W32" s="356">
        <f>'Reliability data'!$K$8*Workings_risks!W25</f>
        <v>567</v>
      </c>
      <c r="X32" s="356">
        <f>'Reliability data'!$K$8*Workings_risks!X25</f>
        <v>567</v>
      </c>
      <c r="Y32" s="356">
        <f>'Reliability data'!$K$8*Workings_risks!Y25</f>
        <v>567</v>
      </c>
      <c r="Z32" s="356">
        <f>'Reliability data'!$K$8*Workings_risks!Z25</f>
        <v>567</v>
      </c>
      <c r="AA32" s="356">
        <f>'Reliability data'!$K$8*Workings_risks!AA25</f>
        <v>567</v>
      </c>
      <c r="AB32" s="356">
        <f>'Reliability data'!$K$8*Workings_risks!AB25</f>
        <v>567</v>
      </c>
      <c r="AC32" s="356">
        <f>'Reliability data'!$K$8*Workings_risks!AC25</f>
        <v>567</v>
      </c>
      <c r="AD32" s="356">
        <f>'Reliability data'!$K$8*Workings_risks!AD25</f>
        <v>567</v>
      </c>
      <c r="AE32" s="356">
        <f>'Reliability data'!$K$8*Workings_risks!AE25</f>
        <v>567</v>
      </c>
      <c r="AF32" s="356">
        <f>'Reliability data'!$K$8*Workings_risks!AF25</f>
        <v>567</v>
      </c>
      <c r="AG32" s="356">
        <f>'Reliability data'!$K$8*Workings_risks!AG25</f>
        <v>567</v>
      </c>
      <c r="AH32" s="6"/>
      <c r="AI32" s="6"/>
      <c r="AJ32" s="6"/>
      <c r="AK32" s="6"/>
      <c r="AL32" s="6"/>
      <c r="AM32" s="6"/>
    </row>
    <row r="33" spans="3:39" x14ac:dyDescent="0.2">
      <c r="C33" s="6"/>
      <c r="D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3:39" x14ac:dyDescent="0.2">
      <c r="C34" s="6"/>
      <c r="D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3:39" x14ac:dyDescent="0.2">
      <c r="C35" s="6"/>
      <c r="D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  <row r="36" spans="3:39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3:39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3:39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3:39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3:39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3:39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3:39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3:39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3:39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3:39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3:39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3:39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3:39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3:39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3:39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3:39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3:39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3:39" x14ac:dyDescent="0.2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3:39" x14ac:dyDescent="0.2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3:39" x14ac:dyDescent="0.2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3:39" x14ac:dyDescent="0.2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3:39" x14ac:dyDescent="0.2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3:39" x14ac:dyDescent="0.2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3:39" x14ac:dyDescent="0.2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3:39" x14ac:dyDescent="0.2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3:39" x14ac:dyDescent="0.2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3:39" x14ac:dyDescent="0.2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3:39" x14ac:dyDescent="0.2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3:39" x14ac:dyDescent="0.2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3:39" x14ac:dyDescent="0.2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3:39" x14ac:dyDescent="0.2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3:39" x14ac:dyDescent="0.2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3:39" x14ac:dyDescent="0.2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3:39" x14ac:dyDescent="0.2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3:39" x14ac:dyDescent="0.2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3:39" x14ac:dyDescent="0.2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3:39" x14ac:dyDescent="0.2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3:39" x14ac:dyDescent="0.2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3:39" x14ac:dyDescent="0.2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3:39" x14ac:dyDescent="0.2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3:39" x14ac:dyDescent="0.2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3:39" x14ac:dyDescent="0.2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3:39" x14ac:dyDescent="0.2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3:39" x14ac:dyDescent="0.2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3:39" x14ac:dyDescent="0.2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3:39" x14ac:dyDescent="0.2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3:39" x14ac:dyDescent="0.2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3:39" x14ac:dyDescent="0.2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FF3F-DF2E-4A90-9A01-5DEC80DA1C20}">
  <sheetPr codeName="Sheet10"/>
  <dimension ref="A3:K57"/>
  <sheetViews>
    <sheetView showGridLines="0" topLeftCell="G1" zoomScale="85" zoomScaleNormal="85" workbookViewId="0">
      <selection activeCell="K19" sqref="K19"/>
    </sheetView>
  </sheetViews>
  <sheetFormatPr defaultRowHeight="12.75" x14ac:dyDescent="0.2"/>
  <cols>
    <col min="1" max="2" width="15.875" style="257" bestFit="1" customWidth="1"/>
    <col min="3" max="3" width="10.625" style="257" bestFit="1" customWidth="1"/>
    <col min="4" max="4" width="29.625" style="257" bestFit="1" customWidth="1"/>
    <col min="5" max="5" width="9.125" style="257" bestFit="1" customWidth="1"/>
    <col min="6" max="6" width="17.125" style="257" customWidth="1"/>
    <col min="7" max="9" width="9" style="257"/>
    <col min="10" max="10" width="52.625" style="257" bestFit="1" customWidth="1"/>
    <col min="11" max="12" width="9" style="257"/>
    <col min="13" max="13" width="34.625" style="257" customWidth="1"/>
    <col min="14" max="14" width="18.5" style="257" customWidth="1"/>
    <col min="15" max="16384" width="9" style="257"/>
  </cols>
  <sheetData>
    <row r="3" spans="1:11" x14ac:dyDescent="0.2">
      <c r="A3" s="341" t="s">
        <v>247</v>
      </c>
      <c r="B3" s="341" t="s">
        <v>248</v>
      </c>
      <c r="C3" s="341" t="s">
        <v>249</v>
      </c>
      <c r="D3" s="341" t="s">
        <v>250</v>
      </c>
      <c r="E3" s="342" t="s">
        <v>304</v>
      </c>
      <c r="F3" s="342" t="s">
        <v>303</v>
      </c>
      <c r="J3" s="260" t="s">
        <v>251</v>
      </c>
    </row>
    <row r="4" spans="1:11" x14ac:dyDescent="0.2">
      <c r="A4" s="339" t="s">
        <v>308</v>
      </c>
      <c r="B4" s="339" t="s">
        <v>309</v>
      </c>
      <c r="C4" s="339" t="s">
        <v>257</v>
      </c>
      <c r="D4" s="339" t="s">
        <v>310</v>
      </c>
      <c r="E4" s="340">
        <v>35</v>
      </c>
      <c r="F4" s="340">
        <v>35</v>
      </c>
      <c r="J4" s="257" t="s">
        <v>254</v>
      </c>
      <c r="K4" s="257">
        <f>SUM(F4:F57)/5</f>
        <v>568.6</v>
      </c>
    </row>
    <row r="5" spans="1:11" x14ac:dyDescent="0.2">
      <c r="A5" s="339" t="s">
        <v>311</v>
      </c>
      <c r="B5" s="339" t="s">
        <v>312</v>
      </c>
      <c r="C5" s="339" t="s">
        <v>313</v>
      </c>
      <c r="D5" s="339" t="s">
        <v>314</v>
      </c>
      <c r="E5" s="340">
        <v>93</v>
      </c>
      <c r="F5" s="340">
        <v>93</v>
      </c>
    </row>
    <row r="6" spans="1:11" x14ac:dyDescent="0.2">
      <c r="A6" s="339" t="s">
        <v>315</v>
      </c>
      <c r="B6" s="339" t="s">
        <v>316</v>
      </c>
      <c r="C6" s="339" t="s">
        <v>255</v>
      </c>
      <c r="D6" s="339" t="s">
        <v>264</v>
      </c>
      <c r="E6" s="340">
        <v>206</v>
      </c>
      <c r="F6" s="340">
        <v>206</v>
      </c>
      <c r="J6" s="260"/>
    </row>
    <row r="7" spans="1:11" x14ac:dyDescent="0.2">
      <c r="A7" s="339" t="s">
        <v>317</v>
      </c>
      <c r="B7" s="339" t="s">
        <v>318</v>
      </c>
      <c r="C7" s="339" t="s">
        <v>252</v>
      </c>
      <c r="D7" s="339" t="s">
        <v>253</v>
      </c>
      <c r="E7" s="340">
        <v>101</v>
      </c>
      <c r="F7" s="340">
        <v>101</v>
      </c>
      <c r="J7" s="337" t="s">
        <v>258</v>
      </c>
      <c r="K7" s="336"/>
    </row>
    <row r="8" spans="1:11" x14ac:dyDescent="0.2">
      <c r="A8" s="339" t="s">
        <v>319</v>
      </c>
      <c r="B8" s="339" t="s">
        <v>320</v>
      </c>
      <c r="C8" s="339" t="s">
        <v>252</v>
      </c>
      <c r="D8" s="339" t="s">
        <v>253</v>
      </c>
      <c r="E8" s="340">
        <v>99</v>
      </c>
      <c r="F8" s="340">
        <v>99</v>
      </c>
      <c r="J8" s="357" t="s">
        <v>261</v>
      </c>
      <c r="K8" s="357">
        <f>(SUMIF(F4:F57,"&lt;720")+COUNTIF(F4:F57,"&gt;720")*720)/5</f>
        <v>567</v>
      </c>
    </row>
    <row r="9" spans="1:11" x14ac:dyDescent="0.2">
      <c r="A9" s="339" t="s">
        <v>321</v>
      </c>
      <c r="B9" s="339" t="s">
        <v>322</v>
      </c>
      <c r="C9" s="339" t="s">
        <v>259</v>
      </c>
      <c r="D9" s="339" t="s">
        <v>260</v>
      </c>
      <c r="E9" s="340">
        <v>165</v>
      </c>
      <c r="F9" s="340">
        <v>165</v>
      </c>
      <c r="J9" s="338" t="s">
        <v>262</v>
      </c>
      <c r="K9" s="338">
        <f>K8-500</f>
        <v>67</v>
      </c>
    </row>
    <row r="10" spans="1:11" x14ac:dyDescent="0.2">
      <c r="A10" s="339" t="s">
        <v>323</v>
      </c>
      <c r="B10" s="339" t="s">
        <v>324</v>
      </c>
      <c r="C10" s="339" t="s">
        <v>257</v>
      </c>
      <c r="D10" s="339" t="s">
        <v>266</v>
      </c>
      <c r="E10" s="340">
        <v>94</v>
      </c>
      <c r="F10" s="340">
        <v>94</v>
      </c>
      <c r="J10" s="338" t="s">
        <v>263</v>
      </c>
      <c r="K10" s="338">
        <f>K9/60</f>
        <v>1.1166666666666667</v>
      </c>
    </row>
    <row r="11" spans="1:11" x14ac:dyDescent="0.2">
      <c r="A11" s="339" t="s">
        <v>325</v>
      </c>
      <c r="B11" s="339" t="s">
        <v>326</v>
      </c>
      <c r="C11" s="339" t="s">
        <v>257</v>
      </c>
      <c r="D11" s="339" t="s">
        <v>266</v>
      </c>
      <c r="E11" s="340">
        <v>30</v>
      </c>
      <c r="F11" s="340">
        <v>30</v>
      </c>
      <c r="J11" s="338"/>
      <c r="K11" s="338"/>
    </row>
    <row r="12" spans="1:11" x14ac:dyDescent="0.2">
      <c r="A12" s="339" t="s">
        <v>327</v>
      </c>
      <c r="B12" s="339" t="s">
        <v>328</v>
      </c>
      <c r="C12" s="339" t="s">
        <v>257</v>
      </c>
      <c r="D12" s="339" t="s">
        <v>329</v>
      </c>
      <c r="E12" s="340">
        <v>240</v>
      </c>
      <c r="F12" s="340">
        <v>240</v>
      </c>
      <c r="J12" s="338"/>
      <c r="K12" s="338"/>
    </row>
    <row r="13" spans="1:11" x14ac:dyDescent="0.2">
      <c r="A13" s="339" t="s">
        <v>330</v>
      </c>
      <c r="B13" s="339" t="s">
        <v>331</v>
      </c>
      <c r="C13" s="339" t="s">
        <v>252</v>
      </c>
      <c r="D13" s="339" t="s">
        <v>253</v>
      </c>
      <c r="E13" s="340">
        <v>728</v>
      </c>
      <c r="F13" s="340">
        <v>728</v>
      </c>
      <c r="J13" s="337" t="s">
        <v>265</v>
      </c>
      <c r="K13" s="336"/>
    </row>
    <row r="14" spans="1:11" x14ac:dyDescent="0.2">
      <c r="A14" s="339" t="s">
        <v>332</v>
      </c>
      <c r="B14" s="339" t="s">
        <v>333</v>
      </c>
      <c r="C14" s="339" t="s">
        <v>257</v>
      </c>
      <c r="D14" s="339" t="s">
        <v>334</v>
      </c>
      <c r="E14" s="340">
        <v>107</v>
      </c>
      <c r="F14" s="340">
        <v>107</v>
      </c>
      <c r="J14" s="338" t="s">
        <v>267</v>
      </c>
      <c r="K14" s="358">
        <f>(SUMIF(F4:F57,"&gt;=720")-COUNTIF(F4:F57,"&gt;=720")*720)/5</f>
        <v>1.6</v>
      </c>
    </row>
    <row r="15" spans="1:11" x14ac:dyDescent="0.2">
      <c r="A15" s="339" t="s">
        <v>335</v>
      </c>
      <c r="B15" s="339" t="s">
        <v>336</v>
      </c>
      <c r="C15" s="339" t="s">
        <v>255</v>
      </c>
      <c r="D15" s="339" t="s">
        <v>264</v>
      </c>
      <c r="E15" s="340">
        <v>42</v>
      </c>
      <c r="F15" s="340">
        <v>42</v>
      </c>
      <c r="J15" s="338" t="s">
        <v>268</v>
      </c>
      <c r="K15" s="358">
        <f>K14-K16</f>
        <v>1.6</v>
      </c>
    </row>
    <row r="16" spans="1:11" x14ac:dyDescent="0.2">
      <c r="A16" s="339" t="s">
        <v>337</v>
      </c>
      <c r="B16" s="339" t="s">
        <v>338</v>
      </c>
      <c r="C16" s="339" t="s">
        <v>255</v>
      </c>
      <c r="D16" s="339" t="s">
        <v>264</v>
      </c>
      <c r="E16" s="340">
        <v>28</v>
      </c>
      <c r="F16" s="340">
        <v>28</v>
      </c>
      <c r="J16" s="338" t="s">
        <v>269</v>
      </c>
      <c r="K16" s="358">
        <f>(SUMIF(F4:F57,"&gt;1440")-COUNTIF(F4:F57,"&gt;1440")*1440)/5</f>
        <v>0</v>
      </c>
    </row>
    <row r="17" spans="1:11" x14ac:dyDescent="0.2">
      <c r="A17" s="339" t="s">
        <v>339</v>
      </c>
      <c r="B17" s="339" t="s">
        <v>340</v>
      </c>
      <c r="C17" s="339" t="s">
        <v>252</v>
      </c>
      <c r="D17" s="339" t="s">
        <v>256</v>
      </c>
      <c r="E17" s="340">
        <v>609</v>
      </c>
      <c r="F17" s="340">
        <v>609</v>
      </c>
      <c r="J17" s="338" t="s">
        <v>270</v>
      </c>
      <c r="K17" s="358">
        <f>(SUMIF(F4:F57,"&gt;4320")-COUNTIF(F4:F57,"&gt;4320")*4320)/5</f>
        <v>0</v>
      </c>
    </row>
    <row r="18" spans="1:11" x14ac:dyDescent="0.2">
      <c r="A18" s="339" t="s">
        <v>341</v>
      </c>
      <c r="B18" s="339" t="s">
        <v>342</v>
      </c>
      <c r="C18" s="339" t="s">
        <v>257</v>
      </c>
      <c r="D18" s="339" t="s">
        <v>266</v>
      </c>
      <c r="E18" s="340">
        <v>67</v>
      </c>
      <c r="F18" s="340">
        <v>67</v>
      </c>
      <c r="J18" s="338"/>
      <c r="K18" s="358"/>
    </row>
    <row r="19" spans="1:11" x14ac:dyDescent="0.2">
      <c r="A19" s="339" t="s">
        <v>343</v>
      </c>
      <c r="B19" s="339" t="s">
        <v>344</v>
      </c>
      <c r="C19" s="339" t="s">
        <v>259</v>
      </c>
      <c r="D19" s="339" t="s">
        <v>260</v>
      </c>
      <c r="E19" s="340">
        <v>32</v>
      </c>
      <c r="F19" s="340">
        <v>32</v>
      </c>
      <c r="J19" s="338" t="s">
        <v>271</v>
      </c>
      <c r="K19" s="362">
        <f>K15/60</f>
        <v>2.6666666666666668E-2</v>
      </c>
    </row>
    <row r="20" spans="1:11" x14ac:dyDescent="0.2">
      <c r="A20" s="339" t="s">
        <v>345</v>
      </c>
      <c r="B20" s="339" t="s">
        <v>346</v>
      </c>
      <c r="C20" s="339" t="s">
        <v>257</v>
      </c>
      <c r="D20" s="339" t="s">
        <v>347</v>
      </c>
      <c r="E20" s="340">
        <v>113</v>
      </c>
      <c r="F20" s="340">
        <v>113</v>
      </c>
      <c r="J20" s="338" t="s">
        <v>272</v>
      </c>
      <c r="K20" s="358">
        <f>SUM(K16:K17)/60</f>
        <v>0</v>
      </c>
    </row>
    <row r="21" spans="1:11" x14ac:dyDescent="0.2">
      <c r="A21" s="339" t="s">
        <v>348</v>
      </c>
      <c r="B21" s="339" t="s">
        <v>349</v>
      </c>
      <c r="C21" s="339" t="s">
        <v>252</v>
      </c>
      <c r="D21" s="339" t="s">
        <v>253</v>
      </c>
      <c r="E21" s="340">
        <v>38</v>
      </c>
      <c r="F21" s="340">
        <v>38</v>
      </c>
      <c r="J21" s="338"/>
      <c r="K21" s="358"/>
    </row>
    <row r="22" spans="1:11" x14ac:dyDescent="0.2">
      <c r="A22" s="339" t="s">
        <v>350</v>
      </c>
      <c r="B22" s="339" t="s">
        <v>351</v>
      </c>
      <c r="C22" s="339" t="s">
        <v>257</v>
      </c>
      <c r="D22" s="339" t="s">
        <v>266</v>
      </c>
      <c r="E22" s="340">
        <v>16</v>
      </c>
      <c r="F22" s="340">
        <v>16</v>
      </c>
      <c r="J22" s="338" t="s">
        <v>273</v>
      </c>
      <c r="K22" s="362">
        <f>K15/60</f>
        <v>2.6666666666666668E-2</v>
      </c>
    </row>
    <row r="23" spans="1:11" x14ac:dyDescent="0.2">
      <c r="A23" s="339"/>
      <c r="B23" s="339"/>
      <c r="C23" s="339"/>
      <c r="D23" s="339"/>
      <c r="E23" s="340"/>
      <c r="F23" s="340"/>
      <c r="J23" s="359" t="s">
        <v>274</v>
      </c>
      <c r="K23" s="360">
        <f>K17/60</f>
        <v>0</v>
      </c>
    </row>
    <row r="24" spans="1:11" x14ac:dyDescent="0.2">
      <c r="A24" s="339"/>
      <c r="B24" s="339"/>
      <c r="C24" s="339"/>
      <c r="D24" s="339"/>
      <c r="E24" s="340"/>
      <c r="F24" s="340"/>
    </row>
    <row r="25" spans="1:11" x14ac:dyDescent="0.2">
      <c r="A25" s="339"/>
      <c r="B25" s="339"/>
      <c r="C25" s="339"/>
      <c r="D25" s="339"/>
      <c r="E25" s="340"/>
      <c r="F25" s="340"/>
    </row>
    <row r="26" spans="1:11" x14ac:dyDescent="0.2">
      <c r="A26" s="339"/>
      <c r="B26" s="339"/>
      <c r="C26" s="339"/>
      <c r="D26" s="339"/>
      <c r="E26" s="340"/>
      <c r="F26" s="340"/>
    </row>
    <row r="27" spans="1:11" x14ac:dyDescent="0.2">
      <c r="A27" s="339"/>
      <c r="B27" s="339"/>
      <c r="C27" s="339"/>
      <c r="D27" s="339"/>
      <c r="E27" s="340"/>
      <c r="F27" s="340"/>
    </row>
    <row r="28" spans="1:11" x14ac:dyDescent="0.2">
      <c r="A28" s="339"/>
      <c r="B28" s="339"/>
      <c r="C28" s="339"/>
      <c r="D28" s="339"/>
      <c r="E28" s="340"/>
      <c r="F28" s="340"/>
    </row>
    <row r="29" spans="1:11" x14ac:dyDescent="0.2">
      <c r="A29" s="339"/>
      <c r="B29" s="339"/>
      <c r="C29" s="339"/>
      <c r="D29" s="339"/>
      <c r="E29" s="340"/>
      <c r="F29" s="340"/>
    </row>
    <row r="30" spans="1:11" x14ac:dyDescent="0.2">
      <c r="A30" s="339"/>
      <c r="B30" s="339"/>
      <c r="C30" s="339"/>
      <c r="D30" s="339"/>
      <c r="E30" s="340"/>
      <c r="F30" s="340"/>
    </row>
    <row r="31" spans="1:11" x14ac:dyDescent="0.2">
      <c r="A31" s="339"/>
      <c r="B31" s="339"/>
      <c r="C31" s="339"/>
      <c r="D31" s="339"/>
      <c r="E31" s="340"/>
      <c r="F31" s="340"/>
    </row>
    <row r="32" spans="1:11" x14ac:dyDescent="0.2">
      <c r="A32" s="339"/>
      <c r="B32" s="339"/>
      <c r="C32" s="339"/>
      <c r="D32" s="339"/>
      <c r="E32" s="340"/>
      <c r="F32" s="340"/>
    </row>
    <row r="33" spans="1:6" x14ac:dyDescent="0.2">
      <c r="A33" s="339"/>
      <c r="B33" s="339"/>
      <c r="C33" s="339"/>
      <c r="D33" s="339"/>
      <c r="E33" s="340"/>
      <c r="F33" s="340"/>
    </row>
    <row r="34" spans="1:6" x14ac:dyDescent="0.2">
      <c r="A34" s="339"/>
      <c r="B34" s="339"/>
      <c r="C34" s="339"/>
      <c r="D34" s="339"/>
      <c r="E34" s="340"/>
      <c r="F34" s="340"/>
    </row>
    <row r="35" spans="1:6" x14ac:dyDescent="0.2">
      <c r="A35" s="339"/>
      <c r="B35" s="339"/>
      <c r="C35" s="339"/>
      <c r="D35" s="339"/>
      <c r="E35" s="340"/>
      <c r="F35" s="340"/>
    </row>
    <row r="36" spans="1:6" x14ac:dyDescent="0.2">
      <c r="A36" s="339"/>
      <c r="B36" s="339"/>
      <c r="C36" s="339"/>
      <c r="D36" s="339"/>
      <c r="E36" s="340"/>
      <c r="F36" s="340"/>
    </row>
    <row r="37" spans="1:6" x14ac:dyDescent="0.2">
      <c r="A37" s="339"/>
      <c r="B37" s="339"/>
      <c r="C37" s="339"/>
      <c r="D37" s="339"/>
      <c r="E37" s="340"/>
      <c r="F37" s="340"/>
    </row>
    <row r="38" spans="1:6" x14ac:dyDescent="0.2">
      <c r="A38" s="339"/>
      <c r="B38" s="339"/>
      <c r="C38" s="339"/>
      <c r="D38" s="339"/>
      <c r="E38" s="340"/>
      <c r="F38" s="340"/>
    </row>
    <row r="39" spans="1:6" x14ac:dyDescent="0.2">
      <c r="A39" s="339"/>
      <c r="B39" s="339"/>
      <c r="C39" s="339"/>
      <c r="D39" s="339"/>
      <c r="E39" s="340"/>
      <c r="F39" s="340"/>
    </row>
    <row r="40" spans="1:6" x14ac:dyDescent="0.2">
      <c r="A40" s="339"/>
      <c r="B40" s="339"/>
      <c r="C40" s="339"/>
      <c r="D40" s="339"/>
      <c r="E40" s="340"/>
      <c r="F40" s="340"/>
    </row>
    <row r="41" spans="1:6" x14ac:dyDescent="0.2">
      <c r="A41" s="339"/>
      <c r="B41" s="339"/>
      <c r="C41" s="339"/>
      <c r="D41" s="339"/>
      <c r="E41" s="340"/>
      <c r="F41" s="340"/>
    </row>
    <row r="42" spans="1:6" x14ac:dyDescent="0.2">
      <c r="A42" s="339"/>
      <c r="B42" s="339"/>
      <c r="C42" s="339"/>
      <c r="D42" s="339"/>
      <c r="E42" s="340"/>
      <c r="F42" s="340"/>
    </row>
    <row r="43" spans="1:6" x14ac:dyDescent="0.2">
      <c r="A43" s="339"/>
      <c r="B43" s="339"/>
      <c r="C43" s="339"/>
      <c r="D43" s="339"/>
      <c r="E43" s="340"/>
      <c r="F43" s="340"/>
    </row>
    <row r="44" spans="1:6" x14ac:dyDescent="0.2">
      <c r="A44" s="339"/>
      <c r="B44" s="339"/>
      <c r="C44" s="339"/>
      <c r="D44" s="339"/>
      <c r="E44" s="340"/>
      <c r="F44" s="340"/>
    </row>
    <row r="45" spans="1:6" x14ac:dyDescent="0.2">
      <c r="A45" s="339"/>
      <c r="B45" s="339"/>
      <c r="C45" s="339"/>
      <c r="D45" s="339"/>
      <c r="E45" s="340"/>
      <c r="F45" s="340"/>
    </row>
    <row r="46" spans="1:6" x14ac:dyDescent="0.2">
      <c r="A46" s="339"/>
      <c r="B46" s="339"/>
      <c r="C46" s="339"/>
      <c r="D46" s="339"/>
      <c r="E46" s="340"/>
      <c r="F46" s="340"/>
    </row>
    <row r="47" spans="1:6" x14ac:dyDescent="0.2">
      <c r="A47" s="339"/>
      <c r="B47" s="339"/>
      <c r="C47" s="339"/>
      <c r="D47" s="339"/>
      <c r="E47" s="340"/>
      <c r="F47" s="340"/>
    </row>
    <row r="48" spans="1:6" x14ac:dyDescent="0.2">
      <c r="A48" s="339"/>
      <c r="B48" s="339"/>
      <c r="C48" s="339"/>
      <c r="D48" s="339"/>
      <c r="E48" s="340"/>
      <c r="F48" s="340"/>
    </row>
    <row r="49" spans="1:6" x14ac:dyDescent="0.2">
      <c r="A49" s="339"/>
      <c r="B49" s="339"/>
      <c r="C49" s="339"/>
      <c r="D49" s="339"/>
      <c r="E49" s="340"/>
      <c r="F49" s="340"/>
    </row>
    <row r="50" spans="1:6" x14ac:dyDescent="0.2">
      <c r="A50" s="339"/>
      <c r="B50" s="339"/>
      <c r="C50" s="339"/>
      <c r="D50" s="339"/>
      <c r="E50" s="340"/>
      <c r="F50" s="340"/>
    </row>
    <row r="51" spans="1:6" x14ac:dyDescent="0.2">
      <c r="A51" s="339"/>
      <c r="B51" s="339"/>
      <c r="C51" s="339"/>
      <c r="D51" s="339"/>
      <c r="E51" s="340"/>
      <c r="F51" s="340"/>
    </row>
    <row r="52" spans="1:6" x14ac:dyDescent="0.2">
      <c r="A52" s="339"/>
      <c r="B52" s="339"/>
      <c r="C52" s="339"/>
      <c r="D52" s="339"/>
      <c r="E52" s="340"/>
      <c r="F52" s="340"/>
    </row>
    <row r="53" spans="1:6" x14ac:dyDescent="0.2">
      <c r="A53" s="339"/>
      <c r="B53" s="339"/>
      <c r="C53" s="339"/>
      <c r="D53" s="339"/>
      <c r="E53" s="340"/>
      <c r="F53" s="340"/>
    </row>
    <row r="54" spans="1:6" x14ac:dyDescent="0.2">
      <c r="A54" s="339"/>
      <c r="B54" s="339"/>
      <c r="C54" s="339"/>
      <c r="D54" s="339"/>
      <c r="E54" s="340"/>
      <c r="F54" s="340"/>
    </row>
    <row r="55" spans="1:6" x14ac:dyDescent="0.2">
      <c r="A55" s="339"/>
      <c r="B55" s="339"/>
      <c r="C55" s="339"/>
      <c r="D55" s="339"/>
      <c r="E55" s="340"/>
      <c r="F55" s="340"/>
    </row>
    <row r="56" spans="1:6" x14ac:dyDescent="0.2">
      <c r="A56" s="339"/>
      <c r="B56" s="339"/>
      <c r="C56" s="339"/>
      <c r="D56" s="339"/>
      <c r="E56" s="340"/>
      <c r="F56" s="340"/>
    </row>
    <row r="57" spans="1:6" x14ac:dyDescent="0.2">
      <c r="A57" s="339"/>
      <c r="B57" s="339"/>
      <c r="C57" s="339"/>
      <c r="D57" s="339"/>
      <c r="E57" s="340"/>
      <c r="F57" s="34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Ballan microgrid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205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190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191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3"/>
    </row>
    <row r="20" spans="1:34" x14ac:dyDescent="0.2">
      <c r="B20" s="81"/>
      <c r="D20" s="41"/>
    </row>
    <row r="21" spans="1:34" x14ac:dyDescent="0.2">
      <c r="B21" s="80" t="s">
        <v>214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215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216</v>
      </c>
      <c r="D23" s="41">
        <f>D22/D21</f>
        <v>1</v>
      </c>
    </row>
    <row r="25" spans="1:34" x14ac:dyDescent="0.2">
      <c r="B25" s="81" t="s">
        <v>240</v>
      </c>
      <c r="C25" s="8" t="str">
        <f>start</f>
        <v>2026-27</v>
      </c>
    </row>
    <row r="28" spans="1:34" s="1" customFormat="1" ht="15" x14ac:dyDescent="0.2">
      <c r="A28" s="18" t="s">
        <v>212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3" t="s">
        <v>1</v>
      </c>
      <c r="C31" s="194" t="s">
        <v>197</v>
      </c>
      <c r="D31" s="195" t="s">
        <v>204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6" t="s">
        <v>131</v>
      </c>
      <c r="C32" s="192">
        <f>Option2!$G$92</f>
        <v>3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6" t="s">
        <v>132</v>
      </c>
      <c r="C33" s="192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6" t="s">
        <v>133</v>
      </c>
      <c r="C34" s="192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6" t="s">
        <v>158</v>
      </c>
      <c r="C35" s="192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6" t="s">
        <v>197</v>
      </c>
      <c r="C38" s="196" cm="1">
        <f t="array" ref="C38">IF(OR(NOT(Data!$C$10:$C$13)), _xlfn.MINIFS($C$32:$C$35,$D$32:$D$35,TRUE), 0)</f>
        <v>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B41" t="str">
        <f>Assumptions!E41</f>
        <v>Weighted average VCR</v>
      </c>
      <c r="D41"/>
    </row>
    <row r="42" spans="1:34" x14ac:dyDescent="0.2">
      <c r="D42"/>
    </row>
    <row r="43" spans="1:34" x14ac:dyDescent="0.2">
      <c r="B43" t="str">
        <f>IF(B41=0,0, INDEX(Data!$D$107:$D$109, MATCH(bus, Data!$B$107:$B$109,0))&amp;Assumptions!E41)</f>
        <v>PAL:Weighted average VCR</v>
      </c>
      <c r="C43" s="132" t="e">
        <f>IF(B43=0,0,INDEX(#REF!,MATCH($B43,#REF!, 0)))</f>
        <v>#REF!</v>
      </c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246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147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158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168</v>
      </c>
      <c r="B70" s="240" t="s">
        <v>213</v>
      </c>
    </row>
    <row r="74" spans="1:4" x14ac:dyDescent="0.2">
      <c r="B74" s="239" t="str">
        <f>IF(AND(SUM(E73:AC73)&lt;&gt;0, A74=0), "!", "")</f>
        <v/>
      </c>
    </row>
    <row r="76" spans="1:4" x14ac:dyDescent="0.2">
      <c r="B76" t="s">
        <v>211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48" zoomScale="80" zoomScaleNormal="80" workbookViewId="0">
      <selection activeCell="A48" sqref="A48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7"/>
      <c r="V1"/>
      <c r="W1"/>
    </row>
    <row r="2" spans="1:27" ht="18.75" x14ac:dyDescent="0.3">
      <c r="A2" s="56" t="str">
        <f>proj</f>
        <v>Ballan microgrid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203</v>
      </c>
      <c r="F8" s="8" t="s">
        <v>229</v>
      </c>
      <c r="T8"/>
      <c r="U8"/>
      <c r="V8"/>
    </row>
    <row r="9" spans="1:27" x14ac:dyDescent="0.2">
      <c r="A9" s="27" t="s">
        <v>148</v>
      </c>
      <c r="B9" s="86" t="s">
        <v>147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149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150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151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159</v>
      </c>
      <c r="B13" s="86" t="s">
        <v>158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225</v>
      </c>
      <c r="D16" s="23" t="s">
        <v>227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223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142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192</v>
      </c>
      <c r="C35" s="23">
        <v>1</v>
      </c>
      <c r="T35"/>
      <c r="U35"/>
      <c r="V35"/>
      <c r="W35"/>
    </row>
    <row r="36" spans="1:23" x14ac:dyDescent="0.2">
      <c r="B36" s="23" t="s">
        <v>176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164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165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166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168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168</v>
      </c>
      <c r="C75" s="154" t="s">
        <v>167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195</v>
      </c>
      <c r="C78" s="8" t="s">
        <v>196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6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6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6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6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6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6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6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6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182</v>
      </c>
      <c r="F92" s="156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183</v>
      </c>
      <c r="F93" s="156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6" t="s">
        <v>161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6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6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164</v>
      </c>
      <c r="R106" s="8" t="s">
        <v>27</v>
      </c>
      <c r="T106" s="8" t="s">
        <v>226</v>
      </c>
      <c r="U106"/>
      <c r="V106" s="8" t="s">
        <v>237</v>
      </c>
      <c r="W106"/>
      <c r="Y106"/>
    </row>
    <row r="107" spans="1:25" x14ac:dyDescent="0.2">
      <c r="B107" s="25" t="s">
        <v>42</v>
      </c>
      <c r="C107" s="131" t="s">
        <v>136</v>
      </c>
      <c r="D107" s="131" t="s">
        <v>232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228</v>
      </c>
      <c r="U107"/>
      <c r="V107" s="23" t="s">
        <v>19</v>
      </c>
      <c r="W107"/>
    </row>
    <row r="108" spans="1:25" x14ac:dyDescent="0.2">
      <c r="B108" s="25" t="s">
        <v>3</v>
      </c>
      <c r="C108" s="131" t="s">
        <v>137</v>
      </c>
      <c r="D108" s="131" t="s">
        <v>233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227</v>
      </c>
      <c r="U108"/>
      <c r="V108" s="23" t="s">
        <v>47</v>
      </c>
      <c r="W108"/>
    </row>
    <row r="109" spans="1:25" x14ac:dyDescent="0.2">
      <c r="B109" s="25" t="s">
        <v>43</v>
      </c>
      <c r="C109" s="131" t="s">
        <v>139</v>
      </c>
      <c r="D109" s="131" t="s">
        <v>234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238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1"/>
      <c r="W113"/>
      <c r="X113"/>
      <c r="Y113"/>
    </row>
    <row r="114" spans="18:25" x14ac:dyDescent="0.2">
      <c r="R114" s="23"/>
      <c r="U114"/>
      <c r="V114" s="251"/>
      <c r="W114"/>
      <c r="X114"/>
      <c r="Y114"/>
    </row>
    <row r="115" spans="18:25" x14ac:dyDescent="0.2">
      <c r="U115"/>
      <c r="V115" s="251"/>
      <c r="W115"/>
      <c r="X115"/>
      <c r="Y115"/>
    </row>
    <row r="116" spans="18:25" x14ac:dyDescent="0.2">
      <c r="U116"/>
      <c r="V116" s="252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Reliability data</vt:lpstr>
      <vt:lpstr>Misc_calcs</vt:lpstr>
      <vt:lpstr>Data</vt:lpstr>
      <vt:lpstr>bus</vt:lpstr>
      <vt:lpstr>bushfire_outage_duration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solar_demand_correction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2025-01-26T10:37:32Z</dcterms:modified>
</cp:coreProperties>
</file>