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C5D11E25-7785-4134-9244-AFF6F53E192F}" xr6:coauthVersionLast="47" xr6:coauthVersionMax="47" xr10:uidLastSave="{00000000-0000-0000-0000-000000000000}"/>
  <bookViews>
    <workbookView xWindow="-120" yWindow="-120" windowWidth="29040" windowHeight="15720" tabRatio="684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Workings_risks" sheetId="88" r:id="rId11"/>
    <sheet name="Reliability data" sheetId="87" r:id="rId12"/>
    <sheet name="Misc_calcs" sheetId="62" r:id="rId13"/>
    <sheet name="Data" sheetId="47" r:id="rId14"/>
  </sheets>
  <definedNames>
    <definedName name="bus">Assumptions!$E$6</definedName>
    <definedName name="bushfire_outage_duration">Workings_risks!$F$18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list">list_start:OFFSET(list_start, 0,0,count, 1)</definedName>
    <definedName name="mill_conv">Data!$C$71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Assumptions!$A$1:$P$122</definedName>
    <definedName name="proj">Assumptions!$E$8</definedName>
    <definedName name="real_disc">Assumptions!$G$28</definedName>
    <definedName name="sheets">Cover!$A$40</definedName>
    <definedName name="solar_demand_correction">'Option1 (base case)'!$E$27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86" l="1"/>
  <c r="G15" i="72"/>
  <c r="E112" i="72"/>
  <c r="D50" i="81"/>
  <c r="C50" i="81"/>
  <c r="D49" i="81"/>
  <c r="C49" i="81"/>
  <c r="D48" i="81"/>
  <c r="C48" i="81"/>
  <c r="D47" i="81"/>
  <c r="C47" i="81"/>
  <c r="D46" i="81"/>
  <c r="C46" i="81"/>
  <c r="D45" i="81"/>
  <c r="C45" i="81"/>
  <c r="D50" i="72"/>
  <c r="C50" i="72"/>
  <c r="E49" i="72"/>
  <c r="D49" i="72"/>
  <c r="C49" i="72"/>
  <c r="D48" i="72"/>
  <c r="C48" i="72"/>
  <c r="D47" i="72"/>
  <c r="C47" i="72"/>
  <c r="D46" i="72"/>
  <c r="C46" i="72"/>
  <c r="D45" i="72"/>
  <c r="C45" i="72"/>
  <c r="D50" i="82"/>
  <c r="C50" i="82"/>
  <c r="D49" i="82"/>
  <c r="C49" i="82"/>
  <c r="E48" i="82"/>
  <c r="D48" i="82"/>
  <c r="C48" i="82"/>
  <c r="E47" i="82"/>
  <c r="D47" i="82"/>
  <c r="C47" i="82"/>
  <c r="D46" i="82"/>
  <c r="C46" i="82"/>
  <c r="D45" i="82"/>
  <c r="C45" i="82"/>
  <c r="D46" i="73"/>
  <c r="D47" i="73"/>
  <c r="D48" i="73"/>
  <c r="D49" i="73"/>
  <c r="D50" i="73"/>
  <c r="D45" i="73"/>
  <c r="C50" i="73"/>
  <c r="C49" i="73"/>
  <c r="C48" i="73"/>
  <c r="C47" i="73"/>
  <c r="C46" i="73"/>
  <c r="C45" i="73"/>
  <c r="E46" i="73"/>
  <c r="E51" i="73"/>
  <c r="E52" i="73"/>
  <c r="E47" i="68"/>
  <c r="E47" i="73" s="1"/>
  <c r="E48" i="68"/>
  <c r="E48" i="73" s="1"/>
  <c r="E49" i="68"/>
  <c r="E49" i="82" s="1"/>
  <c r="E50" i="68"/>
  <c r="E50" i="72" s="1"/>
  <c r="E46" i="68"/>
  <c r="E46" i="81" s="1"/>
  <c r="E51" i="68"/>
  <c r="E52" i="68"/>
  <c r="E47" i="81" l="1"/>
  <c r="E47" i="72"/>
  <c r="E50" i="73"/>
  <c r="E49" i="81"/>
  <c r="E46" i="72"/>
  <c r="E49" i="73"/>
  <c r="E46" i="82"/>
  <c r="E48" i="81"/>
  <c r="E48" i="72"/>
  <c r="E50" i="82"/>
  <c r="E50" i="81"/>
  <c r="J45" i="81"/>
  <c r="J45" i="72" s="1"/>
  <c r="I45" i="81"/>
  <c r="I45" i="72" s="1"/>
  <c r="J46" i="81"/>
  <c r="J46" i="72" s="1"/>
  <c r="J47" i="81"/>
  <c r="J47" i="72" s="1"/>
  <c r="J48" i="81"/>
  <c r="J48" i="72" s="1"/>
  <c r="J49" i="81"/>
  <c r="J49" i="72" s="1"/>
  <c r="J50" i="81"/>
  <c r="I50" i="81"/>
  <c r="I49" i="81"/>
  <c r="I49" i="72" s="1"/>
  <c r="I48" i="81"/>
  <c r="I48" i="72" s="1"/>
  <c r="I47" i="81"/>
  <c r="I47" i="72" s="1"/>
  <c r="I46" i="81"/>
  <c r="I46" i="72" s="1"/>
  <c r="H41" i="43" a="1"/>
  <c r="H41" i="43" s="1"/>
  <c r="E45" i="68" s="1"/>
  <c r="J25" i="88"/>
  <c r="J28" i="88" s="1"/>
  <c r="F13" i="88"/>
  <c r="A2" i="88"/>
  <c r="A1" i="88"/>
  <c r="K17" i="87"/>
  <c r="K23" i="87" s="1"/>
  <c r="K16" i="87"/>
  <c r="K14" i="87"/>
  <c r="K8" i="87"/>
  <c r="K9" i="87" s="1"/>
  <c r="K10" i="87" s="1"/>
  <c r="K4" i="87"/>
  <c r="F19" i="88" s="1"/>
  <c r="E45" i="73" l="1"/>
  <c r="E45" i="72"/>
  <c r="E45" i="82"/>
  <c r="E45" i="81"/>
  <c r="K15" i="87"/>
  <c r="K22" i="87" s="1"/>
  <c r="N31" i="88"/>
  <c r="O31" i="88"/>
  <c r="AC31" i="88"/>
  <c r="I31" i="88"/>
  <c r="J31" i="88"/>
  <c r="K31" i="88"/>
  <c r="L31" i="88"/>
  <c r="M31" i="88"/>
  <c r="K20" i="87"/>
  <c r="AD31" i="88"/>
  <c r="AE31" i="88"/>
  <c r="AF31" i="88"/>
  <c r="AG31" i="88"/>
  <c r="I32" i="88"/>
  <c r="P31" i="88"/>
  <c r="Q31" i="88"/>
  <c r="R31" i="88"/>
  <c r="S31" i="88"/>
  <c r="T31" i="88"/>
  <c r="W31" i="88"/>
  <c r="Y31" i="88"/>
  <c r="Z31" i="88"/>
  <c r="AA31" i="88"/>
  <c r="U31" i="88"/>
  <c r="V31" i="88"/>
  <c r="X31" i="88"/>
  <c r="AB31" i="88"/>
  <c r="X27" i="68"/>
  <c r="W27" i="68"/>
  <c r="M27" i="68"/>
  <c r="K25" i="88"/>
  <c r="K28" i="88" s="1"/>
  <c r="AB27" i="68"/>
  <c r="AA27" i="68"/>
  <c r="Z27" i="68"/>
  <c r="Y27" i="68"/>
  <c r="V27" i="68"/>
  <c r="R27" i="68"/>
  <c r="Q27" i="68"/>
  <c r="L27" i="68"/>
  <c r="K27" i="68"/>
  <c r="J27" i="68"/>
  <c r="AF27" i="68"/>
  <c r="AE27" i="68"/>
  <c r="AD27" i="68"/>
  <c r="AC27" i="68"/>
  <c r="J32" i="88"/>
  <c r="U27" i="68"/>
  <c r="T27" i="68"/>
  <c r="S27" i="68"/>
  <c r="P27" i="68"/>
  <c r="O27" i="68"/>
  <c r="I27" i="68"/>
  <c r="I27" i="72" s="1"/>
  <c r="N27" i="68"/>
  <c r="AG27" i="68"/>
  <c r="K19" i="87"/>
  <c r="I9" i="68"/>
  <c r="K32" i="88" l="1"/>
  <c r="L25" i="88"/>
  <c r="L28" i="88" s="1"/>
  <c r="I27" i="81"/>
  <c r="J27" i="81"/>
  <c r="H9" i="68"/>
  <c r="H9" i="75" s="1"/>
  <c r="H5" i="75" s="1"/>
  <c r="I24" i="88"/>
  <c r="C25" i="62"/>
  <c r="A2" i="43"/>
  <c r="M25" i="88" l="1"/>
  <c r="M28" i="88" s="1"/>
  <c r="L32" i="88"/>
  <c r="C115" i="43"/>
  <c r="C116" i="43"/>
  <c r="C118" i="43"/>
  <c r="C119" i="43"/>
  <c r="N25" i="88" l="1"/>
  <c r="N28" i="88" s="1"/>
  <c r="M32" i="88"/>
  <c r="A92" i="85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E113" i="82"/>
  <c r="D113" i="82"/>
  <c r="C113" i="82"/>
  <c r="A113" i="82"/>
  <c r="G113" i="82" s="1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E112" i="73"/>
  <c r="D112" i="73"/>
  <c r="C112" i="73"/>
  <c r="A112" i="73"/>
  <c r="G112" i="73" s="1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D112" i="81"/>
  <c r="E111" i="81"/>
  <c r="D111" i="81"/>
  <c r="E110" i="81"/>
  <c r="D110" i="81"/>
  <c r="O25" i="88" l="1"/>
  <c r="O28" i="88" s="1"/>
  <c r="N32" i="88"/>
  <c r="J77" i="68"/>
  <c r="K77" i="68"/>
  <c r="L77" i="68"/>
  <c r="M77" i="68"/>
  <c r="N77" i="68"/>
  <c r="O77" i="68"/>
  <c r="P77" i="68"/>
  <c r="Q77" i="68"/>
  <c r="R77" i="68"/>
  <c r="S77" i="68"/>
  <c r="T77" i="68"/>
  <c r="U77" i="68"/>
  <c r="V77" i="68"/>
  <c r="W77" i="68"/>
  <c r="X77" i="68"/>
  <c r="Y77" i="68"/>
  <c r="Z77" i="68"/>
  <c r="AA77" i="68"/>
  <c r="AB77" i="68"/>
  <c r="AC77" i="68"/>
  <c r="AD77" i="68"/>
  <c r="AE77" i="68"/>
  <c r="AF77" i="68"/>
  <c r="AG77" i="68"/>
  <c r="J78" i="68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J77" i="82"/>
  <c r="K77" i="82"/>
  <c r="L77" i="82"/>
  <c r="M77" i="82"/>
  <c r="N77" i="82"/>
  <c r="O77" i="82"/>
  <c r="P77" i="82"/>
  <c r="Q77" i="82"/>
  <c r="R77" i="82"/>
  <c r="S77" i="82"/>
  <c r="T77" i="82"/>
  <c r="U77" i="82"/>
  <c r="V77" i="82"/>
  <c r="W77" i="82"/>
  <c r="X77" i="82"/>
  <c r="Y77" i="82"/>
  <c r="Z77" i="82"/>
  <c r="AA77" i="82"/>
  <c r="AB77" i="82"/>
  <c r="AC77" i="82"/>
  <c r="AD77" i="82"/>
  <c r="AE77" i="82"/>
  <c r="AF77" i="82"/>
  <c r="AG77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J77" i="73"/>
  <c r="K77" i="73"/>
  <c r="L77" i="73"/>
  <c r="M77" i="73"/>
  <c r="N77" i="73"/>
  <c r="O77" i="73"/>
  <c r="P77" i="73"/>
  <c r="Q77" i="73"/>
  <c r="R77" i="73"/>
  <c r="S77" i="73"/>
  <c r="T77" i="73"/>
  <c r="U77" i="73"/>
  <c r="V77" i="73"/>
  <c r="W77" i="73"/>
  <c r="X77" i="73"/>
  <c r="Y77" i="73"/>
  <c r="Z77" i="73"/>
  <c r="AA77" i="73"/>
  <c r="AB77" i="73"/>
  <c r="AC77" i="73"/>
  <c r="AD77" i="73"/>
  <c r="AE77" i="73"/>
  <c r="AF77" i="73"/>
  <c r="AG77" i="73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Z78" i="73"/>
  <c r="AA78" i="73"/>
  <c r="AB78" i="73"/>
  <c r="AC78" i="73"/>
  <c r="AD78" i="73"/>
  <c r="AE78" i="73"/>
  <c r="AF78" i="73"/>
  <c r="AG78" i="73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J79" i="72"/>
  <c r="K79" i="72"/>
  <c r="L79" i="72"/>
  <c r="M79" i="72"/>
  <c r="N79" i="72"/>
  <c r="O79" i="72"/>
  <c r="P79" i="72"/>
  <c r="Q79" i="72"/>
  <c r="R79" i="72"/>
  <c r="S79" i="72"/>
  <c r="T79" i="72"/>
  <c r="U79" i="72"/>
  <c r="V79" i="72"/>
  <c r="W79" i="72"/>
  <c r="X79" i="72"/>
  <c r="Y79" i="72"/>
  <c r="Z79" i="72"/>
  <c r="AA79" i="72"/>
  <c r="AB79" i="72"/>
  <c r="AC79" i="72"/>
  <c r="AD79" i="72"/>
  <c r="AE79" i="72"/>
  <c r="AF79" i="72"/>
  <c r="AG79" i="72"/>
  <c r="I79" i="72"/>
  <c r="I78" i="72"/>
  <c r="I77" i="72"/>
  <c r="J79" i="81"/>
  <c r="K79" i="81"/>
  <c r="L79" i="81"/>
  <c r="M79" i="81"/>
  <c r="N79" i="81"/>
  <c r="O79" i="81"/>
  <c r="P79" i="81"/>
  <c r="Q79" i="81"/>
  <c r="R79" i="81"/>
  <c r="S79" i="81"/>
  <c r="T79" i="81"/>
  <c r="U79" i="81"/>
  <c r="V79" i="81"/>
  <c r="W79" i="81"/>
  <c r="X79" i="81"/>
  <c r="Y79" i="81"/>
  <c r="Z79" i="81"/>
  <c r="AA79" i="81"/>
  <c r="AB79" i="81"/>
  <c r="AC79" i="81"/>
  <c r="AD79" i="81"/>
  <c r="AE79" i="81"/>
  <c r="AF79" i="81"/>
  <c r="AG79" i="81"/>
  <c r="I79" i="81"/>
  <c r="I78" i="81"/>
  <c r="I77" i="81"/>
  <c r="H9" i="85"/>
  <c r="H98" i="75"/>
  <c r="B41" i="62"/>
  <c r="B43" i="62" s="1"/>
  <c r="R108" i="47"/>
  <c r="R109" i="47" s="1"/>
  <c r="R110" i="47" s="1"/>
  <c r="R111" i="47" s="1"/>
  <c r="R112" i="47" s="1"/>
  <c r="R113" i="47" s="1"/>
  <c r="P25" i="88" l="1"/>
  <c r="P28" i="88" s="1"/>
  <c r="O32" i="88"/>
  <c r="D66" i="33"/>
  <c r="E16" i="47"/>
  <c r="F9" i="47" s="1"/>
  <c r="Q25" i="88" l="1"/>
  <c r="Q28" i="88" s="1"/>
  <c r="P32" i="88"/>
  <c r="C22" i="85"/>
  <c r="C20" i="85"/>
  <c r="C18" i="85"/>
  <c r="C16" i="85"/>
  <c r="D76" i="33"/>
  <c r="C67" i="33"/>
  <c r="C89" i="85" a="1"/>
  <c r="C89" i="85" s="1"/>
  <c r="F66" i="33" s="1"/>
  <c r="C72" i="33"/>
  <c r="C74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R25" i="88" l="1"/>
  <c r="R28" i="88" s="1"/>
  <c r="Q32" i="88"/>
  <c r="B65" i="85"/>
  <c r="D65" i="85" s="1"/>
  <c r="B59" i="85"/>
  <c r="D59" i="85" s="1"/>
  <c r="B75" i="85"/>
  <c r="D75" i="85" s="1"/>
  <c r="B61" i="85"/>
  <c r="D61" i="85" s="1"/>
  <c r="B62" i="85"/>
  <c r="D62" i="85" s="1"/>
  <c r="K74" i="33"/>
  <c r="D75" i="33"/>
  <c r="H66" i="33"/>
  <c r="I66" i="33"/>
  <c r="J66" i="33"/>
  <c r="G66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R32" i="88" l="1"/>
  <c r="S25" i="88"/>
  <c r="S28" i="88" s="1"/>
  <c r="C30" i="85"/>
  <c r="C32" i="85"/>
  <c r="C34" i="85"/>
  <c r="C19" i="85"/>
  <c r="C111" i="81"/>
  <c r="C17" i="85"/>
  <c r="C68" i="33"/>
  <c r="C70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S32" i="88" l="1"/>
  <c r="T25" i="88"/>
  <c r="T28" i="88" s="1"/>
  <c r="C31" i="85"/>
  <c r="C33" i="85"/>
  <c r="C73" i="33"/>
  <c r="A6" i="85"/>
  <c r="A2" i="85"/>
  <c r="A1" i="85"/>
  <c r="U25" i="88" l="1"/>
  <c r="U28" i="88" s="1"/>
  <c r="T32" i="88"/>
  <c r="C71" i="33"/>
  <c r="C69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U32" i="88" l="1"/>
  <c r="V25" i="88"/>
  <c r="V28" i="88" s="1"/>
  <c r="D65" i="62"/>
  <c r="C4" i="82" s="1"/>
  <c r="D57" i="62"/>
  <c r="C4" i="72" s="1"/>
  <c r="D53" i="62"/>
  <c r="C4" i="81" s="1"/>
  <c r="D61" i="62"/>
  <c r="C4" i="73" s="1"/>
  <c r="D49" i="62"/>
  <c r="C4" i="68" s="1"/>
  <c r="D92" i="75"/>
  <c r="W25" i="88" l="1"/>
  <c r="W28" i="88" s="1"/>
  <c r="V32" i="88"/>
  <c r="D9" i="47"/>
  <c r="A6" i="75"/>
  <c r="X25" i="88" l="1"/>
  <c r="X28" i="88" s="1"/>
  <c r="W32" i="88"/>
  <c r="I6" i="75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AG31" i="82" a="1"/>
  <c r="AG31" i="82" s="1"/>
  <c r="AF31" i="82" a="1"/>
  <c r="AF31" i="82" s="1"/>
  <c r="AE31" i="82" a="1"/>
  <c r="AE31" i="82" s="1"/>
  <c r="AD31" i="82" a="1"/>
  <c r="AD31" i="82" s="1"/>
  <c r="AC31" i="82" a="1"/>
  <c r="AC31" i="82" s="1"/>
  <c r="AB31" i="82" a="1"/>
  <c r="AB31" i="82" s="1"/>
  <c r="AA31" i="82" a="1"/>
  <c r="AA31" i="82" s="1"/>
  <c r="Z31" i="82" a="1"/>
  <c r="Z31" i="82" s="1"/>
  <c r="Y31" i="82" a="1"/>
  <c r="Y31" i="82" s="1"/>
  <c r="X31" i="82" a="1"/>
  <c r="X31" i="82" s="1"/>
  <c r="W31" i="82" a="1"/>
  <c r="W31" i="82" s="1"/>
  <c r="V31" i="82" a="1"/>
  <c r="V31" i="82" s="1"/>
  <c r="U31" i="82" a="1"/>
  <c r="U31" i="82" s="1"/>
  <c r="T31" i="82" a="1"/>
  <c r="T31" i="82" s="1"/>
  <c r="S31" i="82" a="1"/>
  <c r="S31" i="82" s="1"/>
  <c r="R31" i="82" a="1"/>
  <c r="R31" i="82" s="1"/>
  <c r="Q31" i="82" a="1"/>
  <c r="Q31" i="82" s="1"/>
  <c r="P31" i="82" a="1"/>
  <c r="P31" i="82" s="1"/>
  <c r="O31" i="82" a="1"/>
  <c r="O31" i="82" s="1"/>
  <c r="N31" i="82" a="1"/>
  <c r="N31" i="82" s="1"/>
  <c r="M31" i="82" a="1"/>
  <c r="M31" i="82" s="1"/>
  <c r="L31" i="82" a="1"/>
  <c r="L31" i="82" s="1"/>
  <c r="K31" i="82" a="1"/>
  <c r="K31" i="82" s="1"/>
  <c r="J31" i="82" a="1"/>
  <c r="J31" i="82" s="1"/>
  <c r="I31" i="82" a="1"/>
  <c r="I31" i="82" s="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31" i="73" a="1"/>
  <c r="AG31" i="73" s="1"/>
  <c r="AF31" i="73" a="1"/>
  <c r="AF31" i="73" s="1"/>
  <c r="AE31" i="73" a="1"/>
  <c r="AE31" i="73" s="1"/>
  <c r="AD31" i="73" a="1"/>
  <c r="AD31" i="73" s="1"/>
  <c r="AC31" i="73" a="1"/>
  <c r="AC31" i="73" s="1"/>
  <c r="AB31" i="73" a="1"/>
  <c r="AB31" i="73" s="1"/>
  <c r="AA31" i="73" a="1"/>
  <c r="AA31" i="73" s="1"/>
  <c r="Z31" i="73" a="1"/>
  <c r="Z31" i="73" s="1"/>
  <c r="Y31" i="73" a="1"/>
  <c r="Y31" i="73" s="1"/>
  <c r="X31" i="73" a="1"/>
  <c r="X31" i="73" s="1"/>
  <c r="W31" i="73" a="1"/>
  <c r="W31" i="73" s="1"/>
  <c r="V31" i="73" a="1"/>
  <c r="V31" i="73" s="1"/>
  <c r="U31" i="73" a="1"/>
  <c r="U31" i="73" s="1"/>
  <c r="T31" i="73" a="1"/>
  <c r="T31" i="73" s="1"/>
  <c r="S31" i="73" a="1"/>
  <c r="S31" i="73" s="1"/>
  <c r="R31" i="73" a="1"/>
  <c r="R31" i="73" s="1"/>
  <c r="Q31" i="73" a="1"/>
  <c r="Q31" i="73" s="1"/>
  <c r="P31" i="73" a="1"/>
  <c r="P31" i="73" s="1"/>
  <c r="O31" i="73" a="1"/>
  <c r="O31" i="73" s="1"/>
  <c r="N31" i="73" a="1"/>
  <c r="N31" i="73" s="1"/>
  <c r="M31" i="73" a="1"/>
  <c r="M31" i="73" s="1"/>
  <c r="L31" i="73" a="1"/>
  <c r="L31" i="73" s="1"/>
  <c r="K31" i="73" a="1"/>
  <c r="K31" i="73" s="1"/>
  <c r="J31" i="73" a="1"/>
  <c r="J31" i="73" s="1"/>
  <c r="I31" i="73" a="1"/>
  <c r="I31" i="73" s="1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K45" i="81" l="1"/>
  <c r="K45" i="72" s="1"/>
  <c r="K47" i="81"/>
  <c r="K47" i="72" s="1"/>
  <c r="K50" i="81"/>
  <c r="K46" i="81"/>
  <c r="K46" i="72" s="1"/>
  <c r="K49" i="81"/>
  <c r="K49" i="72" s="1"/>
  <c r="K48" i="81"/>
  <c r="K48" i="72" s="1"/>
  <c r="K27" i="81"/>
  <c r="L50" i="81"/>
  <c r="X27" i="81"/>
  <c r="Y27" i="81"/>
  <c r="L45" i="81"/>
  <c r="L45" i="72" s="1"/>
  <c r="Z27" i="81"/>
  <c r="AA27" i="81"/>
  <c r="AB27" i="81"/>
  <c r="AC27" i="81"/>
  <c r="AD27" i="81"/>
  <c r="AE27" i="81"/>
  <c r="L46" i="81"/>
  <c r="L46" i="72" s="1"/>
  <c r="AF27" i="81"/>
  <c r="M27" i="81"/>
  <c r="AG27" i="81"/>
  <c r="N27" i="81"/>
  <c r="L47" i="81"/>
  <c r="L47" i="72" s="1"/>
  <c r="O27" i="81"/>
  <c r="P27" i="81"/>
  <c r="Q27" i="81"/>
  <c r="L48" i="81"/>
  <c r="L48" i="72" s="1"/>
  <c r="R27" i="81"/>
  <c r="S27" i="81"/>
  <c r="T27" i="81"/>
  <c r="L49" i="81"/>
  <c r="L49" i="72" s="1"/>
  <c r="U27" i="81"/>
  <c r="W27" i="81"/>
  <c r="V27" i="81"/>
  <c r="W45" i="81"/>
  <c r="W45" i="72" s="1"/>
  <c r="N45" i="81"/>
  <c r="N45" i="72" s="1"/>
  <c r="AG45" i="81"/>
  <c r="AG45" i="72" s="1"/>
  <c r="O47" i="81"/>
  <c r="O47" i="72" s="1"/>
  <c r="Z48" i="81"/>
  <c r="Z48" i="72" s="1"/>
  <c r="U46" i="81"/>
  <c r="U46" i="72" s="1"/>
  <c r="T46" i="81"/>
  <c r="T46" i="72" s="1"/>
  <c r="U47" i="81"/>
  <c r="U47" i="72" s="1"/>
  <c r="AF45" i="81"/>
  <c r="AF45" i="72" s="1"/>
  <c r="AE48" i="81"/>
  <c r="AE48" i="72" s="1"/>
  <c r="AA47" i="81"/>
  <c r="AA47" i="72" s="1"/>
  <c r="AA49" i="81"/>
  <c r="AA49" i="72" s="1"/>
  <c r="Z47" i="81"/>
  <c r="Z47" i="72" s="1"/>
  <c r="Y49" i="81"/>
  <c r="Y49" i="72" s="1"/>
  <c r="V50" i="81"/>
  <c r="AE45" i="81"/>
  <c r="AE45" i="72" s="1"/>
  <c r="M46" i="81"/>
  <c r="M46" i="72" s="1"/>
  <c r="AD49" i="81"/>
  <c r="AD49" i="72" s="1"/>
  <c r="Q48" i="81"/>
  <c r="Q48" i="72" s="1"/>
  <c r="R50" i="81"/>
  <c r="AF48" i="81"/>
  <c r="AF48" i="72" s="1"/>
  <c r="Y50" i="81"/>
  <c r="AD45" i="81"/>
  <c r="AD45" i="72" s="1"/>
  <c r="V46" i="81"/>
  <c r="V46" i="72" s="1"/>
  <c r="Z50" i="81"/>
  <c r="T49" i="81"/>
  <c r="T49" i="72" s="1"/>
  <c r="Q47" i="81"/>
  <c r="Q47" i="72" s="1"/>
  <c r="Q46" i="81"/>
  <c r="Q46" i="72" s="1"/>
  <c r="M45" i="81"/>
  <c r="M45" i="72" s="1"/>
  <c r="AG49" i="81"/>
  <c r="AG49" i="72" s="1"/>
  <c r="AE49" i="81"/>
  <c r="AE49" i="72" s="1"/>
  <c r="W46" i="81"/>
  <c r="W46" i="72" s="1"/>
  <c r="AB45" i="81"/>
  <c r="AB45" i="72" s="1"/>
  <c r="Z46" i="81"/>
  <c r="Z46" i="72" s="1"/>
  <c r="AB49" i="81"/>
  <c r="AB49" i="72" s="1"/>
  <c r="Q50" i="81"/>
  <c r="V47" i="81"/>
  <c r="V47" i="72" s="1"/>
  <c r="N46" i="81"/>
  <c r="N46" i="72" s="1"/>
  <c r="V45" i="81"/>
  <c r="V45" i="72" s="1"/>
  <c r="X48" i="81"/>
  <c r="X48" i="72" s="1"/>
  <c r="Y46" i="81"/>
  <c r="Y46" i="72" s="1"/>
  <c r="U45" i="81"/>
  <c r="U45" i="72" s="1"/>
  <c r="M50" i="81"/>
  <c r="Z49" i="81"/>
  <c r="Z49" i="72" s="1"/>
  <c r="AA45" i="81"/>
  <c r="AA45" i="72" s="1"/>
  <c r="AA46" i="81"/>
  <c r="AA46" i="72" s="1"/>
  <c r="AC49" i="81"/>
  <c r="AC49" i="72" s="1"/>
  <c r="X49" i="81"/>
  <c r="X49" i="72" s="1"/>
  <c r="N49" i="81"/>
  <c r="N49" i="72" s="1"/>
  <c r="AD46" i="81"/>
  <c r="AD46" i="72" s="1"/>
  <c r="Z45" i="81"/>
  <c r="Z45" i="72" s="1"/>
  <c r="AC50" i="81"/>
  <c r="AC48" i="81"/>
  <c r="AC48" i="72" s="1"/>
  <c r="P49" i="81"/>
  <c r="P49" i="72" s="1"/>
  <c r="W49" i="81"/>
  <c r="W49" i="72" s="1"/>
  <c r="M49" i="81"/>
  <c r="M49" i="72" s="1"/>
  <c r="AB48" i="81"/>
  <c r="AB48" i="72" s="1"/>
  <c r="AE47" i="81"/>
  <c r="AE47" i="72" s="1"/>
  <c r="P45" i="81"/>
  <c r="P45" i="72" s="1"/>
  <c r="N47" i="81"/>
  <c r="N47" i="72" s="1"/>
  <c r="S49" i="81"/>
  <c r="S49" i="72" s="1"/>
  <c r="R47" i="81"/>
  <c r="R47" i="72" s="1"/>
  <c r="O46" i="81"/>
  <c r="O46" i="72" s="1"/>
  <c r="W50" i="81"/>
  <c r="AA50" i="81"/>
  <c r="O48" i="81"/>
  <c r="O48" i="72" s="1"/>
  <c r="S50" i="81"/>
  <c r="S45" i="81"/>
  <c r="S45" i="72" s="1"/>
  <c r="T50" i="81"/>
  <c r="AC46" i="81"/>
  <c r="AC46" i="72" s="1"/>
  <c r="R45" i="81"/>
  <c r="R45" i="72" s="1"/>
  <c r="AF50" i="81"/>
  <c r="P48" i="81"/>
  <c r="P48" i="72" s="1"/>
  <c r="W47" i="81"/>
  <c r="W47" i="72" s="1"/>
  <c r="AB50" i="81"/>
  <c r="AG48" i="81"/>
  <c r="AG48" i="72" s="1"/>
  <c r="Q45" i="81"/>
  <c r="Q45" i="72" s="1"/>
  <c r="T47" i="81"/>
  <c r="T47" i="72" s="1"/>
  <c r="Y48" i="81"/>
  <c r="Y48" i="72" s="1"/>
  <c r="P50" i="81"/>
  <c r="Y47" i="81"/>
  <c r="Y47" i="72" s="1"/>
  <c r="N50" i="81"/>
  <c r="AB46" i="81"/>
  <c r="AB46" i="72" s="1"/>
  <c r="AE46" i="81"/>
  <c r="AE46" i="72" s="1"/>
  <c r="M48" i="81"/>
  <c r="M48" i="72" s="1"/>
  <c r="V49" i="81"/>
  <c r="V49" i="72" s="1"/>
  <c r="W48" i="81"/>
  <c r="W48" i="72" s="1"/>
  <c r="S47" i="81"/>
  <c r="S47" i="72" s="1"/>
  <c r="R49" i="81"/>
  <c r="R49" i="72" s="1"/>
  <c r="X45" i="81"/>
  <c r="X45" i="72" s="1"/>
  <c r="R48" i="81"/>
  <c r="R48" i="72" s="1"/>
  <c r="M47" i="81"/>
  <c r="M47" i="72" s="1"/>
  <c r="L27" i="81"/>
  <c r="O50" i="81"/>
  <c r="AG46" i="81"/>
  <c r="AG46" i="72" s="1"/>
  <c r="AC47" i="81"/>
  <c r="AC47" i="72" s="1"/>
  <c r="AD47" i="81"/>
  <c r="AD47" i="72" s="1"/>
  <c r="U48" i="81"/>
  <c r="U48" i="72" s="1"/>
  <c r="X50" i="81"/>
  <c r="N48" i="81"/>
  <c r="N48" i="72" s="1"/>
  <c r="P47" i="81"/>
  <c r="P47" i="72" s="1"/>
  <c r="AF47" i="81"/>
  <c r="AF47" i="72" s="1"/>
  <c r="AC45" i="81"/>
  <c r="AC45" i="72" s="1"/>
  <c r="U49" i="81"/>
  <c r="U49" i="72" s="1"/>
  <c r="AG47" i="81"/>
  <c r="AG47" i="72" s="1"/>
  <c r="AF46" i="81"/>
  <c r="AF46" i="72" s="1"/>
  <c r="Q49" i="81"/>
  <c r="Q49" i="72" s="1"/>
  <c r="R46" i="81"/>
  <c r="R46" i="72" s="1"/>
  <c r="O45" i="81"/>
  <c r="O45" i="72" s="1"/>
  <c r="V48" i="81"/>
  <c r="V48" i="72" s="1"/>
  <c r="AB47" i="81"/>
  <c r="AB47" i="72" s="1"/>
  <c r="S48" i="81"/>
  <c r="S48" i="72" s="1"/>
  <c r="Y45" i="81"/>
  <c r="Y45" i="72" s="1"/>
  <c r="AD50" i="81"/>
  <c r="X46" i="81"/>
  <c r="X46" i="72" s="1"/>
  <c r="S46" i="81"/>
  <c r="S46" i="72" s="1"/>
  <c r="AF49" i="81"/>
  <c r="AF49" i="72" s="1"/>
  <c r="O49" i="81"/>
  <c r="O49" i="72" s="1"/>
  <c r="T45" i="81"/>
  <c r="T45" i="72" s="1"/>
  <c r="AG50" i="81"/>
  <c r="AE50" i="81"/>
  <c r="X47" i="81"/>
  <c r="X47" i="72" s="1"/>
  <c r="AA48" i="81"/>
  <c r="AA48" i="72" s="1"/>
  <c r="P46" i="81"/>
  <c r="P46" i="72" s="1"/>
  <c r="T48" i="81"/>
  <c r="T48" i="72" s="1"/>
  <c r="U50" i="81"/>
  <c r="AD48" i="81"/>
  <c r="AD48" i="72" s="1"/>
  <c r="X32" i="88"/>
  <c r="Y25" i="88"/>
  <c r="Y28" i="88" s="1"/>
  <c r="A30" i="75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G90" i="73" a="1"/>
  <c r="G90" i="73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J27" i="72" s="1"/>
  <c r="K27" i="72" l="1"/>
  <c r="L27" i="72"/>
  <c r="O27" i="72"/>
  <c r="M27" i="72"/>
  <c r="Y27" i="72"/>
  <c r="W27" i="72"/>
  <c r="U27" i="72"/>
  <c r="S27" i="72"/>
  <c r="Q27" i="72"/>
  <c r="N27" i="72"/>
  <c r="Z27" i="72"/>
  <c r="AG27" i="72"/>
  <c r="AA27" i="72"/>
  <c r="X27" i="72"/>
  <c r="V27" i="72"/>
  <c r="T27" i="72"/>
  <c r="R27" i="72"/>
  <c r="P27" i="72"/>
  <c r="AF27" i="72"/>
  <c r="AB27" i="72"/>
  <c r="AE27" i="72"/>
  <c r="AD27" i="72"/>
  <c r="AC27" i="72"/>
  <c r="Y32" i="88"/>
  <c r="Z25" i="88"/>
  <c r="Z28" i="88" s="1"/>
  <c r="A17" i="75"/>
  <c r="A18" i="75" s="1"/>
  <c r="A19" i="75" s="1"/>
  <c r="A20" i="75" s="1"/>
  <c r="A21" i="75" s="1"/>
  <c r="A22" i="75" s="1"/>
  <c r="A23" i="75" s="1"/>
  <c r="C58" i="43"/>
  <c r="G67" i="43"/>
  <c r="G66" i="43"/>
  <c r="G65" i="43"/>
  <c r="G64" i="43"/>
  <c r="G63" i="43"/>
  <c r="G62" i="43"/>
  <c r="G61" i="43"/>
  <c r="G60" i="43"/>
  <c r="G59" i="43"/>
  <c r="C60" i="43"/>
  <c r="C61" i="43"/>
  <c r="C62" i="43"/>
  <c r="C63" i="43"/>
  <c r="C64" i="43"/>
  <c r="C65" i="43"/>
  <c r="C66" i="43"/>
  <c r="C67" i="43"/>
  <c r="C59" i="43"/>
  <c r="AA25" i="88" l="1"/>
  <c r="AA28" i="88" s="1"/>
  <c r="Z32" i="88"/>
  <c r="A24" i="75"/>
  <c r="A25" i="75" s="1"/>
  <c r="A99" i="75"/>
  <c r="H99" i="75" s="1"/>
  <c r="D91" i="75"/>
  <c r="AA32" i="88" l="1"/>
  <c r="AB25" i="88"/>
  <c r="AB28" i="88" s="1"/>
  <c r="N7" i="68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B32" i="88" l="1"/>
  <c r="AC25" i="88"/>
  <c r="AC28" i="88" s="1"/>
  <c r="AC7" i="81"/>
  <c r="AC42" i="81" s="1"/>
  <c r="AC7" i="73"/>
  <c r="AC42" i="73" s="1"/>
  <c r="AD7" i="68"/>
  <c r="AC7" i="82"/>
  <c r="AC42" i="68"/>
  <c r="AC7" i="72"/>
  <c r="AC42" i="72" s="1"/>
  <c r="AD25" i="88" l="1"/>
  <c r="AD28" i="88" s="1"/>
  <c r="AC32" i="88"/>
  <c r="AC42" i="82"/>
  <c r="AD7" i="81"/>
  <c r="AD42" i="81" s="1"/>
  <c r="AD7" i="73"/>
  <c r="AD42" i="73" s="1"/>
  <c r="AD42" i="68"/>
  <c r="AE7" i="68"/>
  <c r="AD7" i="82"/>
  <c r="AD7" i="72"/>
  <c r="AD42" i="72" s="1"/>
  <c r="AE25" i="88" l="1"/>
  <c r="AE28" i="88" s="1"/>
  <c r="AD32" i="88"/>
  <c r="AE7" i="8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AE32" i="88" l="1"/>
  <c r="AF25" i="88"/>
  <c r="AF28" i="88" s="1"/>
  <c r="AE42" i="73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AG25" i="88" l="1"/>
  <c r="AG28" i="88" s="1"/>
  <c r="AF32" i="88"/>
  <c r="AG7" i="81"/>
  <c r="AG42" i="81" s="1"/>
  <c r="AG7" i="73"/>
  <c r="AG7" i="82"/>
  <c r="AG42" i="68"/>
  <c r="AG7" i="72"/>
  <c r="AG42" i="72" s="1"/>
  <c r="AF42" i="82"/>
  <c r="D17" i="75"/>
  <c r="H92" i="75"/>
  <c r="D16" i="75"/>
  <c r="AG32" i="88" l="1"/>
  <c r="AG42" i="73"/>
  <c r="AG42" i="82"/>
  <c r="AB84" i="68" l="1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I72" i="68" l="1" a="1"/>
  <c r="I72" i="68" s="1"/>
  <c r="I73" i="68" a="1"/>
  <c r="I73" i="68" s="1"/>
  <c r="I80" i="68" s="1"/>
  <c r="I82" i="68" s="1"/>
  <c r="I107" i="68" s="1"/>
  <c r="I74" i="68" a="1"/>
  <c r="I74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I72" i="82" l="1" a="1"/>
  <c r="I72" i="82" s="1"/>
  <c r="I74" i="82" a="1"/>
  <c r="I74" i="82" s="1"/>
  <c r="I73" i="82" a="1"/>
  <c r="I73" i="82" s="1"/>
  <c r="C13" i="47"/>
  <c r="D43" i="75"/>
  <c r="C64" i="72"/>
  <c r="F13" i="47" l="1"/>
  <c r="D35" i="62"/>
  <c r="D13" i="47"/>
  <c r="A4" i="82" s="1"/>
  <c r="I80" i="82"/>
  <c r="I82" i="82" s="1"/>
  <c r="I107" i="82" s="1"/>
  <c r="D44" i="75"/>
  <c r="C34" i="75" l="1"/>
  <c r="G29" i="33"/>
  <c r="H29" i="33"/>
  <c r="I29" i="33"/>
  <c r="J29" i="33"/>
  <c r="F29" i="33"/>
  <c r="A7" i="81"/>
  <c r="I6" i="81"/>
  <c r="A6" i="81"/>
  <c r="I72" i="81" l="1" a="1"/>
  <c r="I72" i="81" s="1"/>
  <c r="J77" i="81" s="1"/>
  <c r="I73" i="81" a="1"/>
  <c r="I73" i="81" s="1"/>
  <c r="J78" i="81" s="1"/>
  <c r="I74" i="81" a="1"/>
  <c r="I74" i="81" s="1"/>
  <c r="D72" i="75"/>
  <c r="D58" i="75"/>
  <c r="D46" i="75"/>
  <c r="D30" i="75"/>
  <c r="C10" i="47"/>
  <c r="F10" i="47" s="1"/>
  <c r="D32" i="62" l="1"/>
  <c r="D10" i="47"/>
  <c r="A4" i="81" s="1"/>
  <c r="I80" i="81"/>
  <c r="D65" i="75"/>
  <c r="D79" i="75"/>
  <c r="D37" i="75"/>
  <c r="D47" i="75"/>
  <c r="I82" i="81" l="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I74" i="73" l="1" a="1"/>
  <c r="I74" i="73" s="1"/>
  <c r="I72" i="73" a="1"/>
  <c r="I72" i="73" s="1"/>
  <c r="I73" i="73" a="1"/>
  <c r="I73" i="73" s="1"/>
  <c r="I72" i="72" a="1"/>
  <c r="I72" i="72" s="1"/>
  <c r="J77" i="72" s="1"/>
  <c r="I74" i="72" a="1"/>
  <c r="I74" i="72" s="1"/>
  <c r="I73" i="72" a="1"/>
  <c r="I73" i="72" s="1"/>
  <c r="J78" i="72" s="1"/>
  <c r="D49" i="75"/>
  <c r="I80" i="73" l="1"/>
  <c r="D51" i="75"/>
  <c r="D50" i="75"/>
  <c r="I82" i="73" l="1"/>
  <c r="I107" i="73" s="1"/>
  <c r="D53" i="75"/>
  <c r="D52" i="75"/>
  <c r="C43" i="62" l="1"/>
  <c r="D76" i="75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G74" i="33" s="1"/>
  <c r="F97" i="85"/>
  <c r="I74" i="33" s="1"/>
  <c r="F96" i="85"/>
  <c r="F93" i="85"/>
  <c r="F91" i="85"/>
  <c r="F90" i="85"/>
  <c r="G93" i="85"/>
  <c r="G94" i="85"/>
  <c r="G92" i="85"/>
  <c r="D98" i="85"/>
  <c r="G75" i="33" s="1"/>
  <c r="G90" i="85"/>
  <c r="F98" i="85"/>
  <c r="I75" i="33" s="1"/>
  <c r="F95" i="85"/>
  <c r="F92" i="85"/>
  <c r="E98" i="85"/>
  <c r="D96" i="85"/>
  <c r="G73" i="33" s="1"/>
  <c r="F94" i="85"/>
  <c r="E97" i="85"/>
  <c r="G98" i="85"/>
  <c r="J75" i="33" s="1"/>
  <c r="G96" i="85"/>
  <c r="E96" i="85"/>
  <c r="G91" i="85"/>
  <c r="G97" i="85"/>
  <c r="J74" i="33" s="1"/>
  <c r="G95" i="85"/>
  <c r="C88" i="85"/>
  <c r="J74" i="68" a="1"/>
  <c r="J74" i="68" s="1"/>
  <c r="J72" i="68" a="1"/>
  <c r="J72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88" i="85" l="1"/>
  <c r="K97" i="85" s="1"/>
  <c r="L74" i="33" s="1"/>
  <c r="C98" i="85"/>
  <c r="F75" i="33" s="1"/>
  <c r="C97" i="85"/>
  <c r="F74" i="33" s="1"/>
  <c r="C96" i="85"/>
  <c r="F73" i="33" s="1"/>
  <c r="K6" i="82"/>
  <c r="K72" i="68" a="1"/>
  <c r="K72" i="68" s="1"/>
  <c r="K73" i="68" a="1"/>
  <c r="K73" i="68" s="1"/>
  <c r="K74" i="68" a="1"/>
  <c r="K74" i="68" s="1"/>
  <c r="J72" i="82" a="1"/>
  <c r="J72" i="82" s="1"/>
  <c r="J74" i="82" a="1"/>
  <c r="J74" i="82" s="1"/>
  <c r="J73" i="82" a="1"/>
  <c r="J73" i="82" s="1"/>
  <c r="J74" i="73" a="1"/>
  <c r="J74" i="73" s="1"/>
  <c r="J73" i="73" a="1"/>
  <c r="J73" i="73" s="1"/>
  <c r="J72" i="73" a="1"/>
  <c r="J72" i="73" s="1"/>
  <c r="J73" i="81" a="1"/>
  <c r="J73" i="81" s="1"/>
  <c r="K78" i="81" s="1"/>
  <c r="J72" i="81" a="1"/>
  <c r="J72" i="81" s="1"/>
  <c r="K77" i="81" s="1"/>
  <c r="J74" i="81" a="1"/>
  <c r="J74" i="81" s="1"/>
  <c r="J73" i="72" a="1"/>
  <c r="J73" i="72" s="1"/>
  <c r="K78" i="72" s="1"/>
  <c r="J72" i="72" a="1"/>
  <c r="J72" i="72" s="1"/>
  <c r="K77" i="72" s="1"/>
  <c r="J74" i="72" a="1"/>
  <c r="J74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2" i="68" a="1"/>
  <c r="L72" i="68" s="1"/>
  <c r="L73" i="68" a="1"/>
  <c r="L73" i="68" s="1"/>
  <c r="L74" i="68" a="1"/>
  <c r="L74" i="68" s="1"/>
  <c r="K74" i="73" a="1"/>
  <c r="K74" i="73" s="1"/>
  <c r="K72" i="73" a="1"/>
  <c r="K72" i="73" s="1"/>
  <c r="K73" i="73" a="1"/>
  <c r="K73" i="73" s="1"/>
  <c r="K73" i="81" a="1"/>
  <c r="K73" i="81" s="1"/>
  <c r="L78" i="81" s="1"/>
  <c r="K72" i="81" a="1"/>
  <c r="K72" i="81" s="1"/>
  <c r="L77" i="81" s="1"/>
  <c r="K74" i="81" a="1"/>
  <c r="K74" i="81" s="1"/>
  <c r="K73" i="82" a="1"/>
  <c r="K73" i="82" s="1"/>
  <c r="K72" i="82" a="1"/>
  <c r="K72" i="82" s="1"/>
  <c r="K80" i="82" s="1"/>
  <c r="K82" i="82" s="1"/>
  <c r="K107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J82" i="73" l="1"/>
  <c r="J107" i="73" s="1"/>
  <c r="J82" i="81"/>
  <c r="J107" i="81" s="1"/>
  <c r="L74" i="82" a="1"/>
  <c r="L74" i="82" s="1"/>
  <c r="L72" i="82" a="1"/>
  <c r="L72" i="82" s="1"/>
  <c r="L73" i="82" a="1"/>
  <c r="L73" i="82" s="1"/>
  <c r="M72" i="68" a="1"/>
  <c r="M72" i="68" s="1"/>
  <c r="M74" i="68" a="1"/>
  <c r="M74" i="68" s="1"/>
  <c r="M73" i="68" a="1"/>
  <c r="M73" i="68" s="1"/>
  <c r="L72" i="73" a="1"/>
  <c r="L72" i="73" s="1"/>
  <c r="L73" i="73" a="1"/>
  <c r="L73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L74" i="81" a="1"/>
  <c r="L74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M72" i="82" a="1"/>
  <c r="M72" i="82" s="1"/>
  <c r="M73" i="82" a="1"/>
  <c r="M73" i="82" s="1"/>
  <c r="M72" i="73" a="1"/>
  <c r="M72" i="73" s="1"/>
  <c r="M73" i="73" a="1"/>
  <c r="M73" i="73" s="1"/>
  <c r="M74" i="73" a="1"/>
  <c r="M74" i="73" s="1"/>
  <c r="M74" i="81" a="1"/>
  <c r="M74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4" i="68" a="1"/>
  <c r="N74" i="68" s="1"/>
  <c r="N73" i="68" a="1"/>
  <c r="N73" i="68" s="1"/>
  <c r="N72" i="68" a="1"/>
  <c r="N72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N72" i="72" a="1"/>
  <c r="N72" i="72" s="1"/>
  <c r="O77" i="72" s="1"/>
  <c r="N74" i="73" a="1"/>
  <c r="N74" i="73" s="1"/>
  <c r="N72" i="73" a="1"/>
  <c r="N72" i="73" s="1"/>
  <c r="N73" i="73" a="1"/>
  <c r="N73" i="73" s="1"/>
  <c r="N73" i="81" a="1"/>
  <c r="N73" i="81" s="1"/>
  <c r="O78" i="81" s="1"/>
  <c r="N74" i="81" a="1"/>
  <c r="N74" i="81" s="1"/>
  <c r="N72" i="81" a="1"/>
  <c r="N72" i="81" s="1"/>
  <c r="O77" i="81" s="1"/>
  <c r="O72" i="68" a="1"/>
  <c r="O72" i="68" s="1"/>
  <c r="O74" i="68" a="1"/>
  <c r="O74" i="68" s="1"/>
  <c r="O73" i="68" a="1"/>
  <c r="O73" i="68" s="1"/>
  <c r="N73" i="82" a="1"/>
  <c r="N73" i="82" s="1"/>
  <c r="N74" i="82" a="1"/>
  <c r="N74" i="82" s="1"/>
  <c r="N72" i="82" a="1"/>
  <c r="N72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O73" i="81" a="1"/>
  <c r="O73" i="81" s="1"/>
  <c r="P78" i="81" s="1"/>
  <c r="O73" i="73" a="1"/>
  <c r="O73" i="73" s="1"/>
  <c r="O72" i="73" a="1"/>
  <c r="O72" i="73" s="1"/>
  <c r="O74" i="73" a="1"/>
  <c r="O74" i="73" s="1"/>
  <c r="P73" i="68" a="1"/>
  <c r="P73" i="68" s="1"/>
  <c r="P74" i="68" a="1"/>
  <c r="P74" i="68" s="1"/>
  <c r="P72" i="68" a="1"/>
  <c r="P72" i="68" s="1"/>
  <c r="O72" i="82" a="1"/>
  <c r="O72" i="82" s="1"/>
  <c r="O73" i="82" a="1"/>
  <c r="O73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P72" i="81" a="1"/>
  <c r="P72" i="81" s="1"/>
  <c r="Q77" i="81" s="1"/>
  <c r="P74" i="81" a="1"/>
  <c r="P74" i="81" s="1"/>
  <c r="P73" i="81" a="1"/>
  <c r="P73" i="81" s="1"/>
  <c r="Q78" i="81" s="1"/>
  <c r="P74" i="73" a="1"/>
  <c r="P74" i="73" s="1"/>
  <c r="P73" i="73" a="1"/>
  <c r="P73" i="73" s="1"/>
  <c r="P72" i="73" a="1"/>
  <c r="P72" i="73" s="1"/>
  <c r="P74" i="82" a="1"/>
  <c r="P74" i="82" s="1"/>
  <c r="P73" i="82" a="1"/>
  <c r="P73" i="82" s="1"/>
  <c r="P72" i="82" a="1"/>
  <c r="P72" i="82" s="1"/>
  <c r="Q72" i="68" a="1"/>
  <c r="Q72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Q72" i="72" a="1"/>
  <c r="Q72" i="72" s="1"/>
  <c r="R77" i="72" s="1"/>
  <c r="Q72" i="73" a="1"/>
  <c r="Q72" i="73" s="1"/>
  <c r="Q74" i="73" a="1"/>
  <c r="Q74" i="73" s="1"/>
  <c r="Q73" i="73" a="1"/>
  <c r="Q73" i="73" s="1"/>
  <c r="Q73" i="82" a="1"/>
  <c r="Q73" i="82" s="1"/>
  <c r="Q72" i="82" a="1"/>
  <c r="Q72" i="82" s="1"/>
  <c r="Q74" i="82" a="1"/>
  <c r="Q74" i="82" s="1"/>
  <c r="Q73" i="81" a="1"/>
  <c r="Q73" i="81" s="1"/>
  <c r="R78" i="81" s="1"/>
  <c r="Q74" i="81" a="1"/>
  <c r="Q74" i="81" s="1"/>
  <c r="Q72" i="81" a="1"/>
  <c r="Q72" i="81" s="1"/>
  <c r="R77" i="81" s="1"/>
  <c r="R74" i="68" a="1"/>
  <c r="R74" i="68" s="1"/>
  <c r="R72" i="68" a="1"/>
  <c r="R72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R73" i="82" a="1"/>
  <c r="R73" i="82" s="1"/>
  <c r="R74" i="82" a="1"/>
  <c r="R74" i="82" s="1"/>
  <c r="R72" i="73" a="1"/>
  <c r="R72" i="73" s="1"/>
  <c r="R74" i="73" a="1"/>
  <c r="R74" i="73" s="1"/>
  <c r="R73" i="73" a="1"/>
  <c r="R73" i="73" s="1"/>
  <c r="R72" i="81" a="1"/>
  <c r="R72" i="81" s="1"/>
  <c r="S77" i="81" s="1"/>
  <c r="R73" i="81" a="1"/>
  <c r="R73" i="81" s="1"/>
  <c r="S78" i="81" s="1"/>
  <c r="R74" i="81" a="1"/>
  <c r="R74" i="81" s="1"/>
  <c r="R73" i="72" a="1"/>
  <c r="R73" i="72" s="1"/>
  <c r="S78" i="72" s="1"/>
  <c r="R72" i="72" a="1"/>
  <c r="R72" i="72" s="1"/>
  <c r="S77" i="72" s="1"/>
  <c r="R74" i="72" a="1"/>
  <c r="R74" i="72" s="1"/>
  <c r="S72" i="68" a="1"/>
  <c r="S72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S72" i="82" a="1"/>
  <c r="S72" i="82" s="1"/>
  <c r="S74" i="72" a="1"/>
  <c r="S74" i="72" s="1"/>
  <c r="S72" i="72" a="1"/>
  <c r="S72" i="72" s="1"/>
  <c r="T77" i="72" s="1"/>
  <c r="S73" i="72" a="1"/>
  <c r="S73" i="72" s="1"/>
  <c r="T78" i="72" s="1"/>
  <c r="S72" i="73" a="1"/>
  <c r="S72" i="73" s="1"/>
  <c r="S74" i="73" a="1"/>
  <c r="S74" i="73" s="1"/>
  <c r="S73" i="73" a="1"/>
  <c r="S73" i="73" s="1"/>
  <c r="S73" i="81" a="1"/>
  <c r="S73" i="81" s="1"/>
  <c r="T78" i="81" s="1"/>
  <c r="S74" i="81" a="1"/>
  <c r="S74" i="81" s="1"/>
  <c r="S72" i="81" a="1"/>
  <c r="S72" i="81" s="1"/>
  <c r="T77" i="81" s="1"/>
  <c r="T73" i="68" a="1"/>
  <c r="T73" i="68" s="1"/>
  <c r="T74" i="68" a="1"/>
  <c r="T74" i="68" s="1"/>
  <c r="T72" i="68" a="1"/>
  <c r="T72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U74" i="68" a="1"/>
  <c r="U74" i="68" s="1"/>
  <c r="U73" i="68" a="1"/>
  <c r="U73" i="68" s="1"/>
  <c r="T74" i="73" a="1"/>
  <c r="T74" i="73" s="1"/>
  <c r="T72" i="73" a="1"/>
  <c r="T72" i="73" s="1"/>
  <c r="T73" i="73" a="1"/>
  <c r="T73" i="73" s="1"/>
  <c r="T73" i="72" a="1"/>
  <c r="T73" i="72" s="1"/>
  <c r="U78" i="72" s="1"/>
  <c r="T72" i="72" a="1"/>
  <c r="T72" i="72" s="1"/>
  <c r="U77" i="72" s="1"/>
  <c r="T74" i="72" a="1"/>
  <c r="T74" i="72" s="1"/>
  <c r="T72" i="81" a="1"/>
  <c r="T72" i="81" s="1"/>
  <c r="U77" i="81" s="1"/>
  <c r="T73" i="81" a="1"/>
  <c r="T73" i="81" s="1"/>
  <c r="U78" i="81" s="1"/>
  <c r="T74" i="81" a="1"/>
  <c r="T74" i="81" s="1"/>
  <c r="T72" i="82" a="1"/>
  <c r="T72" i="82" s="1"/>
  <c r="T73" i="82" a="1"/>
  <c r="T73" i="82" s="1"/>
  <c r="T74" i="82" a="1"/>
  <c r="T74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U72" i="73" a="1"/>
  <c r="U72" i="73" s="1"/>
  <c r="U73" i="73" a="1"/>
  <c r="U73" i="73" s="1"/>
  <c r="U74" i="72" a="1"/>
  <c r="U74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U72" i="82" a="1"/>
  <c r="U72" i="82" s="1"/>
  <c r="U72" i="81" a="1"/>
  <c r="U72" i="81" s="1"/>
  <c r="V77" i="81" s="1"/>
  <c r="U73" i="81" a="1"/>
  <c r="U73" i="81" s="1"/>
  <c r="V78" i="81" s="1"/>
  <c r="U74" i="81" a="1"/>
  <c r="U74" i="81" s="1"/>
  <c r="V72" i="68" a="1"/>
  <c r="V72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H18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V72" i="82" a="1"/>
  <c r="V72" i="82" s="1"/>
  <c r="V73" i="82" a="1"/>
  <c r="V73" i="82" s="1"/>
  <c r="V74" i="82" a="1"/>
  <c r="V74" i="82" s="1"/>
  <c r="V73" i="73" a="1"/>
  <c r="V73" i="73" s="1"/>
  <c r="V72" i="73" a="1"/>
  <c r="V72" i="73" s="1"/>
  <c r="V74" i="73" a="1"/>
  <c r="V74" i="73" s="1"/>
  <c r="V74" i="81" a="1"/>
  <c r="V74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W73" i="82" a="1"/>
  <c r="W73" i="82" s="1"/>
  <c r="W72" i="82" a="1"/>
  <c r="W72" i="82" s="1"/>
  <c r="W73" i="72" a="1"/>
  <c r="W73" i="72" s="1"/>
  <c r="X78" i="72" s="1"/>
  <c r="W72" i="72" a="1"/>
  <c r="W72" i="72" s="1"/>
  <c r="X77" i="72" s="1"/>
  <c r="W74" i="72" a="1"/>
  <c r="W74" i="72" s="1"/>
  <c r="W73" i="81" a="1"/>
  <c r="W73" i="81" s="1"/>
  <c r="X78" i="81" s="1"/>
  <c r="W72" i="81" a="1"/>
  <c r="W72" i="81" s="1"/>
  <c r="X77" i="81" s="1"/>
  <c r="W74" i="81" a="1"/>
  <c r="W74" i="81" s="1"/>
  <c r="X73" i="68" a="1"/>
  <c r="X73" i="68" s="1"/>
  <c r="X72" i="68" a="1"/>
  <c r="X72" i="68" s="1"/>
  <c r="X74" i="68" a="1"/>
  <c r="X74" i="68" s="1"/>
  <c r="W72" i="73" a="1"/>
  <c r="W72" i="73" s="1"/>
  <c r="W74" i="73" a="1"/>
  <c r="W74" i="73" s="1"/>
  <c r="W73" i="73" a="1"/>
  <c r="W73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X72" i="82" a="1"/>
  <c r="X72" i="82" s="1"/>
  <c r="X73" i="82" a="1"/>
  <c r="X73" i="82" s="1"/>
  <c r="X74" i="73" a="1"/>
  <c r="X74" i="73" s="1"/>
  <c r="X73" i="73" a="1"/>
  <c r="X73" i="73" s="1"/>
  <c r="X72" i="73" a="1"/>
  <c r="X72" i="73" s="1"/>
  <c r="X73" i="72" a="1"/>
  <c r="X73" i="72" s="1"/>
  <c r="Y78" i="72" s="1"/>
  <c r="X72" i="72" a="1"/>
  <c r="X72" i="72" s="1"/>
  <c r="Y77" i="72" s="1"/>
  <c r="X74" i="72" a="1"/>
  <c r="X74" i="72" s="1"/>
  <c r="Y74" i="68" a="1"/>
  <c r="Y74" i="68" s="1"/>
  <c r="Y73" i="68" a="1"/>
  <c r="Y73" i="68" s="1"/>
  <c r="Y72" i="68" a="1"/>
  <c r="Y72" i="68" s="1"/>
  <c r="X72" i="81" a="1"/>
  <c r="X72" i="81" s="1"/>
  <c r="Y77" i="81" s="1"/>
  <c r="X74" i="81" a="1"/>
  <c r="X74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Y73" i="82" a="1"/>
  <c r="Y73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Y72" i="73" a="1"/>
  <c r="Y72" i="73" s="1"/>
  <c r="Y73" i="73" a="1"/>
  <c r="Y73" i="73" s="1"/>
  <c r="Y74" i="73" a="1"/>
  <c r="Y74" i="73" s="1"/>
  <c r="Y73" i="81" a="1"/>
  <c r="Y73" i="81" s="1"/>
  <c r="Z78" i="81" s="1"/>
  <c r="Y72" i="81" a="1"/>
  <c r="Y72" i="81" s="1"/>
  <c r="Z77" i="81" s="1"/>
  <c r="Y74" i="81" a="1"/>
  <c r="Y74" i="81" s="1"/>
  <c r="Z72" i="68" a="1"/>
  <c r="Z72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Z73" i="72" a="1"/>
  <c r="Z73" i="72" s="1"/>
  <c r="AA78" i="72" s="1"/>
  <c r="Z72" i="72" a="1"/>
  <c r="Z72" i="72" s="1"/>
  <c r="AA77" i="72" s="1"/>
  <c r="Z72" i="82" a="1"/>
  <c r="Z72" i="82" s="1"/>
  <c r="Z73" i="82" a="1"/>
  <c r="Z73" i="82" s="1"/>
  <c r="Z74" i="82" a="1"/>
  <c r="Z74" i="82" s="1"/>
  <c r="Z74" i="73" a="1"/>
  <c r="Z74" i="73" s="1"/>
  <c r="Z72" i="73" a="1"/>
  <c r="Z72" i="73" s="1"/>
  <c r="Z73" i="73" a="1"/>
  <c r="Z73" i="73" s="1"/>
  <c r="Z74" i="81" a="1"/>
  <c r="Z74" i="81" s="1"/>
  <c r="Z72" i="81" a="1"/>
  <c r="Z72" i="81" s="1"/>
  <c r="AA77" i="81" s="1"/>
  <c r="Z73" i="81" a="1"/>
  <c r="Z73" i="81" s="1"/>
  <c r="AA78" i="81" s="1"/>
  <c r="AA72" i="68" a="1"/>
  <c r="AA72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A74" i="73" a="1"/>
  <c r="AA74" i="73" s="1"/>
  <c r="AA73" i="73" a="1"/>
  <c r="AA73" i="73" s="1"/>
  <c r="AA73" i="81" a="1"/>
  <c r="AA73" i="81" s="1"/>
  <c r="AB78" i="81" s="1"/>
  <c r="AA74" i="81" a="1"/>
  <c r="AA74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A72" i="72" a="1"/>
  <c r="AA72" i="72" s="1"/>
  <c r="AB77" i="72" s="1"/>
  <c r="AA74" i="72" a="1"/>
  <c r="AA74" i="72" s="1"/>
  <c r="AA73" i="72" a="1"/>
  <c r="AA73" i="72" s="1"/>
  <c r="AB78" i="72" s="1"/>
  <c r="AA74" i="82" a="1"/>
  <c r="AA74" i="82" s="1"/>
  <c r="AA73" i="82" a="1"/>
  <c r="AA73" i="82" s="1"/>
  <c r="AA72" i="82" a="1"/>
  <c r="AA72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C72" i="73" a="1"/>
  <c r="AC72" i="73" s="1"/>
  <c r="AC80" i="73" s="1"/>
  <c r="AC74" i="73" a="1"/>
  <c r="AC74" i="73" s="1"/>
  <c r="AC73" i="73" a="1"/>
  <c r="AC73" i="73" s="1"/>
  <c r="AC6" i="72"/>
  <c r="AB74" i="82" a="1"/>
  <c r="AB74" i="82" s="1"/>
  <c r="AB73" i="82" a="1"/>
  <c r="AB73" i="82" s="1"/>
  <c r="AB72" i="82" a="1"/>
  <c r="AB72" i="82" s="1"/>
  <c r="AC72" i="82" a="1"/>
  <c r="AC72" i="82" s="1"/>
  <c r="AC80" i="82" s="1"/>
  <c r="AC82" i="82" s="1"/>
  <c r="AC107" i="82" s="1"/>
  <c r="AC74" i="82" a="1"/>
  <c r="AC74" i="82" s="1"/>
  <c r="AC72" i="68" a="1"/>
  <c r="AC72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B72" i="73" a="1"/>
  <c r="AB72" i="73" s="1"/>
  <c r="AD6" i="68"/>
  <c r="AB74" i="72" a="1"/>
  <c r="AB74" i="72" s="1"/>
  <c r="AB72" i="72" a="1"/>
  <c r="AB72" i="72" s="1"/>
  <c r="AC77" i="72" s="1"/>
  <c r="AB73" i="72" a="1"/>
  <c r="AB73" i="72" s="1"/>
  <c r="AC78" i="72" s="1"/>
  <c r="AB74" i="81" a="1"/>
  <c r="AB74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7" i="75" l="1"/>
  <c r="AC7" i="85" s="1"/>
  <c r="AC6" i="85"/>
  <c r="AA82" i="73"/>
  <c r="AA107" i="73" s="1"/>
  <c r="AC82" i="73"/>
  <c r="AC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D6" i="72"/>
  <c r="AD74" i="72" s="1" a="1"/>
  <c r="AD74" i="72" s="1"/>
  <c r="AC73" i="81" a="1"/>
  <c r="AC73" i="81" s="1"/>
  <c r="AD78" i="81" s="1"/>
  <c r="AC74" i="81" a="1"/>
  <c r="AC74" i="81" s="1"/>
  <c r="AC72" i="81" a="1"/>
  <c r="AC72" i="81" s="1"/>
  <c r="AD77" i="81" s="1"/>
  <c r="AE74" i="68" a="1"/>
  <c r="AE74" i="68" s="1"/>
  <c r="AE72" i="68" a="1"/>
  <c r="AE72" i="68" s="1"/>
  <c r="AE73" i="68" a="1"/>
  <c r="AE73" i="68" s="1"/>
  <c r="AE80" i="68" s="1"/>
  <c r="AE82" i="68" s="1"/>
  <c r="AE107" i="68" s="1"/>
  <c r="AC72" i="72" a="1"/>
  <c r="AC72" i="72" s="1"/>
  <c r="AD77" i="72" s="1"/>
  <c r="AC73" i="72" a="1"/>
  <c r="AC73" i="72" s="1"/>
  <c r="AD78" i="72" s="1"/>
  <c r="AC74" i="72" a="1"/>
  <c r="AC74" i="72" s="1"/>
  <c r="AD73" i="73" a="1"/>
  <c r="AD73" i="73" s="1"/>
  <c r="AD74" i="73" a="1"/>
  <c r="AD74" i="73" s="1"/>
  <c r="AD72" i="73" a="1"/>
  <c r="AD72" i="73" s="1"/>
  <c r="AD80" i="73" s="1"/>
  <c r="AD73" i="68" a="1"/>
  <c r="AD73" i="68" s="1"/>
  <c r="AD80" i="68" s="1"/>
  <c r="AD82" i="68" s="1"/>
  <c r="AD107" i="68" s="1"/>
  <c r="AD72" i="68" a="1"/>
  <c r="AD72" i="68" s="1"/>
  <c r="AD74" i="68" a="1"/>
  <c r="AD74" i="68" s="1"/>
  <c r="AB80" i="81"/>
  <c r="AE6" i="73"/>
  <c r="AF6" i="68"/>
  <c r="AF6" i="75" s="1"/>
  <c r="AE6" i="81"/>
  <c r="AE6" i="72"/>
  <c r="AE6" i="82"/>
  <c r="AB80" i="73"/>
  <c r="AB80" i="82"/>
  <c r="AB82" i="82" s="1"/>
  <c r="AB107" i="82" s="1"/>
  <c r="I9" i="75"/>
  <c r="I5" i="75" s="1"/>
  <c r="I9" i="82"/>
  <c r="I9" i="81"/>
  <c r="I9" i="73"/>
  <c r="I9" i="72"/>
  <c r="J9" i="68"/>
  <c r="J9" i="85" l="1"/>
  <c r="J24" i="88"/>
  <c r="AF7" i="75"/>
  <c r="AF7" i="85" s="1"/>
  <c r="AF6" i="85"/>
  <c r="AE7" i="75"/>
  <c r="AE7" i="85" s="1"/>
  <c r="AE6" i="85"/>
  <c r="AD7" i="75"/>
  <c r="AD7" i="85" s="1"/>
  <c r="AD6" i="85"/>
  <c r="AB82" i="73"/>
  <c r="AB107" i="73" s="1"/>
  <c r="AD82" i="73"/>
  <c r="AD107" i="73" s="1"/>
  <c r="I5" i="85"/>
  <c r="AB82" i="81"/>
  <c r="AB107" i="81" s="1"/>
  <c r="AD74" i="82" a="1"/>
  <c r="AD74" i="82" s="1"/>
  <c r="AD74" i="81" a="1"/>
  <c r="AD74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D80" i="82" s="1"/>
  <c r="AD82" i="82" s="1"/>
  <c r="AD107" i="82" s="1"/>
  <c r="AE74" i="82" a="1"/>
  <c r="AE74" i="82" s="1"/>
  <c r="AE72" i="82" a="1"/>
  <c r="AE72" i="82" s="1"/>
  <c r="AE80" i="82" s="1"/>
  <c r="AE82" i="82" s="1"/>
  <c r="AE107" i="82" s="1"/>
  <c r="AE73" i="82" a="1"/>
  <c r="AE73" i="82" s="1"/>
  <c r="AE72" i="81" a="1"/>
  <c r="AE72" i="81" s="1"/>
  <c r="AF77" i="81" s="1"/>
  <c r="AE74" i="81" a="1"/>
  <c r="AE74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F74" i="68" a="1"/>
  <c r="AF74" i="68" s="1"/>
  <c r="AE73" i="73" a="1"/>
  <c r="AE73" i="73" s="1"/>
  <c r="AE72" i="73" a="1"/>
  <c r="AE72" i="73" s="1"/>
  <c r="AE80" i="73" s="1"/>
  <c r="AE74" i="73" a="1"/>
  <c r="AE74" i="73" s="1"/>
  <c r="AE72" i="72" a="1"/>
  <c r="AE72" i="72" s="1"/>
  <c r="AF77" i="72" s="1"/>
  <c r="AE74" i="72" a="1"/>
  <c r="AE74" i="72" s="1"/>
  <c r="AE73" i="72" a="1"/>
  <c r="AE73" i="72" s="1"/>
  <c r="AF78" i="72" s="1"/>
  <c r="AF6" i="73"/>
  <c r="AG6" i="68"/>
  <c r="AG6" i="75" s="1"/>
  <c r="AF6" i="81"/>
  <c r="AF6" i="72"/>
  <c r="AF6" i="82"/>
  <c r="I88" i="75"/>
  <c r="I97" i="75" s="1"/>
  <c r="J9" i="75"/>
  <c r="J5" i="75" s="1"/>
  <c r="J9" i="82"/>
  <c r="J9" i="81"/>
  <c r="J9" i="72"/>
  <c r="J9" i="73"/>
  <c r="K9" i="68"/>
  <c r="K9" i="85" l="1"/>
  <c r="K24" i="88"/>
  <c r="AG7" i="75"/>
  <c r="AG7" i="85" s="1"/>
  <c r="AG6" i="85"/>
  <c r="AE82" i="73"/>
  <c r="AE107" i="73" s="1"/>
  <c r="J5" i="85"/>
  <c r="AC82" i="81"/>
  <c r="AC107" i="81" s="1"/>
  <c r="AD80" i="81"/>
  <c r="AF72" i="82" a="1"/>
  <c r="AF72" i="82" s="1"/>
  <c r="AF80" i="82" s="1"/>
  <c r="AF82" i="82" s="1"/>
  <c r="AF107" i="82" s="1"/>
  <c r="AF74" i="82" a="1"/>
  <c r="AF74" i="82" s="1"/>
  <c r="AF73" i="82" a="1"/>
  <c r="AF73" i="82" s="1"/>
  <c r="AF74" i="72" a="1"/>
  <c r="AF74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4" i="68" a="1"/>
  <c r="AG74" i="68" s="1"/>
  <c r="AG73" i="68" a="1"/>
  <c r="AG73" i="68" s="1"/>
  <c r="AG80" i="68" s="1"/>
  <c r="AG82" i="68" s="1"/>
  <c r="AG107" i="68" s="1"/>
  <c r="AG72" i="68" a="1"/>
  <c r="AG72" i="68" s="1"/>
  <c r="AF74" i="73" a="1"/>
  <c r="AF74" i="73" s="1"/>
  <c r="AF73" i="73" a="1"/>
  <c r="AF73" i="73" s="1"/>
  <c r="AF72" i="73" a="1"/>
  <c r="AF72" i="73" s="1"/>
  <c r="AF80" i="73" s="1"/>
  <c r="AE80" i="81"/>
  <c r="AG6" i="73"/>
  <c r="AG6" i="81"/>
  <c r="AG6" i="72"/>
  <c r="AG6" i="82"/>
  <c r="J88" i="75"/>
  <c r="J97" i="75" s="1"/>
  <c r="K9" i="75"/>
  <c r="K5" i="75" s="1"/>
  <c r="K9" i="82"/>
  <c r="K9" i="81"/>
  <c r="L9" i="68"/>
  <c r="K9" i="72"/>
  <c r="K9" i="73"/>
  <c r="L9" i="85" l="1"/>
  <c r="L24" i="88"/>
  <c r="AF82" i="73"/>
  <c r="AF107" i="73" s="1"/>
  <c r="K5" i="85"/>
  <c r="AD82" i="81"/>
  <c r="AD107" i="81" s="1"/>
  <c r="AE82" i="81"/>
  <c r="AE107" i="81" s="1"/>
  <c r="AG74" i="82" a="1"/>
  <c r="AG74" i="82" s="1"/>
  <c r="AG72" i="82" a="1"/>
  <c r="AG72" i="82" s="1"/>
  <c r="AG80" i="82" s="1"/>
  <c r="AG82" i="82" s="1"/>
  <c r="AG107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G80" i="73" s="1"/>
  <c r="AF80" i="81"/>
  <c r="K88" i="75"/>
  <c r="K97" i="75" s="1"/>
  <c r="L9" i="75"/>
  <c r="L5" i="75" s="1"/>
  <c r="L9" i="82"/>
  <c r="L9" i="81"/>
  <c r="M9" i="68"/>
  <c r="L9" i="73"/>
  <c r="L9" i="72"/>
  <c r="M9" i="85" l="1"/>
  <c r="M24" i="88"/>
  <c r="AG82" i="73"/>
  <c r="AG107" i="73" s="1"/>
  <c r="L5" i="85"/>
  <c r="AF82" i="81"/>
  <c r="AF107" i="81" s="1"/>
  <c r="AG80" i="81"/>
  <c r="L88" i="75"/>
  <c r="L97" i="75" s="1"/>
  <c r="M9" i="75"/>
  <c r="M5" i="75" s="1"/>
  <c r="M9" i="82"/>
  <c r="M9" i="81"/>
  <c r="N9" i="68"/>
  <c r="M9" i="73"/>
  <c r="M9" i="72"/>
  <c r="N9" i="85" l="1"/>
  <c r="N24" i="88"/>
  <c r="M5" i="85"/>
  <c r="AG82" i="81"/>
  <c r="AG107" i="81" s="1"/>
  <c r="M88" i="75"/>
  <c r="M97" i="75" s="1"/>
  <c r="N9" i="75"/>
  <c r="N5" i="75" s="1"/>
  <c r="N9" i="82"/>
  <c r="N9" i="81"/>
  <c r="O9" i="68"/>
  <c r="N9" i="73"/>
  <c r="N9" i="72"/>
  <c r="O9" i="85" l="1"/>
  <c r="O24" i="88"/>
  <c r="N5" i="85"/>
  <c r="N88" i="75"/>
  <c r="N97" i="75" s="1"/>
  <c r="O9" i="75"/>
  <c r="O5" i="75" s="1"/>
  <c r="O9" i="82"/>
  <c r="O9" i="81"/>
  <c r="P9" i="68"/>
  <c r="O9" i="73"/>
  <c r="O9" i="72"/>
  <c r="P9" i="85" l="1"/>
  <c r="P24" i="88"/>
  <c r="O5" i="85"/>
  <c r="O88" i="75"/>
  <c r="O97" i="75" s="1"/>
  <c r="P9" i="75"/>
  <c r="P5" i="75" s="1"/>
  <c r="P9" i="82"/>
  <c r="P9" i="81"/>
  <c r="Q9" i="68"/>
  <c r="P9" i="73"/>
  <c r="P9" i="72"/>
  <c r="Q9" i="85" l="1"/>
  <c r="Q24" i="88"/>
  <c r="P5" i="85"/>
  <c r="P88" i="75"/>
  <c r="P97" i="75" s="1"/>
  <c r="Q9" i="75"/>
  <c r="Q5" i="75" s="1"/>
  <c r="Q9" i="82"/>
  <c r="Q9" i="81"/>
  <c r="R9" i="68"/>
  <c r="Q9" i="73"/>
  <c r="Q9" i="72"/>
  <c r="R9" i="85" l="1"/>
  <c r="R24" i="88"/>
  <c r="Q5" i="85"/>
  <c r="Q88" i="75"/>
  <c r="Q97" i="75" s="1"/>
  <c r="R9" i="75"/>
  <c r="R5" i="75" s="1"/>
  <c r="R9" i="82"/>
  <c r="R9" i="81"/>
  <c r="S9" i="68"/>
  <c r="R9" i="72"/>
  <c r="R9" i="73"/>
  <c r="S9" i="85" l="1"/>
  <c r="S24" i="88"/>
  <c r="R5" i="85"/>
  <c r="R88" i="75"/>
  <c r="R97" i="75" s="1"/>
  <c r="S9" i="75"/>
  <c r="S5" i="75" s="1"/>
  <c r="S9" i="82"/>
  <c r="S9" i="81"/>
  <c r="T9" i="68"/>
  <c r="S9" i="72"/>
  <c r="S9" i="73"/>
  <c r="T9" i="85" l="1"/>
  <c r="T24" i="88"/>
  <c r="S5" i="85"/>
  <c r="S88" i="75"/>
  <c r="S97" i="75" s="1"/>
  <c r="T9" i="75"/>
  <c r="T5" i="75" s="1"/>
  <c r="T9" i="82"/>
  <c r="T9" i="81"/>
  <c r="U9" i="68"/>
  <c r="T9" i="73"/>
  <c r="T9" i="72"/>
  <c r="U9" i="85" l="1"/>
  <c r="U24" i="88"/>
  <c r="T5" i="85"/>
  <c r="T88" i="75"/>
  <c r="T97" i="75" s="1"/>
  <c r="U9" i="75"/>
  <c r="U5" i="75" s="1"/>
  <c r="U9" i="82"/>
  <c r="U9" i="81"/>
  <c r="V9" i="68"/>
  <c r="U9" i="72"/>
  <c r="U9" i="73"/>
  <c r="V9" i="85" l="1"/>
  <c r="V24" i="88"/>
  <c r="U5" i="85"/>
  <c r="U88" i="75"/>
  <c r="U97" i="75" s="1"/>
  <c r="V9" i="75"/>
  <c r="V5" i="75" s="1"/>
  <c r="V9" i="82"/>
  <c r="V9" i="81"/>
  <c r="W9" i="68"/>
  <c r="V9" i="73"/>
  <c r="V9" i="72"/>
  <c r="W9" i="85" l="1"/>
  <c r="W24" i="88"/>
  <c r="V5" i="85"/>
  <c r="V88" i="75"/>
  <c r="V97" i="75" s="1"/>
  <c r="W9" i="75"/>
  <c r="W5" i="75" s="1"/>
  <c r="W9" i="82"/>
  <c r="W9" i="81"/>
  <c r="X9" i="68"/>
  <c r="W9" i="73"/>
  <c r="W9" i="72"/>
  <c r="X9" i="85" l="1"/>
  <c r="X24" i="88"/>
  <c r="W5" i="85"/>
  <c r="W88" i="75"/>
  <c r="W97" i="75" s="1"/>
  <c r="X9" i="75"/>
  <c r="X5" i="75" s="1"/>
  <c r="X9" i="82"/>
  <c r="X9" i="81"/>
  <c r="Y9" i="68"/>
  <c r="X9" i="73"/>
  <c r="X9" i="72"/>
  <c r="Y9" i="85" l="1"/>
  <c r="Y24" i="88"/>
  <c r="X5" i="85"/>
  <c r="X88" i="75"/>
  <c r="X97" i="75" s="1"/>
  <c r="Y9" i="75"/>
  <c r="Y5" i="75" s="1"/>
  <c r="Y9" i="82"/>
  <c r="Y9" i="81"/>
  <c r="Z9" i="68"/>
  <c r="Y9" i="73"/>
  <c r="Y9" i="72"/>
  <c r="Z9" i="85" l="1"/>
  <c r="Z24" i="88"/>
  <c r="Y5" i="85"/>
  <c r="Y88" i="75"/>
  <c r="Y97" i="75" s="1"/>
  <c r="Z9" i="75"/>
  <c r="Z5" i="75" s="1"/>
  <c r="Z9" i="82"/>
  <c r="Z9" i="81"/>
  <c r="AA9" i="68"/>
  <c r="Z9" i="72"/>
  <c r="Z9" i="73"/>
  <c r="AA9" i="85" l="1"/>
  <c r="AA24" i="88"/>
  <c r="Z5" i="85"/>
  <c r="Z88" i="75"/>
  <c r="Z97" i="75" s="1"/>
  <c r="AA9" i="75"/>
  <c r="AA5" i="75" s="1"/>
  <c r="AA9" i="82"/>
  <c r="AA9" i="81"/>
  <c r="AB9" i="68"/>
  <c r="AA9" i="72"/>
  <c r="AA9" i="73"/>
  <c r="AB9" i="85" l="1"/>
  <c r="AB24" i="88"/>
  <c r="AA5" i="85"/>
  <c r="AC9" i="68"/>
  <c r="AA88" i="75"/>
  <c r="AA97" i="75" s="1"/>
  <c r="AB9" i="75"/>
  <c r="AB5" i="75" s="1"/>
  <c r="AB9" i="82"/>
  <c r="AB9" i="81"/>
  <c r="AB9" i="73"/>
  <c r="AB9" i="72"/>
  <c r="AC9" i="85" l="1"/>
  <c r="AC24" i="88"/>
  <c r="AC9" i="75"/>
  <c r="AC88" i="75" s="1"/>
  <c r="AC97" i="75" s="1"/>
  <c r="AC9" i="72"/>
  <c r="AC9" i="73"/>
  <c r="AD9" i="68"/>
  <c r="AC9" i="81"/>
  <c r="AC9" i="82"/>
  <c r="AB88" i="75"/>
  <c r="AB97" i="75" s="1"/>
  <c r="AD9" i="85" l="1"/>
  <c r="AD24" i="88"/>
  <c r="AC5" i="75"/>
  <c r="AC5" i="85" s="1"/>
  <c r="AB5" i="85"/>
  <c r="AD9" i="82"/>
  <c r="AD9" i="72"/>
  <c r="AD9" i="75"/>
  <c r="AD9" i="73"/>
  <c r="AD9" i="81"/>
  <c r="AE9" i="68"/>
  <c r="C98" i="43"/>
  <c r="C99" i="43"/>
  <c r="C100" i="43"/>
  <c r="C101" i="43"/>
  <c r="C102" i="43"/>
  <c r="C103" i="43"/>
  <c r="C104" i="43"/>
  <c r="C105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E9" i="85" l="1"/>
  <c r="AE24" i="88"/>
  <c r="AD5" i="75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G8" i="33"/>
  <c r="AF9" i="85" l="1"/>
  <c r="AF24" i="88"/>
  <c r="AE5" i="75"/>
  <c r="AE5" i="85" s="1"/>
  <c r="AF9" i="82"/>
  <c r="AF9" i="81"/>
  <c r="AF9" i="75"/>
  <c r="AF9" i="72"/>
  <c r="AF9" i="73"/>
  <c r="AG9" i="68"/>
  <c r="AG9" i="85" l="1"/>
  <c r="AG24" i="88"/>
  <c r="AF5" i="75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C14" i="43" l="1" a="1"/>
  <c r="G27" i="43"/>
  <c r="H94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6" i="43"/>
  <c r="H82" i="43"/>
  <c r="H83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9" i="43"/>
  <c r="H100" i="43"/>
  <c r="H101" i="43"/>
  <c r="H102" i="43"/>
  <c r="H103" i="43"/>
  <c r="H104" i="43"/>
  <c r="H105" i="43"/>
  <c r="H98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G112" i="68" s="1" a="1"/>
  <c r="AG112" i="68" s="1"/>
  <c r="AG18" i="85" s="1"/>
  <c r="AF87" i="68"/>
  <c r="AF106" i="68" s="1"/>
  <c r="AF112" i="68" s="1" a="1"/>
  <c r="AF112" i="68" s="1"/>
  <c r="AF18" i="85" s="1"/>
  <c r="AE87" i="68"/>
  <c r="AE106" i="68" s="1"/>
  <c r="AE112" i="68" s="1" a="1"/>
  <c r="AE112" i="68" s="1"/>
  <c r="AE18" i="85" s="1"/>
  <c r="AD87" i="68"/>
  <c r="AD106" i="68" s="1"/>
  <c r="AD112" i="68" s="1" a="1"/>
  <c r="AD112" i="68" s="1"/>
  <c r="AD18" i="85" s="1"/>
  <c r="AC87" i="68"/>
  <c r="AC106" i="68" s="1"/>
  <c r="AC112" i="68" s="1" a="1"/>
  <c r="AC112" i="68" s="1"/>
  <c r="AC18" i="85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0" i="68" a="1"/>
  <c r="AE110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X112" i="68" s="1" a="1"/>
  <c r="X112" i="68" s="1"/>
  <c r="X18" i="85" s="1"/>
  <c r="M87" i="68"/>
  <c r="M106" i="68" s="1"/>
  <c r="M112" i="68" s="1" a="1"/>
  <c r="M112" i="68" s="1"/>
  <c r="M18" i="85" s="1"/>
  <c r="K87" i="68"/>
  <c r="K106" i="68" s="1"/>
  <c r="K112" i="68" s="1" a="1"/>
  <c r="K112" i="68" s="1"/>
  <c r="K18" i="85" s="1"/>
  <c r="U87" i="68"/>
  <c r="U106" i="68" s="1"/>
  <c r="U112" i="68" s="1" a="1"/>
  <c r="U112" i="68" s="1"/>
  <c r="U18" i="85" s="1"/>
  <c r="Q87" i="68"/>
  <c r="Q106" i="68" s="1"/>
  <c r="Q112" i="68" s="1" a="1"/>
  <c r="Q112" i="68" s="1"/>
  <c r="Q18" i="85" s="1"/>
  <c r="Z87" i="68"/>
  <c r="Z106" i="68" s="1"/>
  <c r="Z112" i="68" s="1" a="1"/>
  <c r="Z112" i="68" s="1"/>
  <c r="Z18" i="85" s="1"/>
  <c r="Y87" i="68"/>
  <c r="Y106" i="68" s="1"/>
  <c r="Y112" i="68" s="1" a="1"/>
  <c r="Y112" i="68" s="1"/>
  <c r="Y18" i="85" s="1"/>
  <c r="N87" i="68"/>
  <c r="N106" i="68" s="1"/>
  <c r="N112" i="68" s="1" a="1"/>
  <c r="N112" i="68" s="1"/>
  <c r="N18" i="85" s="1"/>
  <c r="AA87" i="68"/>
  <c r="AA106" i="68" s="1"/>
  <c r="AA112" i="68" s="1" a="1"/>
  <c r="AA112" i="68" s="1"/>
  <c r="AA18" i="85" s="1"/>
  <c r="V87" i="68"/>
  <c r="V106" i="68" s="1"/>
  <c r="V112" i="68" s="1" a="1"/>
  <c r="V112" i="68" s="1"/>
  <c r="V18" i="85" s="1"/>
  <c r="P87" i="68"/>
  <c r="P106" i="68" s="1"/>
  <c r="P112" i="68" s="1" a="1"/>
  <c r="P112" i="68" s="1"/>
  <c r="P18" i="85" s="1"/>
  <c r="L87" i="68"/>
  <c r="L106" i="68" s="1"/>
  <c r="L112" i="68" s="1" a="1"/>
  <c r="L112" i="68" s="1"/>
  <c r="L18" i="85" s="1"/>
  <c r="O87" i="68"/>
  <c r="O106" i="68" s="1"/>
  <c r="O112" i="68" s="1" a="1"/>
  <c r="O112" i="68" s="1"/>
  <c r="O18" i="85" s="1"/>
  <c r="R87" i="68"/>
  <c r="R106" i="68" s="1"/>
  <c r="R112" i="68" s="1" a="1"/>
  <c r="R112" i="68" s="1"/>
  <c r="R18" i="85" s="1"/>
  <c r="S87" i="68"/>
  <c r="S106" i="68" s="1"/>
  <c r="S112" i="68" s="1" a="1"/>
  <c r="S112" i="68" s="1"/>
  <c r="S18" i="85" s="1"/>
  <c r="T87" i="68"/>
  <c r="T106" i="68" s="1"/>
  <c r="T112" i="68" s="1" a="1"/>
  <c r="T112" i="68" s="1"/>
  <c r="T18" i="85" s="1"/>
  <c r="W87" i="68"/>
  <c r="W106" i="68" s="1"/>
  <c r="W112" i="68" s="1" a="1"/>
  <c r="W112" i="68" s="1"/>
  <c r="W18" i="85" s="1"/>
  <c r="AB87" i="68"/>
  <c r="AB106" i="68" s="1"/>
  <c r="AB112" i="68" s="1" a="1"/>
  <c r="AB112" i="68" s="1"/>
  <c r="AB18" i="85" s="1"/>
  <c r="C16" i="62"/>
  <c r="P117" i="68" l="1" a="1"/>
  <c r="P117" i="68" s="1"/>
  <c r="P111" i="68" a="1"/>
  <c r="P111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5" i="68" a="1"/>
  <c r="X115" i="68" s="1"/>
  <c r="X117" i="68" a="1"/>
  <c r="X117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Z116" i="68" a="1"/>
  <c r="Z116" i="68" s="1"/>
  <c r="Z113" i="68" a="1"/>
  <c r="Z113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J112" i="68" s="1" a="1"/>
  <c r="J112" i="68" s="1"/>
  <c r="J18" i="85" s="1"/>
  <c r="I87" i="68"/>
  <c r="I106" i="68" s="1"/>
  <c r="I112" i="68" s="1" a="1"/>
  <c r="I112" i="68" s="1"/>
  <c r="I18" i="85" s="1"/>
  <c r="A1" i="43"/>
  <c r="A1" i="33"/>
  <c r="J115" i="68" l="1" a="1"/>
  <c r="J115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23" i="85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5" i="43"/>
  <c r="G74" i="43"/>
  <c r="D16" i="62"/>
  <c r="R15" i="62"/>
  <c r="D17" i="62" s="1"/>
  <c r="D19" i="62" l="1"/>
  <c r="W30" i="73" a="1"/>
  <c r="W30" i="73" s="1"/>
  <c r="Q30" i="82" a="1"/>
  <c r="Q30" i="82" s="1"/>
  <c r="AF30" i="82" a="1"/>
  <c r="AF30" i="82" s="1"/>
  <c r="AD30" i="73" a="1"/>
  <c r="AD30" i="73" s="1"/>
  <c r="W30" i="82" a="1"/>
  <c r="W30" i="82" s="1"/>
  <c r="Y30" i="82" a="1"/>
  <c r="Y30" i="82" s="1"/>
  <c r="AF30" i="73" a="1"/>
  <c r="AF30" i="73" s="1"/>
  <c r="AB30" i="73" a="1"/>
  <c r="AB30" i="73" s="1"/>
  <c r="S30" i="73" a="1"/>
  <c r="S30" i="73" s="1"/>
  <c r="AC30" i="73" a="1"/>
  <c r="AC30" i="73" s="1"/>
  <c r="L30" i="73" a="1"/>
  <c r="L30" i="73" s="1"/>
  <c r="AC30" i="82" a="1"/>
  <c r="AC30" i="82" s="1"/>
  <c r="X30" i="82" a="1"/>
  <c r="X30" i="82" s="1"/>
  <c r="T30" i="82" a="1"/>
  <c r="T30" i="82" s="1"/>
  <c r="X30" i="73" a="1"/>
  <c r="X30" i="73" s="1"/>
  <c r="AG30" i="82" a="1"/>
  <c r="AG30" i="82" s="1"/>
  <c r="P30" i="82" a="1"/>
  <c r="P30" i="82" s="1"/>
  <c r="I30" i="73" a="1"/>
  <c r="I30" i="73" s="1"/>
  <c r="O30" i="82" a="1"/>
  <c r="O30" i="82" s="1"/>
  <c r="L30" i="82" a="1"/>
  <c r="L30" i="82" s="1"/>
  <c r="R30" i="73" a="1"/>
  <c r="R30" i="73" s="1"/>
  <c r="I30" i="82" a="1"/>
  <c r="I30" i="82" s="1"/>
  <c r="AB30" i="82" a="1"/>
  <c r="AB30" i="82" s="1"/>
  <c r="AE30" i="73" a="1"/>
  <c r="AE30" i="73" s="1"/>
  <c r="Q30" i="73" a="1"/>
  <c r="Q30" i="73" s="1"/>
  <c r="O30" i="73" a="1"/>
  <c r="O30" i="73" s="1"/>
  <c r="J30" i="82" a="1"/>
  <c r="J30" i="82" s="1"/>
  <c r="AG30" i="73" a="1"/>
  <c r="AG30" i="73" s="1"/>
  <c r="Y30" i="73" a="1"/>
  <c r="Y30" i="73" s="1"/>
  <c r="Z30" i="73" a="1"/>
  <c r="Z30" i="73" s="1"/>
  <c r="M30" i="73" a="1"/>
  <c r="M30" i="73" s="1"/>
  <c r="U30" i="82" a="1"/>
  <c r="U30" i="82" s="1"/>
  <c r="AA30" i="73" a="1"/>
  <c r="AA30" i="73" s="1"/>
  <c r="N30" i="82" a="1"/>
  <c r="N30" i="82" s="1"/>
  <c r="AE30" i="82" a="1"/>
  <c r="AE30" i="82" s="1"/>
  <c r="V30" i="82" a="1"/>
  <c r="V30" i="82" s="1"/>
  <c r="AA30" i="82" a="1"/>
  <c r="AA30" i="82" s="1"/>
  <c r="M30" i="82" a="1"/>
  <c r="M30" i="82" s="1"/>
  <c r="P30" i="73" a="1"/>
  <c r="P30" i="73" s="1"/>
  <c r="AD30" i="82" a="1"/>
  <c r="AD30" i="82" s="1"/>
  <c r="K30" i="82" a="1"/>
  <c r="K30" i="82" s="1"/>
  <c r="U30" i="73" a="1"/>
  <c r="U30" i="73" s="1"/>
  <c r="Z30" i="82" a="1"/>
  <c r="Z30" i="82" s="1"/>
  <c r="T30" i="73" a="1"/>
  <c r="T30" i="73" s="1"/>
  <c r="S30" i="82" a="1"/>
  <c r="S30" i="82" s="1"/>
  <c r="J30" i="73" a="1"/>
  <c r="J30" i="73" s="1"/>
  <c r="R30" i="82" a="1"/>
  <c r="R30" i="82" s="1"/>
  <c r="N30" i="73" a="1"/>
  <c r="N30" i="73" s="1"/>
  <c r="V30" i="73" a="1"/>
  <c r="V30" i="73" s="1"/>
  <c r="K30" i="73" a="1"/>
  <c r="K30" i="73" s="1"/>
  <c r="E28" i="73"/>
  <c r="E28" i="81"/>
  <c r="E28" i="72"/>
  <c r="E28" i="68"/>
  <c r="E28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AC14" i="85" l="1"/>
  <c r="AA75" i="75"/>
  <c r="L74" i="75"/>
  <c r="U61" i="75"/>
  <c r="K21" i="75"/>
  <c r="K22" i="75" s="1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8" i="82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28" i="68"/>
  <c r="AC99" i="75" s="1"/>
  <c r="J28" i="68"/>
  <c r="J99" i="75" s="1"/>
  <c r="AD28" i="68"/>
  <c r="AD99" i="75" s="1"/>
  <c r="K28" i="68"/>
  <c r="K99" i="75" s="1"/>
  <c r="AE28" i="68"/>
  <c r="AF28" i="68"/>
  <c r="L28" i="68"/>
  <c r="L99" i="75" s="1"/>
  <c r="I28" i="68"/>
  <c r="I99" i="75" s="1"/>
  <c r="N28" i="68"/>
  <c r="N99" i="75" s="1"/>
  <c r="M28" i="68"/>
  <c r="M99" i="75" s="1"/>
  <c r="AG28" i="68"/>
  <c r="P28" i="68"/>
  <c r="P99" i="75" s="1"/>
  <c r="Q28" i="68"/>
  <c r="Q99" i="75" s="1"/>
  <c r="R28" i="68"/>
  <c r="R99" i="75" s="1"/>
  <c r="V28" i="68"/>
  <c r="V99" i="75" s="1"/>
  <c r="S28" i="68"/>
  <c r="S99" i="75" s="1"/>
  <c r="X28" i="68"/>
  <c r="X99" i="75" s="1"/>
  <c r="AB28" i="68"/>
  <c r="AB99" i="75" s="1"/>
  <c r="Y28" i="68"/>
  <c r="Y99" i="75" s="1"/>
  <c r="T28" i="68"/>
  <c r="T99" i="75" s="1"/>
  <c r="U28" i="68"/>
  <c r="U99" i="75" s="1"/>
  <c r="Z28" i="68"/>
  <c r="Z99" i="75" s="1"/>
  <c r="AA28" i="68"/>
  <c r="AA99" i="75" s="1"/>
  <c r="O28" i="68"/>
  <c r="O99" i="75" s="1"/>
  <c r="W28" i="68"/>
  <c r="W99" i="75" s="1"/>
  <c r="X28" i="72"/>
  <c r="W28" i="72"/>
  <c r="U28" i="72"/>
  <c r="AD28" i="72"/>
  <c r="V28" i="72"/>
  <c r="O28" i="72"/>
  <c r="K28" i="72"/>
  <c r="T28" i="72"/>
  <c r="S28" i="72"/>
  <c r="Q28" i="72"/>
  <c r="P28" i="72"/>
  <c r="J28" i="72"/>
  <c r="N28" i="72"/>
  <c r="AG28" i="72"/>
  <c r="AF28" i="72"/>
  <c r="L28" i="72"/>
  <c r="AC28" i="72"/>
  <c r="I28" i="72"/>
  <c r="R28" i="72"/>
  <c r="AB28" i="72"/>
  <c r="AE28" i="72"/>
  <c r="AA28" i="72"/>
  <c r="Z28" i="72"/>
  <c r="Y28" i="72"/>
  <c r="M28" i="72"/>
  <c r="AC28" i="81"/>
  <c r="I28" i="81"/>
  <c r="AB28" i="81"/>
  <c r="Z28" i="81"/>
  <c r="T28" i="81"/>
  <c r="AA28" i="81"/>
  <c r="P28" i="81"/>
  <c r="Y28" i="81"/>
  <c r="X28" i="81"/>
  <c r="V28" i="81"/>
  <c r="U28" i="81"/>
  <c r="S28" i="81"/>
  <c r="Q28" i="81"/>
  <c r="N28" i="81"/>
  <c r="AG28" i="81"/>
  <c r="M28" i="81"/>
  <c r="O28" i="81"/>
  <c r="AF28" i="81"/>
  <c r="L28" i="81"/>
  <c r="AD28" i="81"/>
  <c r="AE28" i="81"/>
  <c r="K28" i="81"/>
  <c r="J28" i="81"/>
  <c r="W28" i="81"/>
  <c r="R28" i="81"/>
  <c r="S28" i="73"/>
  <c r="R28" i="73"/>
  <c r="AG28" i="73"/>
  <c r="Q28" i="73"/>
  <c r="P28" i="73"/>
  <c r="M28" i="73"/>
  <c r="O28" i="73"/>
  <c r="N28" i="73"/>
  <c r="AF28" i="73"/>
  <c r="L28" i="73"/>
  <c r="AE28" i="73"/>
  <c r="K28" i="73"/>
  <c r="AD28" i="73"/>
  <c r="J28" i="73"/>
  <c r="AC28" i="73"/>
  <c r="I28" i="73"/>
  <c r="AB28" i="73"/>
  <c r="AA28" i="73"/>
  <c r="Z28" i="73"/>
  <c r="Y28" i="73"/>
  <c r="X28" i="73"/>
  <c r="W28" i="73"/>
  <c r="V28" i="73"/>
  <c r="U28" i="73"/>
  <c r="T28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82"/>
  <c r="F28" i="68"/>
  <c r="F28" i="72"/>
  <c r="F28" i="81"/>
  <c r="F28" i="73"/>
  <c r="I22" i="75"/>
  <c r="AD22" i="75"/>
  <c r="V22" i="75"/>
  <c r="J22" i="75"/>
  <c r="AA22" i="75" l="1"/>
  <c r="U22" i="75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36" i="68"/>
  <c r="I14" i="75"/>
  <c r="R36" i="82"/>
  <c r="R72" i="75" s="1"/>
  <c r="R70" i="75"/>
  <c r="L36" i="68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X36" i="73"/>
  <c r="X58" i="75" s="1"/>
  <c r="X56" i="75"/>
  <c r="K36" i="81"/>
  <c r="K30" i="75" s="1"/>
  <c r="K28" i="75"/>
  <c r="AE36" i="72"/>
  <c r="AE44" i="75" s="1"/>
  <c r="AE42" i="75"/>
  <c r="K36" i="72"/>
  <c r="K44" i="75" s="1"/>
  <c r="K42" i="75"/>
  <c r="N36" i="68"/>
  <c r="N14" i="75"/>
  <c r="AA36" i="82"/>
  <c r="AA72" i="75" s="1"/>
  <c r="AA70" i="75"/>
  <c r="O36" i="73"/>
  <c r="O58" i="75" s="1"/>
  <c r="O56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V36" i="73"/>
  <c r="V58" i="75" s="1"/>
  <c r="V56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36" i="68"/>
  <c r="O14" i="75"/>
  <c r="P36" i="82"/>
  <c r="P72" i="75" s="1"/>
  <c r="P70" i="75"/>
  <c r="S36" i="73"/>
  <c r="S58" i="75" s="1"/>
  <c r="S56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T36" i="73"/>
  <c r="T58" i="75" s="1"/>
  <c r="T56" i="75"/>
  <c r="J36" i="81"/>
  <c r="J30" i="75" s="1"/>
  <c r="J28" i="75"/>
  <c r="AB36" i="72"/>
  <c r="AB44" i="75" s="1"/>
  <c r="AB42" i="75"/>
  <c r="M36" i="68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Y36" i="73"/>
  <c r="Y58" i="75" s="1"/>
  <c r="Y56" i="75"/>
  <c r="Q36" i="73"/>
  <c r="Q58" i="75" s="1"/>
  <c r="Q56" i="75"/>
  <c r="P36" i="81"/>
  <c r="P30" i="75" s="1"/>
  <c r="P28" i="75"/>
  <c r="O36" i="72"/>
  <c r="O44" i="75" s="1"/>
  <c r="O42" i="75"/>
  <c r="W36" i="68"/>
  <c r="W14" i="75"/>
  <c r="T36" i="68"/>
  <c r="T14" i="75"/>
  <c r="M36" i="82"/>
  <c r="M72" i="75" s="1"/>
  <c r="M70" i="75"/>
  <c r="K36" i="73"/>
  <c r="K58" i="75" s="1"/>
  <c r="K56" i="75"/>
  <c r="R36" i="73"/>
  <c r="R58" i="75" s="1"/>
  <c r="R56" i="75"/>
  <c r="M36" i="81"/>
  <c r="M30" i="75" s="1"/>
  <c r="M28" i="75"/>
  <c r="P36" i="72"/>
  <c r="P44" i="75" s="1"/>
  <c r="P42" i="75"/>
  <c r="V36" i="68"/>
  <c r="V14" i="75"/>
  <c r="Q36" i="68"/>
  <c r="Q14" i="75"/>
  <c r="L36" i="82"/>
  <c r="L72" i="75" s="1"/>
  <c r="L70" i="75"/>
  <c r="U36" i="73"/>
  <c r="U58" i="75" s="1"/>
  <c r="U56" i="75"/>
  <c r="I36" i="81"/>
  <c r="I30" i="75" s="1"/>
  <c r="I28" i="75"/>
  <c r="AA36" i="72"/>
  <c r="AA44" i="75" s="1"/>
  <c r="AA42" i="75"/>
  <c r="U36" i="68"/>
  <c r="U14" i="75"/>
  <c r="K36" i="68"/>
  <c r="K14" i="75"/>
  <c r="O36" i="82"/>
  <c r="O72" i="75" s="1"/>
  <c r="O70" i="75"/>
  <c r="I36" i="73"/>
  <c r="I58" i="75" s="1"/>
  <c r="I56" i="75"/>
  <c r="J36" i="73"/>
  <c r="J58" i="75" s="1"/>
  <c r="J56" i="75"/>
  <c r="O36" i="81"/>
  <c r="O30" i="75" s="1"/>
  <c r="O28" i="75"/>
  <c r="X36" i="72"/>
  <c r="X44" i="75" s="1"/>
  <c r="X42" i="75"/>
  <c r="P36" i="68"/>
  <c r="P14" i="75"/>
  <c r="AG36" i="82"/>
  <c r="AG72" i="75" s="1"/>
  <c r="AG70" i="75"/>
  <c r="P36" i="73"/>
  <c r="P58" i="75" s="1"/>
  <c r="P56" i="75"/>
  <c r="AD36" i="73"/>
  <c r="AD58" i="75" s="1"/>
  <c r="AD56" i="75"/>
  <c r="Y36" i="81"/>
  <c r="Y30" i="75" s="1"/>
  <c r="Y28" i="75"/>
  <c r="U36" i="72"/>
  <c r="U44" i="75" s="1"/>
  <c r="U42" i="75"/>
  <c r="R36" i="68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N36" i="73"/>
  <c r="N58" i="75" s="1"/>
  <c r="N56" i="75"/>
  <c r="W36" i="81"/>
  <c r="W30" i="75" s="1"/>
  <c r="W28" i="75"/>
  <c r="S36" i="81"/>
  <c r="S30" i="75" s="1"/>
  <c r="S28" i="75"/>
  <c r="W36" i="72"/>
  <c r="W44" i="75" s="1"/>
  <c r="W42" i="75"/>
  <c r="J36" i="68"/>
  <c r="J14" i="75"/>
  <c r="X36" i="82"/>
  <c r="X72" i="75" s="1"/>
  <c r="X70" i="75"/>
  <c r="Y36" i="82"/>
  <c r="Y72" i="75" s="1"/>
  <c r="Y70" i="75"/>
  <c r="L36" i="73"/>
  <c r="L58" i="75" s="1"/>
  <c r="L56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36" i="68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W36" i="73"/>
  <c r="W58" i="75" s="1"/>
  <c r="W56" i="75"/>
  <c r="L36" i="81"/>
  <c r="L30" i="75" s="1"/>
  <c r="L28" i="75"/>
  <c r="M36" i="73"/>
  <c r="M58" i="75" s="1"/>
  <c r="M56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67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P64" i="81"/>
  <c r="P64" i="72"/>
  <c r="P64" i="73"/>
  <c r="P64" i="82"/>
  <c r="P16" i="75"/>
  <c r="U64" i="73"/>
  <c r="U84" i="73" s="1"/>
  <c r="U108" i="73" s="1"/>
  <c r="U64" i="72"/>
  <c r="U84" i="72" s="1"/>
  <c r="U108" i="72" s="1"/>
  <c r="U64" i="82"/>
  <c r="U84" i="82" s="1"/>
  <c r="U108" i="82" s="1"/>
  <c r="U64" i="81"/>
  <c r="U84" i="81" s="1"/>
  <c r="U108" i="81" s="1"/>
  <c r="U16" i="75"/>
  <c r="F42" i="75"/>
  <c r="J64" i="82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O64" i="81"/>
  <c r="O84" i="81" s="1"/>
  <c r="O108" i="81" s="1"/>
  <c r="O64" i="82"/>
  <c r="O64" i="72"/>
  <c r="O64" i="73"/>
  <c r="O16" i="75"/>
  <c r="J64" i="81"/>
  <c r="J84" i="81" s="1"/>
  <c r="J108" i="81" s="1"/>
  <c r="J64" i="73"/>
  <c r="J64" i="72"/>
  <c r="J16" i="75"/>
  <c r="S64" i="82"/>
  <c r="S84" i="82" s="1"/>
  <c r="S108" i="82" s="1"/>
  <c r="S64" i="72"/>
  <c r="S84" i="72" s="1"/>
  <c r="S108" i="72" s="1"/>
  <c r="S64" i="81"/>
  <c r="S84" i="81" s="1"/>
  <c r="S108" i="81" s="1"/>
  <c r="S64" i="73"/>
  <c r="S84" i="73" s="1"/>
  <c r="S108" i="73" s="1"/>
  <c r="S16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L64" i="81"/>
  <c r="L84" i="81" s="1"/>
  <c r="L108" i="81" s="1"/>
  <c r="L64" i="82"/>
  <c r="L64" i="72"/>
  <c r="L64" i="73"/>
  <c r="L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R64" i="82"/>
  <c r="R84" i="82" s="1"/>
  <c r="R108" i="82" s="1"/>
  <c r="R64" i="73"/>
  <c r="R84" i="73" s="1"/>
  <c r="R108" i="73" s="1"/>
  <c r="R64" i="72"/>
  <c r="R84" i="72" s="1"/>
  <c r="R108" i="72" s="1"/>
  <c r="R64" i="81"/>
  <c r="R84" i="81" s="1"/>
  <c r="R108" i="81" s="1"/>
  <c r="R16" i="75"/>
  <c r="F5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I64" i="72"/>
  <c r="I64" i="82"/>
  <c r="I64" i="73"/>
  <c r="I64" i="81"/>
  <c r="I84" i="81" s="1"/>
  <c r="I108" i="81" s="1"/>
  <c r="I16" i="75"/>
  <c r="K64" i="73"/>
  <c r="K64" i="72"/>
  <c r="K64" i="81"/>
  <c r="K84" i="81" s="1"/>
  <c r="K108" i="81" s="1"/>
  <c r="K64" i="82"/>
  <c r="K16" i="75"/>
  <c r="V64" i="81"/>
  <c r="V84" i="81" s="1"/>
  <c r="V108" i="81" s="1"/>
  <c r="V64" i="82"/>
  <c r="V84" i="82" s="1"/>
  <c r="V108" i="82" s="1"/>
  <c r="V64" i="73"/>
  <c r="V84" i="73" s="1"/>
  <c r="V108" i="73" s="1"/>
  <c r="V64" i="72"/>
  <c r="V84" i="72" s="1"/>
  <c r="V108" i="72" s="1"/>
  <c r="V16" i="75"/>
  <c r="W64" i="81"/>
  <c r="W84" i="81" s="1"/>
  <c r="W108" i="81" s="1"/>
  <c r="W64" i="82"/>
  <c r="W84" i="82" s="1"/>
  <c r="W108" i="82" s="1"/>
  <c r="W64" i="72"/>
  <c r="W84" i="72" s="1"/>
  <c r="W108" i="72" s="1"/>
  <c r="W64" i="73"/>
  <c r="W84" i="73" s="1"/>
  <c r="W108" i="73" s="1"/>
  <c r="W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64" i="73"/>
  <c r="X84" i="73" s="1"/>
  <c r="X108" i="73" s="1"/>
  <c r="X16" i="75"/>
  <c r="Y64" i="73"/>
  <c r="Y84" i="73" s="1"/>
  <c r="Y108" i="73" s="1"/>
  <c r="Y64" i="82"/>
  <c r="Y84" i="82" s="1"/>
  <c r="Y108" i="82" s="1"/>
  <c r="Y64" i="81"/>
  <c r="Y84" i="81" s="1"/>
  <c r="Y108" i="81" s="1"/>
  <c r="Y64" i="72"/>
  <c r="Y84" i="72" s="1"/>
  <c r="Y108" i="72" s="1"/>
  <c r="Y16" i="75"/>
  <c r="N64" i="82"/>
  <c r="N64" i="73"/>
  <c r="N64" i="72"/>
  <c r="N64" i="81"/>
  <c r="N84" i="81" s="1"/>
  <c r="N108" i="81" s="1"/>
  <c r="N16" i="75"/>
  <c r="Q64" i="82"/>
  <c r="Q64" i="73"/>
  <c r="Q64" i="72"/>
  <c r="Q64" i="81"/>
  <c r="Q16" i="75"/>
  <c r="F58" i="75"/>
  <c r="T64" i="72"/>
  <c r="T84" i="72" s="1"/>
  <c r="T108" i="72" s="1"/>
  <c r="T64" i="73"/>
  <c r="T84" i="73" s="1"/>
  <c r="T108" i="73" s="1"/>
  <c r="T64" i="82"/>
  <c r="T84" i="82" s="1"/>
  <c r="T108" i="82" s="1"/>
  <c r="T64" i="81"/>
  <c r="T84" i="81" s="1"/>
  <c r="T108" i="81" s="1"/>
  <c r="T16" i="75"/>
  <c r="M64" i="82"/>
  <c r="M64" i="73"/>
  <c r="M64" i="72"/>
  <c r="M64" i="81"/>
  <c r="M84" i="81" s="1"/>
  <c r="M108" i="81" s="1"/>
  <c r="M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92" i="75" l="1"/>
  <c r="AB92" i="75"/>
  <c r="K92" i="75"/>
  <c r="R92" i="75"/>
  <c r="S92" i="75"/>
  <c r="Q84" i="73"/>
  <c r="Q108" i="73" s="1"/>
  <c r="K84" i="72"/>
  <c r="K108" i="72" s="1"/>
  <c r="I84" i="73"/>
  <c r="I108" i="73" s="1"/>
  <c r="P84" i="82"/>
  <c r="P108" i="82" s="1"/>
  <c r="L84" i="73"/>
  <c r="L108" i="73" s="1"/>
  <c r="M84" i="73"/>
  <c r="M108" i="73" s="1"/>
  <c r="P84" i="72"/>
  <c r="P108" i="72" s="1"/>
  <c r="Q84" i="72"/>
  <c r="Q108" i="72" s="1"/>
  <c r="J84" i="82"/>
  <c r="J108" i="82" s="1"/>
  <c r="Q84" i="82"/>
  <c r="Q108" i="82" s="1"/>
  <c r="J84" i="73"/>
  <c r="J108" i="73" s="1"/>
  <c r="I84" i="82"/>
  <c r="I108" i="82" s="1"/>
  <c r="M84" i="72"/>
  <c r="M108" i="72" s="1"/>
  <c r="O84" i="72"/>
  <c r="O108" i="72" s="1"/>
  <c r="L84" i="72"/>
  <c r="L108" i="72" s="1"/>
  <c r="O84" i="82"/>
  <c r="O108" i="82" s="1"/>
  <c r="M84" i="82"/>
  <c r="M108" i="82" s="1"/>
  <c r="P84" i="81"/>
  <c r="P108" i="81" s="1"/>
  <c r="K84" i="73"/>
  <c r="K108" i="73" s="1"/>
  <c r="J84" i="72"/>
  <c r="J108" i="72" s="1"/>
  <c r="N84" i="72"/>
  <c r="N108" i="72" s="1"/>
  <c r="N84" i="73"/>
  <c r="N108" i="73" s="1"/>
  <c r="N84" i="82"/>
  <c r="N108" i="82" s="1"/>
  <c r="I84" i="72"/>
  <c r="I108" i="72" s="1"/>
  <c r="O84" i="73"/>
  <c r="O108" i="73" s="1"/>
  <c r="P84" i="73"/>
  <c r="P108" i="73" s="1"/>
  <c r="L84" i="82"/>
  <c r="L108" i="82" s="1"/>
  <c r="Q84" i="81"/>
  <c r="Q108" i="81" s="1"/>
  <c r="K84" i="82"/>
  <c r="K108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87" i="72"/>
  <c r="AD106" i="72" s="1"/>
  <c r="AD112" i="72" s="1"/>
  <c r="AD48" i="75"/>
  <c r="AD50" i="75" s="1"/>
  <c r="AD40" i="85" s="1"/>
  <c r="Z87" i="72"/>
  <c r="Z106" i="72" s="1"/>
  <c r="Z112" i="72" s="1"/>
  <c r="Z48" i="75"/>
  <c r="Z50" i="75" s="1"/>
  <c r="Z40" i="85" s="1"/>
  <c r="AG87" i="81"/>
  <c r="AG106" i="81" s="1"/>
  <c r="AG112" i="81" s="1"/>
  <c r="AG34" i="75"/>
  <c r="AG36" i="75" s="1"/>
  <c r="AF12" i="85" s="1"/>
  <c r="AE87" i="81"/>
  <c r="AE106" i="81" s="1"/>
  <c r="AE112" i="81" s="1"/>
  <c r="AE34" i="75"/>
  <c r="AE36" i="75" s="1"/>
  <c r="AD12" i="85" s="1"/>
  <c r="AE87" i="73"/>
  <c r="AE106" i="73" s="1"/>
  <c r="AE112" i="73" s="1"/>
  <c r="AE62" i="75"/>
  <c r="AE64" i="75" s="1"/>
  <c r="S87" i="73"/>
  <c r="S106" i="73" s="1"/>
  <c r="S112" i="73" s="1"/>
  <c r="S62" i="75"/>
  <c r="S64" i="75" s="1"/>
  <c r="R87" i="81"/>
  <c r="R106" i="81" s="1"/>
  <c r="R112" i="81" s="1"/>
  <c r="R34" i="75"/>
  <c r="R36" i="75" s="1"/>
  <c r="AB87" i="81"/>
  <c r="AB106" i="81" s="1"/>
  <c r="AB112" i="81" s="1"/>
  <c r="AB34" i="75"/>
  <c r="AB36" i="75" s="1"/>
  <c r="AA12" i="85" s="1"/>
  <c r="R87" i="72"/>
  <c r="R106" i="72" s="1"/>
  <c r="R112" i="72" s="1"/>
  <c r="R48" i="75"/>
  <c r="R50" i="75" s="1"/>
  <c r="R40" i="85" s="1"/>
  <c r="S87" i="81"/>
  <c r="S106" i="81" s="1"/>
  <c r="S112" i="81" s="1"/>
  <c r="S34" i="75"/>
  <c r="S36" i="75" s="1"/>
  <c r="S87" i="72"/>
  <c r="S106" i="72" s="1"/>
  <c r="S112" i="72" s="1"/>
  <c r="S48" i="75"/>
  <c r="S50" i="75" s="1"/>
  <c r="S40" i="85" s="1"/>
  <c r="AB87" i="82"/>
  <c r="AB106" i="82" s="1"/>
  <c r="AB112" i="82" s="1"/>
  <c r="AB76" i="75"/>
  <c r="AB78" i="75" s="1"/>
  <c r="AB87" i="72"/>
  <c r="AB106" i="72" s="1"/>
  <c r="AB112" i="72" s="1"/>
  <c r="AB48" i="75"/>
  <c r="AB50" i="75" s="1"/>
  <c r="AB40" i="85" s="1"/>
  <c r="R87" i="73"/>
  <c r="R106" i="73" s="1"/>
  <c r="R112" i="73" s="1"/>
  <c r="R62" i="75"/>
  <c r="R64" i="75" s="1"/>
  <c r="AD87" i="82"/>
  <c r="AD106" i="82" s="1"/>
  <c r="AD112" i="82" s="1"/>
  <c r="AD76" i="75"/>
  <c r="AD78" i="75" s="1"/>
  <c r="R87" i="82"/>
  <c r="R106" i="82" s="1"/>
  <c r="R112" i="82" s="1"/>
  <c r="R76" i="75"/>
  <c r="R78" i="75" s="1"/>
  <c r="S87" i="82"/>
  <c r="S106" i="82" s="1"/>
  <c r="S112" i="82" s="1"/>
  <c r="S76" i="75"/>
  <c r="S78" i="75" s="1"/>
  <c r="U87" i="81"/>
  <c r="U106" i="81" s="1"/>
  <c r="U112" i="81" s="1"/>
  <c r="U34" i="75"/>
  <c r="U36" i="75" s="1"/>
  <c r="Z87" i="82"/>
  <c r="Z106" i="82" s="1"/>
  <c r="Z112" i="82" s="1"/>
  <c r="Z76" i="75"/>
  <c r="Z78" i="75" s="1"/>
  <c r="AD87" i="73"/>
  <c r="AD106" i="73" s="1"/>
  <c r="AD112" i="73" s="1"/>
  <c r="AD62" i="75"/>
  <c r="AD64" i="75" s="1"/>
  <c r="Z87" i="73"/>
  <c r="Z106" i="73" s="1"/>
  <c r="Z112" i="73" s="1"/>
  <c r="Z62" i="75"/>
  <c r="Z64" i="75" s="1"/>
  <c r="AF87" i="72"/>
  <c r="AF106" i="72" s="1"/>
  <c r="AF112" i="72" s="1"/>
  <c r="AF48" i="75"/>
  <c r="AF50" i="75" s="1"/>
  <c r="AF40" i="85" s="1"/>
  <c r="U87" i="82"/>
  <c r="U106" i="82" s="1"/>
  <c r="U112" i="82" s="1"/>
  <c r="U76" i="75"/>
  <c r="U78" i="75" s="1"/>
  <c r="Z87" i="81"/>
  <c r="Z106" i="81" s="1"/>
  <c r="Z112" i="81" s="1"/>
  <c r="Z34" i="75"/>
  <c r="Z36" i="75" s="1"/>
  <c r="AF87" i="82"/>
  <c r="AF106" i="82" s="1"/>
  <c r="AF112" i="82" s="1"/>
  <c r="AF76" i="75"/>
  <c r="AF78" i="75" s="1"/>
  <c r="U87" i="72"/>
  <c r="U106" i="72" s="1"/>
  <c r="U112" i="72" s="1"/>
  <c r="U48" i="75"/>
  <c r="U50" i="75" s="1"/>
  <c r="U40" i="85" s="1"/>
  <c r="AF87" i="73"/>
  <c r="AF106" i="73" s="1"/>
  <c r="AF112" i="73" s="1"/>
  <c r="AF62" i="75"/>
  <c r="AF64" i="75" s="1"/>
  <c r="J87" i="81"/>
  <c r="J106" i="81" s="1"/>
  <c r="J112" i="81" s="1"/>
  <c r="J34" i="75"/>
  <c r="J36" i="75" s="1"/>
  <c r="U87" i="73"/>
  <c r="U106" i="73" s="1"/>
  <c r="U112" i="73" s="1"/>
  <c r="U62" i="75"/>
  <c r="U64" i="75" s="1"/>
  <c r="AF87" i="81"/>
  <c r="AF106" i="81" s="1"/>
  <c r="AF112" i="81" s="1"/>
  <c r="AF34" i="75"/>
  <c r="AF36" i="75" s="1"/>
  <c r="AE12" i="85" s="1"/>
  <c r="W87" i="72"/>
  <c r="W106" i="72" s="1"/>
  <c r="W112" i="72" s="1"/>
  <c r="W48" i="75"/>
  <c r="W50" i="75" s="1"/>
  <c r="W40" i="85" s="1"/>
  <c r="Y87" i="73"/>
  <c r="Y106" i="73" s="1"/>
  <c r="Y112" i="73" s="1"/>
  <c r="Y62" i="75"/>
  <c r="Y64" i="75" s="1"/>
  <c r="W87" i="81"/>
  <c r="W106" i="81" s="1"/>
  <c r="W112" i="81" s="1"/>
  <c r="W34" i="75"/>
  <c r="W36" i="75" s="1"/>
  <c r="AA87" i="72"/>
  <c r="AA106" i="72" s="1"/>
  <c r="AA112" i="72" s="1"/>
  <c r="AA48" i="75"/>
  <c r="AA50" i="75" s="1"/>
  <c r="AA40" i="85" s="1"/>
  <c r="O87" i="81"/>
  <c r="O106" i="81" s="1"/>
  <c r="O112" i="81" s="1"/>
  <c r="O34" i="75"/>
  <c r="O36" i="75" s="1"/>
  <c r="Y87" i="81"/>
  <c r="Y106" i="81" s="1"/>
  <c r="Y112" i="81" s="1"/>
  <c r="Y34" i="75"/>
  <c r="Y36" i="75" s="1"/>
  <c r="AA87" i="82"/>
  <c r="AA106" i="82" s="1"/>
  <c r="AA112" i="82" s="1"/>
  <c r="AA76" i="75"/>
  <c r="AA78" i="75" s="1"/>
  <c r="L87" i="81"/>
  <c r="L106" i="81" s="1"/>
  <c r="L112" i="81" s="1"/>
  <c r="L34" i="75"/>
  <c r="L36" i="75" s="1"/>
  <c r="AB87" i="73"/>
  <c r="AB106" i="73" s="1"/>
  <c r="AB112" i="73" s="1"/>
  <c r="AB62" i="75"/>
  <c r="AB64" i="75" s="1"/>
  <c r="AD87" i="81"/>
  <c r="AD106" i="81" s="1"/>
  <c r="AD112" i="81" s="1"/>
  <c r="AD34" i="75"/>
  <c r="AD36" i="75" s="1"/>
  <c r="AC12" i="85" s="1"/>
  <c r="Y87" i="72"/>
  <c r="Y106" i="72" s="1"/>
  <c r="Y112" i="72" s="1"/>
  <c r="Y48" i="75"/>
  <c r="Y50" i="75" s="1"/>
  <c r="Y40" i="85" s="1"/>
  <c r="AC87" i="73"/>
  <c r="AC106" i="73" s="1"/>
  <c r="AC112" i="73" s="1"/>
  <c r="AC62" i="75"/>
  <c r="AC64" i="75" s="1"/>
  <c r="K87" i="81"/>
  <c r="K106" i="81" s="1"/>
  <c r="K112" i="81" s="1"/>
  <c r="K34" i="75"/>
  <c r="K36" i="75" s="1"/>
  <c r="N87" i="81"/>
  <c r="N106" i="81" s="1"/>
  <c r="N112" i="81" s="1"/>
  <c r="N34" i="75"/>
  <c r="N36" i="75" s="1"/>
  <c r="W87" i="73"/>
  <c r="W106" i="73" s="1"/>
  <c r="W112" i="73" s="1"/>
  <c r="W62" i="75"/>
  <c r="W64" i="75" s="1"/>
  <c r="AA87" i="81"/>
  <c r="AA106" i="81" s="1"/>
  <c r="AA112" i="81" s="1"/>
  <c r="AA34" i="75"/>
  <c r="AA36" i="75" s="1"/>
  <c r="Z12" i="85" s="1"/>
  <c r="T87" i="82"/>
  <c r="T106" i="82" s="1"/>
  <c r="T112" i="82" s="1"/>
  <c r="T76" i="75"/>
  <c r="T78" i="75" s="1"/>
  <c r="X87" i="81"/>
  <c r="X106" i="81" s="1"/>
  <c r="X112" i="81" s="1"/>
  <c r="X34" i="75"/>
  <c r="X36" i="75" s="1"/>
  <c r="V87" i="73"/>
  <c r="V106" i="73" s="1"/>
  <c r="V112" i="73" s="1"/>
  <c r="V62" i="75"/>
  <c r="V64" i="75" s="1"/>
  <c r="AG87" i="72"/>
  <c r="AG106" i="72" s="1"/>
  <c r="AG112" i="72" s="1"/>
  <c r="AG48" i="75"/>
  <c r="AG50" i="75" s="1"/>
  <c r="AG40" i="85" s="1"/>
  <c r="AC87" i="72"/>
  <c r="AC106" i="72" s="1"/>
  <c r="AC112" i="72" s="1"/>
  <c r="AC48" i="75"/>
  <c r="AC50" i="75" s="1"/>
  <c r="AC40" i="85" s="1"/>
  <c r="I87" i="81"/>
  <c r="I106" i="81" s="1"/>
  <c r="I112" i="81" s="1"/>
  <c r="I34" i="75"/>
  <c r="M87" i="81"/>
  <c r="M106" i="81" s="1"/>
  <c r="M112" i="81" s="1"/>
  <c r="M34" i="75"/>
  <c r="M36" i="75" s="1"/>
  <c r="Y87" i="82"/>
  <c r="Y106" i="82" s="1"/>
  <c r="Y112" i="82" s="1"/>
  <c r="Y76" i="75"/>
  <c r="Y78" i="75" s="1"/>
  <c r="X87" i="73"/>
  <c r="X106" i="73" s="1"/>
  <c r="X112" i="73" s="1"/>
  <c r="X62" i="75"/>
  <c r="X64" i="75" s="1"/>
  <c r="T87" i="72"/>
  <c r="T106" i="72" s="1"/>
  <c r="T112" i="72" s="1"/>
  <c r="T48" i="75"/>
  <c r="T50" i="75" s="1"/>
  <c r="T40" i="85" s="1"/>
  <c r="X87" i="82"/>
  <c r="X106" i="82" s="1"/>
  <c r="X112" i="82" s="1"/>
  <c r="X76" i="75"/>
  <c r="X78" i="75" s="1"/>
  <c r="V87" i="82"/>
  <c r="V106" i="82" s="1"/>
  <c r="V112" i="82" s="1"/>
  <c r="V76" i="75"/>
  <c r="V78" i="75" s="1"/>
  <c r="AG87" i="82"/>
  <c r="AG106" i="82" s="1"/>
  <c r="AG112" i="82" s="1"/>
  <c r="AG76" i="75"/>
  <c r="AG78" i="75" s="1"/>
  <c r="AE87" i="72"/>
  <c r="AE106" i="72" s="1"/>
  <c r="AE112" i="72" s="1"/>
  <c r="AE48" i="75"/>
  <c r="AE50" i="75" s="1"/>
  <c r="AE40" i="85" s="1"/>
  <c r="AC87" i="81"/>
  <c r="AC106" i="81" s="1"/>
  <c r="AC112" i="81" s="1"/>
  <c r="AC34" i="75"/>
  <c r="AC36" i="75" s="1"/>
  <c r="AB12" i="85" s="1"/>
  <c r="W87" i="82"/>
  <c r="W106" i="82" s="1"/>
  <c r="W112" i="82" s="1"/>
  <c r="W76" i="75"/>
  <c r="W78" i="75" s="1"/>
  <c r="AA87" i="73"/>
  <c r="AA106" i="73" s="1"/>
  <c r="AA112" i="73" s="1"/>
  <c r="AA62" i="75"/>
  <c r="AA64" i="75" s="1"/>
  <c r="T87" i="81"/>
  <c r="T106" i="81" s="1"/>
  <c r="T112" i="81" s="1"/>
  <c r="T34" i="75"/>
  <c r="T36" i="75" s="1"/>
  <c r="V87" i="72"/>
  <c r="V106" i="72" s="1"/>
  <c r="V112" i="72" s="1"/>
  <c r="V48" i="75"/>
  <c r="V50" i="75" s="1"/>
  <c r="V40" i="85" s="1"/>
  <c r="T87" i="73"/>
  <c r="T106" i="73" s="1"/>
  <c r="T112" i="73" s="1"/>
  <c r="T62" i="75"/>
  <c r="T64" i="75" s="1"/>
  <c r="X87" i="72"/>
  <c r="X106" i="72" s="1"/>
  <c r="X112" i="72" s="1"/>
  <c r="X48" i="75"/>
  <c r="X50" i="75" s="1"/>
  <c r="X40" i="85" s="1"/>
  <c r="V87" i="81"/>
  <c r="V106" i="81" s="1"/>
  <c r="V112" i="81" s="1"/>
  <c r="V34" i="75"/>
  <c r="V36" i="75" s="1"/>
  <c r="AG87" i="73"/>
  <c r="AG106" i="73" s="1"/>
  <c r="AG112" i="73" s="1"/>
  <c r="AG62" i="75"/>
  <c r="AG64" i="75" s="1"/>
  <c r="AE87" i="82"/>
  <c r="AE106" i="82" s="1"/>
  <c r="AE112" i="82" s="1"/>
  <c r="AE76" i="75"/>
  <c r="AE78" i="75" s="1"/>
  <c r="AC87" i="82"/>
  <c r="AC106" i="82" s="1"/>
  <c r="AC112" i="82" s="1"/>
  <c r="AC76" i="75"/>
  <c r="AC78" i="75" s="1"/>
  <c r="H13" i="33"/>
  <c r="H12" i="33"/>
  <c r="P87" i="72" l="1"/>
  <c r="P106" i="72" s="1"/>
  <c r="P112" i="72" s="1"/>
  <c r="P48" i="75"/>
  <c r="P50" i="75" s="1"/>
  <c r="P40" i="85" s="1"/>
  <c r="P34" i="75"/>
  <c r="P36" i="75" s="1"/>
  <c r="K48" i="75"/>
  <c r="K50" i="75" s="1"/>
  <c r="K40" i="85" s="1"/>
  <c r="P87" i="81"/>
  <c r="P106" i="81" s="1"/>
  <c r="P112" i="81" s="1"/>
  <c r="K87" i="72"/>
  <c r="K106" i="72" s="1"/>
  <c r="K112" i="72" s="1"/>
  <c r="J48" i="75"/>
  <c r="J50" i="75" s="1"/>
  <c r="J40" i="85" s="1"/>
  <c r="J87" i="72"/>
  <c r="J106" i="72" s="1"/>
  <c r="J112" i="72" s="1"/>
  <c r="AB111" i="82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74" i="85"/>
  <c r="AB115" i="82" a="1"/>
  <c r="AB115" i="82" s="1"/>
  <c r="AB113" i="82" a="1"/>
  <c r="AB113" i="82" s="1"/>
  <c r="AB75" i="85" s="1"/>
  <c r="AB116" i="82" a="1"/>
  <c r="AB116" i="82" s="1"/>
  <c r="AB70" i="85"/>
  <c r="L76" i="75"/>
  <c r="L78" i="75" s="1"/>
  <c r="X74" i="85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74" i="85"/>
  <c r="AA116" i="82" a="1"/>
  <c r="AA116" i="82" s="1"/>
  <c r="AA110" i="82" a="1"/>
  <c r="AA110" i="82" s="1"/>
  <c r="AA72" i="85" s="1"/>
  <c r="AA113" i="82" a="1"/>
  <c r="AA113" i="82" s="1"/>
  <c r="AA75" i="85" s="1"/>
  <c r="AA70" i="85"/>
  <c r="V113" i="72" a="1"/>
  <c r="V113" i="72" s="1"/>
  <c r="V110" i="72" a="1"/>
  <c r="V110" i="72" s="1"/>
  <c r="V116" i="72" a="1"/>
  <c r="V116" i="72" s="1"/>
  <c r="V115" i="72" a="1"/>
  <c r="V115" i="72" s="1"/>
  <c r="V117" i="72" a="1"/>
  <c r="V117" i="72" s="1"/>
  <c r="V114" i="72" a="1"/>
  <c r="V114" i="72" s="1"/>
  <c r="V111" i="72" a="1"/>
  <c r="V111" i="72" s="1"/>
  <c r="V42" i="85"/>
  <c r="U113" i="72" a="1"/>
  <c r="U113" i="72" s="1"/>
  <c r="U110" i="72" a="1"/>
  <c r="U110" i="72" s="1"/>
  <c r="U116" i="72" a="1"/>
  <c r="U116" i="72" s="1"/>
  <c r="U117" i="72" a="1"/>
  <c r="U117" i="72" s="1"/>
  <c r="U114" i="72" a="1"/>
  <c r="U114" i="72" s="1"/>
  <c r="U111" i="72" a="1"/>
  <c r="U111" i="72" s="1"/>
  <c r="U115" i="72" a="1"/>
  <c r="U115" i="72" s="1"/>
  <c r="U42" i="85"/>
  <c r="S113" i="82" a="1"/>
  <c r="S113" i="82" s="1"/>
  <c r="S75" i="85" s="1"/>
  <c r="S116" i="82" a="1"/>
  <c r="S116" i="82" s="1"/>
  <c r="S74" i="85"/>
  <c r="S115" i="82" a="1"/>
  <c r="S115" i="82" s="1"/>
  <c r="S114" i="82" a="1"/>
  <c r="S114" i="82" s="1"/>
  <c r="S76" i="85" s="1"/>
  <c r="S111" i="82" a="1"/>
  <c r="S111" i="82" s="1"/>
  <c r="S73" i="85" s="1"/>
  <c r="S117" i="82" a="1"/>
  <c r="S117" i="82" s="1"/>
  <c r="S110" i="82" a="1"/>
  <c r="S110" i="82" s="1"/>
  <c r="S72" i="85" s="1"/>
  <c r="S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7" i="72" a="1"/>
  <c r="AD117" i="72" s="1"/>
  <c r="AD110" i="72" a="1"/>
  <c r="AD110" i="72" s="1"/>
  <c r="AD42" i="85"/>
  <c r="T117" i="72" a="1"/>
  <c r="T117" i="72" s="1"/>
  <c r="T113" i="72" a="1"/>
  <c r="T113" i="72" s="1"/>
  <c r="T110" i="72" a="1"/>
  <c r="T110" i="72" s="1"/>
  <c r="T116" i="72" a="1"/>
  <c r="T116" i="72" s="1"/>
  <c r="T114" i="72" a="1"/>
  <c r="T114" i="72" s="1"/>
  <c r="T111" i="72" a="1"/>
  <c r="T111" i="72" s="1"/>
  <c r="T115" i="72" a="1"/>
  <c r="T115" i="72" s="1"/>
  <c r="T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60" i="85"/>
  <c r="AD56" i="85"/>
  <c r="L87" i="72"/>
  <c r="L106" i="72" s="1"/>
  <c r="L112" i="72" s="1"/>
  <c r="AA113" i="73" a="1"/>
  <c r="AA113" i="73" s="1"/>
  <c r="AA61" i="85" s="1"/>
  <c r="AA60" i="85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L87" i="82"/>
  <c r="L106" i="82" s="1"/>
  <c r="L112" i="82" s="1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60" i="85"/>
  <c r="AC114" i="73" a="1"/>
  <c r="AC114" i="73" s="1"/>
  <c r="AC62" i="85" s="1"/>
  <c r="AC56" i="85"/>
  <c r="R110" i="82" a="1"/>
  <c r="R110" i="82" s="1"/>
  <c r="R72" i="85" s="1"/>
  <c r="R116" i="82" a="1"/>
  <c r="R116" i="82" s="1"/>
  <c r="R113" i="82" a="1"/>
  <c r="R113" i="82" s="1"/>
  <c r="R75" i="85" s="1"/>
  <c r="R74" i="85"/>
  <c r="R115" i="82" a="1"/>
  <c r="R115" i="82" s="1"/>
  <c r="R114" i="82" a="1"/>
  <c r="R114" i="82" s="1"/>
  <c r="R76" i="85" s="1"/>
  <c r="R111" i="82" a="1"/>
  <c r="R111" i="82" s="1"/>
  <c r="R73" i="85" s="1"/>
  <c r="R117" i="82" a="1"/>
  <c r="R117" i="82" s="1"/>
  <c r="R70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6" i="72" a="1"/>
  <c r="AE116" i="72" s="1"/>
  <c r="AE42" i="85"/>
  <c r="S115" i="73" a="1"/>
  <c r="S115" i="73" s="1"/>
  <c r="S110" i="73" a="1"/>
  <c r="S110" i="73" s="1"/>
  <c r="S58" i="85" s="1"/>
  <c r="S60" i="85"/>
  <c r="S117" i="73" a="1"/>
  <c r="S117" i="73" s="1"/>
  <c r="S114" i="73" a="1"/>
  <c r="S114" i="73" s="1"/>
  <c r="S62" i="85" s="1"/>
  <c r="S116" i="73" a="1"/>
  <c r="S116" i="73" s="1"/>
  <c r="S111" i="73" a="1"/>
  <c r="S111" i="73" s="1"/>
  <c r="S59" i="85" s="1"/>
  <c r="S113" i="73" a="1"/>
  <c r="S113" i="73" s="1"/>
  <c r="S61" i="85" s="1"/>
  <c r="S56" i="85"/>
  <c r="X116" i="72" a="1"/>
  <c r="X116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X117" i="73" a="1"/>
  <c r="X117" i="73" s="1"/>
  <c r="X116" i="73" a="1"/>
  <c r="X116" i="73" s="1"/>
  <c r="X111" i="73" a="1"/>
  <c r="X111" i="73" s="1"/>
  <c r="X59" i="85" s="1"/>
  <c r="X60" i="85"/>
  <c r="X110" i="73" a="1"/>
  <c r="X110" i="73" s="1"/>
  <c r="X58" i="85" s="1"/>
  <c r="X114" i="73" a="1"/>
  <c r="X114" i="73" s="1"/>
  <c r="X62" i="85" s="1"/>
  <c r="X115" i="73" a="1"/>
  <c r="X115" i="73" s="1"/>
  <c r="X113" i="73" a="1"/>
  <c r="X113" i="73" s="1"/>
  <c r="X61" i="85" s="1"/>
  <c r="X56" i="85"/>
  <c r="Y74" i="85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60" i="85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W115" i="82" a="1"/>
  <c r="W115" i="82" s="1"/>
  <c r="W111" i="82" a="1"/>
  <c r="W111" i="82" s="1"/>
  <c r="W73" i="85" s="1"/>
  <c r="W117" i="82" a="1"/>
  <c r="W117" i="82" s="1"/>
  <c r="W114" i="82" a="1"/>
  <c r="W114" i="82" s="1"/>
  <c r="W76" i="85" s="1"/>
  <c r="W116" i="82" a="1"/>
  <c r="W116" i="82" s="1"/>
  <c r="W74" i="85"/>
  <c r="W110" i="82" a="1"/>
  <c r="W110" i="82" s="1"/>
  <c r="W72" i="85" s="1"/>
  <c r="W113" i="82" a="1"/>
  <c r="W113" i="82" s="1"/>
  <c r="W75" i="85" s="1"/>
  <c r="W70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74" i="85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74" i="85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7" i="72" a="1"/>
  <c r="Y117" i="72" s="1"/>
  <c r="Y113" i="72" a="1"/>
  <c r="Y113" i="72" s="1"/>
  <c r="Y42" i="85"/>
  <c r="L48" i="75"/>
  <c r="L50" i="75" s="1"/>
  <c r="L40" i="85" s="1"/>
  <c r="R117" i="72" a="1"/>
  <c r="R117" i="72" s="1"/>
  <c r="R113" i="72" a="1"/>
  <c r="R113" i="72" s="1"/>
  <c r="R110" i="72" a="1"/>
  <c r="R110" i="72" s="1"/>
  <c r="R116" i="72" a="1"/>
  <c r="R116" i="72" s="1"/>
  <c r="R111" i="72" a="1"/>
  <c r="R111" i="72" s="1"/>
  <c r="R114" i="72" a="1"/>
  <c r="R114" i="72" s="1"/>
  <c r="R115" i="72" a="1"/>
  <c r="R115" i="72" s="1"/>
  <c r="R42" i="85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60" i="85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74" i="85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6" i="72" a="1"/>
  <c r="AG116" i="72" s="1"/>
  <c r="AG42" i="85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60" i="85"/>
  <c r="Y117" i="73" a="1"/>
  <c r="Y117" i="73" s="1"/>
  <c r="Y110" i="73" a="1"/>
  <c r="Y110" i="73" s="1"/>
  <c r="Y58" i="85" s="1"/>
  <c r="Y56" i="85"/>
  <c r="U74" i="85"/>
  <c r="U115" i="82" a="1"/>
  <c r="U115" i="82" s="1"/>
  <c r="U110" i="82" a="1"/>
  <c r="U110" i="82" s="1"/>
  <c r="U72" i="85" s="1"/>
  <c r="U117" i="82" a="1"/>
  <c r="U117" i="82" s="1"/>
  <c r="U116" i="82" a="1"/>
  <c r="U116" i="82" s="1"/>
  <c r="U113" i="82" a="1"/>
  <c r="U113" i="82" s="1"/>
  <c r="U75" i="85" s="1"/>
  <c r="U111" i="82" a="1"/>
  <c r="U111" i="82" s="1"/>
  <c r="U73" i="85" s="1"/>
  <c r="U114" i="82" a="1"/>
  <c r="U114" i="82" s="1"/>
  <c r="U76" i="85" s="1"/>
  <c r="U70" i="85"/>
  <c r="R115" i="73" a="1"/>
  <c r="R115" i="73" s="1"/>
  <c r="R110" i="73" a="1"/>
  <c r="R110" i="73" s="1"/>
  <c r="R58" i="85" s="1"/>
  <c r="R60" i="85"/>
  <c r="R117" i="73" a="1"/>
  <c r="R117" i="73" s="1"/>
  <c r="R114" i="73" a="1"/>
  <c r="R114" i="73" s="1"/>
  <c r="R62" i="85" s="1"/>
  <c r="R111" i="73" a="1"/>
  <c r="R111" i="73" s="1"/>
  <c r="R59" i="85" s="1"/>
  <c r="R116" i="73" a="1"/>
  <c r="R116" i="73" s="1"/>
  <c r="R113" i="73" a="1"/>
  <c r="R113" i="73" s="1"/>
  <c r="R61" i="85" s="1"/>
  <c r="R56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60" i="85"/>
  <c r="AE116" i="73" a="1"/>
  <c r="AE116" i="73" s="1"/>
  <c r="AE56" i="85"/>
  <c r="P111" i="72" a="1"/>
  <c r="P111" i="72" s="1"/>
  <c r="P114" i="72" a="1"/>
  <c r="P114" i="72" s="1"/>
  <c r="P117" i="72" a="1"/>
  <c r="P117" i="72" s="1"/>
  <c r="P110" i="72" a="1"/>
  <c r="P110" i="72" s="1"/>
  <c r="P113" i="72" a="1"/>
  <c r="P113" i="72" s="1"/>
  <c r="P116" i="72" a="1"/>
  <c r="P116" i="72" s="1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6" i="72" a="1"/>
  <c r="AF116" i="72" s="1"/>
  <c r="AF42" i="85"/>
  <c r="T117" i="73" a="1"/>
  <c r="T117" i="73" s="1"/>
  <c r="T114" i="73" a="1"/>
  <c r="T114" i="73" s="1"/>
  <c r="T62" i="85" s="1"/>
  <c r="T116" i="73" a="1"/>
  <c r="T116" i="73" s="1"/>
  <c r="T115" i="73" a="1"/>
  <c r="T115" i="73" s="1"/>
  <c r="T60" i="85"/>
  <c r="T110" i="73" a="1"/>
  <c r="T110" i="73" s="1"/>
  <c r="T58" i="85" s="1"/>
  <c r="T111" i="73" a="1"/>
  <c r="T111" i="73" s="1"/>
  <c r="T59" i="85" s="1"/>
  <c r="T113" i="73" a="1"/>
  <c r="T113" i="73" s="1"/>
  <c r="T61" i="85" s="1"/>
  <c r="T56" i="85"/>
  <c r="T116" i="82" a="1"/>
  <c r="T116" i="82" s="1"/>
  <c r="T74" i="85"/>
  <c r="T115" i="82" a="1"/>
  <c r="T115" i="82" s="1"/>
  <c r="T113" i="82" a="1"/>
  <c r="T113" i="82" s="1"/>
  <c r="T75" i="85" s="1"/>
  <c r="T114" i="82" a="1"/>
  <c r="T114" i="82" s="1"/>
  <c r="T76" i="85" s="1"/>
  <c r="T117" i="82" a="1"/>
  <c r="T117" i="82" s="1"/>
  <c r="T110" i="82" a="1"/>
  <c r="T110" i="82" s="1"/>
  <c r="T72" i="85" s="1"/>
  <c r="T111" i="82" a="1"/>
  <c r="T111" i="82" s="1"/>
  <c r="T73" i="85" s="1"/>
  <c r="T70" i="85"/>
  <c r="U60" i="85"/>
  <c r="U114" i="73" a="1"/>
  <c r="U114" i="73" s="1"/>
  <c r="U62" i="85" s="1"/>
  <c r="U116" i="73" a="1"/>
  <c r="U116" i="73" s="1"/>
  <c r="U115" i="73" a="1"/>
  <c r="U115" i="73" s="1"/>
  <c r="U117" i="73" a="1"/>
  <c r="U117" i="73" s="1"/>
  <c r="U113" i="73" a="1"/>
  <c r="U113" i="73" s="1"/>
  <c r="U61" i="85" s="1"/>
  <c r="U110" i="73" a="1"/>
  <c r="U110" i="73" s="1"/>
  <c r="U58" i="85" s="1"/>
  <c r="U111" i="73" a="1"/>
  <c r="U111" i="73" s="1"/>
  <c r="U59" i="85" s="1"/>
  <c r="U56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74" i="85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60" i="85"/>
  <c r="Z117" i="73" a="1"/>
  <c r="Z117" i="73" s="1"/>
  <c r="Z115" i="73" a="1"/>
  <c r="Z115" i="73" s="1"/>
  <c r="Z110" i="73" a="1"/>
  <c r="Z110" i="73" s="1"/>
  <c r="Z58" i="85" s="1"/>
  <c r="Z56" i="85"/>
  <c r="S117" i="72" a="1"/>
  <c r="S117" i="72" s="1"/>
  <c r="S116" i="72" a="1"/>
  <c r="S116" i="72" s="1"/>
  <c r="S113" i="72" a="1"/>
  <c r="S113" i="72" s="1"/>
  <c r="S115" i="72" a="1"/>
  <c r="S115" i="72" s="1"/>
  <c r="S110" i="72" a="1"/>
  <c r="S110" i="72" s="1"/>
  <c r="S114" i="72" a="1"/>
  <c r="S114" i="72" s="1"/>
  <c r="S111" i="72" a="1"/>
  <c r="S111" i="72" s="1"/>
  <c r="S42" i="85"/>
  <c r="W60" i="85"/>
  <c r="W117" i="73" a="1"/>
  <c r="W117" i="73" s="1"/>
  <c r="W114" i="73" a="1"/>
  <c r="W114" i="73" s="1"/>
  <c r="W62" i="85" s="1"/>
  <c r="W116" i="73" a="1"/>
  <c r="W116" i="73" s="1"/>
  <c r="W111" i="73" a="1"/>
  <c r="W111" i="73" s="1"/>
  <c r="W59" i="85" s="1"/>
  <c r="W115" i="73" a="1"/>
  <c r="W115" i="73" s="1"/>
  <c r="W110" i="73" a="1"/>
  <c r="W110" i="73" s="1"/>
  <c r="W58" i="85" s="1"/>
  <c r="W113" i="73" a="1"/>
  <c r="W113" i="73" s="1"/>
  <c r="W61" i="85" s="1"/>
  <c r="W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74" i="85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74" i="85"/>
  <c r="AD115" i="82" a="1"/>
  <c r="AD115" i="82" s="1"/>
  <c r="AD70" i="85"/>
  <c r="V74" i="85"/>
  <c r="V115" i="82" a="1"/>
  <c r="V115" i="82" s="1"/>
  <c r="V111" i="82" a="1"/>
  <c r="V111" i="82" s="1"/>
  <c r="V73" i="85" s="1"/>
  <c r="V117" i="82" a="1"/>
  <c r="V117" i="82" s="1"/>
  <c r="V116" i="82" a="1"/>
  <c r="V116" i="82" s="1"/>
  <c r="V113" i="82" a="1"/>
  <c r="V113" i="82" s="1"/>
  <c r="V75" i="85" s="1"/>
  <c r="V114" i="82" a="1"/>
  <c r="V114" i="82" s="1"/>
  <c r="V76" i="85" s="1"/>
  <c r="V110" i="82" a="1"/>
  <c r="V110" i="82" s="1"/>
  <c r="V72" i="85" s="1"/>
  <c r="V70" i="85"/>
  <c r="V60" i="85"/>
  <c r="V117" i="73" a="1"/>
  <c r="V117" i="73" s="1"/>
  <c r="V114" i="73" a="1"/>
  <c r="V114" i="73" s="1"/>
  <c r="V62" i="85" s="1"/>
  <c r="V116" i="73" a="1"/>
  <c r="V116" i="73" s="1"/>
  <c r="V111" i="73" a="1"/>
  <c r="V111" i="73" s="1"/>
  <c r="V59" i="85" s="1"/>
  <c r="V115" i="73" a="1"/>
  <c r="V115" i="73" s="1"/>
  <c r="V113" i="73" a="1"/>
  <c r="V113" i="73" s="1"/>
  <c r="V61" i="85" s="1"/>
  <c r="V110" i="73" a="1"/>
  <c r="V110" i="73" s="1"/>
  <c r="V58" i="85" s="1"/>
  <c r="V56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60" i="85"/>
  <c r="AB110" i="73" a="1"/>
  <c r="AB110" i="73" s="1"/>
  <c r="AB58" i="85" s="1"/>
  <c r="AB114" i="73" a="1"/>
  <c r="AB114" i="73" s="1"/>
  <c r="AB62" i="85" s="1"/>
  <c r="AB56" i="85"/>
  <c r="W115" i="72" a="1"/>
  <c r="W115" i="72" s="1"/>
  <c r="W113" i="72" a="1"/>
  <c r="W113" i="72" s="1"/>
  <c r="W114" i="72" a="1"/>
  <c r="W114" i="72" s="1"/>
  <c r="W110" i="72" a="1"/>
  <c r="W110" i="72" s="1"/>
  <c r="W117" i="72" a="1"/>
  <c r="W117" i="72" s="1"/>
  <c r="W116" i="72" a="1"/>
  <c r="W116" i="72" s="1"/>
  <c r="W111" i="72" a="1"/>
  <c r="W111" i="72" s="1"/>
  <c r="W42" i="85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J114" i="81" a="1"/>
  <c r="J114" i="81" s="1"/>
  <c r="J117" i="81" a="1"/>
  <c r="J117" i="81" s="1"/>
  <c r="J111" i="81" a="1"/>
  <c r="J111" i="81" s="1"/>
  <c r="J115" i="81" a="1"/>
  <c r="J115" i="81" s="1"/>
  <c r="J113" i="81" a="1"/>
  <c r="J113" i="81" s="1"/>
  <c r="J110" i="81" a="1"/>
  <c r="J110" i="81" s="1"/>
  <c r="J116" i="81" a="1"/>
  <c r="J116" i="81" s="1"/>
  <c r="M113" i="81" a="1"/>
  <c r="M113" i="81" s="1"/>
  <c r="M110" i="81" a="1"/>
  <c r="M110" i="81" s="1"/>
  <c r="M111" i="81" a="1"/>
  <c r="M111" i="81" s="1"/>
  <c r="M116" i="81" a="1"/>
  <c r="M116" i="81" s="1"/>
  <c r="M115" i="81" a="1"/>
  <c r="M115" i="81" s="1"/>
  <c r="M114" i="81" a="1"/>
  <c r="M114" i="81" s="1"/>
  <c r="M117" i="81" a="1"/>
  <c r="M117" i="81" s="1"/>
  <c r="K111" i="81" a="1"/>
  <c r="K111" i="81" s="1"/>
  <c r="K116" i="81" a="1"/>
  <c r="K116" i="81" s="1"/>
  <c r="K114" i="81" a="1"/>
  <c r="K114" i="81" s="1"/>
  <c r="K117" i="81" a="1"/>
  <c r="K117" i="81" s="1"/>
  <c r="K115" i="81" a="1"/>
  <c r="K115" i="81" s="1"/>
  <c r="K113" i="81" a="1"/>
  <c r="K113" i="81" s="1"/>
  <c r="K110" i="81" a="1"/>
  <c r="K110" i="81" s="1"/>
  <c r="L111" i="81" a="1"/>
  <c r="L111" i="81" s="1"/>
  <c r="L116" i="81" a="1"/>
  <c r="L116" i="81" s="1"/>
  <c r="L114" i="81" a="1"/>
  <c r="L114" i="81" s="1"/>
  <c r="L113" i="81" a="1"/>
  <c r="L113" i="81" s="1"/>
  <c r="L110" i="81" a="1"/>
  <c r="L110" i="81" s="1"/>
  <c r="L117" i="81" a="1"/>
  <c r="L117" i="81" s="1"/>
  <c r="L115" i="81" a="1"/>
  <c r="L115" i="81" s="1"/>
  <c r="I116" i="81" a="1"/>
  <c r="I116" i="81" s="1"/>
  <c r="I114" i="81" a="1"/>
  <c r="I114" i="81" s="1"/>
  <c r="I110" i="81" a="1"/>
  <c r="I110" i="81" s="1"/>
  <c r="I115" i="81" a="1"/>
  <c r="I115" i="81" s="1"/>
  <c r="I111" i="81" a="1"/>
  <c r="I111" i="81" s="1"/>
  <c r="I113" i="81" a="1"/>
  <c r="I113" i="81" s="1"/>
  <c r="I117" i="81" a="1"/>
  <c r="I117" i="81" s="1"/>
  <c r="X114" i="81" a="1"/>
  <c r="X114" i="81" s="1"/>
  <c r="X111" i="81" a="1"/>
  <c r="X111" i="81" s="1"/>
  <c r="X110" i="81" a="1"/>
  <c r="X110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W111" i="81" a="1"/>
  <c r="W111" i="81" s="1"/>
  <c r="W110" i="81" a="1"/>
  <c r="W110" i="81" s="1"/>
  <c r="W115" i="81" a="1"/>
  <c r="W115" i="81" s="1"/>
  <c r="W116" i="81" a="1"/>
  <c r="W116" i="81" s="1"/>
  <c r="W113" i="81" a="1"/>
  <c r="W113" i="81" s="1"/>
  <c r="W117" i="81" a="1"/>
  <c r="W117" i="81" s="1"/>
  <c r="W114" i="81" a="1"/>
  <c r="W114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6" i="81" a="1"/>
  <c r="Y116" i="81" s="1"/>
  <c r="Y113" i="81" a="1"/>
  <c r="Y113" i="81" s="1"/>
  <c r="Y110" i="81" a="1"/>
  <c r="Y110" i="81" s="1"/>
  <c r="T116" i="81" a="1"/>
  <c r="T116" i="81" s="1"/>
  <c r="T117" i="81" a="1"/>
  <c r="T117" i="81" s="1"/>
  <c r="T113" i="81" a="1"/>
  <c r="T113" i="81" s="1"/>
  <c r="T114" i="81" a="1"/>
  <c r="T114" i="81" s="1"/>
  <c r="T111" i="81" a="1"/>
  <c r="T111" i="81" s="1"/>
  <c r="T115" i="81" a="1"/>
  <c r="T115" i="81" s="1"/>
  <c r="T110" i="81" a="1"/>
  <c r="T110" i="81" s="1"/>
  <c r="O117" i="81" a="1"/>
  <c r="O117" i="81" s="1"/>
  <c r="O114" i="81" a="1"/>
  <c r="O114" i="81" s="1"/>
  <c r="O111" i="81" a="1"/>
  <c r="O111" i="81" s="1"/>
  <c r="O110" i="81" a="1"/>
  <c r="O110" i="81" s="1"/>
  <c r="O115" i="81" a="1"/>
  <c r="O115" i="81" s="1"/>
  <c r="O116" i="81" a="1"/>
  <c r="O116" i="81" s="1"/>
  <c r="O113" i="81" a="1"/>
  <c r="O113" i="81" s="1"/>
  <c r="U115" i="81" a="1"/>
  <c r="U115" i="81" s="1"/>
  <c r="U113" i="81" a="1"/>
  <c r="U113" i="81" s="1"/>
  <c r="U117" i="81" a="1"/>
  <c r="U117" i="81" s="1"/>
  <c r="U116" i="81" a="1"/>
  <c r="U116" i="81" s="1"/>
  <c r="U114" i="81" a="1"/>
  <c r="U114" i="81" s="1"/>
  <c r="U111" i="81" a="1"/>
  <c r="U111" i="81" s="1"/>
  <c r="U110" i="81" a="1"/>
  <c r="U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0" i="81" a="1"/>
  <c r="AC110" i="81" s="1"/>
  <c r="Z117" i="81" a="1"/>
  <c r="Z117" i="81" s="1"/>
  <c r="Z114" i="81" a="1"/>
  <c r="Z114" i="81" s="1"/>
  <c r="Z115" i="81" a="1"/>
  <c r="Z115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6" i="81" a="1"/>
  <c r="AA116" i="81" s="1"/>
  <c r="AA114" i="81" a="1"/>
  <c r="AA114" i="81" s="1"/>
  <c r="S116" i="81" a="1"/>
  <c r="S116" i="81" s="1"/>
  <c r="S113" i="81" a="1"/>
  <c r="S113" i="81" s="1"/>
  <c r="S117" i="81" a="1"/>
  <c r="S117" i="81" s="1"/>
  <c r="S114" i="81" a="1"/>
  <c r="S114" i="81" s="1"/>
  <c r="S111" i="81" a="1"/>
  <c r="S111" i="81" s="1"/>
  <c r="S110" i="81" a="1"/>
  <c r="S110" i="81" s="1"/>
  <c r="S115" i="81" a="1"/>
  <c r="S115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7" i="81" a="1"/>
  <c r="AB117" i="81" s="1"/>
  <c r="R116" i="81" a="1"/>
  <c r="R116" i="81" s="1"/>
  <c r="R113" i="81" a="1"/>
  <c r="R113" i="81" s="1"/>
  <c r="R114" i="81" a="1"/>
  <c r="R114" i="81" s="1"/>
  <c r="R111" i="81" a="1"/>
  <c r="R111" i="81" s="1"/>
  <c r="R110" i="81" a="1"/>
  <c r="R110" i="81" s="1"/>
  <c r="R117" i="81" a="1"/>
  <c r="R117" i="81" s="1"/>
  <c r="R115" i="81" a="1"/>
  <c r="R115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V115" i="81" a="1"/>
  <c r="V115" i="81" s="1"/>
  <c r="V116" i="81" a="1"/>
  <c r="V116" i="81" s="1"/>
  <c r="V113" i="81" a="1"/>
  <c r="V113" i="81" s="1"/>
  <c r="V117" i="81" a="1"/>
  <c r="V117" i="81" s="1"/>
  <c r="V114" i="81" a="1"/>
  <c r="V114" i="81" s="1"/>
  <c r="V111" i="81" a="1"/>
  <c r="V111" i="81" s="1"/>
  <c r="V110" i="81" a="1"/>
  <c r="V110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N113" i="81" a="1"/>
  <c r="N113" i="81" s="1"/>
  <c r="N116" i="81" a="1"/>
  <c r="N116" i="81" s="1"/>
  <c r="N111" i="81" a="1"/>
  <c r="N111" i="81" s="1"/>
  <c r="N114" i="81" a="1"/>
  <c r="N114" i="81" s="1"/>
  <c r="N117" i="81" a="1"/>
  <c r="N117" i="81" s="1"/>
  <c r="N115" i="81" a="1"/>
  <c r="N115" i="81" s="1"/>
  <c r="N110" i="81" a="1"/>
  <c r="N110" i="81" s="1"/>
  <c r="P87" i="73"/>
  <c r="P106" i="73" s="1"/>
  <c r="P112" i="73" s="1"/>
  <c r="N48" i="75"/>
  <c r="N50" i="75" s="1"/>
  <c r="N40" i="85" s="1"/>
  <c r="O62" i="75"/>
  <c r="O64" i="75" s="1"/>
  <c r="N87" i="72"/>
  <c r="N106" i="72" s="1"/>
  <c r="N112" i="72" s="1"/>
  <c r="M62" i="75"/>
  <c r="M64" i="75" s="1"/>
  <c r="O87" i="73"/>
  <c r="O106" i="73" s="1"/>
  <c r="O112" i="73" s="1"/>
  <c r="J76" i="75"/>
  <c r="J78" i="75" s="1"/>
  <c r="M87" i="73"/>
  <c r="M106" i="73" s="1"/>
  <c r="M112" i="73" s="1"/>
  <c r="J62" i="75"/>
  <c r="J64" i="75" s="1"/>
  <c r="J87" i="73"/>
  <c r="J106" i="73" s="1"/>
  <c r="J112" i="73" s="1"/>
  <c r="N62" i="75"/>
  <c r="N64" i="75" s="1"/>
  <c r="K62" i="75"/>
  <c r="K64" i="75" s="1"/>
  <c r="N87" i="73"/>
  <c r="N106" i="73" s="1"/>
  <c r="N112" i="73" s="1"/>
  <c r="Q62" i="75"/>
  <c r="Q64" i="75" s="1"/>
  <c r="I62" i="75"/>
  <c r="I64" i="75" s="1"/>
  <c r="Q76" i="75"/>
  <c r="Q78" i="75" s="1"/>
  <c r="M87" i="82"/>
  <c r="M106" i="82" s="1"/>
  <c r="M112" i="82" s="1"/>
  <c r="Q87" i="73"/>
  <c r="Q106" i="73" s="1"/>
  <c r="Q112" i="73" s="1"/>
  <c r="K87" i="73"/>
  <c r="K106" i="73" s="1"/>
  <c r="K112" i="73" s="1"/>
  <c r="Q87" i="82"/>
  <c r="Q106" i="82" s="1"/>
  <c r="Q112" i="82" s="1"/>
  <c r="M76" i="75"/>
  <c r="M78" i="75" s="1"/>
  <c r="P62" i="75"/>
  <c r="P64" i="75" s="1"/>
  <c r="M48" i="75"/>
  <c r="M50" i="75" s="1"/>
  <c r="M40" i="85" s="1"/>
  <c r="M87" i="72"/>
  <c r="M106" i="72" s="1"/>
  <c r="M112" i="72" s="1"/>
  <c r="I87" i="73"/>
  <c r="P76" i="75"/>
  <c r="P78" i="75" s="1"/>
  <c r="I76" i="75"/>
  <c r="I78" i="75" s="1"/>
  <c r="Q34" i="75"/>
  <c r="Q36" i="75" s="1"/>
  <c r="O87" i="82"/>
  <c r="O106" i="82" s="1"/>
  <c r="O112" i="82" s="1"/>
  <c r="Q48" i="75"/>
  <c r="Q50" i="75" s="1"/>
  <c r="Q40" i="85" s="1"/>
  <c r="Q87" i="72"/>
  <c r="Q106" i="72" s="1"/>
  <c r="Q112" i="72" s="1"/>
  <c r="L87" i="73"/>
  <c r="L106" i="73" s="1"/>
  <c r="L112" i="73" s="1"/>
  <c r="N87" i="82"/>
  <c r="N106" i="82" s="1"/>
  <c r="N112" i="82" s="1"/>
  <c r="O87" i="72"/>
  <c r="O106" i="72" s="1"/>
  <c r="O112" i="72" s="1"/>
  <c r="K76" i="75"/>
  <c r="K78" i="75" s="1"/>
  <c r="O76" i="75"/>
  <c r="O78" i="75" s="1"/>
  <c r="I48" i="75"/>
  <c r="I87" i="72"/>
  <c r="I106" i="72" s="1"/>
  <c r="I112" i="72" s="1"/>
  <c r="O48" i="75"/>
  <c r="O50" i="75" s="1"/>
  <c r="O40" i="85" s="1"/>
  <c r="L62" i="75"/>
  <c r="L64" i="75" s="1"/>
  <c r="P87" i="82"/>
  <c r="P106" i="82" s="1"/>
  <c r="P112" i="82" s="1"/>
  <c r="I87" i="82"/>
  <c r="I106" i="82" s="1"/>
  <c r="I112" i="82" s="1"/>
  <c r="Q87" i="81"/>
  <c r="N76" i="75"/>
  <c r="N78" i="75" s="1"/>
  <c r="K87" i="82"/>
  <c r="K106" i="82" s="1"/>
  <c r="K112" i="82" s="1"/>
  <c r="J87" i="82"/>
  <c r="J106" i="82" s="1"/>
  <c r="J112" i="82" s="1"/>
  <c r="I36" i="75"/>
  <c r="F52" i="75"/>
  <c r="G11" i="33" s="1"/>
  <c r="J115" i="72" l="1" a="1"/>
  <c r="J115" i="72" s="1"/>
  <c r="K114" i="72" a="1"/>
  <c r="K114" i="72" s="1"/>
  <c r="P111" i="81" a="1"/>
  <c r="P111" i="81" s="1"/>
  <c r="P115" i="72" a="1"/>
  <c r="P115" i="72" s="1"/>
  <c r="P42" i="85"/>
  <c r="P115" i="81" a="1"/>
  <c r="P115" i="81" s="1"/>
  <c r="P110" i="81" a="1"/>
  <c r="P110" i="81" s="1"/>
  <c r="K42" i="85"/>
  <c r="P113" i="81" a="1"/>
  <c r="P113" i="81" s="1"/>
  <c r="P114" i="81" a="1"/>
  <c r="P114" i="81" s="1"/>
  <c r="P117" i="81" a="1"/>
  <c r="P117" i="81" s="1"/>
  <c r="K111" i="72" a="1"/>
  <c r="K111" i="72" s="1"/>
  <c r="P116" i="81" a="1"/>
  <c r="P116" i="81" s="1"/>
  <c r="K115" i="72" a="1"/>
  <c r="K115" i="72" s="1"/>
  <c r="J42" i="85"/>
  <c r="J110" i="72" a="1"/>
  <c r="J110" i="72" s="1"/>
  <c r="J113" i="72" a="1"/>
  <c r="J113" i="72" s="1"/>
  <c r="K110" i="72" a="1"/>
  <c r="K110" i="72" s="1"/>
  <c r="J116" i="72" a="1"/>
  <c r="J116" i="72" s="1"/>
  <c r="K116" i="72" a="1"/>
  <c r="K116" i="72" s="1"/>
  <c r="K113" i="72" a="1"/>
  <c r="K113" i="72" s="1"/>
  <c r="J117" i="72" a="1"/>
  <c r="J117" i="72" s="1"/>
  <c r="J114" i="72" a="1"/>
  <c r="J114" i="72" s="1"/>
  <c r="J111" i="72" a="1"/>
  <c r="J111" i="72" s="1"/>
  <c r="K117" i="72" a="1"/>
  <c r="K117" i="72" s="1"/>
  <c r="I111" i="82" a="1"/>
  <c r="I111" i="82" s="1"/>
  <c r="I73" i="85" s="1"/>
  <c r="I114" i="82" a="1"/>
  <c r="I114" i="82" s="1"/>
  <c r="I76" i="85" s="1"/>
  <c r="I117" i="82" a="1"/>
  <c r="I117" i="82" s="1"/>
  <c r="I110" i="82" a="1"/>
  <c r="I110" i="82" s="1"/>
  <c r="I72" i="85" s="1"/>
  <c r="I116" i="82" a="1"/>
  <c r="I116" i="82" s="1"/>
  <c r="I74" i="85"/>
  <c r="I115" i="82" a="1"/>
  <c r="I115" i="82" s="1"/>
  <c r="I113" i="82" a="1"/>
  <c r="I113" i="82" s="1"/>
  <c r="I75" i="85" s="1"/>
  <c r="I70" i="85"/>
  <c r="AC65" i="85"/>
  <c r="AC64" i="85"/>
  <c r="AC63" i="85"/>
  <c r="K116" i="73" a="1"/>
  <c r="K116" i="73" s="1"/>
  <c r="K111" i="73" a="1"/>
  <c r="K111" i="73" s="1"/>
  <c r="K59" i="85" s="1"/>
  <c r="K113" i="73" a="1"/>
  <c r="K113" i="73" s="1"/>
  <c r="K61" i="85" s="1"/>
  <c r="K115" i="73" a="1"/>
  <c r="K115" i="73" s="1"/>
  <c r="K110" i="73" a="1"/>
  <c r="K110" i="73" s="1"/>
  <c r="K58" i="85" s="1"/>
  <c r="K114" i="73" a="1"/>
  <c r="K114" i="73" s="1"/>
  <c r="K62" i="85" s="1"/>
  <c r="K117" i="73" a="1"/>
  <c r="K117" i="73" s="1"/>
  <c r="K60" i="85"/>
  <c r="K56" i="85"/>
  <c r="AE65" i="85"/>
  <c r="AE63" i="85"/>
  <c r="AE64" i="85"/>
  <c r="I106" i="73"/>
  <c r="I112" i="73" s="1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5" i="72" a="1"/>
  <c r="I115" i="72" s="1"/>
  <c r="I111" i="72" a="1"/>
  <c r="I111" i="72" s="1"/>
  <c r="I114" i="72" a="1"/>
  <c r="I114" i="72" s="1"/>
  <c r="I116" i="72" a="1"/>
  <c r="I116" i="72" s="1"/>
  <c r="I113" i="72" a="1"/>
  <c r="I113" i="72" s="1"/>
  <c r="I117" i="72" a="1"/>
  <c r="I117" i="72" s="1"/>
  <c r="I110" i="72" a="1"/>
  <c r="I110" i="72" s="1"/>
  <c r="I42" i="85"/>
  <c r="V77" i="85"/>
  <c r="V79" i="85"/>
  <c r="V78" i="85"/>
  <c r="O111" i="72" a="1"/>
  <c r="O111" i="72" s="1"/>
  <c r="O114" i="72" a="1"/>
  <c r="O114" i="72" s="1"/>
  <c r="O117" i="72" a="1"/>
  <c r="O117" i="72" s="1"/>
  <c r="O110" i="72" a="1"/>
  <c r="O110" i="72" s="1"/>
  <c r="O113" i="72" a="1"/>
  <c r="O113" i="72" s="1"/>
  <c r="O115" i="72" a="1"/>
  <c r="O115" i="72" s="1"/>
  <c r="O116" i="72" a="1"/>
  <c r="O116" i="72" s="1"/>
  <c r="O42" i="85"/>
  <c r="AA77" i="85"/>
  <c r="AA79" i="85"/>
  <c r="AA78" i="85"/>
  <c r="S63" i="85"/>
  <c r="S65" i="85"/>
  <c r="S64" i="85"/>
  <c r="Q113" i="82" a="1"/>
  <c r="Q113" i="82" s="1"/>
  <c r="Q75" i="85" s="1"/>
  <c r="Q110" i="82" a="1"/>
  <c r="Q110" i="82" s="1"/>
  <c r="Q72" i="85" s="1"/>
  <c r="Q116" i="82" a="1"/>
  <c r="Q116" i="82" s="1"/>
  <c r="Q74" i="85"/>
  <c r="Q115" i="82" a="1"/>
  <c r="Q115" i="82" s="1"/>
  <c r="Q114" i="82" a="1"/>
  <c r="Q114" i="82" s="1"/>
  <c r="Q76" i="85" s="1"/>
  <c r="Q111" i="82" a="1"/>
  <c r="Q111" i="82" s="1"/>
  <c r="Q73" i="85" s="1"/>
  <c r="Q117" i="82" a="1"/>
  <c r="Q117" i="82" s="1"/>
  <c r="Q70" i="85"/>
  <c r="L111" i="82" a="1"/>
  <c r="L111" i="82" s="1"/>
  <c r="L73" i="85" s="1"/>
  <c r="L117" i="82" a="1"/>
  <c r="L117" i="82" s="1"/>
  <c r="L114" i="82" a="1"/>
  <c r="L114" i="82" s="1"/>
  <c r="L76" i="85" s="1"/>
  <c r="L110" i="82" a="1"/>
  <c r="L110" i="82" s="1"/>
  <c r="L72" i="85" s="1"/>
  <c r="L113" i="82" a="1"/>
  <c r="L113" i="82" s="1"/>
  <c r="L75" i="85" s="1"/>
  <c r="L116" i="82" a="1"/>
  <c r="L116" i="82" s="1"/>
  <c r="L74" i="85"/>
  <c r="L115" i="82" a="1"/>
  <c r="L115" i="82" s="1"/>
  <c r="L70" i="85"/>
  <c r="N117" i="82" a="1"/>
  <c r="N117" i="82" s="1"/>
  <c r="N110" i="82" a="1"/>
  <c r="N110" i="82" s="1"/>
  <c r="N72" i="85" s="1"/>
  <c r="N113" i="82" a="1"/>
  <c r="N113" i="82" s="1"/>
  <c r="N75" i="85" s="1"/>
  <c r="N116" i="82" a="1"/>
  <c r="N116" i="82" s="1"/>
  <c r="N114" i="82" a="1"/>
  <c r="N114" i="82" s="1"/>
  <c r="N76" i="85" s="1"/>
  <c r="N111" i="82" a="1"/>
  <c r="N111" i="82" s="1"/>
  <c r="N73" i="85" s="1"/>
  <c r="N74" i="85"/>
  <c r="N115" i="82" a="1"/>
  <c r="N115" i="82" s="1"/>
  <c r="N70" i="85"/>
  <c r="N113" i="73" a="1"/>
  <c r="N113" i="73" s="1"/>
  <c r="N61" i="85" s="1"/>
  <c r="N110" i="73" a="1"/>
  <c r="N110" i="73" s="1"/>
  <c r="N58" i="85" s="1"/>
  <c r="N115" i="73" a="1"/>
  <c r="N115" i="73" s="1"/>
  <c r="N60" i="85"/>
  <c r="N114" i="73" a="1"/>
  <c r="N114" i="73" s="1"/>
  <c r="N62" i="85" s="1"/>
  <c r="N111" i="73" a="1"/>
  <c r="N111" i="73" s="1"/>
  <c r="N59" i="85" s="1"/>
  <c r="N116" i="73" a="1"/>
  <c r="N116" i="73" s="1"/>
  <c r="N117" i="73" a="1"/>
  <c r="N117" i="73" s="1"/>
  <c r="N56" i="85"/>
  <c r="AD77" i="85"/>
  <c r="AD79" i="85"/>
  <c r="AD78" i="85"/>
  <c r="W63" i="85"/>
  <c r="W64" i="85"/>
  <c r="W65" i="85"/>
  <c r="AE77" i="85"/>
  <c r="AE79" i="85"/>
  <c r="AE78" i="85"/>
  <c r="N111" i="72" a="1"/>
  <c r="N111" i="72" s="1"/>
  <c r="N117" i="72" a="1"/>
  <c r="N117" i="72" s="1"/>
  <c r="N110" i="72" a="1"/>
  <c r="N110" i="72" s="1"/>
  <c r="N113" i="72" a="1"/>
  <c r="N113" i="72" s="1"/>
  <c r="N116" i="72" a="1"/>
  <c r="N116" i="72" s="1"/>
  <c r="N115" i="72" a="1"/>
  <c r="N115" i="72" s="1"/>
  <c r="N114" i="72" a="1"/>
  <c r="N114" i="72" s="1"/>
  <c r="N42" i="85"/>
  <c r="Z65" i="85"/>
  <c r="Z64" i="85"/>
  <c r="Z63" i="85"/>
  <c r="Y78" i="85"/>
  <c r="Y79" i="85"/>
  <c r="Y77" i="85"/>
  <c r="AB78" i="85"/>
  <c r="AB79" i="85"/>
  <c r="AB77" i="85"/>
  <c r="K114" i="82" a="1"/>
  <c r="K114" i="82" s="1"/>
  <c r="K76" i="85" s="1"/>
  <c r="K111" i="82" a="1"/>
  <c r="K111" i="82" s="1"/>
  <c r="K73" i="85" s="1"/>
  <c r="K117" i="82" a="1"/>
  <c r="K117" i="82" s="1"/>
  <c r="K110" i="82" a="1"/>
  <c r="K110" i="82" s="1"/>
  <c r="K72" i="85" s="1"/>
  <c r="K113" i="82" a="1"/>
  <c r="K113" i="82" s="1"/>
  <c r="K75" i="85" s="1"/>
  <c r="K115" i="82" a="1"/>
  <c r="K115" i="82" s="1"/>
  <c r="K116" i="82" a="1"/>
  <c r="K116" i="82" s="1"/>
  <c r="K74" i="85"/>
  <c r="K70" i="85"/>
  <c r="M114" i="72" a="1"/>
  <c r="M114" i="72" s="1"/>
  <c r="M117" i="72" a="1"/>
  <c r="M117" i="72" s="1"/>
  <c r="M110" i="72" a="1"/>
  <c r="M110" i="72" s="1"/>
  <c r="M113" i="72" a="1"/>
  <c r="M113" i="72" s="1"/>
  <c r="M116" i="72" a="1"/>
  <c r="M116" i="72" s="1"/>
  <c r="M111" i="72" a="1"/>
  <c r="M111" i="72" s="1"/>
  <c r="M115" i="72" a="1"/>
  <c r="M115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3" i="73" a="1"/>
  <c r="P113" i="73" s="1"/>
  <c r="P61" i="85" s="1"/>
  <c r="P115" i="73" a="1"/>
  <c r="P115" i="73" s="1"/>
  <c r="P60" i="85"/>
  <c r="P117" i="73" a="1"/>
  <c r="P117" i="73" s="1"/>
  <c r="P110" i="73" a="1"/>
  <c r="P110" i="73" s="1"/>
  <c r="P58" i="85" s="1"/>
  <c r="P116" i="73" a="1"/>
  <c r="P116" i="73" s="1"/>
  <c r="P111" i="73" a="1"/>
  <c r="P111" i="73" s="1"/>
  <c r="P59" i="85" s="1"/>
  <c r="P114" i="73" a="1"/>
  <c r="P114" i="73" s="1"/>
  <c r="P62" i="85" s="1"/>
  <c r="P56" i="85"/>
  <c r="Q110" i="73" a="1"/>
  <c r="Q110" i="73" s="1"/>
  <c r="Q58" i="85" s="1"/>
  <c r="Q60" i="85"/>
  <c r="Q117" i="73" a="1"/>
  <c r="Q117" i="73" s="1"/>
  <c r="Q111" i="73" a="1"/>
  <c r="Q111" i="73" s="1"/>
  <c r="Q59" i="85" s="1"/>
  <c r="Q115" i="73" a="1"/>
  <c r="Q115" i="73" s="1"/>
  <c r="Q116" i="73" a="1"/>
  <c r="Q116" i="73" s="1"/>
  <c r="Q114" i="73" a="1"/>
  <c r="Q114" i="73" s="1"/>
  <c r="Q62" i="85" s="1"/>
  <c r="Q113" i="73" a="1"/>
  <c r="Q113" i="73" s="1"/>
  <c r="Q61" i="85" s="1"/>
  <c r="Q56" i="85"/>
  <c r="M114" i="82" a="1"/>
  <c r="M114" i="82" s="1"/>
  <c r="M76" i="85" s="1"/>
  <c r="M117" i="82" a="1"/>
  <c r="M117" i="82" s="1"/>
  <c r="M110" i="82" a="1"/>
  <c r="M110" i="82" s="1"/>
  <c r="M72" i="85" s="1"/>
  <c r="M113" i="82" a="1"/>
  <c r="M113" i="82" s="1"/>
  <c r="M75" i="85" s="1"/>
  <c r="M116" i="82" a="1"/>
  <c r="M116" i="82" s="1"/>
  <c r="M111" i="82" a="1"/>
  <c r="M111" i="82" s="1"/>
  <c r="M73" i="85" s="1"/>
  <c r="M74" i="85"/>
  <c r="M115" i="82" a="1"/>
  <c r="M115" i="82" s="1"/>
  <c r="M70" i="85"/>
  <c r="J111" i="73" a="1"/>
  <c r="J111" i="73" s="1"/>
  <c r="J59" i="85" s="1"/>
  <c r="J116" i="73" a="1"/>
  <c r="J116" i="73" s="1"/>
  <c r="J113" i="73" a="1"/>
  <c r="J113" i="73" s="1"/>
  <c r="J61" i="85" s="1"/>
  <c r="J115" i="73" a="1"/>
  <c r="J115" i="73" s="1"/>
  <c r="J114" i="73" a="1"/>
  <c r="J114" i="73" s="1"/>
  <c r="J62" i="85" s="1"/>
  <c r="J117" i="73" a="1"/>
  <c r="J117" i="73" s="1"/>
  <c r="J110" i="73" a="1"/>
  <c r="J110" i="73" s="1"/>
  <c r="J58" i="85" s="1"/>
  <c r="J60" i="85"/>
  <c r="J56" i="85"/>
  <c r="O113" i="82" a="1"/>
  <c r="O113" i="82" s="1"/>
  <c r="O75" i="85" s="1"/>
  <c r="O116" i="82" a="1"/>
  <c r="O116" i="82" s="1"/>
  <c r="O114" i="82" a="1"/>
  <c r="O114" i="82" s="1"/>
  <c r="O76" i="85" s="1"/>
  <c r="O110" i="82" a="1"/>
  <c r="O110" i="82" s="1"/>
  <c r="O72" i="85" s="1"/>
  <c r="O111" i="82" a="1"/>
  <c r="O111" i="82" s="1"/>
  <c r="O73" i="85" s="1"/>
  <c r="O117" i="82" a="1"/>
  <c r="O117" i="82" s="1"/>
  <c r="O115" i="82" a="1"/>
  <c r="O115" i="82" s="1"/>
  <c r="O74" i="85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1" i="73" a="1"/>
  <c r="L111" i="73" s="1"/>
  <c r="L59" i="85" s="1"/>
  <c r="L113" i="73" a="1"/>
  <c r="L113" i="73" s="1"/>
  <c r="L61" i="85" s="1"/>
  <c r="L115" i="73" a="1"/>
  <c r="L115" i="73" s="1"/>
  <c r="L110" i="73" a="1"/>
  <c r="L110" i="73" s="1"/>
  <c r="L58" i="85" s="1"/>
  <c r="L114" i="73" a="1"/>
  <c r="L114" i="73" s="1"/>
  <c r="L62" i="85" s="1"/>
  <c r="L117" i="73" a="1"/>
  <c r="L117" i="73" s="1"/>
  <c r="L60" i="85"/>
  <c r="L116" i="73" a="1"/>
  <c r="L116" i="73" s="1"/>
  <c r="L56" i="85"/>
  <c r="Q114" i="72" a="1"/>
  <c r="Q114" i="72" s="1"/>
  <c r="Q113" i="72" a="1"/>
  <c r="Q113" i="72" s="1"/>
  <c r="Q110" i="72" a="1"/>
  <c r="Q110" i="72" s="1"/>
  <c r="Q116" i="72" a="1"/>
  <c r="Q116" i="72" s="1"/>
  <c r="Q115" i="72" a="1"/>
  <c r="Q115" i="72" s="1"/>
  <c r="Q111" i="72" a="1"/>
  <c r="Q111" i="72" s="1"/>
  <c r="Q117" i="72" a="1"/>
  <c r="Q117" i="72" s="1"/>
  <c r="Q42" i="85"/>
  <c r="AG65" i="85"/>
  <c r="AG63" i="85"/>
  <c r="AG64" i="85"/>
  <c r="T65" i="85"/>
  <c r="T63" i="85"/>
  <c r="T64" i="85"/>
  <c r="X65" i="85"/>
  <c r="X63" i="85"/>
  <c r="X64" i="85"/>
  <c r="L111" i="72" a="1"/>
  <c r="L111" i="72" s="1"/>
  <c r="L114" i="72" a="1"/>
  <c r="L114" i="72" s="1"/>
  <c r="L117" i="72" a="1"/>
  <c r="L117" i="72" s="1"/>
  <c r="L116" i="72" a="1"/>
  <c r="L116" i="72" s="1"/>
  <c r="L113" i="72" a="1"/>
  <c r="L113" i="72" s="1"/>
  <c r="L110" i="72" a="1"/>
  <c r="L110" i="72" s="1"/>
  <c r="L115" i="72" a="1"/>
  <c r="L115" i="72" s="1"/>
  <c r="L42" i="85"/>
  <c r="AD64" i="85"/>
  <c r="AD63" i="85"/>
  <c r="AD65" i="85"/>
  <c r="Z79" i="85"/>
  <c r="Z77" i="85"/>
  <c r="Z78" i="85"/>
  <c r="M110" i="73" a="1"/>
  <c r="M110" i="73" s="1"/>
  <c r="M58" i="85" s="1"/>
  <c r="M115" i="73" a="1"/>
  <c r="M115" i="73" s="1"/>
  <c r="M113" i="73" a="1"/>
  <c r="M113" i="73" s="1"/>
  <c r="M61" i="85" s="1"/>
  <c r="M60" i="85"/>
  <c r="M111" i="73" a="1"/>
  <c r="M111" i="73" s="1"/>
  <c r="M59" i="85" s="1"/>
  <c r="M116" i="73" a="1"/>
  <c r="M116" i="73" s="1"/>
  <c r="M117" i="73" a="1"/>
  <c r="M117" i="73" s="1"/>
  <c r="M114" i="73" a="1"/>
  <c r="M114" i="73" s="1"/>
  <c r="M62" i="85" s="1"/>
  <c r="M56" i="85"/>
  <c r="P110" i="82" a="1"/>
  <c r="P110" i="82" s="1"/>
  <c r="P72" i="85" s="1"/>
  <c r="P113" i="82" a="1"/>
  <c r="P113" i="82" s="1"/>
  <c r="P75" i="85" s="1"/>
  <c r="P116" i="82" a="1"/>
  <c r="P116" i="82" s="1"/>
  <c r="P114" i="82" a="1"/>
  <c r="P114" i="82" s="1"/>
  <c r="P76" i="85" s="1"/>
  <c r="P111" i="82" a="1"/>
  <c r="P111" i="82" s="1"/>
  <c r="P73" i="85" s="1"/>
  <c r="P117" i="82" a="1"/>
  <c r="P117" i="82" s="1"/>
  <c r="P115" i="82" a="1"/>
  <c r="P115" i="82" s="1"/>
  <c r="P74" i="85"/>
  <c r="P70" i="85"/>
  <c r="J111" i="82" a="1"/>
  <c r="J111" i="82" s="1"/>
  <c r="J73" i="85" s="1"/>
  <c r="J114" i="82" a="1"/>
  <c r="J114" i="82" s="1"/>
  <c r="J76" i="85" s="1"/>
  <c r="J117" i="82" a="1"/>
  <c r="J117" i="82" s="1"/>
  <c r="J110" i="82" a="1"/>
  <c r="J110" i="82" s="1"/>
  <c r="J72" i="85" s="1"/>
  <c r="J113" i="82" a="1"/>
  <c r="J113" i="82" s="1"/>
  <c r="J75" i="85" s="1"/>
  <c r="J74" i="85"/>
  <c r="J115" i="82" a="1"/>
  <c r="J115" i="82" s="1"/>
  <c r="J116" i="82" a="1"/>
  <c r="J116" i="82" s="1"/>
  <c r="J70" i="85"/>
  <c r="O113" i="73" a="1"/>
  <c r="O113" i="73" s="1"/>
  <c r="O61" i="85" s="1"/>
  <c r="O110" i="73" a="1"/>
  <c r="O110" i="73" s="1"/>
  <c r="O58" i="85" s="1"/>
  <c r="O115" i="73" a="1"/>
  <c r="O115" i="73" s="1"/>
  <c r="O60" i="85"/>
  <c r="O117" i="73" a="1"/>
  <c r="O117" i="73" s="1"/>
  <c r="O114" i="73" a="1"/>
  <c r="O114" i="73" s="1"/>
  <c r="O62" i="85" s="1"/>
  <c r="O111" i="73" a="1"/>
  <c r="O111" i="73" s="1"/>
  <c r="O59" i="85" s="1"/>
  <c r="O116" i="73" a="1"/>
  <c r="O116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F76" i="75"/>
  <c r="F81" i="75" s="1"/>
  <c r="Q106" i="81"/>
  <c r="Q112" i="81" s="1"/>
  <c r="F66" i="75"/>
  <c r="G12" i="33" s="1"/>
  <c r="F38" i="75"/>
  <c r="G10" i="33" s="1"/>
  <c r="F51" i="75" l="1" a="1"/>
  <c r="F51" i="75" s="1"/>
  <c r="I11" i="33" s="1"/>
  <c r="F70" i="85"/>
  <c r="F76" i="85"/>
  <c r="F42" i="85"/>
  <c r="N65" i="85"/>
  <c r="N63" i="85"/>
  <c r="N64" i="85"/>
  <c r="L63" i="85"/>
  <c r="L64" i="85"/>
  <c r="L65" i="85"/>
  <c r="O79" i="85"/>
  <c r="O77" i="85"/>
  <c r="O78" i="85"/>
  <c r="I116" i="73" a="1"/>
  <c r="I116" i="73" s="1"/>
  <c r="I113" i="73" a="1"/>
  <c r="I113" i="73" s="1"/>
  <c r="I61" i="85" s="1"/>
  <c r="F61" i="85" s="1"/>
  <c r="I110" i="73" a="1"/>
  <c r="I110" i="73" s="1"/>
  <c r="I58" i="85" s="1"/>
  <c r="F58" i="85" s="1"/>
  <c r="I60" i="85"/>
  <c r="F60" i="85" s="1"/>
  <c r="I114" i="73" a="1"/>
  <c r="I114" i="73" s="1"/>
  <c r="I62" i="85" s="1"/>
  <c r="F62" i="85" s="1"/>
  <c r="I117" i="73" a="1"/>
  <c r="I117" i="73" s="1"/>
  <c r="I115" i="73" a="1"/>
  <c r="I115" i="73" s="1"/>
  <c r="I111" i="73" a="1"/>
  <c r="I111" i="73" s="1"/>
  <c r="I59" i="85" s="1"/>
  <c r="F59" i="85" s="1"/>
  <c r="I56" i="85"/>
  <c r="F56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3" i="81" a="1"/>
  <c r="Q113" i="81" s="1"/>
  <c r="Q117" i="81" a="1"/>
  <c r="Q117" i="81" s="1"/>
  <c r="Q111" i="81" a="1"/>
  <c r="Q111" i="81" s="1"/>
  <c r="Q110" i="81" a="1"/>
  <c r="Q110" i="81" s="1"/>
  <c r="Q116" i="81" a="1"/>
  <c r="Q116" i="81" s="1"/>
  <c r="Q114" i="81" a="1"/>
  <c r="Q114" i="81" s="1"/>
  <c r="Q115" i="81" a="1"/>
  <c r="Q115" i="81" s="1"/>
  <c r="F25" i="75"/>
  <c r="H9" i="33" s="1"/>
  <c r="F24" i="75"/>
  <c r="G9" i="33" s="1"/>
  <c r="F37" i="75" a="1"/>
  <c r="F37" i="75" s="1"/>
  <c r="I10" i="33" s="1"/>
  <c r="I12" i="33"/>
  <c r="F16" i="75" a="1"/>
  <c r="F16" i="75" s="1"/>
  <c r="I13" i="33"/>
  <c r="F23" i="75" a="1"/>
  <c r="F23" i="75" s="1"/>
  <c r="I9" i="33" s="1"/>
  <c r="F77" i="85" l="1"/>
  <c r="J73" i="33" s="1"/>
  <c r="I63" i="85"/>
  <c r="F63" i="85" s="1"/>
  <c r="I73" i="33" s="1"/>
  <c r="I64" i="85"/>
  <c r="F64" i="85" s="1"/>
  <c r="I65" i="85"/>
  <c r="F65" i="85" s="1"/>
  <c r="F79" i="85"/>
  <c r="F78" i="85"/>
  <c r="F73" i="85"/>
  <c r="F72" i="85"/>
  <c r="F75" i="85"/>
  <c r="F74" i="85"/>
  <c r="G18" i="33"/>
  <c r="C18" i="33" s="1"/>
  <c r="F80" i="75"/>
  <c r="G13" i="33" s="1"/>
  <c r="D18" i="33" l="1"/>
  <c r="C26" i="33" l="1"/>
  <c r="I31" i="33" l="1"/>
  <c r="J31" i="33"/>
  <c r="F30" i="33"/>
  <c r="H30" i="33"/>
  <c r="G31" i="33"/>
  <c r="H31" i="33"/>
  <c r="A91" i="75"/>
  <c r="J30" i="33"/>
  <c r="G30" i="33"/>
  <c r="F31" i="33"/>
  <c r="I30" i="33"/>
  <c r="N91" i="75" l="1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J67" i="33" l="1"/>
  <c r="I67" i="33"/>
  <c r="J69" i="33"/>
  <c r="J70" i="33"/>
  <c r="I69" i="33"/>
  <c r="I70" i="33"/>
  <c r="J68" i="33"/>
  <c r="I68" i="33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23" i="85" l="1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N37" i="85" s="1"/>
  <c r="B30" i="85"/>
  <c r="AE37" i="85"/>
  <c r="AA35" i="85"/>
  <c r="V35" i="85"/>
  <c r="B48" i="85"/>
  <c r="D48" i="85" s="1"/>
  <c r="B44" i="85"/>
  <c r="D44" i="85" s="1"/>
  <c r="D31" i="85"/>
  <c r="D32" i="85"/>
  <c r="D34" i="85"/>
  <c r="D36" i="85"/>
  <c r="AA36" i="85" l="1"/>
  <c r="L37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U36" i="85"/>
  <c r="F22" i="85"/>
  <c r="J31" i="85"/>
  <c r="Q36" i="85"/>
  <c r="F51" i="85"/>
  <c r="F47" i="85"/>
  <c r="U32" i="85"/>
  <c r="F16" i="85"/>
  <c r="C91" i="85" s="1"/>
  <c r="F68" i="33" s="1"/>
  <c r="F49" i="85"/>
  <c r="J32" i="85"/>
  <c r="F46" i="85"/>
  <c r="F17" i="85"/>
  <c r="C92" i="85" s="1"/>
  <c r="F69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74" i="33"/>
  <c r="H73" i="33"/>
  <c r="H75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W30" i="85" s="1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F44" i="85" l="1"/>
  <c r="E91" i="85" s="1"/>
  <c r="H68" i="33" s="1"/>
  <c r="F45" i="85"/>
  <c r="F50" i="85"/>
  <c r="F48" i="85"/>
  <c r="E95" i="85" s="1"/>
  <c r="E90" i="85"/>
  <c r="H67" i="33" s="1"/>
  <c r="E92" i="85"/>
  <c r="H69" i="33" s="1"/>
  <c r="E94" i="85"/>
  <c r="E93" i="85"/>
  <c r="H70" i="33" s="1"/>
  <c r="C94" i="85"/>
  <c r="C93" i="85"/>
  <c r="F70" i="33" s="1"/>
  <c r="F28" i="85"/>
  <c r="F32" i="85"/>
  <c r="D93" i="85" s="1"/>
  <c r="G70" i="33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G69" i="33" s="1"/>
  <c r="D90" i="85" l="1"/>
  <c r="G67" i="33" s="1"/>
  <c r="I95" i="85"/>
  <c r="K95" i="85" s="1"/>
  <c r="I92" i="85"/>
  <c r="K92" i="85" s="1"/>
  <c r="L69" i="33" s="1"/>
  <c r="I94" i="85"/>
  <c r="K94" i="85" s="1"/>
  <c r="I93" i="85"/>
  <c r="K93" i="85" s="1"/>
  <c r="L70" i="33" s="1"/>
  <c r="F30" i="85"/>
  <c r="D91" i="85" s="1"/>
  <c r="G68" i="33" s="1"/>
  <c r="I90" i="85" l="1"/>
  <c r="K90" i="85" s="1"/>
  <c r="L67" i="33" s="1"/>
  <c r="I91" i="85"/>
  <c r="K91" i="85" s="1"/>
  <c r="L68" i="33" s="1"/>
  <c r="I98" i="85"/>
  <c r="K98" i="85" s="1"/>
  <c r="L75" i="33" s="1"/>
  <c r="I96" i="85"/>
  <c r="K96" i="85" s="1"/>
  <c r="L73" i="33" s="1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<sst xmlns="http://schemas.openxmlformats.org/spreadsheetml/2006/main" count="804" uniqueCount="364">
  <si>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</si>
  <si>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</si>
  <si>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</si>
  <si>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</si>
  <si>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</si>
  <si>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</si>
  <si>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</si>
  <si>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</si>
  <si>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</si>
  <si>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</si>
  <si>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</si>
  <si>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</si>
  <si>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</si>
  <si>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</si>
  <si>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</si>
  <si>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</si>
  <si>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</si>
  <si>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</si>
  <si>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</si>
  <si>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</si>
  <si>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</si>
  <si>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</si>
  <si>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</si>
  <si>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</si>
  <si>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</si>
  <si>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</si>
  <si>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</si>
  <si>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</si>
  <si>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</si>
  <si>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</si>
  <si>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</si>
  <si>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</si>
  <si>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</si>
  <si>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</si>
  <si>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</si>
  <si>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</si>
  <si>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</si>
  <si>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</si>
  <si>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</si>
  <si>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</si>
  <si>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</si>
  <si>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</si>
  <si>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</si>
  <si>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</si>
  <si>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</si>
  <si>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</si>
  <si>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</si>
  <si>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</si>
  <si>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</si>
  <si>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</si>
  <si>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</si>
  <si>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</si>
  <si>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</si>
  <si>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</si>
  <si>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</si>
  <si>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</si>
  <si>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</si>
  <si>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</si>
  <si>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</si>
  <si>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</si>
  <si>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</si>
  <si>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</si>
  <si>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</si>
  <si>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</si>
  <si>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</si>
  <si>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</si>
  <si>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</si>
  <si>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</si>
  <si>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</si>
  <si>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</si>
  <si>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</si>
  <si>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</si>
  <si>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</si>
  <si>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</si>
  <si>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</si>
  <si>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</si>
  <si>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</si>
  <si>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</si>
  <si>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</si>
  <si>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</si>
  <si>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</si>
  <si>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</si>
  <si>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</si>
  <si>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</si>
  <si>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</si>
  <si>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</si>
  <si>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</si>
  <si>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</si>
  <si>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</si>
  <si>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</si>
  <si>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</si>
  <si>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</si>
  <si>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</si>
  <si>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</si>
  <si>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</si>
  <si>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</si>
  <si>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</si>
  <si>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</si>
  <si>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</si>
  <si>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</si>
  <si>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</si>
  <si>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</si>
  <si>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</si>
  <si>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</si>
  <si>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</si>
  <si>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</si>
  <si>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</si>
  <si>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</si>
  <si>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</si>
  <si>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</si>
  <si>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</si>
  <si>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</si>
  <si>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</si>
  <si>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</si>
  <si>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</si>
  <si>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</si>
  <si>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</si>
  <si>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</si>
  <si>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</si>
  <si>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</si>
  <si>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</si>
  <si>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</si>
  <si>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</si>
  <si>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</si>
  <si>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</si>
  <si>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</si>
  <si>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</si>
  <si>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</si>
  <si>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</si>
  <si>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</si>
  <si>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</si>
  <si>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</si>
  <si>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</si>
  <si>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</si>
  <si>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</si>
  <si>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</si>
  <si>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CP</t>
  </si>
  <si>
    <t>PA</t>
  </si>
  <si>
    <t>Commercial</t>
  </si>
  <si>
    <t>UE</t>
  </si>
  <si>
    <t>Industrial</t>
  </si>
  <si>
    <t>Agricultural</t>
  </si>
  <si>
    <t>Risk mitigated</t>
  </si>
  <si>
    <t>Domestic</t>
  </si>
  <si>
    <t>Others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</si>
  <si>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</si>
  <si>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</si>
  <si>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</si>
  <si>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</si>
  <si>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</si>
  <si>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</si>
  <si>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</si>
  <si>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</si>
  <si>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</si>
  <si>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</si>
  <si>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</si>
  <si>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</si>
  <si>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</si>
  <si>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</si>
  <si>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</si>
  <si>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</si>
  <si>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</si>
  <si>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CHART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</si>
  <si>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</si>
  <si>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</si>
  <si>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</si>
  <si>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</si>
  <si>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</si>
  <si>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</si>
  <si>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</si>
  <si>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</si>
  <si>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</si>
  <si>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</si>
  <si>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</si>
  <si>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</si>
  <si>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</si>
  <si>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</si>
  <si>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&lt; Other risk - enter description &gt;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</si>
  <si>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</si>
  <si>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</si>
  <si>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</si>
  <si>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</si>
  <si>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</si>
  <si>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</si>
  <si>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</si>
  <si>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</si>
  <si>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</si>
  <si>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</si>
  <si>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</si>
  <si>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</si>
  <si>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</si>
  <si>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</si>
  <si>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</si>
  <si>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</si>
  <si>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</si>
  <si>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</si>
  <si>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</si>
  <si>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</si>
  <si>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</si>
  <si>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</si>
  <si>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</si>
  <si>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</si>
  <si>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</si>
  <si>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</si>
  <si>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</si>
  <si>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</si>
  <si>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</si>
  <si>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</si>
  <si>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</si>
  <si>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</si>
  <si>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</si>
  <si>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</si>
  <si>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</si>
  <si>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</si>
  <si>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</si>
  <si>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</si>
  <si>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</si>
  <si>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</si>
  <si>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</si>
  <si>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</si>
  <si>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</si>
  <si>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</si>
  <si>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</si>
  <si>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</si>
  <si>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</si>
  <si>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</si>
  <si>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</si>
  <si>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</si>
  <si>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</si>
  <si>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</si>
  <si>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</si>
  <si>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</si>
  <si>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</si>
  <si>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</si>
  <si>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</si>
  <si>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Capex and risk ($M, 2026)</t>
  </si>
  <si>
    <t>Energy at risk</t>
  </si>
  <si>
    <t>Capex first year</t>
  </si>
  <si>
    <t>2024-25</t>
  </si>
  <si>
    <t>Expenditure starts</t>
  </si>
  <si>
    <t>Start_year</t>
  </si>
  <si>
    <t>Value of expected unserved energy ($M, 2026)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</si>
  <si>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</si>
  <si>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</si>
  <si>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</si>
  <si>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</si>
  <si>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</si>
  <si>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Cust Int Start Time</t>
  </si>
  <si>
    <t>Cust Int End Time</t>
  </si>
  <si>
    <t>Cause</t>
  </si>
  <si>
    <t>SubCause</t>
  </si>
  <si>
    <t>Average reliability (used for energy at risk)</t>
  </si>
  <si>
    <t>Weather</t>
  </si>
  <si>
    <t>Storm activity</t>
  </si>
  <si>
    <t>Annual outage mintues</t>
  </si>
  <si>
    <t>Wind</t>
  </si>
  <si>
    <t>Equip Fail</t>
  </si>
  <si>
    <t>Worst served</t>
  </si>
  <si>
    <t>Unknown</t>
  </si>
  <si>
    <t>No Cause Found</t>
  </si>
  <si>
    <t>Annual outage minutes for outages &lt;12h</t>
  </si>
  <si>
    <t>Annual outage minutes for outages &lt;12h exceeding 500 mins</t>
  </si>
  <si>
    <t>Third Party</t>
  </si>
  <si>
    <t>Annual outage hours for outages &lt;12h exceeding 500 mins</t>
  </si>
  <si>
    <t>Isolation for Repair</t>
  </si>
  <si>
    <t>Resilience</t>
  </si>
  <si>
    <t>Transformer failure</t>
  </si>
  <si>
    <t>Annual outage minutes for outages &gt;=12h</t>
  </si>
  <si>
    <t>Annual outage minutes 12&gt;t&gt;24 hours</t>
  </si>
  <si>
    <t>Annual outage minutes &gt;24 hours</t>
  </si>
  <si>
    <t>Annual outage minutes &gt;72 hours</t>
  </si>
  <si>
    <t>Insulation Failure</t>
  </si>
  <si>
    <t>Residential resilience hours at 2x VCR (12-24h)</t>
  </si>
  <si>
    <t>Residential resilience hours at 1.5x VCR (&gt;24h)</t>
  </si>
  <si>
    <t>Business resilience hours at 1.5x VCR (12-24h)</t>
  </si>
  <si>
    <t>Business resilience hours at 0.5x VCR (&gt;72 hours)</t>
  </si>
  <si>
    <t>Lightning</t>
  </si>
  <si>
    <t>Vehicle impact</t>
  </si>
  <si>
    <t>Conductor Failure</t>
  </si>
  <si>
    <t>WORKINGS - RISKS</t>
  </si>
  <si>
    <t>Wind escalated worst served outage minutes</t>
  </si>
  <si>
    <t>Hypothetical wind escalation worst served outage minutes</t>
  </si>
  <si>
    <t>Solar generation demand modifier</t>
  </si>
  <si>
    <t>General outage escalation (% 2046 vs 2026)</t>
  </si>
  <si>
    <t>Average outage duration due to bushfire</t>
  </si>
  <si>
    <t>5 year average historical outages (hours/annum, total)</t>
  </si>
  <si>
    <t>General outage escalator</t>
  </si>
  <si>
    <t>fire risk</t>
  </si>
  <si>
    <t>wind escalation</t>
  </si>
  <si>
    <t>Feeder escalation</t>
  </si>
  <si>
    <t>Ratio to 2022</t>
  </si>
  <si>
    <t>Microgrid average daily demand (MW)</t>
  </si>
  <si>
    <t>BESS size (MWh)</t>
  </si>
  <si>
    <t>Assume 1 charge cycle per day, full charge during solar peak to enable equivalent amount of solar</t>
  </si>
  <si>
    <t>Install generator + BESS microgrid</t>
  </si>
  <si>
    <t>Install generator only microgrid</t>
  </si>
  <si>
    <t>Microgrid (exc BESS)</t>
  </si>
  <si>
    <t>BESS</t>
  </si>
  <si>
    <t>Incremental reliability in worst-served areas &gt; 500 mins</t>
  </si>
  <si>
    <t>Incremental network resilience (domestic)</t>
  </si>
  <si>
    <t>Incremental network resilience (commercial)</t>
  </si>
  <si>
    <t>Incremental network resilience (industrial)</t>
  </si>
  <si>
    <t>Incremental network resilience (agricultural)</t>
  </si>
  <si>
    <t>Incremental network resilience (others)</t>
  </si>
  <si>
    <t>Bess lease</t>
  </si>
  <si>
    <t>$/pa</t>
  </si>
  <si>
    <t>Increasing wind escalation</t>
  </si>
  <si>
    <t>Unplanned Cust Int Dur</t>
  </si>
  <si>
    <t>Cust Int Duration</t>
  </si>
  <si>
    <t>No. customers in microgrid</t>
  </si>
  <si>
    <t>Solar corrected microgrid average daily demand (MW)</t>
  </si>
  <si>
    <t>Change for sensitivity</t>
  </si>
  <si>
    <t>Switch/CB/Fuse failure</t>
  </si>
  <si>
    <t>Weighted average VCR</t>
  </si>
  <si>
    <t>Donald microgrid</t>
  </si>
  <si>
    <t>01/11/2019  14:00</t>
  </si>
  <si>
    <t>01/11/2019  20:26</t>
  </si>
  <si>
    <t>30/12/2019  19:21</t>
  </si>
  <si>
    <t>31/12/2019  01:23</t>
  </si>
  <si>
    <t>27/10/2020  16:51</t>
  </si>
  <si>
    <t>27/10/2020  17:22</t>
  </si>
  <si>
    <t>12/11/2020  00:00</t>
  </si>
  <si>
    <t>12/11/2020  00:05</t>
  </si>
  <si>
    <t>Non-network outage</t>
  </si>
  <si>
    <t>False Call</t>
  </si>
  <si>
    <t>12/02/2021  13:01</t>
  </si>
  <si>
    <t>12/02/2021  13:03</t>
  </si>
  <si>
    <t>12/02/2021  14:54</t>
  </si>
  <si>
    <t>12/02/2021  15:41</t>
  </si>
  <si>
    <t>08/03/2021  11:02</t>
  </si>
  <si>
    <t>08/03/2021  11:36</t>
  </si>
  <si>
    <t>08/03/2021  11:37</t>
  </si>
  <si>
    <t>08/03/2021  13:55</t>
  </si>
  <si>
    <t>08/03/2021  14:04</t>
  </si>
  <si>
    <t>08/03/2021  14:05</t>
  </si>
  <si>
    <t>20/07/2021  20:52</t>
  </si>
  <si>
    <t>21/07/2021  01:15</t>
  </si>
  <si>
    <t>26/01/2022  19:20</t>
  </si>
  <si>
    <t>26/01/2022  22:50</t>
  </si>
  <si>
    <t>27/01/2022  20:35</t>
  </si>
  <si>
    <t>27/01/2022  20:56</t>
  </si>
  <si>
    <t>28/01/2022  03:33</t>
  </si>
  <si>
    <t>28/01/2022  03:53</t>
  </si>
  <si>
    <t>28/01/2022  03:57</t>
  </si>
  <si>
    <t>28/01/2022  04:08</t>
  </si>
  <si>
    <t>29/01/2022  16:54</t>
  </si>
  <si>
    <t>29/01/2022  17:02</t>
  </si>
  <si>
    <t>22/06/2023  11:08</t>
  </si>
  <si>
    <t>22/06/2023  14:00</t>
  </si>
  <si>
    <t>Ops factor</t>
  </si>
  <si>
    <t>Employee/Contractor error</t>
  </si>
  <si>
    <t>05/12/2023  18:38</t>
  </si>
  <si>
    <t>06/12/2023  01:51</t>
  </si>
  <si>
    <t>08/12/2023  20:01</t>
  </si>
  <si>
    <t>08/12/2023  22:35</t>
  </si>
  <si>
    <t>02/01/2024  12:22</t>
  </si>
  <si>
    <t>02/01/2024  12:42</t>
  </si>
  <si>
    <t>13/02/2024  14:51</t>
  </si>
  <si>
    <t>14/02/2024  13:27</t>
  </si>
  <si>
    <t>01/04/2024  15:08</t>
  </si>
  <si>
    <t>01/04/2024  16:44</t>
  </si>
  <si>
    <t>01/05/2024  11:27</t>
  </si>
  <si>
    <t>01/05/2024  12:33</t>
  </si>
  <si>
    <t>CTN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</si>
</sst>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\+0%;[Red]\ \ \-0%;\ &quot;-&quot;"/>
    <numFmt numFmtId="190" formatCode="#,##0.00_ ;[Red]\-#,##0.00\ "/>
    <numFmt numFmtId="191" formatCode="#,##0.0;[Red]\ \-#,##0.0;\ &quot;&quot;"/>
    <numFmt numFmtId="192" formatCode="0.000000000000000"/>
    <numFmt numFmtId="193" formatCode="0%;[Red]\ \ \-0%;\ &quot;-&quot;"/>
    <numFmt numFmtId="194" formatCode="dd\ mmmm\ yyyy"/>
    <numFmt numFmtId="195" formatCode="mmm\ yyyy"/>
    <numFmt numFmtId="196" formatCode="0.0"/>
  </numFmts>
  <fonts count="96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8"/>
      <name val="Arial"/>
      <family val="2"/>
    </font>
    <font>
      <b/>
      <sz val="14"/>
      <color theme="1"/>
      <name val="Calibri"/>
      <family val="2"/>
    </font>
    <font>
      <b/>
      <sz val="10"/>
      <name val="Calibri"/>
      <family val="2"/>
    </font>
    <font>
      <sz val="8"/>
      <color rgb="FFFFFFFF"/>
      <name val="Calibri"/>
      <family val="2"/>
      <scheme val="minor"/>
    </font>
    <font>
      <i/>
      <sz val="1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indexed="49"/>
      </patternFill>
    </fill>
    <fill>
      <patternFill patternType="solid">
        <fgColor rgb="FFCC3300"/>
        <bgColor indexed="64"/>
      </patternFill>
    </fill>
  </fills>
  <borders count="20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4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7" fillId="0" borderId="0"/>
    <xf numFmtId="9" fontId="77" fillId="0" borderId="0" applyFont="0" applyFill="0" applyBorder="0" applyAlignment="0" applyProtection="0"/>
    <xf numFmtId="0" fontId="18" fillId="0" borderId="0"/>
    <xf numFmtId="44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" fontId="91" fillId="17" borderId="16" applyNumberFormat="0" applyProtection="0">
      <alignment horizontal="left" vertical="center" indent="1"/>
    </xf>
    <xf numFmtId="4" fontId="91" fillId="17" borderId="16" applyNumberFormat="0" applyProtection="0">
      <alignment horizontal="left" vertical="center" indent="1"/>
    </xf>
    <xf numFmtId="4" fontId="91" fillId="0" borderId="16" applyNumberFormat="0" applyProtection="0">
      <alignment horizontal="right" vertical="center"/>
    </xf>
  </cellStyleXfs>
  <cellXfs count="378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2" fillId="0" borderId="0" xfId="8" applyFont="1" applyFill="1" applyBorder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 applyFill="1"/>
    <xf numFmtId="0" fontId="35" fillId="0" borderId="0" xfId="18" applyFont="1"/>
    <xf numFmtId="0" fontId="34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0" fontId="17" fillId="0" borderId="0" xfId="18" applyFont="1" applyBorder="1"/>
    <xf numFmtId="10" fontId="27" fillId="2" borderId="0" xfId="23" applyNumberFormat="1"/>
    <xf numFmtId="0" fontId="21" fillId="0" borderId="0" xfId="18" applyFont="1" applyBorder="1"/>
    <xf numFmtId="171" fontId="33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 applyAlignmen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7" fillId="2" borderId="0" xfId="18" applyNumberFormat="1" applyFont="1" applyFill="1" applyBorder="1"/>
    <xf numFmtId="10" fontId="34" fillId="0" borderId="0" xfId="23" applyNumberFormat="1" applyFont="1" applyFill="1"/>
    <xf numFmtId="0" fontId="21" fillId="0" borderId="0" xfId="18" applyFont="1" applyFill="1"/>
    <xf numFmtId="0" fontId="21" fillId="0" borderId="0" xfId="18" applyFont="1" applyFill="1" applyBorder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Fill="1" applyBorder="1" applyAlignment="1">
      <alignment vertical="center"/>
    </xf>
    <xf numFmtId="0" fontId="36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Border="1" applyAlignment="1">
      <alignment horizontal="right" vertical="center"/>
    </xf>
    <xf numFmtId="177" fontId="34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/>
    <xf numFmtId="175" fontId="45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0" fillId="0" borderId="0" xfId="18" applyNumberFormat="1" applyFont="1" applyFill="1" applyBorder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Fill="1" applyBorder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Fill="1" applyBorder="1" applyAlignment="1">
      <alignment vertical="center"/>
    </xf>
    <xf numFmtId="169" fontId="21" fillId="0" borderId="8" xfId="22" applyNumberFormat="1" applyAlignment="1">
      <alignment horizontal="right"/>
    </xf>
    <xf numFmtId="170" fontId="21" fillId="0" borderId="8" xfId="22" applyNumberFormat="1" applyAlignment="1">
      <alignment horizontal="right"/>
    </xf>
    <xf numFmtId="0" fontId="34" fillId="0" borderId="0" xfId="8" applyFont="1"/>
    <xf numFmtId="0" fontId="48" fillId="0" borderId="0" xfId="8" applyFont="1"/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22" fillId="0" borderId="0" xfId="8" applyFont="1"/>
    <xf numFmtId="167" fontId="16" fillId="0" borderId="0" xfId="18" applyNumberFormat="1" applyFont="1" applyAlignment="1">
      <alignment horizontal="right" vertical="center"/>
    </xf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0" fontId="36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2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45" fillId="0" borderId="0" xfId="20" applyFont="1" applyAlignment="1">
      <alignment horizontal="right"/>
    </xf>
    <xf numFmtId="0" fontId="18" fillId="0" borderId="0" xfId="20"/>
    <xf numFmtId="0" fontId="15" fillId="2" borderId="0" xfId="20" applyFont="1" applyFill="1"/>
    <xf numFmtId="180" fontId="21" fillId="0" borderId="8" xfId="22" applyNumberFormat="1">
      <alignment horizontal="right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6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8" fillId="0" borderId="0" xfId="18" applyNumberFormat="1" applyFont="1" applyBorder="1" applyAlignment="1">
      <alignment horizontal="left"/>
    </xf>
    <xf numFmtId="2" fontId="15" fillId="0" borderId="0" xfId="18" applyNumberFormat="1"/>
    <xf numFmtId="178" fontId="30" fillId="0" borderId="0" xfId="18" applyNumberFormat="1" applyFont="1" applyFill="1" applyBorder="1" applyAlignment="1">
      <alignment horizontal="right" vertical="center"/>
    </xf>
    <xf numFmtId="178" fontId="57" fillId="0" borderId="0" xfId="18" applyNumberFormat="1" applyFont="1" applyFill="1" applyBorder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58" fillId="0" borderId="0" xfId="0" applyNumberFormat="1" applyFont="1"/>
    <xf numFmtId="0" fontId="57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4" fillId="2" borderId="0" xfId="18" applyNumberFormat="1" applyFont="1" applyFill="1" applyBorder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1" fillId="0" borderId="8" xfId="22" applyNumberFormat="1">
      <alignment horizontal="right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170" fontId="27" fillId="2" borderId="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Fill="1" applyBorder="1" applyAlignment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59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0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0" fontId="15" fillId="0" borderId="0" xfId="18" applyFont="1" applyAlignment="1"/>
    <xf numFmtId="168" fontId="60" fillId="10" borderId="0" xfId="18" applyNumberFormat="1" applyFont="1" applyFill="1" applyAlignment="1">
      <alignment horizontal="left" vertical="center"/>
    </xf>
    <xf numFmtId="0" fontId="61" fillId="0" borderId="0" xfId="18" applyFont="1"/>
    <xf numFmtId="0" fontId="62" fillId="0" borderId="7" xfId="18" applyFont="1" applyFill="1" applyBorder="1" applyAlignment="1">
      <alignment vertical="center"/>
    </xf>
    <xf numFmtId="0" fontId="63" fillId="0" borderId="0" xfId="18" applyFont="1"/>
    <xf numFmtId="0" fontId="58" fillId="0" borderId="0" xfId="0" applyFont="1"/>
    <xf numFmtId="168" fontId="63" fillId="0" borderId="0" xfId="18" applyNumberFormat="1" applyFont="1" applyFill="1" applyAlignment="1">
      <alignment horizontal="left"/>
    </xf>
    <xf numFmtId="0" fontId="62" fillId="0" borderId="0" xfId="18" applyFont="1" applyFill="1" applyBorder="1" applyAlignment="1">
      <alignment vertical="center"/>
    </xf>
    <xf numFmtId="168" fontId="64" fillId="0" borderId="0" xfId="18" applyNumberFormat="1" applyFont="1" applyFill="1" applyAlignment="1">
      <alignment horizontal="left"/>
    </xf>
    <xf numFmtId="168" fontId="65" fillId="0" borderId="0" xfId="18" applyNumberFormat="1" applyFont="1" applyAlignment="1">
      <alignment horizontal="left" vertical="center"/>
    </xf>
    <xf numFmtId="0" fontId="62" fillId="0" borderId="0" xfId="18" applyFont="1" applyFill="1" applyBorder="1" applyAlignment="1">
      <alignment horizontal="left" vertical="center"/>
    </xf>
    <xf numFmtId="0" fontId="63" fillId="0" borderId="0" xfId="18" applyFont="1" applyAlignment="1">
      <alignment horizontal="left"/>
    </xf>
    <xf numFmtId="0" fontId="66" fillId="0" borderId="0" xfId="18" applyFont="1" applyAlignment="1">
      <alignment horizontal="left" vertical="center"/>
    </xf>
    <xf numFmtId="0" fontId="65" fillId="0" borderId="0" xfId="18" applyFont="1" applyAlignment="1">
      <alignment horizontal="left" vertical="center"/>
    </xf>
    <xf numFmtId="168" fontId="65" fillId="0" borderId="11" xfId="18" applyNumberFormat="1" applyFont="1" applyBorder="1" applyAlignment="1">
      <alignment horizontal="left" vertical="center"/>
    </xf>
    <xf numFmtId="168" fontId="67" fillId="0" borderId="0" xfId="18" applyNumberFormat="1" applyFont="1" applyAlignment="1">
      <alignment horizontal="left" vertical="center"/>
    </xf>
    <xf numFmtId="168" fontId="65" fillId="0" borderId="0" xfId="18" applyNumberFormat="1" applyFont="1" applyBorder="1" applyAlignment="1">
      <alignment horizontal="left" vertical="center"/>
    </xf>
    <xf numFmtId="0" fontId="68" fillId="0" borderId="0" xfId="0" applyFont="1"/>
    <xf numFmtId="0" fontId="46" fillId="0" borderId="0" xfId="18" applyFont="1"/>
    <xf numFmtId="0" fontId="69" fillId="11" borderId="0" xfId="18" applyFont="1" applyFill="1" applyAlignment="1">
      <alignment horizontal="right" vertical="center"/>
    </xf>
    <xf numFmtId="167" fontId="65" fillId="0" borderId="0" xfId="18" applyNumberFormat="1" applyFont="1" applyAlignment="1">
      <alignment horizontal="right" vertical="center"/>
    </xf>
    <xf numFmtId="0" fontId="62" fillId="0" borderId="7" xfId="18" applyFont="1" applyBorder="1" applyAlignment="1">
      <alignment horizontal="right" vertical="center"/>
    </xf>
    <xf numFmtId="166" fontId="71" fillId="10" borderId="0" xfId="16" applyFont="1" applyFill="1" applyAlignment="1">
      <alignment horizontal="right"/>
    </xf>
    <xf numFmtId="0" fontId="70" fillId="0" borderId="0" xfId="8" applyFont="1" applyAlignment="1">
      <alignment horizontal="right"/>
    </xf>
    <xf numFmtId="168" fontId="65" fillId="0" borderId="0" xfId="18" applyNumberFormat="1" applyFont="1" applyAlignment="1">
      <alignment horizontal="right" vertical="center"/>
    </xf>
    <xf numFmtId="168" fontId="67" fillId="0" borderId="0" xfId="18" applyNumberFormat="1" applyFont="1" applyAlignment="1">
      <alignment horizontal="right" vertical="center"/>
    </xf>
    <xf numFmtId="168" fontId="65" fillId="0" borderId="4" xfId="18" applyNumberFormat="1" applyFont="1" applyBorder="1" applyAlignment="1">
      <alignment horizontal="right" vertical="center"/>
    </xf>
    <xf numFmtId="0" fontId="63" fillId="0" borderId="0" xfId="18" applyFont="1" applyAlignment="1">
      <alignment horizontal="right"/>
    </xf>
    <xf numFmtId="0" fontId="63" fillId="0" borderId="0" xfId="0" applyFont="1" applyAlignment="1">
      <alignment horizontal="right"/>
    </xf>
    <xf numFmtId="0" fontId="72" fillId="0" borderId="0" xfId="18" applyFont="1" applyAlignment="1">
      <alignment vertical="center"/>
    </xf>
    <xf numFmtId="0" fontId="26" fillId="0" borderId="0" xfId="18" applyFont="1"/>
    <xf numFmtId="178" fontId="72" fillId="0" borderId="0" xfId="18" applyNumberFormat="1" applyFont="1" applyFill="1" applyBorder="1" applyAlignment="1">
      <alignment horizontal="right" vertical="center"/>
    </xf>
    <xf numFmtId="167" fontId="48" fillId="0" borderId="0" xfId="8" applyNumberFormat="1" applyFont="1"/>
    <xf numFmtId="166" fontId="73" fillId="0" borderId="0" xfId="18" applyNumberFormat="1" applyFont="1" applyAlignment="1">
      <alignment horizontal="left"/>
    </xf>
    <xf numFmtId="0" fontId="74" fillId="0" borderId="11" xfId="0" applyFont="1" applyFill="1" applyBorder="1" applyAlignment="1"/>
    <xf numFmtId="166" fontId="73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5" fillId="0" borderId="0" xfId="18" applyFont="1"/>
    <xf numFmtId="0" fontId="0" fillId="2" borderId="0" xfId="0" applyFill="1"/>
    <xf numFmtId="0" fontId="45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89" fontId="15" fillId="0" borderId="0" xfId="18" applyNumberFormat="1"/>
    <xf numFmtId="190" fontId="15" fillId="0" borderId="0" xfId="0" applyNumberFormat="1" applyFont="1"/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7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4" fillId="0" borderId="0" xfId="18" applyFont="1" applyBorder="1" applyAlignment="1">
      <alignment vertical="center"/>
    </xf>
    <xf numFmtId="189" fontId="15" fillId="0" borderId="0" xfId="18" applyNumberFormat="1" applyFont="1"/>
    <xf numFmtId="171" fontId="39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78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4" xfId="0" applyNumberFormat="1" applyFont="1" applyFill="1" applyBorder="1" applyAlignment="1">
      <alignment horizontal="left"/>
    </xf>
    <xf numFmtId="191" fontId="15" fillId="0" borderId="0" xfId="0" applyNumberFormat="1" applyFont="1" applyFill="1" applyAlignment="1">
      <alignment horizontal="center"/>
    </xf>
    <xf numFmtId="0" fontId="79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8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5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1" fontId="16" fillId="0" borderId="11" xfId="18" applyNumberFormat="1" applyFont="1" applyBorder="1" applyAlignment="1">
      <alignment horizontal="right" vertical="center"/>
    </xf>
    <xf numFmtId="191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0" fillId="0" borderId="0" xfId="0" applyNumberFormat="1" applyFont="1" applyFill="1" applyAlignment="1">
      <alignment horizontal="center"/>
    </xf>
    <xf numFmtId="179" fontId="23" fillId="0" borderId="0" xfId="0" applyNumberFormat="1" applyFont="1"/>
    <xf numFmtId="0" fontId="15" fillId="0" borderId="7" xfId="0" applyFont="1" applyBorder="1" applyAlignment="1"/>
    <xf numFmtId="0" fontId="27" fillId="2" borderId="0" xfId="18" applyFont="1" applyFill="1"/>
    <xf numFmtId="181" fontId="17" fillId="0" borderId="14" xfId="0" applyNumberFormat="1" applyFont="1" applyFill="1" applyBorder="1" applyAlignment="1">
      <alignment horizontal="left"/>
    </xf>
    <xf numFmtId="191" fontId="30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1" fontId="81" fillId="0" borderId="14" xfId="0" applyNumberFormat="1" applyFont="1" applyFill="1" applyBorder="1" applyAlignment="1">
      <alignment horizontal="center"/>
    </xf>
    <xf numFmtId="188" fontId="23" fillId="0" borderId="7" xfId="18" applyNumberFormat="1" applyFont="1" applyFill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2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78" fillId="0" borderId="7" xfId="18" applyFont="1" applyBorder="1"/>
    <xf numFmtId="183" fontId="15" fillId="0" borderId="0" xfId="18" applyNumberFormat="1" applyAlignment="1">
      <alignment horizontal="left"/>
    </xf>
    <xf numFmtId="193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89" fontId="27" fillId="2" borderId="0" xfId="23" applyNumberFormat="1" applyAlignment="1">
      <alignment horizontal="right"/>
    </xf>
    <xf numFmtId="189" fontId="37" fillId="2" borderId="0" xfId="23" applyNumberFormat="1" applyFont="1" applyAlignment="1">
      <alignment horizontal="right"/>
    </xf>
    <xf numFmtId="0" fontId="18" fillId="16" borderId="0" xfId="20" applyFill="1"/>
    <xf numFmtId="0" fontId="82" fillId="0" borderId="0" xfId="20" applyFont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194" fontId="88" fillId="0" borderId="0" xfId="20" applyNumberFormat="1" applyFont="1" applyAlignment="1">
      <alignment horizontal="left"/>
    </xf>
    <xf numFmtId="0" fontId="89" fillId="0" borderId="0" xfId="20" applyFont="1"/>
    <xf numFmtId="195" fontId="90" fillId="10" borderId="0" xfId="16" applyNumberFormat="1" applyFont="1" applyFill="1" applyAlignment="1">
      <alignment horizontal="right"/>
    </xf>
    <xf numFmtId="168" fontId="27" fillId="2" borderId="0" xfId="23" applyNumberFormat="1" applyAlignment="1">
      <alignment horizontal="right"/>
    </xf>
    <xf numFmtId="0" fontId="15" fillId="0" borderId="0" xfId="0" applyFont="1" applyAlignment="1">
      <alignment horizontal="left" indent="2"/>
    </xf>
    <xf numFmtId="0" fontId="92" fillId="0" borderId="0" xfId="18" applyFont="1"/>
    <xf numFmtId="0" fontId="24" fillId="18" borderId="0" xfId="18" applyFont="1" applyFill="1" applyAlignment="1">
      <alignment vertical="center"/>
    </xf>
    <xf numFmtId="0" fontId="51" fillId="0" borderId="0" xfId="18" applyFont="1" applyAlignment="1">
      <alignment vertical="center"/>
    </xf>
    <xf numFmtId="0" fontId="34" fillId="0" borderId="0" xfId="18" applyFont="1" applyAlignment="1">
      <alignment vertical="center"/>
    </xf>
    <xf numFmtId="0" fontId="62" fillId="0" borderId="0" xfId="18" applyFont="1" applyAlignment="1">
      <alignment vertical="center"/>
    </xf>
    <xf numFmtId="177" fontId="27" fillId="2" borderId="8" xfId="18" applyNumberFormat="1" applyFont="1" applyFill="1" applyBorder="1" applyAlignment="1">
      <alignment horizontal="right" vertical="center"/>
    </xf>
    <xf numFmtId="168" fontId="15" fillId="0" borderId="0" xfId="18" applyNumberFormat="1" applyAlignment="1">
      <alignment horizontal="left"/>
    </xf>
    <xf numFmtId="9" fontId="27" fillId="2" borderId="0" xfId="23" applyNumberFormat="1"/>
    <xf numFmtId="168" fontId="44" fillId="0" borderId="0" xfId="23" applyNumberFormat="1" applyFont="1" applyFill="1" applyBorder="1" applyAlignment="1">
      <alignment horizontal="left"/>
    </xf>
    <xf numFmtId="0" fontId="17" fillId="0" borderId="0" xfId="20" applyFont="1" applyBorder="1" applyAlignment="1">
      <alignment horizontal="left"/>
    </xf>
    <xf numFmtId="185" fontId="93" fillId="0" borderId="0" xfId="22" applyNumberFormat="1" applyFont="1" applyBorder="1" applyAlignment="1">
      <alignment horizontal="center"/>
    </xf>
    <xf numFmtId="180" fontId="93" fillId="0" borderId="0" xfId="22" applyNumberFormat="1" applyFont="1" applyBorder="1">
      <alignment horizontal="right"/>
    </xf>
    <xf numFmtId="167" fontId="16" fillId="4" borderId="0" xfId="18" applyNumberFormat="1" applyFont="1" applyFill="1" applyBorder="1" applyAlignment="1">
      <alignment horizontal="right" vertical="center"/>
    </xf>
    <xf numFmtId="0" fontId="15" fillId="0" borderId="3" xfId="0" applyFont="1" applyFill="1" applyBorder="1"/>
    <xf numFmtId="0" fontId="17" fillId="0" borderId="3" xfId="0" applyFont="1" applyFill="1" applyBorder="1"/>
    <xf numFmtId="0" fontId="15" fillId="0" borderId="17" xfId="0" applyFont="1" applyFill="1" applyBorder="1"/>
    <xf numFmtId="0" fontId="34" fillId="0" borderId="0" xfId="32" quotePrefix="1" applyNumberFormat="1" applyFont="1" applyFill="1" applyBorder="1">
      <alignment horizontal="left" vertical="center" indent="1"/>
    </xf>
    <xf numFmtId="3" fontId="34" fillId="0" borderId="0" xfId="33" applyNumberFormat="1" applyFont="1" applyFill="1" applyBorder="1">
      <alignment horizontal="right" vertical="center"/>
    </xf>
    <xf numFmtId="0" fontId="36" fillId="0" borderId="7" xfId="31" quotePrefix="1" applyNumberFormat="1" applyFont="1" applyFill="1" applyBorder="1" applyAlignment="1">
      <alignment horizontal="left" vertical="center" indent="1"/>
    </xf>
    <xf numFmtId="0" fontId="36" fillId="0" borderId="7" xfId="32" quotePrefix="1" applyNumberFormat="1" applyFont="1" applyFill="1" applyBorder="1" applyAlignment="1">
      <alignment horizontal="left" vertical="center" indent="1"/>
    </xf>
    <xf numFmtId="0" fontId="36" fillId="0" borderId="0" xfId="18" applyFont="1" applyAlignment="1">
      <alignment vertical="center"/>
    </xf>
    <xf numFmtId="9" fontId="36" fillId="0" borderId="0" xfId="18" applyNumberFormat="1" applyFont="1" applyAlignment="1">
      <alignment vertical="center"/>
    </xf>
    <xf numFmtId="0" fontId="27" fillId="2" borderId="0" xfId="23" applyNumberFormat="1"/>
    <xf numFmtId="0" fontId="15" fillId="0" borderId="0" xfId="0" applyFont="1" applyAlignment="1">
      <alignment horizontal="left" indent="1"/>
    </xf>
    <xf numFmtId="0" fontId="21" fillId="0" borderId="8" xfId="22" applyNumberFormat="1" applyProtection="1">
      <alignment horizontal="right"/>
      <protection locked="0"/>
    </xf>
    <xf numFmtId="0" fontId="27" fillId="2" borderId="0" xfId="23" applyNumberFormat="1" applyAlignment="1" applyProtection="1">
      <protection locked="0"/>
    </xf>
    <xf numFmtId="0" fontId="27" fillId="2" borderId="0" xfId="23" applyNumberFormat="1" applyAlignment="1">
      <alignment vertical="center"/>
    </xf>
    <xf numFmtId="2" fontId="21" fillId="0" borderId="8" xfId="22" applyNumberFormat="1">
      <alignment horizontal="right"/>
    </xf>
    <xf numFmtId="0" fontId="15" fillId="0" borderId="0" xfId="18" applyFont="1" applyBorder="1"/>
    <xf numFmtId="0" fontId="34" fillId="0" borderId="0" xfId="18" applyFont="1" applyBorder="1" applyAlignment="1">
      <alignment horizontal="right" vertical="center"/>
    </xf>
    <xf numFmtId="0" fontId="34" fillId="0" borderId="0" xfId="18" applyFont="1" applyFill="1" applyBorder="1" applyAlignment="1">
      <alignment vertical="center"/>
    </xf>
    <xf numFmtId="10" fontId="27" fillId="2" borderId="0" xfId="23" applyNumberFormat="1" applyAlignment="1">
      <alignment vertical="center"/>
    </xf>
    <xf numFmtId="174" fontId="27" fillId="2" borderId="0" xfId="23" applyNumberFormat="1" applyAlignment="1">
      <alignment vertical="center"/>
    </xf>
    <xf numFmtId="167" fontId="21" fillId="0" borderId="8" xfId="22" applyNumberFormat="1">
      <alignment horizontal="right"/>
    </xf>
    <xf numFmtId="0" fontId="15" fillId="0" borderId="18" xfId="0" applyFont="1" applyFill="1" applyBorder="1"/>
    <xf numFmtId="196" fontId="15" fillId="0" borderId="17" xfId="0" applyNumberFormat="1" applyFont="1" applyFill="1" applyBorder="1"/>
    <xf numFmtId="0" fontId="15" fillId="0" borderId="19" xfId="0" applyFont="1" applyFill="1" applyBorder="1"/>
    <xf numFmtId="196" fontId="15" fillId="0" borderId="19" xfId="0" applyNumberFormat="1" applyFont="1" applyFill="1" applyBorder="1"/>
    <xf numFmtId="195" fontId="94" fillId="15" borderId="0" xfId="18" applyNumberFormat="1" applyFont="1" applyFill="1" applyAlignment="1">
      <alignment horizontal="right" vertical="center"/>
    </xf>
    <xf numFmtId="174" fontId="15" fillId="0" borderId="17" xfId="0" applyNumberFormat="1" applyFont="1" applyFill="1" applyBorder="1"/>
    <xf numFmtId="0" fontId="27" fillId="2" borderId="0" xfId="18" applyFont="1" applyFill="1" applyAlignment="1">
      <alignment horizontal="left" vertical="top"/>
    </xf>
    <xf numFmtId="175" fontId="95" fillId="0" borderId="0" xfId="18" applyNumberFormat="1" applyFont="1" applyAlignment="1">
      <alignment horizontal="left" vertical="center"/>
    </xf>
    <xf numFmtId="175" fontId="95" fillId="0" borderId="0" xfId="18" applyNumberFormat="1" applyFont="1" applyAlignment="1">
      <alignment horizontal="right" vertical="center"/>
    </xf>
    <xf numFmtId="0" fontId="86" fillId="0" borderId="0" xfId="20" applyNumberFormat="1" applyFont="1" applyAlignment="1">
      <alignment horizontal="left"/>
    </xf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7" fillId="2" borderId="13" xfId="23" applyNumberFormat="1" applyFill="1" applyBorder="1" applyAlignment="1">
      <alignment horizontal="left"/>
    </xf>
    <xf numFmtId="185" fontId="27" fillId="2" borderId="14" xfId="23" applyNumberFormat="1" applyFill="1" applyBorder="1" applyAlignment="1">
      <alignment horizontal="left"/>
    </xf>
    <xf numFmtId="185" fontId="27" fillId="2" borderId="15" xfId="23" applyNumberForma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</cellXfs>
  <cellStyles count="34">
    <cellStyle name="Assumption" xfId="23" xr:uid="{E21B85CB-AE39-493C-90CF-A6033D394DF7}"/>
    <cellStyle name="Base_Input" xfId="12" xr:uid="{00000000-0005-0000-0000-000000000000}"/>
    <cellStyle name="Comma [0] 2" xfId="3" xr:uid="{00000000-0005-0000-0000-000002000000}"/>
    <cellStyle name="Comma 2" xfId="30" xr:uid="{50BDA386-AB13-404C-8C84-0EDF43721243}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SAPBEXchaText" xfId="31" xr:uid="{0E4F5EA6-BF5A-4726-9442-1D1515967D2C}"/>
    <cellStyle name="SAPBEXstdData" xfId="33" xr:uid="{7156A851-9F09-4928-B15F-7F17704A7CC6}"/>
    <cellStyle name="SAPBEXstdItem" xfId="32" xr:uid="{8455FEEE-1A7C-4D32-AFFB-F3460713D3C3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3"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color theme="1" tint="0.499984740745262"/>
      </font>
    </dxf>
    <dxf>
      <font>
        <color theme="0"/>
      </font>
    </dxf>
    <dxf>
      <fill>
        <patternFill>
          <bgColor rgb="FFCCFFFF"/>
        </patternFill>
      </fill>
    </dxf>
    <dxf>
      <font>
        <b val="0"/>
        <i val="0"/>
        <color theme="1" tint="0.34998626667073579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66FFFF"/>
      <color rgb="FF00215B"/>
      <color rgb="FF3333FF"/>
      <color rgb="FFFFFFCC"/>
      <color rgb="FFF2F2F2"/>
      <color rgb="FFFABFA8"/>
      <color rgb="FF882B3C"/>
      <color rgb="FFEE2A24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419270833333327E-2"/>
          <c:y val="9.2846486361162939E-2"/>
          <c:w val="0.89336527777777774"/>
          <c:h val="0.71628514056224879"/>
        </c:manualLayout>
      </c:layout>
      <c:lineChart>
        <c:grouping val="standard"/>
        <c:varyColors val="0"/>
        <c:ser>
          <c:idx val="0"/>
          <c:order val="0"/>
          <c:tx>
            <c:strRef>
              <c:f>Consol!$H$91</c:f>
              <c:strCache>
                <c:ptCount val="1"/>
                <c:pt idx="0">
                  <c:v>Option 2 annualised capex</c:v>
                </c:pt>
              </c:strCache>
            </c:strRef>
          </c:tx>
          <c:spPr>
            <a:ln w="28575" cap="rnd">
              <a:solidFill>
                <a:srgbClr val="EE2A24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Consol!$I$91:$R$91</c:f>
              <c:numCache>
                <c:formatCode>#,##0.0;[Red]\ \-#,##0.0;\ "-"</c:formatCode>
                <c:ptCount val="10"/>
                <c:pt idx="0">
                  <c:v>0.22516624470015903</c:v>
                </c:pt>
                <c:pt idx="1">
                  <c:v>0.22516624470015903</c:v>
                </c:pt>
                <c:pt idx="2">
                  <c:v>0.22516624470015903</c:v>
                </c:pt>
                <c:pt idx="3">
                  <c:v>0.22516624470015903</c:v>
                </c:pt>
                <c:pt idx="4">
                  <c:v>0.22516624470015903</c:v>
                </c:pt>
                <c:pt idx="5">
                  <c:v>0.22516624470015903</c:v>
                </c:pt>
                <c:pt idx="6">
                  <c:v>0.22516624470015903</c:v>
                </c:pt>
                <c:pt idx="7">
                  <c:v>0.22516624470015903</c:v>
                </c:pt>
                <c:pt idx="8">
                  <c:v>0.22516624470015903</c:v>
                </c:pt>
                <c:pt idx="9">
                  <c:v>0.22516624470015903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80-440B-9C44-4F49152E2503}"/>
            </c:ext>
          </c:extLst>
        </c:ser>
        <c:ser>
          <c:idx val="1"/>
          <c:order val="1"/>
          <c:tx>
            <c:strRef>
              <c:f>Consol!$H$92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ln w="28575" cap="rnd">
              <a:solidFill>
                <a:srgbClr val="FABFA8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Consol!$I$92:$R$92</c:f>
              <c:numCache>
                <c:formatCode>#,##0.0;[Red]\ \-#,##0.0;\ "-"</c:formatCode>
                <c:ptCount val="10"/>
                <c:pt idx="0">
                  <c:v>0.53593219998257513</c:v>
                </c:pt>
                <c:pt idx="1">
                  <c:v>0.52590380988681606</c:v>
                </c:pt>
                <c:pt idx="2">
                  <c:v>0.52391471824469726</c:v>
                </c:pt>
                <c:pt idx="3">
                  <c:v>0.52554528544504475</c:v>
                </c:pt>
                <c:pt idx="4">
                  <c:v>0.52560516627296749</c:v>
                </c:pt>
                <c:pt idx="5">
                  <c:v>0.5212980161445665</c:v>
                </c:pt>
                <c:pt idx="6">
                  <c:v>0.51871419442233735</c:v>
                </c:pt>
                <c:pt idx="7">
                  <c:v>0.51897382760829691</c:v>
                </c:pt>
                <c:pt idx="8">
                  <c:v>0.52085041183933878</c:v>
                </c:pt>
                <c:pt idx="9">
                  <c:v>0.51642036674070735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80-440B-9C44-4F49152E2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8026431"/>
        <c:axId val="1578022271"/>
      </c:line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-#,##0.0;\ &quot;-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  <c:majorUnit val="0.1"/>
      </c:valAx>
      <c:spPr>
        <a:solidFill>
          <a:srgbClr val="F2F2F2"/>
        </a:solidFill>
      </c:spPr>
    </c:plotArea>
    <c:legend>
      <c:legendPos val="b"/>
      <c:layout>
        <c:manualLayout>
          <c:xMode val="edge"/>
          <c:yMode val="edge"/>
          <c:x val="0.11724253472222222"/>
          <c:y val="0.895394146278088"/>
          <c:w val="0.7429276041666667"/>
          <c:h val="8.3141188851546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7023437500000003E-2"/>
          <c:y val="8.5556894243641227E-2"/>
          <c:w val="0.91537569444444444"/>
          <c:h val="0.794595381526104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Consol!$H$99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solidFill>
              <a:srgbClr val="EE2A24"/>
            </a:solidFill>
            <a:ln>
              <a:solidFill>
                <a:srgbClr val="F2F2F2"/>
              </a:solidFill>
            </a:ln>
            <a:effectLst/>
          </c:spPr>
          <c:invertIfNegative val="0"/>
          <c:cat>
            <c:strRef>
              <c:f>Consol!$I$97:$R$97</c:f>
              <c:strCache>
                <c:ptCount val="10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</c:strCache>
            </c:strRef>
          </c:cat>
          <c:val>
            <c:numRef>
              <c:f>Consol!$I$99:$R$99</c:f>
              <c:numCache>
                <c:formatCode>#,##0;[Red]\ \-#,##0;\ "-"</c:formatCode>
                <c:ptCount val="10"/>
                <c:pt idx="0">
                  <c:v>0.48155819031097563</c:v>
                </c:pt>
                <c:pt idx="1">
                  <c:v>0.47254724940016035</c:v>
                </c:pt>
                <c:pt idx="2">
                  <c:v>0.47075996479294224</c:v>
                </c:pt>
                <c:pt idx="3">
                  <c:v>0.47222509973016991</c:v>
                </c:pt>
                <c:pt idx="4">
                  <c:v>0.47227890523603372</c:v>
                </c:pt>
                <c:pt idx="5">
                  <c:v>0.46840874512753894</c:v>
                </c:pt>
                <c:pt idx="6">
                  <c:v>0.46608706989943488</c:v>
                </c:pt>
                <c:pt idx="7">
                  <c:v>0.46632036151202949</c:v>
                </c:pt>
                <c:pt idx="8">
                  <c:v>0.46800655335923708</c:v>
                </c:pt>
                <c:pt idx="9">
                  <c:v>0.46402596682093555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25-495D-AA2E-7DB041CBA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8026431"/>
        <c:axId val="1578022271"/>
      </c:bar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-#,##0.0;\ &quot;-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590550</xdr:colOff>
      <xdr:row>1</xdr:row>
      <xdr:rowOff>19050</xdr:rowOff>
    </xdr:from>
    <xdr:to>
      <xdr:col>10</xdr:col>
      <xdr:colOff>247650</xdr:colOff>
      <xdr:row>5</xdr:row>
      <xdr:rowOff>19050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7B0DFB7-A4DA-8835-9143-74793CE3E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20955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114609</xdr:colOff>
      <xdr:row>38</xdr:row>
      <xdr:rowOff>110318</xdr:rowOff>
    </xdr:from>
    <xdr:to>
      <xdr:col>5</xdr:col>
      <xdr:colOff>125991</xdr:colOff>
      <xdr:row>57</xdr:row>
      <xdr:rowOff>117553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4FA90B-26EA-4B2F-BB30-10702267B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349248</xdr:colOff>
      <xdr:row>38</xdr:row>
      <xdr:rowOff>133849</xdr:rowOff>
    </xdr:from>
    <xdr:to>
      <xdr:col>11</xdr:col>
      <xdr:colOff>1089013</xdr:colOff>
      <xdr:row>57</xdr:row>
      <xdr:rowOff>141084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BF500AE-B449-4C5D-99EE-7C7D4B42E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25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25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zoomScaleNormal="100" workbookViewId="0">
      <selection activeCell="A34" sqref="A34"/>
    </sheetView>
  </sheetViews>
  <sheetFormatPr defaultColWidth="0" defaultRowHeight="15" customHeight="1" zeroHeight="1" x14ac:dyDescent="0.25"/>
  <cols>
    <col min="1" max="1" width="8" style="130" customWidth="1"/>
    <col min="2" max="2" width="1.875" style="130" customWidth="1"/>
    <col min="3" max="3" width="14" style="130" customWidth="1"/>
    <col min="4" max="4" width="8" style="130" customWidth="1"/>
    <col min="5" max="5" width="9.375" style="130" customWidth="1"/>
    <col min="6" max="11" width="8" style="130" customWidth="1"/>
    <col min="12" max="19" width="8" style="130" hidden="1" customWidth="1"/>
    <col min="20" max="16384" width="0" style="130" hidden="1"/>
  </cols>
  <sheetData>
    <row r="1" spans="1:19" x14ac:dyDescent="0.25">
      <c r="A1" s="311"/>
    </row>
    <row r="2" spans="1:19" ht="23.25" x14ac:dyDescent="0.35">
      <c r="A2" s="311"/>
      <c r="C2" s="312" t="s">
        <v>3</v>
      </c>
      <c r="D2" s="313"/>
      <c r="E2" s="313"/>
    </row>
    <row r="3" spans="1:19" ht="15.75" x14ac:dyDescent="0.25">
      <c r="A3" s="311"/>
      <c r="C3" s="314" t="s">
        <v>244</v>
      </c>
      <c r="D3" s="313"/>
      <c r="E3" s="313"/>
    </row>
    <row r="4" spans="1:19" x14ac:dyDescent="0.25">
      <c r="A4" s="311"/>
      <c r="D4" s="313"/>
      <c r="E4" s="313"/>
    </row>
    <row r="5" spans="1:19" x14ac:dyDescent="0.25">
      <c r="A5" s="311"/>
      <c r="C5" s="315" t="s">
        <v>314</v>
      </c>
    </row>
    <row r="6" spans="1:19" x14ac:dyDescent="0.25">
      <c r="A6" s="311"/>
      <c r="C6" s="316" t="s">
        <v>245</v>
      </c>
      <c r="D6" s="366">
        <v>5.0599999999999996</v>
      </c>
      <c r="E6" s="316"/>
    </row>
    <row r="7" spans="1:19" x14ac:dyDescent="0.25">
      <c r="A7" s="311"/>
      <c r="F7" s="317"/>
      <c r="G7" s="317"/>
      <c r="H7" s="317"/>
      <c r="J7" s="317"/>
      <c r="K7" s="317"/>
      <c r="L7" s="317"/>
      <c r="M7" s="317"/>
      <c r="N7" s="317"/>
      <c r="O7" s="317"/>
      <c r="P7" s="317"/>
      <c r="Q7" s="317"/>
      <c r="R7" s="317"/>
      <c r="S7" s="317"/>
    </row>
    <row r="8" spans="1:19" x14ac:dyDescent="0.25">
      <c r="A8" s="311"/>
      <c r="C8" s="318">
        <v>45688</v>
      </c>
      <c r="F8" s="317"/>
      <c r="G8" s="317"/>
      <c r="H8" s="317"/>
      <c r="J8" s="317"/>
      <c r="K8" s="317"/>
      <c r="L8" s="317"/>
      <c r="M8" s="317"/>
      <c r="N8" s="317"/>
      <c r="O8" s="317"/>
      <c r="P8" s="317"/>
      <c r="Q8" s="317"/>
      <c r="R8" s="317"/>
      <c r="S8" s="317"/>
    </row>
    <row r="9" spans="1:19" x14ac:dyDescent="0.25">
      <c r="A9" s="311"/>
      <c r="C9" s="319"/>
      <c r="D9" s="319"/>
      <c r="F9" s="317"/>
      <c r="G9" s="317"/>
      <c r="H9" s="317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</row>
    <row r="10" spans="1:19" x14ac:dyDescent="0.25">
      <c r="A10" s="311"/>
      <c r="C10" s="319"/>
      <c r="D10" s="319"/>
      <c r="F10" s="317"/>
      <c r="G10" s="317"/>
      <c r="H10" s="317"/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</row>
    <row r="11" spans="1:19" x14ac:dyDescent="0.25">
      <c r="A11" s="311"/>
      <c r="C11" s="319"/>
      <c r="D11" s="319"/>
      <c r="F11" s="317"/>
      <c r="G11" s="317"/>
      <c r="H11" s="317"/>
      <c r="I11" s="317"/>
      <c r="J11" s="317"/>
      <c r="K11" s="317"/>
      <c r="L11" s="317"/>
      <c r="M11" s="317"/>
      <c r="N11" s="317"/>
      <c r="O11" s="317"/>
      <c r="P11" s="317"/>
      <c r="Q11" s="317"/>
      <c r="R11" s="317"/>
      <c r="S11" s="317"/>
    </row>
    <row r="12" spans="1:19" x14ac:dyDescent="0.25">
      <c r="A12" s="311"/>
      <c r="C12" s="319"/>
      <c r="D12" s="319"/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317"/>
      <c r="R12" s="317"/>
      <c r="S12" s="317"/>
    </row>
    <row r="13" spans="1:19" x14ac:dyDescent="0.25">
      <c r="A13" s="311"/>
      <c r="C13" s="319"/>
      <c r="D13" s="319"/>
      <c r="F13" s="317"/>
      <c r="G13" s="317"/>
      <c r="H13" s="317"/>
      <c r="I13" s="317"/>
      <c r="J13" s="317"/>
      <c r="K13" s="317"/>
      <c r="L13" s="317"/>
      <c r="M13" s="317"/>
      <c r="N13" s="317"/>
      <c r="O13" s="317"/>
      <c r="P13" s="317"/>
      <c r="Q13" s="317"/>
      <c r="R13" s="317"/>
      <c r="S13" s="317"/>
    </row>
    <row r="14" spans="1:19" x14ac:dyDescent="0.25">
      <c r="A14" s="311"/>
      <c r="C14" s="317"/>
      <c r="D14" s="317"/>
      <c r="E14" s="317"/>
      <c r="F14" s="317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</row>
    <row r="15" spans="1:19" x14ac:dyDescent="0.25">
      <c r="A15" s="311"/>
      <c r="C15" s="315"/>
      <c r="D15" s="317"/>
      <c r="E15" s="317"/>
      <c r="F15" s="317"/>
      <c r="G15" s="317"/>
      <c r="H15" s="317"/>
      <c r="I15" s="317"/>
      <c r="J15" s="317"/>
      <c r="K15" s="317"/>
      <c r="L15" s="317"/>
      <c r="M15" s="317"/>
      <c r="N15" s="317"/>
      <c r="O15" s="317"/>
      <c r="P15" s="317"/>
      <c r="Q15" s="317"/>
      <c r="R15" s="317"/>
      <c r="S15" s="317"/>
    </row>
    <row r="16" spans="1:19" x14ac:dyDescent="0.25">
      <c r="A16" s="311"/>
      <c r="C16" s="315"/>
      <c r="D16" s="317"/>
      <c r="E16" s="317"/>
      <c r="F16" s="317"/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17"/>
      <c r="S16" s="317"/>
    </row>
    <row r="17" spans="1:19" x14ac:dyDescent="0.25">
      <c r="A17" s="311"/>
      <c r="C17" s="317"/>
      <c r="D17" s="317"/>
      <c r="E17" s="317"/>
      <c r="F17" s="317"/>
      <c r="G17" s="317"/>
      <c r="H17" s="317"/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</row>
    <row r="18" spans="1:19" x14ac:dyDescent="0.25">
      <c r="A18" s="311"/>
      <c r="C18" s="317"/>
      <c r="D18" s="317"/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</row>
    <row r="19" spans="1:19" x14ac:dyDescent="0.25">
      <c r="A19" s="311"/>
      <c r="C19" s="317"/>
      <c r="D19" s="317"/>
      <c r="E19" s="317"/>
      <c r="F19" s="317"/>
      <c r="G19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</row>
    <row r="20" spans="1:19" x14ac:dyDescent="0.25">
      <c r="A20" s="311"/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</row>
    <row r="21" spans="1:19" ht="16.5" customHeight="1" x14ac:dyDescent="0.25">
      <c r="A21" s="311"/>
      <c r="C21" s="317"/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</row>
    <row r="22" spans="1:19" x14ac:dyDescent="0.25">
      <c r="A22" s="311"/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</row>
    <row r="23" spans="1:19" x14ac:dyDescent="0.25">
      <c r="A23" s="311"/>
      <c r="C23" s="317"/>
      <c r="D23" s="317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</row>
    <row r="24" spans="1:19" x14ac:dyDescent="0.25">
      <c r="A24" s="311"/>
      <c r="C24" s="317"/>
      <c r="D24" s="317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</row>
    <row r="25" spans="1:19" x14ac:dyDescent="0.25">
      <c r="A25" s="311"/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</row>
    <row r="26" spans="1:19" x14ac:dyDescent="0.25">
      <c r="A26" s="311"/>
      <c r="C26" s="317"/>
      <c r="D26" s="317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</row>
    <row r="27" spans="1:19" x14ac:dyDescent="0.25">
      <c r="A27" s="311"/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</row>
    <row r="28" spans="1:19" x14ac:dyDescent="0.25">
      <c r="A28" s="311"/>
      <c r="C28" s="317"/>
      <c r="D28" s="317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</row>
    <row r="29" spans="1:19" x14ac:dyDescent="0.25">
      <c r="A29" s="311"/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</row>
    <row r="30" spans="1:19" x14ac:dyDescent="0.25">
      <c r="A30" s="311"/>
      <c r="C30" s="317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</row>
    <row r="31" spans="1:19" x14ac:dyDescent="0.25">
      <c r="A31" s="311"/>
      <c r="C31" s="317"/>
      <c r="D31" s="317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</row>
    <row r="32" spans="1:19" x14ac:dyDescent="0.25">
      <c r="A32" s="311"/>
      <c r="C32" s="317"/>
      <c r="D32" s="317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</row>
    <row r="33" spans="1:19" x14ac:dyDescent="0.25">
      <c r="A33" s="311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</row>
    <row r="34" spans="1:19" x14ac:dyDescent="0.25">
      <c r="A34" s="311"/>
      <c r="C34" s="317"/>
      <c r="D34" s="317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</row>
    <row r="35" spans="1:19" x14ac:dyDescent="0.25">
      <c r="A35" s="311"/>
      <c r="C35" s="317"/>
      <c r="D35" s="317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</row>
    <row r="36" spans="1:19" x14ac:dyDescent="0.25">
      <c r="A36" s="311"/>
    </row>
    <row r="37" spans="1:19" x14ac:dyDescent="0.25">
      <c r="A37" s="311"/>
    </row>
    <row r="38" spans="1:19" x14ac:dyDescent="0.25">
      <c r="A38" s="311"/>
    </row>
    <row r="39" spans="1:19" x14ac:dyDescent="0.25">
      <c r="A39" s="311"/>
    </row>
    <row r="40" spans="1:19" x14ac:dyDescent="0.25">
      <c r="A40" s="311">
        <f ca="1">_xlfn.SHEETS()</f>
        <v>14</v>
      </c>
    </row>
    <row r="41" spans="1:19" x14ac:dyDescent="0.25">
      <c r="A41" s="311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zoomScale="85" zoomScaleNormal="85" workbookViewId="0">
      <pane ySplit="2" topLeftCell="A3" activePane="bottomLeft" state="frozen"/>
      <selection activeCell="Z23" sqref="Z23"/>
      <selection pane="bottomLeft" activeCell="A3" sqref="A3"/>
    </sheetView>
  </sheetViews>
  <sheetFormatPr defaultColWidth="0" defaultRowHeight="12" zeroHeight="1" x14ac:dyDescent="0.2"/>
  <cols>
    <col min="1" max="1" width="1.875" style="10" customWidth="1"/>
    <col min="2" max="2" width="2" style="10" customWidth="1"/>
    <col min="3" max="3" width="21.625" style="10" customWidth="1"/>
    <col min="4" max="4" width="34.625" style="10" customWidth="1"/>
    <col min="5" max="5" width="15.25" style="10" customWidth="1"/>
    <col min="6" max="9" width="13.125" style="10" customWidth="1"/>
    <col min="10" max="10" width="11.75" style="10" customWidth="1"/>
    <col min="11" max="11" width="1.75" style="10" customWidth="1"/>
    <col min="12" max="12" width="14.625" style="10" customWidth="1"/>
    <col min="13" max="13" width="2.25" style="10" customWidth="1"/>
    <col min="14" max="14" width="8.75" style="10" hidden="1" customWidth="1"/>
    <col min="15" max="16384" width="9" style="10" hidden="1"/>
  </cols>
  <sheetData>
    <row r="1" spans="1:13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75" x14ac:dyDescent="0.3">
      <c r="A2" s="56" t="str">
        <f>proj</f>
        <v>Donald microgrid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75" x14ac:dyDescent="0.3">
      <c r="A3" s="204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.75" x14ac:dyDescent="0.3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5" x14ac:dyDescent="0.25">
      <c r="A5" s="19" t="s">
        <v>163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2.75" x14ac:dyDescent="0.2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2.75" x14ac:dyDescent="0.2">
      <c r="G7" s="153" t="s">
        <v>193</v>
      </c>
      <c r="H7" s="153" t="s">
        <v>194</v>
      </c>
      <c r="I7" s="153" t="s">
        <v>119</v>
      </c>
    </row>
    <row r="8" spans="1:13" s="7" customFormat="1" ht="12.75" x14ac:dyDescent="0.2">
      <c r="C8" s="29" t="s">
        <v>1</v>
      </c>
      <c r="D8" s="29"/>
      <c r="E8" s="29"/>
      <c r="F8" s="29"/>
      <c r="G8" s="185">
        <f>output_dollars</f>
        <v>46203</v>
      </c>
      <c r="H8" s="185">
        <f>output_dollars</f>
        <v>46203</v>
      </c>
      <c r="I8" s="185">
        <f>output_dollars</f>
        <v>46203</v>
      </c>
    </row>
    <row r="9" spans="1:13" s="7" customFormat="1" ht="12.75" x14ac:dyDescent="0.2">
      <c r="C9" s="91" t="str" cm="1">
        <f t="array" ref="C9:C13">options</f>
        <v>Option 1 (base case)</v>
      </c>
      <c r="D9" s="368" t="str">
        <f>INDEX(Assumptions!$E$14:$E$18, MATCH(C9, Assumptions!$C$14:$C$18,0))</f>
        <v>No change to existing practices</v>
      </c>
      <c r="E9" s="369"/>
      <c r="F9" s="369"/>
      <c r="G9" s="103">
        <f>IF(Data!$C9, "", INDEX(Consol!$F$15:$F$82, MATCH($C9&amp;G$7, Consol!$D$15:$D$82,0))/mill_conv)</f>
        <v>0</v>
      </c>
      <c r="H9" s="103">
        <f>IF(Data!$C9, "", INDEX(Consol!$F$15:$F$82, MATCH($C9&amp;H$7, Consol!$D$15:$D$82,0))/mill_conv)</f>
        <v>0</v>
      </c>
      <c r="I9" s="103">
        <f>IF(Data!$C9, "", INDEX(Consol!$F$15:$F$82, MATCH($C9&amp;I$7, Consol!$D$15:$D$82,0))/mill_conv)</f>
        <v>0</v>
      </c>
    </row>
    <row r="10" spans="1:13" s="7" customFormat="1" ht="12.75" customHeight="1" x14ac:dyDescent="0.2">
      <c r="C10" s="91" t="str">
        <v>Option 2</v>
      </c>
      <c r="D10" s="370" t="str">
        <f>INDEX(Assumptions!$E$14:$E$18, MATCH(C10, Assumptions!$C$14:$C$18,0))</f>
        <v>Install generator only microgrid</v>
      </c>
      <c r="E10" s="371"/>
      <c r="F10" s="371"/>
      <c r="G10" s="103">
        <f>IF(Data!$C10, "", INDEX(Consol!$F$15:$F$82, MATCH($C10&amp;G$7, Consol!$D$15:$D$82,0))/mill_conv)</f>
        <v>-4.0909760105953143</v>
      </c>
      <c r="H10" s="103">
        <f>IF(Data!$C10, "", INDEX(Consol!$F$15:$F$82, MATCH($C10&amp;H$7, Consol!$D$15:$D$82,0))/mill_conv)</f>
        <v>8.5397932595556512</v>
      </c>
      <c r="I10" s="103">
        <f>IF(Data!$C10, "", INDEX(Consol!$F$15:$F$82, MATCH($C10&amp;I$7, Consol!$D$15:$D$82,0))/mill_conv)</f>
        <v>4.4488172489603333</v>
      </c>
    </row>
    <row r="11" spans="1:13" s="7" customFormat="1" ht="12.75" x14ac:dyDescent="0.2">
      <c r="C11" s="91" t="str">
        <v>Option 3</v>
      </c>
      <c r="D11" s="370" t="str">
        <f>INDEX(Assumptions!$E$14:$E$18, MATCH(C11, Assumptions!$C$14:$C$18,0))</f>
        <v>Install generator + BESS microgrid</v>
      </c>
      <c r="E11" s="371"/>
      <c r="F11" s="371"/>
      <c r="G11" s="103">
        <f>IF(Data!$C11, "", INDEX(Consol!$F$15:$F$82, MATCH($C11&amp;G$7, Consol!$D$15:$D$82,0))/mill_conv)</f>
        <v>-9.1250151107165536</v>
      </c>
      <c r="H11" s="103">
        <f>IF(Data!$C11, "", INDEX(Consol!$F$15:$F$82, MATCH($C11&amp;H$7, Consol!$D$15:$D$82,0))/mill_conv)</f>
        <v>8.6991885709699304</v>
      </c>
      <c r="I11" s="103">
        <f>IF(Data!$C11, "", INDEX(Consol!$F$15:$F$82, MATCH($C11&amp;I$7, Consol!$D$15:$D$82,0))/mill_conv)</f>
        <v>-0.42582653974662527</v>
      </c>
    </row>
    <row r="12" spans="1:13" s="7" customFormat="1" ht="12.75" x14ac:dyDescent="0.2">
      <c r="C12" s="91" t="str">
        <v>Option 4</v>
      </c>
      <c r="D12" s="370">
        <f>INDEX(Assumptions!$E$14:$E$18, MATCH(C12, Assumptions!$C$14:$C$18,0))</f>
        <v>0</v>
      </c>
      <c r="E12" s="371"/>
      <c r="F12" s="371"/>
      <c r="G12" s="103" t="str">
        <f>IF(Data!$C12, "", INDEX(Consol!$F$15:$F$82, MATCH($C12&amp;G$7, Consol!$D$15:$D$82,0))/mill_conv)</f>
        <v/>
      </c>
      <c r="H12" s="103" t="str">
        <f>IF(Data!$C12, "", INDEX(Consol!$F$15:$F$82, MATCH($C12&amp;H$7, Consol!$D$15:$D$82,0))/mill_conv)</f>
        <v/>
      </c>
      <c r="I12" s="103" t="str">
        <f>IF(Data!$C12, "", INDEX(Consol!$F$15:$F$82, MATCH($C12&amp;I$7, Consol!$D$15:$D$82,0))/mill_conv)</f>
        <v/>
      </c>
    </row>
    <row r="13" spans="1:13" s="7" customFormat="1" ht="12.75" x14ac:dyDescent="0.2">
      <c r="C13" s="91" t="str">
        <v>Option 5</v>
      </c>
      <c r="D13" s="370">
        <f>INDEX(Assumptions!$E$14:$E$18, MATCH(C13, Assumptions!$C$14:$C$18,0))</f>
        <v>0</v>
      </c>
      <c r="E13" s="371"/>
      <c r="F13" s="371"/>
      <c r="G13" s="103" t="str">
        <f>IF(Data!$C13, "", INDEX(Consol!$F$15:$F$82, MATCH($C13&amp;G$7, Consol!$D$15:$D$82,0))/mill_conv)</f>
        <v/>
      </c>
      <c r="H13" s="103" t="str">
        <f>IF(Data!$C13, "", INDEX(Consol!$F$15:$F$82, MATCH($C13&amp;H$7, Consol!$D$15:$D$82,0))/mill_conv)</f>
        <v/>
      </c>
      <c r="I13" s="103" t="str">
        <f>IF(Data!$C13, "", INDEX(Consol!$F$15:$F$82, MATCH($C13&amp;I$7, Consol!$D$15:$D$82,0))/mill_conv)</f>
        <v/>
      </c>
    </row>
    <row r="14" spans="1:13" s="7" customFormat="1" ht="12.75" x14ac:dyDescent="0.2">
      <c r="C14" s="91"/>
      <c r="D14" s="248"/>
      <c r="E14" s="248"/>
      <c r="F14" s="242"/>
      <c r="H14" s="9"/>
    </row>
    <row r="15" spans="1:13" s="7" customFormat="1" ht="12.75" x14ac:dyDescent="0.2">
      <c r="C15" s="91"/>
      <c r="D15" s="91"/>
      <c r="E15" s="91"/>
      <c r="F15" s="92"/>
      <c r="G15"/>
      <c r="I15" s="9"/>
    </row>
    <row r="16" spans="1:13" s="7" customFormat="1" ht="12.75" x14ac:dyDescent="0.2">
      <c r="G16" s="153" t="s">
        <v>119</v>
      </c>
      <c r="H16"/>
      <c r="J16" s="9"/>
    </row>
    <row r="17" spans="1:13" s="7" customFormat="1" ht="12.75" x14ac:dyDescent="0.2">
      <c r="C17" s="26" t="s">
        <v>24</v>
      </c>
      <c r="D17" s="29"/>
      <c r="E17" s="29"/>
      <c r="F17" s="29"/>
      <c r="G17" s="185">
        <f>output_dollars</f>
        <v>46203</v>
      </c>
      <c r="H17"/>
      <c r="J17" s="9"/>
    </row>
    <row r="18" spans="1:13" s="7" customFormat="1" ht="12.75" x14ac:dyDescent="0.2">
      <c r="C18" s="36" t="str">
        <f>INDEX($C$9:$C$13,MATCH(G18, $I$9:$I$13,0))</f>
        <v>Option 2</v>
      </c>
      <c r="D18" s="367" t="str">
        <f>INDEX($D$9:$D$13,MATCH(G18, $I$9:$I$13,0))</f>
        <v>Install generator only microgrid</v>
      </c>
      <c r="E18" s="367"/>
      <c r="F18" s="367"/>
      <c r="G18" s="104">
        <f>_xlfn.MAXIFS(I9:I13, IF(compliance, Data!$F$9:$F$13, Data!$C$9:$C$13),FALSE)</f>
        <v>4.4488172489603333</v>
      </c>
      <c r="H18"/>
    </row>
    <row r="19" spans="1:13" s="7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9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2"/>
    <row r="25" spans="1:13" s="8" customFormat="1" ht="12.75" x14ac:dyDescent="0.2">
      <c r="C25" s="14" t="s">
        <v>28</v>
      </c>
    </row>
    <row r="26" spans="1:13" s="8" customFormat="1" ht="12.75" x14ac:dyDescent="0.2">
      <c r="C26" s="93" t="str">
        <f>C18</f>
        <v>Option 2</v>
      </c>
    </row>
    <row r="27" spans="1:13" s="8" customFormat="1" ht="12.75" x14ac:dyDescent="0.2"/>
    <row r="28" spans="1:13" s="8" customFormat="1" ht="12.75" x14ac:dyDescent="0.2"/>
    <row r="29" spans="1:13" s="8" customFormat="1" ht="12.75" x14ac:dyDescent="0.2">
      <c r="C29" s="53" t="s">
        <v>29</v>
      </c>
      <c r="D29" s="290">
        <f>output_dollars</f>
        <v>46203</v>
      </c>
      <c r="E29" s="186"/>
      <c r="F29" s="55" t="str">
        <f>Assumptions!K93</f>
        <v>2026-27</v>
      </c>
      <c r="G29" s="55" t="str">
        <f>Assumptions!L93</f>
        <v>2027-28</v>
      </c>
      <c r="H29" s="55" t="str">
        <f>Assumptions!M93</f>
        <v>2028-29</v>
      </c>
      <c r="I29" s="55" t="str">
        <f>Assumptions!N93</f>
        <v>2029-30</v>
      </c>
      <c r="J29" s="55" t="str">
        <f>Assumptions!O93</f>
        <v>2030-31</v>
      </c>
      <c r="L29" s="55" t="s">
        <v>145</v>
      </c>
    </row>
    <row r="30" spans="1:13" s="8" customFormat="1" ht="12.75" x14ac:dyDescent="0.2">
      <c r="C30" s="4" t="s">
        <v>30</v>
      </c>
      <c r="F30" s="105">
        <f>-INDEX(Consol!I$15:I$82,MATCH($C$26&amp;$C30,Consol!$D$15:$D$82,0))/mill_conv</f>
        <v>0</v>
      </c>
      <c r="G30" s="105">
        <f>-INDEX(Consol!J$15:J$82,MATCH($C$26&amp;$C30,Consol!$D$15:$D$82,0))/mill_conv</f>
        <v>3.2001534796647371</v>
      </c>
      <c r="H30" s="105">
        <f>-INDEX(Consol!K$15:K$82,MATCH($C$26&amp;$C30,Consol!$D$15:$D$82,0))/mill_conv</f>
        <v>0</v>
      </c>
      <c r="I30" s="105">
        <f>-INDEX(Consol!L$15:L$82,MATCH($C$26&amp;$C30,Consol!$D$15:$D$82,0))/mill_conv</f>
        <v>0</v>
      </c>
      <c r="J30" s="105">
        <f>-INDEX(Consol!M$15:M$82,MATCH($C$26&amp;$C30,Consol!$D$15:$D$82,0))/mill_conv</f>
        <v>0</v>
      </c>
      <c r="K30" s="187"/>
      <c r="L30" s="187">
        <f>SUM(F30:J30)</f>
        <v>3.2001534796647371</v>
      </c>
    </row>
    <row r="31" spans="1:13" s="8" customFormat="1" ht="12.75" x14ac:dyDescent="0.2">
      <c r="C31" s="4" t="s">
        <v>31</v>
      </c>
      <c r="D31" s="28"/>
      <c r="E31" s="28"/>
      <c r="F31" s="105">
        <f>-INDEX(Consol!I$15:I$82,MATCH($C$26&amp;$C31,Consol!$D$15:$D$82,0))/mill_conv</f>
        <v>0</v>
      </c>
      <c r="G31" s="105">
        <f>-INDEX(Consol!J$15:J$82,MATCH($C$26&amp;$C31,Consol!$D$15:$D$82,0))/mill_conv</f>
        <v>0</v>
      </c>
      <c r="H31" s="105">
        <f>-INDEX(Consol!K$15:K$82,MATCH($C$26&amp;$C31,Consol!$D$15:$D$82,0))/mill_conv</f>
        <v>8.9033011713327753E-2</v>
      </c>
      <c r="I31" s="105">
        <f>-INDEX(Consol!L$15:L$82,MATCH($C$26&amp;$C31,Consol!$D$15:$D$82,0))/mill_conv</f>
        <v>8.9033011713327753E-2</v>
      </c>
      <c r="J31" s="105">
        <f>-INDEX(Consol!M$15:M$82,MATCH($C$26&amp;$C31,Consol!$D$15:$D$82,0))/mill_conv</f>
        <v>8.9033011713327753E-2</v>
      </c>
      <c r="K31" s="187"/>
      <c r="L31" s="187">
        <f>SUM(F31:J31)</f>
        <v>0.26709903513998323</v>
      </c>
    </row>
    <row r="32" spans="1:13" s="8" customFormat="1" ht="12.75" x14ac:dyDescent="0.2"/>
    <row r="33" spans="1:12" s="8" customFormat="1" ht="12.75" x14ac:dyDescent="0.2"/>
    <row r="34" spans="1:12" s="8" customFormat="1" ht="12.75" x14ac:dyDescent="0.2"/>
    <row r="35" spans="1:12" s="8" customFormat="1" ht="15" x14ac:dyDescent="0.25">
      <c r="A35" s="19" t="s">
        <v>162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s="8" customFormat="1" ht="12.75" x14ac:dyDescent="0.2"/>
    <row r="37" spans="1:12" s="8" customFormat="1" ht="12.75" x14ac:dyDescent="0.2">
      <c r="C37" s="8" t="s">
        <v>235</v>
      </c>
      <c r="D37" s="28"/>
      <c r="E37" s="28"/>
      <c r="F37" s="322" t="s">
        <v>241</v>
      </c>
    </row>
    <row r="38" spans="1:12" s="8" customFormat="1" ht="12.75" x14ac:dyDescent="0.2"/>
    <row r="39" spans="1:12" s="8" customFormat="1" ht="12.75" x14ac:dyDescent="0.2"/>
    <row r="40" spans="1:12" s="8" customFormat="1" ht="12.75" x14ac:dyDescent="0.2"/>
    <row r="41" spans="1:12" s="8" customFormat="1" ht="12.75" x14ac:dyDescent="0.2"/>
    <row r="42" spans="1:12" s="8" customFormat="1" ht="12.75" x14ac:dyDescent="0.2"/>
    <row r="43" spans="1:12" s="8" customFormat="1" ht="12.75" x14ac:dyDescent="0.2"/>
    <row r="44" spans="1:12" s="8" customFormat="1" ht="12.75" x14ac:dyDescent="0.2"/>
    <row r="45" spans="1:12" s="8" customFormat="1" ht="12.75" x14ac:dyDescent="0.2"/>
    <row r="46" spans="1:12" s="8" customFormat="1" ht="12.75" x14ac:dyDescent="0.2"/>
    <row r="47" spans="1:12" s="8" customFormat="1" ht="12.75" x14ac:dyDescent="0.2"/>
    <row r="48" spans="1:12" s="8" customFormat="1" ht="12.75" x14ac:dyDescent="0.2"/>
    <row r="49" spans="1:12" s="8" customFormat="1" ht="12.75" x14ac:dyDescent="0.2"/>
    <row r="50" spans="1:12" s="8" customFormat="1" ht="12.75" x14ac:dyDescent="0.2"/>
    <row r="51" spans="1:12" s="8" customFormat="1" ht="12.75" x14ac:dyDescent="0.2"/>
    <row r="52" spans="1:12" s="8" customFormat="1" ht="12.75" x14ac:dyDescent="0.2"/>
    <row r="53" spans="1:12" s="8" customFormat="1" ht="12.75" x14ac:dyDescent="0.2"/>
    <row r="54" spans="1:12" s="8" customFormat="1" ht="12.75" x14ac:dyDescent="0.2"/>
    <row r="55" spans="1:12" s="8" customFormat="1" ht="12.75" x14ac:dyDescent="0.2"/>
    <row r="56" spans="1:12" s="8" customFormat="1" ht="12.75" x14ac:dyDescent="0.2"/>
    <row r="57" spans="1:12" s="8" customFormat="1" ht="12.75" x14ac:dyDescent="0.2"/>
    <row r="58" spans="1:12" s="8" customFormat="1" ht="12.75" x14ac:dyDescent="0.2"/>
    <row r="59" spans="1:12" s="8" customFormat="1" ht="12.75" x14ac:dyDescent="0.2"/>
    <row r="60" spans="1:12" s="8" customFormat="1" ht="12.75" x14ac:dyDescent="0.2"/>
    <row r="61" spans="1:12" s="8" customFormat="1" ht="12.75" x14ac:dyDescent="0.2"/>
    <row r="62" spans="1:12" s="8" customFormat="1" ht="12.75" x14ac:dyDescent="0.2"/>
    <row r="63" spans="1:12" s="8" customFormat="1" ht="15" x14ac:dyDescent="0.25">
      <c r="A63" s="19" t="s">
        <v>218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1:12" s="8" customFormat="1" ht="12.75" x14ac:dyDescent="0.2"/>
    <row r="65" spans="3:13" s="8" customFormat="1" ht="12.75" x14ac:dyDescent="0.2"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</row>
    <row r="66" spans="3:13" s="8" customFormat="1" ht="12.75" x14ac:dyDescent="0.2">
      <c r="C66" s="258" t="s">
        <v>222</v>
      </c>
      <c r="D66" s="186">
        <f>output_dollars</f>
        <v>46203</v>
      </c>
      <c r="E66" s="186"/>
      <c r="F66" s="259" t="str">
        <f>Sensitivity_calcs!C89</f>
        <v>Option 1 (base case)</v>
      </c>
      <c r="G66" s="259" t="str">
        <f>Sensitivity_calcs!D89</f>
        <v>Option 2</v>
      </c>
      <c r="H66" s="259" t="str">
        <f>Sensitivity_calcs!E89</f>
        <v>Option 3</v>
      </c>
      <c r="I66" s="259" t="str">
        <f>Sensitivity_calcs!F89</f>
        <v>Option 4</v>
      </c>
      <c r="J66" s="259" t="str">
        <f>Sensitivity_calcs!G89</f>
        <v>Option 5</v>
      </c>
      <c r="K66" s="263"/>
      <c r="L66" s="288" t="s">
        <v>220</v>
      </c>
      <c r="M66" s="263"/>
    </row>
    <row r="67" spans="3:13" s="8" customFormat="1" ht="12.75" x14ac:dyDescent="0.2">
      <c r="C67" s="286" t="str">
        <f>Sensitivity_calcs!B90</f>
        <v>None</v>
      </c>
      <c r="D67" s="266"/>
      <c r="E67" s="266"/>
      <c r="F67" s="287">
        <f>Sensitivity_calcs!C90</f>
        <v>0</v>
      </c>
      <c r="G67" s="287">
        <f>Sensitivity_calcs!D90</f>
        <v>4.4488172489603333</v>
      </c>
      <c r="H67" s="287">
        <f>Sensitivity_calcs!E90</f>
        <v>-0.4258265397466251</v>
      </c>
      <c r="I67" s="287" t="str">
        <f>Sensitivity_calcs!F90</f>
        <v/>
      </c>
      <c r="J67" s="287" t="str">
        <f>Sensitivity_calcs!G90</f>
        <v/>
      </c>
      <c r="K67" s="257"/>
      <c r="L67" s="289" t="str">
        <f>Sensitivity_calcs!K90</f>
        <v>Option 2</v>
      </c>
      <c r="M67" s="257"/>
    </row>
    <row r="68" spans="3:13" s="8" customFormat="1" ht="12.75" x14ac:dyDescent="0.2">
      <c r="C68" s="265" t="str">
        <f>Sensitivity_calcs!B91</f>
        <v>Capex 10% higher</v>
      </c>
      <c r="D68" s="265"/>
      <c r="E68" s="265"/>
      <c r="F68" s="279">
        <f>Sensitivity_calcs!C91</f>
        <v>0</v>
      </c>
      <c r="G68" s="274">
        <f>IF($C68=0, "", Sensitivity_calcs!D91)</f>
        <v>4.1556435107475513</v>
      </c>
      <c r="H68" s="274">
        <f>Sensitivity_calcs!E91</f>
        <v>-1.0774993594130955</v>
      </c>
      <c r="I68" s="274" t="str">
        <f>Sensitivity_calcs!F91</f>
        <v/>
      </c>
      <c r="J68" s="274" t="str">
        <f>Sensitivity_calcs!G91</f>
        <v/>
      </c>
      <c r="K68" s="257"/>
      <c r="L68" s="282" t="str">
        <f>Sensitivity_calcs!K91</f>
        <v>Option 2</v>
      </c>
      <c r="M68" s="257"/>
    </row>
    <row r="69" spans="3:13" s="8" customFormat="1" ht="12.75" x14ac:dyDescent="0.2">
      <c r="C69" s="265" t="str">
        <f>Sensitivity_calcs!B92</f>
        <v>Capex 10% lower</v>
      </c>
      <c r="D69" s="265"/>
      <c r="E69" s="265"/>
      <c r="F69" s="280">
        <f>Sensitivity_calcs!C92</f>
        <v>0</v>
      </c>
      <c r="G69" s="275">
        <f>Sensitivity_calcs!D92</f>
        <v>4.7419909871731178</v>
      </c>
      <c r="H69" s="275">
        <f>Sensitivity_calcs!E92</f>
        <v>0.22584627991984516</v>
      </c>
      <c r="I69" s="275" t="str">
        <f>Sensitivity_calcs!F92</f>
        <v/>
      </c>
      <c r="J69" s="275" t="str">
        <f>Sensitivity_calcs!G92</f>
        <v/>
      </c>
      <c r="K69" s="257"/>
      <c r="L69" s="282" t="str">
        <f>Sensitivity_calcs!K92</f>
        <v>Option 2</v>
      </c>
      <c r="M69" s="257"/>
    </row>
    <row r="70" spans="3:13" s="8" customFormat="1" ht="12.75" x14ac:dyDescent="0.2">
      <c r="C70" s="265" t="str">
        <f>Sensitivity_calcs!B93</f>
        <v>Increasing wind escalation</v>
      </c>
      <c r="D70" s="265"/>
      <c r="E70" s="265"/>
      <c r="F70" s="280">
        <f>Sensitivity_calcs!C93</f>
        <v>0</v>
      </c>
      <c r="G70" s="275">
        <f>Sensitivity_calcs!D93</f>
        <v>4.4842176913862479</v>
      </c>
      <c r="H70" s="275">
        <f>Sensitivity_calcs!E93</f>
        <v>-0.39042609732071148</v>
      </c>
      <c r="I70" s="275" t="str">
        <f>Sensitivity_calcs!F93</f>
        <v/>
      </c>
      <c r="J70" s="275" t="str">
        <f>Sensitivity_calcs!G93</f>
        <v/>
      </c>
      <c r="K70" s="257"/>
      <c r="L70" s="282" t="str">
        <f>Sensitivity_calcs!K93</f>
        <v>Option 2</v>
      </c>
      <c r="M70" s="257"/>
    </row>
    <row r="71" spans="3:13" s="8" customFormat="1" ht="12.75" x14ac:dyDescent="0.2">
      <c r="C71" s="265" t="str">
        <f>Sensitivity_calcs!B94</f>
        <v/>
      </c>
      <c r="D71" s="265"/>
      <c r="E71" s="265"/>
      <c r="F71" s="280"/>
      <c r="G71" s="275"/>
      <c r="H71" s="275"/>
      <c r="I71" s="275"/>
      <c r="J71" s="275"/>
      <c r="K71" s="257"/>
      <c r="L71" s="282"/>
      <c r="M71" s="257"/>
    </row>
    <row r="72" spans="3:13" s="8" customFormat="1" ht="12.75" x14ac:dyDescent="0.2">
      <c r="C72" s="265" t="str">
        <f>Sensitivity_calcs!B95</f>
        <v/>
      </c>
      <c r="D72" s="265"/>
      <c r="E72" s="265"/>
      <c r="F72" s="280"/>
      <c r="G72" s="275"/>
      <c r="H72" s="275"/>
      <c r="I72" s="275"/>
      <c r="J72" s="275"/>
      <c r="K72" s="257"/>
      <c r="L72" s="282"/>
      <c r="M72" s="257"/>
    </row>
    <row r="73" spans="3:13" s="8" customFormat="1" ht="12.75" x14ac:dyDescent="0.2">
      <c r="C73" s="265">
        <f>Sensitivity_calcs!B96</f>
        <v>0</v>
      </c>
      <c r="D73" s="265"/>
      <c r="E73" s="265"/>
      <c r="F73" s="280" t="str">
        <f>Sensitivity_calcs!C96</f>
        <v/>
      </c>
      <c r="G73" s="275" t="str">
        <f>Sensitivity_calcs!D96</f>
        <v/>
      </c>
      <c r="H73" s="275" t="str">
        <f>Sensitivity_calcs!E96</f>
        <v/>
      </c>
      <c r="I73" s="275" t="str">
        <f>Sensitivity_calcs!F96</f>
        <v/>
      </c>
      <c r="J73" s="275" t="str">
        <f>Sensitivity_calcs!G96</f>
        <v/>
      </c>
      <c r="K73" s="257"/>
      <c r="L73" s="282" t="str">
        <f>Sensitivity_calcs!K96</f>
        <v/>
      </c>
      <c r="M73" s="257"/>
    </row>
    <row r="74" spans="3:13" s="8" customFormat="1" ht="12.75" x14ac:dyDescent="0.2">
      <c r="C74" s="265">
        <f>Sensitivity_calcs!B97</f>
        <v>0</v>
      </c>
      <c r="D74" s="260"/>
      <c r="E74" s="260"/>
      <c r="F74" s="280" t="str">
        <f>Sensitivity_calcs!C97</f>
        <v/>
      </c>
      <c r="G74" s="275" t="str">
        <f>Sensitivity_calcs!D97</f>
        <v/>
      </c>
      <c r="H74" s="275" t="str">
        <f>Sensitivity_calcs!E97</f>
        <v/>
      </c>
      <c r="I74" s="275" t="str">
        <f>Sensitivity_calcs!F97</f>
        <v/>
      </c>
      <c r="J74" s="275" t="str">
        <f>Sensitivity_calcs!G97</f>
        <v/>
      </c>
      <c r="K74" s="267">
        <f>IF(C74=0,0, INDEX($F$66:$J$66, MATCH(MAX($F74:$I74),$F74:$I74,0)))</f>
        <v>0</v>
      </c>
      <c r="L74" s="282" t="str">
        <f>Sensitivity_calcs!K97</f>
        <v/>
      </c>
    </row>
    <row r="75" spans="3:13" s="8" customFormat="1" ht="12.75" x14ac:dyDescent="0.2">
      <c r="D75" s="265">
        <f>Sensitivity_calcs!B98</f>
        <v>0</v>
      </c>
      <c r="E75" s="265"/>
      <c r="F75" s="280" t="str">
        <f>Sensitivity_calcs!C98</f>
        <v/>
      </c>
      <c r="G75" s="275" t="str">
        <f>Sensitivity_calcs!D98</f>
        <v/>
      </c>
      <c r="H75" s="275" t="str">
        <f>Sensitivity_calcs!E98</f>
        <v/>
      </c>
      <c r="I75" s="275" t="str">
        <f>Sensitivity_calcs!F98</f>
        <v/>
      </c>
      <c r="J75" s="275" t="str">
        <f>Sensitivity_calcs!G98</f>
        <v/>
      </c>
      <c r="K75" s="257"/>
      <c r="L75" s="282" t="str">
        <f>Sensitivity_calcs!K98</f>
        <v/>
      </c>
      <c r="M75" s="257"/>
    </row>
    <row r="76" spans="3:13" s="8" customFormat="1" ht="12.75" x14ac:dyDescent="0.2">
      <c r="D76" s="265">
        <f>Sensitivity_calcs!B99</f>
        <v>0</v>
      </c>
      <c r="E76" s="265"/>
      <c r="F76" s="281"/>
      <c r="G76" s="105"/>
      <c r="H76" s="105"/>
      <c r="I76" s="105"/>
      <c r="J76" s="105"/>
      <c r="K76" s="257"/>
      <c r="L76" s="257"/>
    </row>
    <row r="77" spans="3:13" s="8" customFormat="1" ht="12.75" x14ac:dyDescent="0.2">
      <c r="F77" s="264"/>
      <c r="G77" s="105"/>
      <c r="H77" s="105"/>
      <c r="I77" s="105"/>
      <c r="J77" s="105"/>
    </row>
    <row r="78" spans="3:13" s="8" customFormat="1" ht="12.75" x14ac:dyDescent="0.2">
      <c r="F78" s="264"/>
      <c r="G78" s="264"/>
      <c r="H78" s="264"/>
      <c r="I78" s="264"/>
    </row>
    <row r="79" spans="3:13" s="8" customFormat="1" ht="12.75" x14ac:dyDescent="0.2"/>
    <row r="80" spans="3:13" s="8" customFormat="1" ht="12.75" x14ac:dyDescent="0.2"/>
    <row r="81" spans="4:6" s="8" customFormat="1" ht="12.75" x14ac:dyDescent="0.2">
      <c r="D81" s="245"/>
      <c r="E81" s="245"/>
      <c r="F81" s="245"/>
    </row>
    <row r="82" spans="4:6" s="8" customFormat="1" ht="12.75" x14ac:dyDescent="0.2">
      <c r="D82" s="245"/>
      <c r="E82" s="245"/>
      <c r="F82" s="245"/>
    </row>
    <row r="83" spans="4:6" s="8" customFormat="1" ht="12.75" hidden="1" x14ac:dyDescent="0.2">
      <c r="D83" s="245"/>
      <c r="E83" s="245"/>
      <c r="F83" s="245"/>
    </row>
    <row r="84" spans="4:6" s="8" customFormat="1" ht="12.75" hidden="1" x14ac:dyDescent="0.2"/>
    <row r="85" spans="4:6" s="8" customFormat="1" ht="12.75" hidden="1" x14ac:dyDescent="0.2"/>
    <row r="86" spans="4:6" s="8" customFormat="1" ht="12.75" hidden="1" x14ac:dyDescent="0.2"/>
    <row r="87" spans="4:6" s="8" customFormat="1" ht="12.75" hidden="1" x14ac:dyDescent="0.2"/>
    <row r="88" spans="4:6" s="8" customFormat="1" ht="12.75" hidden="1" x14ac:dyDescent="0.2"/>
    <row r="89" spans="4:6" s="8" customFormat="1" ht="12.75" hidden="1" x14ac:dyDescent="0.2"/>
    <row r="90" spans="4:6" s="8" customFormat="1" ht="12.75" hidden="1" x14ac:dyDescent="0.2"/>
    <row r="91" spans="4:6" s="8" customFormat="1" ht="12.75" hidden="1" x14ac:dyDescent="0.2"/>
    <row r="92" spans="4:6" s="8" customFormat="1" ht="12.75" hidden="1" x14ac:dyDescent="0.2"/>
    <row r="93" spans="4:6" s="8" customFormat="1" ht="12.75" hidden="1" x14ac:dyDescent="0.2"/>
    <row r="94" spans="4:6" s="8" customFormat="1" ht="12.75" hidden="1" x14ac:dyDescent="0.2"/>
    <row r="95" spans="4:6" s="8" customFormat="1" ht="12.75" hidden="1" x14ac:dyDescent="0.2"/>
    <row r="96" spans="4:6" s="8" customFormat="1" ht="12.75" hidden="1" x14ac:dyDescent="0.2"/>
    <row r="97" s="8" customFormat="1" ht="12.75" hidden="1" x14ac:dyDescent="0.2"/>
    <row r="98" s="8" customFormat="1" ht="12.75" hidden="1" x14ac:dyDescent="0.2"/>
    <row r="99" s="8" customFormat="1" ht="12.75" hidden="1" x14ac:dyDescent="0.2"/>
    <row r="100" s="8" customFormat="1" ht="12.75" hidden="1" x14ac:dyDescent="0.2"/>
    <row r="101" s="8" customFormat="1" ht="12.75" hidden="1" x14ac:dyDescent="0.2"/>
    <row r="102" s="8" customFormat="1" ht="12.75" hidden="1" x14ac:dyDescent="0.2"/>
    <row r="103" s="8" customFormat="1" ht="12.75" hidden="1" x14ac:dyDescent="0.2"/>
    <row r="104" s="8" customFormat="1" ht="12.75" hidden="1" x14ac:dyDescent="0.2"/>
    <row r="105" s="8" customFormat="1" ht="12.75" hidden="1" x14ac:dyDescent="0.2"/>
    <row r="106" s="8" customFormat="1" ht="12.75" hidden="1" x14ac:dyDescent="0.2"/>
    <row r="107" s="8" customFormat="1" ht="12.75" hidden="1" x14ac:dyDescent="0.2"/>
    <row r="108" s="8" customFormat="1" ht="12.75" hidden="1" x14ac:dyDescent="0.2"/>
    <row r="109" s="8" customFormat="1" ht="12.75" hidden="1" x14ac:dyDescent="0.2"/>
    <row r="110" s="8" customFormat="1" ht="12.75" hidden="1" x14ac:dyDescent="0.2"/>
    <row r="111" s="8" customFormat="1" ht="12.75" hidden="1" x14ac:dyDescent="0.2"/>
    <row r="112" s="8" customFormat="1" ht="12.75" hidden="1" x14ac:dyDescent="0.2"/>
    <row r="113" s="8" customFormat="1" ht="12.75" hidden="1" x14ac:dyDescent="0.2"/>
    <row r="114" s="8" customFormat="1" ht="12.75" hidden="1" x14ac:dyDescent="0.2"/>
    <row r="115" s="8" customFormat="1" ht="12.75" hidden="1" x14ac:dyDescent="0.2"/>
    <row r="116" s="8" customFormat="1" ht="12.75" hidden="1" x14ac:dyDescent="0.2"/>
    <row r="117" s="8" customFormat="1" ht="12.75" hidden="1" x14ac:dyDescent="0.2"/>
    <row r="118" s="8" customFormat="1" ht="12.75" hidden="1" x14ac:dyDescent="0.2"/>
    <row r="119" s="8" customFormat="1" ht="12.75" hidden="1" x14ac:dyDescent="0.2"/>
    <row r="120" s="8" customFormat="1" ht="12.75" hidden="1" x14ac:dyDescent="0.2"/>
    <row r="121" s="8" customFormat="1" ht="12.75" hidden="1" x14ac:dyDescent="0.2"/>
    <row r="122" s="8" customFormat="1" ht="12.75" hidden="1" x14ac:dyDescent="0.2"/>
    <row r="123" s="8" customFormat="1" ht="12.75" hidden="1" x14ac:dyDescent="0.2"/>
    <row r="124" s="8" customFormat="1" ht="12.75" hidden="1" x14ac:dyDescent="0.2"/>
    <row r="125" s="8" customFormat="1" ht="12.75" hidden="1" x14ac:dyDescent="0.2"/>
    <row r="126" s="8" customFormat="1" ht="12.75" hidden="1" x14ac:dyDescent="0.2"/>
    <row r="127" s="8" customFormat="1" ht="12.75" hidden="1" x14ac:dyDescent="0.2"/>
    <row r="128" s="8" customFormat="1" ht="12.75" hidden="1" x14ac:dyDescent="0.2"/>
    <row r="129" s="8" customFormat="1" ht="12.75" hidden="1" x14ac:dyDescent="0.2"/>
    <row r="130" s="8" customFormat="1" ht="12.75" hidden="1" x14ac:dyDescent="0.2"/>
    <row r="131" s="8" customFormat="1" ht="12.75" hidden="1" x14ac:dyDescent="0.2"/>
    <row r="132" s="8" customFormat="1" ht="12.75" hidden="1" x14ac:dyDescent="0.2"/>
    <row r="133" s="8" customFormat="1" ht="12.75" hidden="1" x14ac:dyDescent="0.2"/>
    <row r="134" s="8" customFormat="1" ht="12.75" hidden="1" x14ac:dyDescent="0.2"/>
    <row r="135" s="8" customFormat="1" ht="12.75" hidden="1" x14ac:dyDescent="0.2"/>
    <row r="136" s="8" customFormat="1" ht="12.75" hidden="1" x14ac:dyDescent="0.2"/>
    <row r="137" s="8" customFormat="1" ht="12.75" hidden="1" x14ac:dyDescent="0.2"/>
    <row r="138" s="8" customFormat="1" ht="12.75" hidden="1" x14ac:dyDescent="0.2"/>
    <row r="139" s="8" customFormat="1" ht="12.75" hidden="1" x14ac:dyDescent="0.2"/>
    <row r="140" s="8" customFormat="1" ht="12.75" hidden="1" x14ac:dyDescent="0.2"/>
    <row r="141" s="8" customFormat="1" ht="12.75" hidden="1" x14ac:dyDescent="0.2"/>
    <row r="142" s="8" customFormat="1" ht="12.75" hidden="1" x14ac:dyDescent="0.2"/>
    <row r="143" s="8" customFormat="1" ht="12.75" hidden="1" x14ac:dyDescent="0.2"/>
    <row r="144" s="8" customFormat="1" ht="12.75" hidden="1" x14ac:dyDescent="0.2"/>
    <row r="145" s="8" customFormat="1" ht="12.75" hidden="1" x14ac:dyDescent="0.2"/>
    <row r="146" s="8" customFormat="1" ht="12.75" hidden="1" x14ac:dyDescent="0.2"/>
    <row r="147" s="8" customFormat="1" ht="12.75" hidden="1" x14ac:dyDescent="0.2"/>
    <row r="148" s="8" customFormat="1" ht="12.75" hidden="1" x14ac:dyDescent="0.2"/>
    <row r="149" s="8" customFormat="1" ht="12.75" hidden="1" x14ac:dyDescent="0.2"/>
    <row r="150" s="8" customFormat="1" ht="12.75" hidden="1" x14ac:dyDescent="0.2"/>
    <row r="151" s="8" customFormat="1" ht="12.75" hidden="1" x14ac:dyDescent="0.2"/>
    <row r="152" s="8" customFormat="1" ht="12.75" hidden="1" x14ac:dyDescent="0.2"/>
    <row r="153" s="8" customFormat="1" ht="12.75" hidden="1" x14ac:dyDescent="0.2"/>
    <row r="154" s="8" customFormat="1" ht="12.75" hidden="1" x14ac:dyDescent="0.2"/>
    <row r="155" s="8" customFormat="1" ht="12.75" hidden="1" x14ac:dyDescent="0.2"/>
    <row r="156" s="8" customFormat="1" ht="12.75" hidden="1" x14ac:dyDescent="0.2"/>
    <row r="157" s="8" customFormat="1" ht="12.75" hidden="1" x14ac:dyDescent="0.2"/>
    <row r="158" s="8" customFormat="1" ht="12.75" hidden="1" x14ac:dyDescent="0.2"/>
    <row r="159" s="8" customFormat="1" ht="12.75" hidden="1" x14ac:dyDescent="0.2"/>
    <row r="160" s="8" customFormat="1" ht="12.75" hidden="1" x14ac:dyDescent="0.2"/>
    <row r="161" s="8" customFormat="1" ht="12.75" hidden="1" x14ac:dyDescent="0.2"/>
    <row r="162" s="8" customFormat="1" ht="12.75" hidden="1" x14ac:dyDescent="0.2"/>
    <row r="163" s="8" customFormat="1" ht="12.75" hidden="1" x14ac:dyDescent="0.2"/>
    <row r="164" s="8" customFormat="1" ht="12.75" hidden="1" x14ac:dyDescent="0.2"/>
    <row r="165" s="8" customFormat="1" ht="12.75" hidden="1" x14ac:dyDescent="0.2"/>
    <row r="166" s="8" customFormat="1" ht="12.75" hidden="1" x14ac:dyDescent="0.2"/>
    <row r="167" s="8" customFormat="1" ht="12.75" hidden="1" x14ac:dyDescent="0.2"/>
    <row r="168" s="8" customFormat="1" ht="12.75" hidden="1" x14ac:dyDescent="0.2"/>
    <row r="169" s="8" customFormat="1" ht="12.75" hidden="1" x14ac:dyDescent="0.2"/>
    <row r="170" s="8" customFormat="1" ht="12.75" hidden="1" x14ac:dyDescent="0.2"/>
    <row r="171" s="8" customFormat="1" ht="12.75" hidden="1" x14ac:dyDescent="0.2"/>
    <row r="172" s="8" customFormat="1" ht="12.75" hidden="1" x14ac:dyDescent="0.2"/>
    <row r="173" s="8" customFormat="1" ht="12.75" hidden="1" x14ac:dyDescent="0.2"/>
    <row r="174" s="8" customFormat="1" ht="12.75" hidden="1" x14ac:dyDescent="0.2"/>
    <row r="175" s="8" customFormat="1" ht="12.75" hidden="1" x14ac:dyDescent="0.2"/>
    <row r="176" s="8" customFormat="1" ht="12.75" hidden="1" x14ac:dyDescent="0.2"/>
    <row r="177" s="8" customFormat="1" ht="12.75" hidden="1" x14ac:dyDescent="0.2"/>
    <row r="178" s="8" customFormat="1" ht="12.75" hidden="1" x14ac:dyDescent="0.2"/>
    <row r="179" s="8" customFormat="1" ht="12.75" hidden="1" x14ac:dyDescent="0.2"/>
    <row r="180" s="8" customFormat="1" ht="12.75" hidden="1" x14ac:dyDescent="0.2"/>
    <row r="181" s="8" customFormat="1" ht="12.75" hidden="1" x14ac:dyDescent="0.2"/>
    <row r="182" s="8" customFormat="1" ht="12.75" hidden="1" x14ac:dyDescent="0.2"/>
    <row r="183" s="8" customFormat="1" ht="12.75" hidden="1" x14ac:dyDescent="0.2"/>
    <row r="184" s="8" customFormat="1" ht="12.75" hidden="1" x14ac:dyDescent="0.2"/>
    <row r="185" s="8" customFormat="1" ht="12.75" hidden="1" x14ac:dyDescent="0.2"/>
    <row r="186" s="8" customFormat="1" ht="12.75" hidden="1" x14ac:dyDescent="0.2"/>
    <row r="187" s="8" customFormat="1" ht="12.75" hidden="1" x14ac:dyDescent="0.2"/>
    <row r="188" s="8" customFormat="1" ht="12.75" hidden="1" x14ac:dyDescent="0.2"/>
    <row r="189" s="8" customFormat="1" ht="12.75" hidden="1" x14ac:dyDescent="0.2"/>
    <row r="190" s="8" customFormat="1" ht="12.75" hidden="1" x14ac:dyDescent="0.2"/>
    <row r="191" s="8" customFormat="1" ht="12.75" hidden="1" x14ac:dyDescent="0.2"/>
    <row r="192" s="8" customFormat="1" ht="12.75" hidden="1" x14ac:dyDescent="0.2"/>
    <row r="193" s="8" customFormat="1" ht="12.75" hidden="1" x14ac:dyDescent="0.2"/>
    <row r="194" s="8" customFormat="1" ht="12.75" hidden="1" x14ac:dyDescent="0.2"/>
    <row r="195" s="8" customFormat="1" ht="12.75" hidden="1" x14ac:dyDescent="0.2"/>
    <row r="196" s="8" customFormat="1" ht="12.75" hidden="1" x14ac:dyDescent="0.2"/>
    <row r="197" s="8" customFormat="1" ht="12.75" hidden="1" x14ac:dyDescent="0.2"/>
    <row r="198" s="8" customFormat="1" ht="12.75" hidden="1" x14ac:dyDescent="0.2"/>
    <row r="199" s="8" customFormat="1" ht="12.75" hidden="1" x14ac:dyDescent="0.2"/>
    <row r="200" s="8" customFormat="1" ht="12.75" hidden="1" x14ac:dyDescent="0.2"/>
    <row r="201" s="8" customFormat="1" ht="12.75" hidden="1" x14ac:dyDescent="0.2"/>
    <row r="202" s="8" customFormat="1" ht="12.75" hidden="1" x14ac:dyDescent="0.2"/>
    <row r="203" s="8" customFormat="1" ht="12.75" hidden="1" x14ac:dyDescent="0.2"/>
    <row r="204" s="8" customFormat="1" ht="12.75" hidden="1" x14ac:dyDescent="0.2"/>
    <row r="205" s="8" customFormat="1" ht="12.75" hidden="1" x14ac:dyDescent="0.2"/>
    <row r="206" s="8" customFormat="1" ht="12.75" hidden="1" x14ac:dyDescent="0.2"/>
    <row r="207" s="8" customFormat="1" ht="12.75" hidden="1" x14ac:dyDescent="0.2"/>
    <row r="208" s="8" customFormat="1" ht="12.75" hidden="1" x14ac:dyDescent="0.2"/>
    <row r="209" s="8" customFormat="1" ht="12.75" hidden="1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MATCH(F$66,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F66:J66</xm:sqref>
        </x14:conditionalFormatting>
        <x14:conditionalFormatting xmlns:xm="http://schemas.microsoft.com/office/excel/2006/main">
          <x14:cfRule type="expression" priority="22" id="{6B3CD12B-2C7F-467C-B21A-8374D0C11F7F}">
            <xm:f>AND($C67&lt;&gt;0, F$66=$L67, Sensitivity_calcs!C$88=FALSE)</xm:f>
            <x14:dxf>
              <fill>
                <patternFill>
                  <bgColor rgb="FFCCFFFF"/>
                </patternFill>
              </fill>
            </x14:dxf>
          </x14:cfRule>
          <xm:sqref>F67 G67:J75</xm:sqref>
        </x14:conditionalFormatting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G9:I13 C9:D13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6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A3" sqref="A3"/>
    </sheetView>
  </sheetViews>
  <sheetFormatPr defaultColWidth="9" defaultRowHeight="12.75" x14ac:dyDescent="0.2"/>
  <cols>
    <col min="1" max="1" width="3.625" style="8" customWidth="1"/>
    <col min="2" max="2" width="2.625" style="8" customWidth="1"/>
    <col min="3" max="3" width="18.75" style="8" customWidth="1"/>
    <col min="4" max="4" width="9.25" style="8" customWidth="1"/>
    <col min="5" max="5" width="16.375" style="8" customWidth="1"/>
    <col min="6" max="6" width="1.125" style="8" customWidth="1"/>
    <col min="7" max="7" width="14.75" style="8" customWidth="1"/>
    <col min="8" max="8" width="12.875" style="8" customWidth="1"/>
    <col min="9" max="9" width="11.5" style="8" customWidth="1"/>
    <col min="10" max="10" width="6.875" style="8" customWidth="1"/>
    <col min="11" max="16" width="8.125" style="8" customWidth="1"/>
    <col min="17" max="19" width="9" style="8"/>
    <col min="20" max="20" width="17.625" style="8" customWidth="1"/>
    <col min="21" max="16384" width="9" style="8"/>
  </cols>
  <sheetData>
    <row r="1" spans="1:16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56" t="str">
        <f>proj</f>
        <v>Donald microgrid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5" x14ac:dyDescent="0.2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2">
      <c r="M5" s="12"/>
      <c r="N5" s="12"/>
      <c r="O5" s="12"/>
      <c r="P5" s="12"/>
    </row>
    <row r="6" spans="1:16" ht="12.75" customHeight="1" x14ac:dyDescent="0.2">
      <c r="C6" s="14" t="s">
        <v>11</v>
      </c>
      <c r="D6" s="65"/>
      <c r="E6" s="13" t="s">
        <v>3</v>
      </c>
    </row>
    <row r="7" spans="1:16" s="1" customFormat="1" ht="12.75" customHeight="1" x14ac:dyDescent="0.2">
      <c r="M7" s="12"/>
      <c r="N7" s="12"/>
      <c r="O7" s="12"/>
      <c r="P7" s="12"/>
    </row>
    <row r="8" spans="1:16" x14ac:dyDescent="0.2">
      <c r="C8" s="14" t="s">
        <v>12</v>
      </c>
      <c r="D8" s="14"/>
      <c r="E8" s="375" t="s">
        <v>314</v>
      </c>
      <c r="F8" s="375"/>
      <c r="G8" s="375"/>
      <c r="H8" s="375"/>
      <c r="I8" s="1"/>
      <c r="J8" s="1"/>
    </row>
    <row r="9" spans="1:16" x14ac:dyDescent="0.2">
      <c r="C9" s="14"/>
      <c r="D9" s="14"/>
    </row>
    <row r="10" spans="1:16" s="6" customFormat="1" x14ac:dyDescent="0.2">
      <c r="C10" s="3" t="s">
        <v>13</v>
      </c>
      <c r="D10" s="65"/>
      <c r="E10" s="60" t="s">
        <v>36</v>
      </c>
      <c r="F10" s="8"/>
      <c r="G10" s="37">
        <v>2023</v>
      </c>
      <c r="I10" s="66"/>
      <c r="J10" s="66"/>
    </row>
    <row r="11" spans="1:16" x14ac:dyDescent="0.2">
      <c r="I11" s="66"/>
      <c r="J11" s="66"/>
    </row>
    <row r="12" spans="1:16" x14ac:dyDescent="0.2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2">
      <c r="C14" s="61" t="str" cm="1">
        <f t="array" ref="C14:C18">options</f>
        <v>Option 1 (base case)</v>
      </c>
      <c r="D14" s="61"/>
      <c r="E14" s="376" t="s">
        <v>58</v>
      </c>
      <c r="F14" s="376"/>
      <c r="G14" s="376"/>
      <c r="H14" s="376"/>
      <c r="I14" s="376"/>
      <c r="J14" s="376"/>
      <c r="K14" s="376"/>
      <c r="L14"/>
    </row>
    <row r="15" spans="1:16" s="1" customFormat="1" ht="12.75" customHeight="1" x14ac:dyDescent="0.2">
      <c r="C15" s="61" t="str">
        <v>Option 2</v>
      </c>
      <c r="D15" s="61"/>
      <c r="E15" s="363" t="s">
        <v>295</v>
      </c>
      <c r="F15" s="363"/>
      <c r="G15" s="363"/>
      <c r="H15" s="363"/>
      <c r="I15" s="363"/>
      <c r="J15" s="363"/>
      <c r="K15" s="363"/>
      <c r="L15"/>
    </row>
    <row r="16" spans="1:16" s="1" customFormat="1" ht="12.75" customHeight="1" x14ac:dyDescent="0.2">
      <c r="C16" s="61" t="str">
        <v>Option 3</v>
      </c>
      <c r="D16" s="61"/>
      <c r="E16" s="377" t="s">
        <v>294</v>
      </c>
      <c r="F16" s="377"/>
      <c r="G16" s="377"/>
      <c r="H16" s="377"/>
      <c r="I16" s="377"/>
      <c r="J16" s="377"/>
      <c r="K16" s="377"/>
      <c r="L16"/>
    </row>
    <row r="17" spans="1:16" s="1" customFormat="1" ht="12.75" customHeight="1" x14ac:dyDescent="0.2">
      <c r="C17" s="61" t="str">
        <v>Option 4</v>
      </c>
      <c r="D17" s="61"/>
      <c r="E17" s="377"/>
      <c r="F17" s="377"/>
      <c r="G17" s="377"/>
      <c r="H17" s="377"/>
      <c r="I17" s="377"/>
      <c r="J17" s="377"/>
      <c r="K17" s="377"/>
      <c r="L17"/>
    </row>
    <row r="18" spans="1:16" s="1" customFormat="1" ht="12.75" customHeight="1" x14ac:dyDescent="0.2">
      <c r="C18" s="61" t="str">
        <v>Option 5</v>
      </c>
      <c r="D18" s="61"/>
      <c r="E18" s="377"/>
      <c r="F18" s="377"/>
      <c r="G18" s="377"/>
      <c r="H18" s="377"/>
      <c r="I18" s="377"/>
      <c r="J18" s="377"/>
      <c r="K18" s="377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91" t="s">
        <v>225</v>
      </c>
      <c r="D20"/>
      <c r="E20" s="292" t="s">
        <v>228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239</v>
      </c>
      <c r="E22" s="297" t="s">
        <v>19</v>
      </c>
      <c r="F22" s="68" t="s">
        <v>65</v>
      </c>
      <c r="J22" s="68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8"/>
    </row>
    <row r="25" spans="1:16" s="1" customFormat="1" ht="15" x14ac:dyDescent="0.2">
      <c r="A25" s="18" t="s">
        <v>186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2"/>
    <row r="27" spans="1:16" s="1" customFormat="1" x14ac:dyDescent="0.2">
      <c r="C27" s="1" t="s">
        <v>46</v>
      </c>
      <c r="G27" s="67">
        <f>EOMONTH(DATE(Assumptions!$G$10,INDEX(Data!$K$107:$K$108, MATCH(Assumptions!$E$10, Data!$J$107:$J$108,0)), 1),0)</f>
        <v>45291</v>
      </c>
      <c r="H27" s="68" t="s">
        <v>70</v>
      </c>
    </row>
    <row r="28" spans="1:16" s="1" customFormat="1" x14ac:dyDescent="0.2">
      <c r="C28" s="1" t="s">
        <v>187</v>
      </c>
      <c r="G28" s="303">
        <v>3.5000000000000003E-2</v>
      </c>
      <c r="H28" s="68" t="s">
        <v>66</v>
      </c>
      <c r="J28" s="68"/>
    </row>
    <row r="29" spans="1:16" s="1" customFormat="1" x14ac:dyDescent="0.2">
      <c r="C29" s="1" t="s">
        <v>61</v>
      </c>
      <c r="G29" s="304">
        <v>45291</v>
      </c>
      <c r="H29" s="68" t="s">
        <v>67</v>
      </c>
      <c r="J29" s="68"/>
    </row>
    <row r="30" spans="1:16" s="1" customFormat="1" x14ac:dyDescent="0.2">
      <c r="J30" s="68"/>
    </row>
    <row r="31" spans="1:16" x14ac:dyDescent="0.2">
      <c r="C31" s="8" t="s">
        <v>200</v>
      </c>
      <c r="G31" s="305">
        <v>20</v>
      </c>
      <c r="H31" s="68" t="s">
        <v>201</v>
      </c>
    </row>
    <row r="32" spans="1:16" s="1" customFormat="1" x14ac:dyDescent="0.2"/>
    <row r="33" spans="1:20" s="1" customFormat="1" x14ac:dyDescent="0.2">
      <c r="C33" s="1" t="s">
        <v>32</v>
      </c>
      <c r="G33" s="306">
        <v>46203</v>
      </c>
      <c r="H33" s="68" t="s">
        <v>64</v>
      </c>
      <c r="J33" s="68"/>
    </row>
    <row r="34" spans="1:20" s="1" customFormat="1" x14ac:dyDescent="0.2">
      <c r="C34" s="1" t="s">
        <v>71</v>
      </c>
      <c r="G34" s="321">
        <v>45291</v>
      </c>
      <c r="H34" s="68" t="s">
        <v>72</v>
      </c>
      <c r="J34" s="68"/>
    </row>
    <row r="35" spans="1:20" s="1" customFormat="1" ht="13.5" x14ac:dyDescent="0.25">
      <c r="C35" s="1" t="s">
        <v>242</v>
      </c>
      <c r="G35" s="304">
        <v>45107</v>
      </c>
      <c r="H35" s="68"/>
      <c r="J35" s="68"/>
    </row>
    <row r="39" spans="1:20" s="1" customFormat="1" ht="15" x14ac:dyDescent="0.2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2">
      <c r="M40" s="12"/>
      <c r="N40" s="12"/>
      <c r="O40" s="12"/>
      <c r="P40" s="12"/>
    </row>
    <row r="41" spans="1:20" s="128" customFormat="1" x14ac:dyDescent="0.2">
      <c r="A41" s="127"/>
      <c r="B41" s="127"/>
      <c r="C41" s="1"/>
      <c r="D41" s="241"/>
      <c r="E41" s="39" t="s">
        <v>313</v>
      </c>
      <c r="F41" s="332"/>
      <c r="G41" s="333" t="s">
        <v>363</v>
      </c>
      <c r="H41" s="334" cm="1">
        <f t="array" ref="H41">SUMPRODUCT(($H$43:$H$47)*($I$43:$I$47))</f>
        <v>45198.640474687112</v>
      </c>
      <c r="I41" s="331" t="s">
        <v>217</v>
      </c>
      <c r="J41" s="127"/>
      <c r="M41" s="127"/>
      <c r="N41" s="127"/>
      <c r="O41" s="127"/>
      <c r="P41" s="127"/>
      <c r="Q41" s="127"/>
      <c r="R41" s="127"/>
      <c r="S41" s="127"/>
      <c r="T41" s="127"/>
    </row>
    <row r="42" spans="1:20" s="128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27"/>
      <c r="N42" s="127"/>
      <c r="O42" s="127"/>
      <c r="P42" s="127"/>
      <c r="Q42" s="127"/>
      <c r="R42" s="127"/>
      <c r="S42" s="127"/>
      <c r="T42" s="127"/>
    </row>
    <row r="43" spans="1:20" s="128" customFormat="1" x14ac:dyDescent="0.2">
      <c r="A43"/>
      <c r="B43"/>
      <c r="C43"/>
      <c r="D43"/>
      <c r="E43" s="1" t="s">
        <v>143</v>
      </c>
      <c r="H43" s="165">
        <v>31030</v>
      </c>
      <c r="I43" s="330">
        <v>0.43666187999500722</v>
      </c>
      <c r="J43"/>
      <c r="K43"/>
      <c r="L43"/>
      <c r="M43" s="127"/>
      <c r="N43" s="127"/>
      <c r="O43" s="127"/>
      <c r="P43" s="127"/>
      <c r="Q43" s="127"/>
      <c r="R43" s="127"/>
      <c r="S43" s="127"/>
      <c r="T43" s="127"/>
    </row>
    <row r="44" spans="1:20" s="128" customFormat="1" x14ac:dyDescent="0.2">
      <c r="A44"/>
      <c r="B44"/>
      <c r="C44"/>
      <c r="D44"/>
      <c r="E44" s="1" t="s">
        <v>138</v>
      </c>
      <c r="H44" s="165">
        <v>52200</v>
      </c>
      <c r="I44" s="330">
        <v>0.39164295188111303</v>
      </c>
      <c r="J44"/>
      <c r="K44"/>
      <c r="L44"/>
      <c r="M44" s="127"/>
      <c r="N44" s="127"/>
      <c r="O44" s="127"/>
      <c r="P44" s="127"/>
      <c r="Q44" s="127"/>
      <c r="R44" s="127"/>
      <c r="S44" s="127"/>
      <c r="T44" s="127"/>
    </row>
    <row r="45" spans="1:20" s="128" customFormat="1" x14ac:dyDescent="0.2">
      <c r="A45"/>
      <c r="B45"/>
      <c r="C45"/>
      <c r="D45"/>
      <c r="E45" s="1" t="s">
        <v>140</v>
      </c>
      <c r="H45" s="165">
        <v>74790</v>
      </c>
      <c r="I45" s="330">
        <v>0.11786754806014099</v>
      </c>
      <c r="J45"/>
      <c r="K45"/>
      <c r="L45"/>
      <c r="M45" s="127"/>
      <c r="N45" s="127"/>
      <c r="O45" s="127"/>
      <c r="P45" s="127"/>
      <c r="Q45" s="127"/>
      <c r="R45" s="127"/>
      <c r="S45" s="127"/>
      <c r="T45" s="127"/>
    </row>
    <row r="46" spans="1:20" s="128" customFormat="1" x14ac:dyDescent="0.2">
      <c r="A46"/>
      <c r="B46"/>
      <c r="C46"/>
      <c r="D46"/>
      <c r="E46" s="1" t="s">
        <v>141</v>
      </c>
      <c r="H46" s="165">
        <v>44400</v>
      </c>
      <c r="I46" s="330">
        <v>5.3827620063738736E-2</v>
      </c>
      <c r="J46"/>
      <c r="K46"/>
      <c r="L46"/>
      <c r="M46" s="127"/>
      <c r="N46" s="127"/>
      <c r="O46" s="127"/>
      <c r="P46" s="127"/>
      <c r="Q46" s="127"/>
      <c r="R46" s="127"/>
      <c r="S46" s="127"/>
      <c r="T46" s="127"/>
    </row>
    <row r="47" spans="1:20" s="128" customFormat="1" x14ac:dyDescent="0.2">
      <c r="A47" s="127"/>
      <c r="B47" s="127"/>
      <c r="C47" s="127"/>
      <c r="D47" s="129"/>
      <c r="E47" s="1" t="s">
        <v>144</v>
      </c>
      <c r="H47" s="165">
        <v>52200</v>
      </c>
      <c r="I47" s="160">
        <v>0</v>
      </c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</row>
    <row r="49" spans="1:16" ht="15" x14ac:dyDescent="0.2">
      <c r="A49" s="18" t="s">
        <v>153</v>
      </c>
      <c r="B49" s="18"/>
      <c r="C49" s="16"/>
      <c r="D49" s="16"/>
      <c r="E49" s="16"/>
      <c r="F49" s="16"/>
      <c r="G49" s="16"/>
      <c r="H49" s="16"/>
      <c r="I49" s="16"/>
      <c r="J49" s="16"/>
      <c r="K49" s="16"/>
      <c r="L49" s="17"/>
      <c r="M49" s="17"/>
      <c r="N49" s="17"/>
      <c r="O49" s="17"/>
      <c r="P49" s="17"/>
    </row>
    <row r="52" spans="1:16" x14ac:dyDescent="0.2">
      <c r="B52" s="30" t="s">
        <v>178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</row>
    <row r="54" spans="1:16" x14ac:dyDescent="0.2">
      <c r="C54" s="8" t="s">
        <v>152</v>
      </c>
      <c r="G54" s="307">
        <v>5400000</v>
      </c>
      <c r="H54" s="69">
        <v>45107</v>
      </c>
    </row>
    <row r="56" spans="1:16" x14ac:dyDescent="0.2">
      <c r="C56" s="8" t="s">
        <v>169</v>
      </c>
      <c r="G56" s="165">
        <v>0</v>
      </c>
      <c r="H56" s="69">
        <f>input_dollars</f>
        <v>45291</v>
      </c>
    </row>
    <row r="58" spans="1:16" x14ac:dyDescent="0.2">
      <c r="C58" s="14" t="str">
        <f>Data!A83</f>
        <v>Disproportionate factors applied to various bushfire and other risk valuations</v>
      </c>
    </row>
    <row r="59" spans="1:16" x14ac:dyDescent="0.2">
      <c r="C59" s="8" t="str">
        <f>Data!B85</f>
        <v>Harm to property from network</v>
      </c>
      <c r="G59" s="305">
        <f>Data!F85</f>
        <v>1</v>
      </c>
    </row>
    <row r="60" spans="1:16" x14ac:dyDescent="0.2">
      <c r="C60" s="8" t="str">
        <f>Data!B86</f>
        <v>Harm to property from bushfire</v>
      </c>
      <c r="G60" s="305">
        <f>Data!F86</f>
        <v>1</v>
      </c>
    </row>
    <row r="61" spans="1:16" x14ac:dyDescent="0.2">
      <c r="C61" s="8" t="str">
        <f>Data!B87</f>
        <v>Harm to environment</v>
      </c>
      <c r="G61" s="305">
        <f>Data!F87</f>
        <v>1</v>
      </c>
    </row>
    <row r="62" spans="1:16" x14ac:dyDescent="0.2">
      <c r="C62" s="8" t="str">
        <f>Data!B88</f>
        <v>Safety - Public trespass</v>
      </c>
      <c r="G62" s="305">
        <f>Data!F88</f>
        <v>1</v>
      </c>
    </row>
    <row r="63" spans="1:16" x14ac:dyDescent="0.2">
      <c r="C63" s="8" t="str">
        <f>Data!B89</f>
        <v>Safety - Single fatality or serious injury ^</v>
      </c>
      <c r="G63" s="305">
        <f>Data!F89</f>
        <v>3</v>
      </c>
    </row>
    <row r="64" spans="1:16" x14ac:dyDescent="0.2">
      <c r="C64" s="8" t="str">
        <f>Data!B90</f>
        <v>Safety from bushfire in HBRA</v>
      </c>
      <c r="G64" s="305">
        <f>Data!F90</f>
        <v>3</v>
      </c>
    </row>
    <row r="65" spans="3:13" x14ac:dyDescent="0.2">
      <c r="C65" s="8" t="str">
        <f>Data!B91</f>
        <v>Safety - Multiple fatality or serious injury ^</v>
      </c>
      <c r="G65" s="305">
        <f>Data!F91</f>
        <v>6</v>
      </c>
    </row>
    <row r="66" spans="3:13" x14ac:dyDescent="0.2">
      <c r="C66" s="8" t="str">
        <f>Data!B92</f>
        <v>Safety from bushfire (REFCL declared areas)</v>
      </c>
      <c r="G66" s="305">
        <f>Data!F92</f>
        <v>6</v>
      </c>
    </row>
    <row r="67" spans="3:13" x14ac:dyDescent="0.2">
      <c r="C67" s="8" t="str">
        <f>Data!B93</f>
        <v>Safety from bushfire (electric line construction areas)</v>
      </c>
      <c r="G67" s="305">
        <f>Data!F93</f>
        <v>10</v>
      </c>
    </row>
    <row r="68" spans="3:13" x14ac:dyDescent="0.2">
      <c r="E68"/>
      <c r="F68"/>
      <c r="G68"/>
      <c r="H68"/>
    </row>
    <row r="70" spans="3:13" x14ac:dyDescent="0.2">
      <c r="C70" s="82" t="s">
        <v>113</v>
      </c>
    </row>
    <row r="73" spans="3:13" x14ac:dyDescent="0.2">
      <c r="C73" s="53" t="s">
        <v>185</v>
      </c>
      <c r="D73" s="59"/>
      <c r="E73" s="59"/>
      <c r="F73" s="59"/>
      <c r="G73" s="158" t="s">
        <v>68</v>
      </c>
      <c r="H73" s="158" t="s">
        <v>170</v>
      </c>
      <c r="I73" s="158" t="s">
        <v>184</v>
      </c>
      <c r="J73" s="157" t="s">
        <v>188</v>
      </c>
      <c r="K73" s="158"/>
      <c r="L73" s="158"/>
      <c r="M73" s="158"/>
    </row>
    <row r="74" spans="3:13" x14ac:dyDescent="0.2">
      <c r="C74" s="8" t="s">
        <v>171</v>
      </c>
      <c r="G74" s="159">
        <f>G54*INDEX(hy_escalation, MATCH(input_dollars,hy_dates,0))/INDEX(hy_escalation, MATCH(H54,hy_dates,0))</f>
        <v>5607473.5197347086</v>
      </c>
      <c r="H74" s="164">
        <v>0</v>
      </c>
      <c r="I74" s="166">
        <v>0</v>
      </c>
      <c r="J74" s="372">
        <v>0</v>
      </c>
      <c r="K74" s="373"/>
      <c r="L74" s="373"/>
      <c r="M74" s="374"/>
    </row>
    <row r="75" spans="3:13" x14ac:dyDescent="0.2">
      <c r="C75" s="8" t="s">
        <v>172</v>
      </c>
      <c r="G75" s="159">
        <f>G56*INDEX(hy_escalation, MATCH(input_dollars,hy_dates,0))/INDEX(hy_escalation, MATCH(H56,hy_dates,0))</f>
        <v>0</v>
      </c>
      <c r="H75" s="163">
        <v>0</v>
      </c>
      <c r="I75" s="166">
        <v>0</v>
      </c>
      <c r="J75" s="372">
        <v>0</v>
      </c>
      <c r="K75" s="373"/>
      <c r="L75" s="373"/>
      <c r="M75" s="374"/>
    </row>
    <row r="76" spans="3:13" x14ac:dyDescent="0.2">
      <c r="I76" s="162"/>
      <c r="M76"/>
    </row>
    <row r="77" spans="3:13" x14ac:dyDescent="0.2">
      <c r="G77" s="167"/>
    </row>
    <row r="78" spans="3:13" x14ac:dyDescent="0.2">
      <c r="C78" s="82"/>
    </row>
    <row r="81" spans="1:16" x14ac:dyDescent="0.2">
      <c r="B81" s="30" t="s">
        <v>179</v>
      </c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</row>
    <row r="82" spans="1:16" x14ac:dyDescent="0.2">
      <c r="C82" s="8" t="s">
        <v>173</v>
      </c>
      <c r="G82" s="155">
        <v>0</v>
      </c>
      <c r="H82" s="69">
        <f>input_dollars</f>
        <v>45291</v>
      </c>
    </row>
    <row r="83" spans="1:16" x14ac:dyDescent="0.2">
      <c r="C83" s="8" t="s">
        <v>174</v>
      </c>
      <c r="G83" s="155">
        <v>0</v>
      </c>
      <c r="H83" s="69">
        <f>input_dollars</f>
        <v>45291</v>
      </c>
    </row>
    <row r="85" spans="1:16" x14ac:dyDescent="0.2">
      <c r="C85" s="8" t="s">
        <v>175</v>
      </c>
      <c r="G85" s="160">
        <v>0.2</v>
      </c>
    </row>
    <row r="90" spans="1:16" x14ac:dyDescent="0.2">
      <c r="A90" s="1"/>
      <c r="B90" s="1"/>
      <c r="C90" s="1"/>
      <c r="D90" s="1"/>
      <c r="E90" s="1"/>
      <c r="F90" s="1"/>
      <c r="K90" s="1"/>
      <c r="L90" s="1"/>
      <c r="M90" s="1"/>
      <c r="N90" s="1"/>
      <c r="O90" s="1"/>
    </row>
    <row r="91" spans="1:16" ht="15" x14ac:dyDescent="0.2">
      <c r="A91" s="18" t="s">
        <v>55</v>
      </c>
      <c r="B91" s="18"/>
      <c r="C91" s="16"/>
      <c r="D91" s="16"/>
      <c r="E91" s="16"/>
      <c r="F91" s="16"/>
      <c r="G91" s="16"/>
      <c r="H91" s="16"/>
      <c r="I91" s="16"/>
      <c r="J91" s="16"/>
      <c r="K91" s="16"/>
      <c r="L91" s="17"/>
      <c r="M91" s="17"/>
      <c r="N91" s="17"/>
      <c r="O91" s="17"/>
      <c r="P91" s="17"/>
    </row>
    <row r="92" spans="1:16" x14ac:dyDescent="0.2">
      <c r="A92" s="1"/>
      <c r="B92" s="1"/>
      <c r="C92" s="1"/>
      <c r="D92" s="1"/>
      <c r="F92" s="1"/>
      <c r="H92" s="1"/>
      <c r="L92" s="1"/>
      <c r="N92" s="1"/>
      <c r="O92" s="1"/>
    </row>
    <row r="93" spans="1:16" x14ac:dyDescent="0.2">
      <c r="A93" s="1"/>
      <c r="B93" s="30" t="s">
        <v>180</v>
      </c>
      <c r="C93" s="30"/>
      <c r="D93" s="30"/>
      <c r="E93" s="30"/>
      <c r="F93" s="30"/>
      <c r="G93" s="30"/>
      <c r="H93" s="53"/>
      <c r="I93" s="53"/>
      <c r="J93" s="53"/>
      <c r="K93" s="70" t="s">
        <v>19</v>
      </c>
      <c r="L93" s="70" t="s">
        <v>21</v>
      </c>
      <c r="M93" s="70" t="s">
        <v>20</v>
      </c>
      <c r="N93" s="70" t="s">
        <v>22</v>
      </c>
      <c r="O93" s="70" t="s">
        <v>93</v>
      </c>
      <c r="P93" s="70" t="s">
        <v>94</v>
      </c>
    </row>
    <row r="94" spans="1:16" ht="13.5" x14ac:dyDescent="0.25">
      <c r="A94" s="1"/>
      <c r="B94" s="1"/>
      <c r="C94" s="1" t="s">
        <v>73</v>
      </c>
      <c r="D94" s="1"/>
      <c r="F94" s="1"/>
      <c r="G94" s="68"/>
      <c r="H94" s="69">
        <f>G35</f>
        <v>45107</v>
      </c>
      <c r="I94" s="71" t="s">
        <v>62</v>
      </c>
      <c r="J94" s="71"/>
      <c r="K94" s="308">
        <v>2.4730486797759084E-2</v>
      </c>
      <c r="L94" s="308">
        <v>2.2340740091772258E-2</v>
      </c>
      <c r="M94" s="308">
        <v>2.0196329122153123E-2</v>
      </c>
      <c r="N94" s="308">
        <v>1.806294207659629E-2</v>
      </c>
      <c r="O94" s="308">
        <v>1.5913397615084226E-2</v>
      </c>
      <c r="P94" s="308">
        <v>1.3715069432539001E-2</v>
      </c>
    </row>
    <row r="95" spans="1:16" x14ac:dyDescent="0.2">
      <c r="A95" s="1"/>
      <c r="B95" s="1"/>
      <c r="C95" s="1"/>
      <c r="D95" s="1"/>
      <c r="E95" s="1"/>
      <c r="F95" s="1"/>
      <c r="G95" s="1"/>
      <c r="K95" s="1"/>
      <c r="L95" s="1"/>
      <c r="M95" s="1"/>
      <c r="N95" s="1"/>
      <c r="O95" s="1"/>
    </row>
    <row r="96" spans="1:16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16" x14ac:dyDescent="0.2">
      <c r="A97" s="1"/>
      <c r="B97" s="30" t="s">
        <v>181</v>
      </c>
      <c r="C97" s="30"/>
      <c r="D97" s="30"/>
      <c r="E97" s="30"/>
      <c r="F97" s="30"/>
      <c r="G97" s="70" t="s">
        <v>68</v>
      </c>
      <c r="H97" s="30"/>
      <c r="I97" s="30"/>
      <c r="J97" s="39"/>
      <c r="K97" s="1"/>
      <c r="L97" s="1"/>
    </row>
    <row r="98" spans="1:16" x14ac:dyDescent="0.2">
      <c r="A98" s="1"/>
      <c r="B98" s="1"/>
      <c r="C98" s="1" t="str">
        <f>Data!B60</f>
        <v>Reliability in worst-served areas</v>
      </c>
      <c r="D98" s="1"/>
      <c r="E98"/>
      <c r="F98" s="1"/>
      <c r="G98" s="307">
        <v>67500</v>
      </c>
      <c r="H98" s="69">
        <f t="shared" ref="H98:H105" si="0">custval_date</f>
        <v>45291</v>
      </c>
      <c r="I98" s="71" t="s">
        <v>53</v>
      </c>
      <c r="J98" s="71"/>
      <c r="K98" s="1"/>
      <c r="P98" s="1"/>
    </row>
    <row r="99" spans="1:16" x14ac:dyDescent="0.2">
      <c r="A99" s="1"/>
      <c r="B99" s="1"/>
      <c r="C99" s="1" t="str">
        <f>Data!B61</f>
        <v>Network resilience</v>
      </c>
      <c r="D99" s="1"/>
      <c r="E99"/>
      <c r="F99" s="1"/>
      <c r="G99" s="307">
        <v>24590</v>
      </c>
      <c r="H99" s="69">
        <f t="shared" si="0"/>
        <v>45291</v>
      </c>
      <c r="I99" s="71" t="s">
        <v>53</v>
      </c>
      <c r="J99" s="71"/>
      <c r="P99" s="1"/>
    </row>
    <row r="100" spans="1:16" x14ac:dyDescent="0.2">
      <c r="A100" s="1"/>
      <c r="B100" s="1"/>
      <c r="C100" s="1" t="str">
        <f>Data!B62</f>
        <v>Enabling solar exports</v>
      </c>
      <c r="D100" s="1"/>
      <c r="E100"/>
      <c r="G100" s="307">
        <v>88.357719508603083</v>
      </c>
      <c r="H100" s="69">
        <f t="shared" si="0"/>
        <v>45291</v>
      </c>
      <c r="I100" s="71" t="s">
        <v>53</v>
      </c>
      <c r="J100" s="71"/>
      <c r="P100" s="1"/>
    </row>
    <row r="101" spans="1:16" x14ac:dyDescent="0.2">
      <c r="A101" s="1"/>
      <c r="B101" s="1"/>
      <c r="C101" s="1" t="str">
        <f>Data!B63</f>
        <v>Aesthetics</v>
      </c>
      <c r="D101" s="1"/>
      <c r="E101"/>
      <c r="G101" s="308">
        <v>0</v>
      </c>
      <c r="H101" s="69">
        <f t="shared" si="0"/>
        <v>45291</v>
      </c>
      <c r="I101" s="71" t="s">
        <v>78</v>
      </c>
      <c r="J101" s="71"/>
      <c r="P101" s="1"/>
    </row>
    <row r="102" spans="1:16" x14ac:dyDescent="0.2">
      <c r="A102" s="1"/>
      <c r="B102" s="1"/>
      <c r="C102" s="1" t="str">
        <f>Data!B64</f>
        <v>Customer value of time - residential</v>
      </c>
      <c r="D102" s="1"/>
      <c r="E102"/>
      <c r="G102" s="308">
        <v>0.35181336539087127</v>
      </c>
      <c r="H102" s="69">
        <f t="shared" si="0"/>
        <v>45291</v>
      </c>
      <c r="I102" s="71" t="s">
        <v>79</v>
      </c>
      <c r="J102" s="71"/>
      <c r="P102" s="1"/>
    </row>
    <row r="103" spans="1:16" x14ac:dyDescent="0.2">
      <c r="A103" s="1"/>
      <c r="B103" s="1"/>
      <c r="C103" s="1" t="str">
        <f>Data!B65</f>
        <v>Customer value of time - business</v>
      </c>
      <c r="D103" s="1"/>
      <c r="E103"/>
      <c r="G103" s="308">
        <v>0.35181336539087127</v>
      </c>
      <c r="H103" s="69">
        <f t="shared" si="0"/>
        <v>45291</v>
      </c>
      <c r="I103" s="71" t="s">
        <v>79</v>
      </c>
      <c r="J103" s="71"/>
      <c r="P103" s="1"/>
    </row>
    <row r="104" spans="1:16" x14ac:dyDescent="0.2">
      <c r="A104" s="1"/>
      <c r="B104" s="1"/>
      <c r="C104" s="1" t="str">
        <f>Data!B66</f>
        <v>Communication</v>
      </c>
      <c r="D104" s="1"/>
      <c r="E104"/>
      <c r="G104" s="308">
        <v>0</v>
      </c>
      <c r="H104" s="69">
        <f t="shared" si="0"/>
        <v>45291</v>
      </c>
      <c r="I104" s="71" t="s">
        <v>78</v>
      </c>
      <c r="J104" s="71"/>
      <c r="P104" s="1"/>
    </row>
    <row r="105" spans="1:16" x14ac:dyDescent="0.2">
      <c r="A105" s="1"/>
      <c r="B105" s="1"/>
      <c r="C105" s="1" t="str">
        <f>Data!B67</f>
        <v>Information accessibility</v>
      </c>
      <c r="D105" s="1"/>
      <c r="E105"/>
      <c r="G105" s="308">
        <v>0</v>
      </c>
      <c r="H105" s="69">
        <f t="shared" si="0"/>
        <v>45291</v>
      </c>
      <c r="I105" s="71" t="s">
        <v>78</v>
      </c>
      <c r="J105" s="71"/>
      <c r="P105" s="1"/>
    </row>
    <row r="106" spans="1:16" x14ac:dyDescent="0.2">
      <c r="A106" s="1"/>
      <c r="B106" s="1"/>
      <c r="C106" s="1"/>
      <c r="D106" s="1"/>
      <c r="E106"/>
      <c r="L106" s="1"/>
      <c r="N106" s="1"/>
      <c r="O106" s="1"/>
      <c r="P106" s="1"/>
    </row>
    <row r="107" spans="1:16" x14ac:dyDescent="0.2">
      <c r="A107" s="1"/>
      <c r="B107" s="1"/>
      <c r="C107" s="1"/>
      <c r="D107" s="1"/>
      <c r="E107"/>
      <c r="F107" s="1"/>
      <c r="L107" s="1"/>
      <c r="N107" s="1"/>
      <c r="O107" s="1"/>
    </row>
    <row r="110" spans="1:16" ht="15" x14ac:dyDescent="0.2">
      <c r="A110" s="18" t="s">
        <v>219</v>
      </c>
      <c r="B110" s="18"/>
      <c r="C110" s="16"/>
      <c r="D110" s="16"/>
      <c r="E110" s="16"/>
      <c r="F110" s="16"/>
      <c r="G110" s="16"/>
      <c r="H110" s="16"/>
      <c r="I110" s="16"/>
      <c r="J110" s="16"/>
      <c r="K110" s="16"/>
      <c r="L110" s="17"/>
      <c r="M110" s="17"/>
      <c r="N110" s="17"/>
      <c r="O110" s="17"/>
      <c r="P110" s="17"/>
    </row>
    <row r="111" spans="1:16" x14ac:dyDescent="0.2">
      <c r="A111" s="1"/>
      <c r="B111" s="1"/>
      <c r="C111" s="1"/>
      <c r="D111" s="1"/>
      <c r="E111" s="1"/>
      <c r="F111" s="1"/>
      <c r="G111" s="1"/>
      <c r="K111" s="1"/>
      <c r="L111" s="1"/>
      <c r="M111" s="1"/>
      <c r="N111" s="1"/>
      <c r="O111" s="1"/>
    </row>
    <row r="112" spans="1:16" x14ac:dyDescent="0.2">
      <c r="A112" s="1"/>
      <c r="B112" s="1"/>
      <c r="C112" s="1"/>
      <c r="D112" s="1"/>
      <c r="E112" s="1"/>
      <c r="F112" s="1"/>
      <c r="G112" s="1"/>
      <c r="K112" s="1"/>
      <c r="L112" s="1"/>
      <c r="M112" s="1"/>
      <c r="N112" s="1"/>
      <c r="O112" s="1"/>
    </row>
    <row r="113" spans="1:16" x14ac:dyDescent="0.2">
      <c r="A113" s="1"/>
      <c r="B113" s="1"/>
      <c r="C113" s="1"/>
      <c r="D113" s="1"/>
      <c r="E113" s="1"/>
      <c r="F113" s="1"/>
      <c r="G113" s="1"/>
      <c r="K113" s="1"/>
      <c r="L113" s="1"/>
      <c r="M113" s="1"/>
      <c r="N113" s="1"/>
      <c r="O113" s="1"/>
    </row>
    <row r="114" spans="1:16" x14ac:dyDescent="0.2">
      <c r="A114" s="6"/>
      <c r="B114" s="172"/>
      <c r="C114" s="299"/>
      <c r="D114" s="59"/>
      <c r="E114" s="300"/>
      <c r="F114" s="299"/>
      <c r="G114" s="299" t="s">
        <v>17</v>
      </c>
      <c r="H114" s="299" t="s">
        <v>243</v>
      </c>
      <c r="I114"/>
      <c r="J114"/>
      <c r="K114"/>
      <c r="L114"/>
      <c r="M114"/>
      <c r="N114"/>
      <c r="O114"/>
      <c r="P114"/>
    </row>
    <row r="115" spans="1:16" x14ac:dyDescent="0.2">
      <c r="B115" s="8">
        <v>1</v>
      </c>
      <c r="C115" s="8" t="str">
        <f>IF(G115=0, "", G$114&amp;" "&amp;ABS($G115)*100&amp;"%"&amp;IF($G115&gt;0, " higher", " lower"))&amp;IF(AND(G115&lt;&gt;0, H115&lt;&gt;0), " &amp; ", "")&amp;IF(H115=0, "", H$114&amp;" "&amp;ABS($H115)*100&amp;"%"&amp;IF($H115&gt;0, " higher", " lower"))</f>
        <v>Capex 10% higher</v>
      </c>
      <c r="E115" s="268"/>
      <c r="G115" s="309">
        <v>0.1</v>
      </c>
      <c r="H115" s="309">
        <v>0</v>
      </c>
      <c r="I115" s="262"/>
      <c r="J115"/>
      <c r="K115"/>
      <c r="L115"/>
      <c r="M115"/>
      <c r="N115"/>
      <c r="O115"/>
      <c r="P115"/>
    </row>
    <row r="116" spans="1:16" x14ac:dyDescent="0.2">
      <c r="B116" s="8">
        <v>2</v>
      </c>
      <c r="C116" s="8" t="str">
        <f>IF(G116=0, "", G$114&amp;" "&amp;ABS($G116)*100&amp;"%"&amp;IF($G116&gt;0, " higher", " lower"))&amp;IF(AND(G116&lt;&gt;0, H116&lt;&gt;0), " &amp; ", "")&amp;IF(H116=0, "", H$114&amp;" "&amp;ABS($H116)*100&amp;"%"&amp;IF($H116&gt;0, " higher", " lower"))</f>
        <v>Capex 10% lower</v>
      </c>
      <c r="E116" s="268"/>
      <c r="G116" s="309">
        <v>-0.1</v>
      </c>
      <c r="H116" s="309">
        <v>0</v>
      </c>
      <c r="I116" s="262"/>
      <c r="J116"/>
      <c r="K116"/>
      <c r="L116"/>
      <c r="M116"/>
      <c r="N116"/>
      <c r="O116"/>
      <c r="P116"/>
    </row>
    <row r="117" spans="1:16" x14ac:dyDescent="0.2">
      <c r="B117" s="8">
        <v>3</v>
      </c>
      <c r="C117" s="8" t="s">
        <v>306</v>
      </c>
      <c r="E117" s="268"/>
      <c r="G117" s="310">
        <v>0</v>
      </c>
      <c r="H117" s="309">
        <v>0.15</v>
      </c>
      <c r="I117" s="262"/>
      <c r="J117"/>
      <c r="K117"/>
      <c r="L117"/>
      <c r="M117"/>
      <c r="N117"/>
      <c r="O117"/>
      <c r="P117"/>
    </row>
    <row r="118" spans="1:16" x14ac:dyDescent="0.2">
      <c r="B118" s="8">
        <v>4</v>
      </c>
      <c r="C118" s="8" t="str">
        <f>IF(G118=0, "", G$114&amp;" "&amp;ABS($G118)*100&amp;"%"&amp;IF($G118&gt;0, " higher", " lower"))&amp;IF(AND(G118&lt;&gt;0, H118&lt;&gt;0), " &amp; ", "")&amp;IF(H118=0, "", H$114&amp;" "&amp;ABS($H118)*100&amp;"%"&amp;IF($H118&gt;0, " higher", " lower"))</f>
        <v/>
      </c>
      <c r="E118" s="268"/>
      <c r="G118" s="310">
        <v>0</v>
      </c>
      <c r="H118" s="309">
        <v>0</v>
      </c>
      <c r="I118" s="262"/>
      <c r="J118"/>
      <c r="K118"/>
      <c r="L118"/>
      <c r="M118"/>
      <c r="N118"/>
      <c r="O118"/>
      <c r="P118"/>
    </row>
    <row r="119" spans="1:16" x14ac:dyDescent="0.2">
      <c r="B119" s="8">
        <v>5</v>
      </c>
      <c r="C119" s="8" t="str">
        <f>IF(G119=0, "", G$114&amp;" "&amp;ABS($G119)*100&amp;"%"&amp;IF($G119&gt;0, " higher", " lower"))&amp;IF(AND(G119&lt;&gt;0, H119&lt;&gt;0), " &amp; ", "")&amp;IF(H119=0, "", H$114&amp;" "&amp;ABS($H119)*100&amp;"%"&amp;IF($H119&gt;0, " higher", " lower"))</f>
        <v/>
      </c>
      <c r="E119" s="268"/>
      <c r="G119" s="309">
        <v>0</v>
      </c>
      <c r="H119" s="309">
        <v>0</v>
      </c>
      <c r="I119" s="262"/>
      <c r="J119"/>
      <c r="K119"/>
      <c r="L119"/>
      <c r="M119"/>
      <c r="N119"/>
      <c r="O119"/>
      <c r="P119"/>
    </row>
    <row r="120" spans="1:16" x14ac:dyDescent="0.2">
      <c r="E120" s="268"/>
      <c r="H120"/>
      <c r="I120"/>
      <c r="J120"/>
      <c r="K120"/>
      <c r="L120"/>
      <c r="M120"/>
      <c r="N120"/>
      <c r="O120"/>
      <c r="P120"/>
    </row>
    <row r="121" spans="1:16" x14ac:dyDescent="0.2">
      <c r="E121" s="261"/>
      <c r="H121"/>
      <c r="I121"/>
      <c r="J121"/>
      <c r="K121"/>
      <c r="L121"/>
      <c r="M121"/>
      <c r="N121"/>
      <c r="O121"/>
      <c r="P121"/>
    </row>
    <row r="122" spans="1:16" x14ac:dyDescent="0.2">
      <c r="H122"/>
      <c r="I122"/>
      <c r="J122"/>
      <c r="K122"/>
      <c r="L122"/>
      <c r="M122"/>
      <c r="N122"/>
      <c r="O122"/>
      <c r="P122"/>
    </row>
    <row r="123" spans="1:16" x14ac:dyDescent="0.2">
      <c r="H123"/>
      <c r="I123"/>
      <c r="J123"/>
      <c r="K123"/>
      <c r="L123"/>
      <c r="M123"/>
      <c r="N123"/>
      <c r="O123"/>
      <c r="P123"/>
    </row>
    <row r="124" spans="1:16" x14ac:dyDescent="0.2">
      <c r="H124"/>
      <c r="I124"/>
      <c r="J124"/>
      <c r="K124"/>
      <c r="L124"/>
      <c r="M124"/>
      <c r="N124"/>
      <c r="O124"/>
      <c r="P124"/>
    </row>
    <row r="125" spans="1:16" x14ac:dyDescent="0.2">
      <c r="H125"/>
      <c r="I125"/>
      <c r="J125"/>
      <c r="K125"/>
      <c r="L125"/>
      <c r="M125"/>
      <c r="N125"/>
      <c r="O125"/>
      <c r="P125"/>
    </row>
    <row r="126" spans="1:16" x14ac:dyDescent="0.2">
      <c r="H126"/>
      <c r="I126"/>
      <c r="J126"/>
      <c r="K126"/>
      <c r="L126"/>
      <c r="M126"/>
      <c r="N126"/>
      <c r="O126"/>
      <c r="P126"/>
    </row>
  </sheetData>
  <mergeCells count="7">
    <mergeCell ref="J74:M74"/>
    <mergeCell ref="J75:M75"/>
    <mergeCell ref="E8:H8"/>
    <mergeCell ref="E14:K14"/>
    <mergeCell ref="E16:K16"/>
    <mergeCell ref="E17:K17"/>
    <mergeCell ref="E18:K18"/>
  </mergeCells>
  <phoneticPr fontId="76" type="noConversion"/>
  <conditionalFormatting sqref="G41">
    <cfRule type="expression" dxfId="16" priority="162">
      <formula>E41=#REF!</formula>
    </cfRule>
  </conditionalFormatting>
  <dataValidations count="1">
    <dataValidation type="list" allowBlank="1" showInputMessage="1" showErrorMessage="1" sqref="E41" xr:uid="{3C3B5659-643B-4DFF-A84D-4D674BA4C05E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85" zoomScaleNormal="85" workbookViewId="0">
      <pane xSplit="7" ySplit="10" topLeftCell="H11" activePane="bottomRight" state="frozen"/>
      <selection activeCell="I105" sqref="I105"/>
      <selection pane="topRight" activeCell="I105" sqref="I105"/>
      <selection pane="bottomLeft" activeCell="I105" sqref="I105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1.8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Donald microgrid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4" t="s">
        <v>146</v>
      </c>
      <c r="B3" s="5"/>
      <c r="C3" s="135"/>
      <c r="D3" s="94"/>
    </row>
    <row r="4" spans="1:43" x14ac:dyDescent="0.2">
      <c r="A4" s="168"/>
      <c r="B4" s="188"/>
      <c r="C4" s="239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">
        <v>92</v>
      </c>
      <c r="B6" s="98"/>
      <c r="C6" s="99"/>
      <c r="D6" s="98"/>
      <c r="E6" s="100"/>
      <c r="F6" s="100"/>
      <c r="G6" s="100"/>
      <c r="H6" s="152">
        <v>0</v>
      </c>
      <c r="I6" s="101">
        <f t="shared" ref="I6:AG6" si="0">H6+1</f>
        <v>1</v>
      </c>
      <c r="J6" s="101">
        <f t="shared" si="0"/>
        <v>2</v>
      </c>
      <c r="K6" s="101">
        <f t="shared" si="0"/>
        <v>3</v>
      </c>
      <c r="L6" s="101">
        <f t="shared" si="0"/>
        <v>4</v>
      </c>
      <c r="M6" s="101">
        <f t="shared" si="0"/>
        <v>5</v>
      </c>
      <c r="N6" s="101">
        <f t="shared" si="0"/>
        <v>6</v>
      </c>
      <c r="O6" s="101">
        <f t="shared" si="0"/>
        <v>7</v>
      </c>
      <c r="P6" s="101">
        <f t="shared" si="0"/>
        <v>8</v>
      </c>
      <c r="Q6" s="101">
        <f t="shared" si="0"/>
        <v>9</v>
      </c>
      <c r="R6" s="101">
        <f t="shared" si="0"/>
        <v>10</v>
      </c>
      <c r="S6" s="101">
        <f t="shared" si="0"/>
        <v>11</v>
      </c>
      <c r="T6" s="101">
        <f t="shared" si="0"/>
        <v>12</v>
      </c>
      <c r="U6" s="101">
        <f t="shared" si="0"/>
        <v>13</v>
      </c>
      <c r="V6" s="101">
        <f t="shared" si="0"/>
        <v>14</v>
      </c>
      <c r="W6" s="101">
        <f t="shared" si="0"/>
        <v>15</v>
      </c>
      <c r="X6" s="101">
        <f t="shared" si="0"/>
        <v>16</v>
      </c>
      <c r="Y6" s="101">
        <f t="shared" si="0"/>
        <v>17</v>
      </c>
      <c r="Z6" s="101">
        <f t="shared" si="0"/>
        <v>18</v>
      </c>
      <c r="AA6" s="101">
        <f t="shared" si="0"/>
        <v>19</v>
      </c>
      <c r="AB6" s="101">
        <f t="shared" si="0"/>
        <v>20</v>
      </c>
      <c r="AC6" s="101">
        <f t="shared" si="0"/>
        <v>21</v>
      </c>
      <c r="AD6" s="101">
        <f t="shared" si="0"/>
        <v>22</v>
      </c>
      <c r="AE6" s="101">
        <f t="shared" si="0"/>
        <v>23</v>
      </c>
      <c r="AF6" s="101">
        <f t="shared" si="0"/>
        <v>24</v>
      </c>
      <c r="AG6" s="101">
        <f t="shared" si="0"/>
        <v>25</v>
      </c>
    </row>
    <row r="7" spans="1:43" hidden="1" outlineLevel="1" x14ac:dyDescent="0.2">
      <c r="A7" s="98" t="s">
        <v>127</v>
      </c>
      <c r="B7" s="98"/>
      <c r="G7" s="161" t="s">
        <v>63</v>
      </c>
      <c r="I7" s="99">
        <f>IF(ISBLANK(Assumptions!K94), H7,Assumptions!K94*thous_conv)</f>
        <v>24.730486797759085</v>
      </c>
      <c r="J7" s="99">
        <f>IF(ISBLANK(Assumptions!L94), I7,Assumptions!L94*thous_conv)</f>
        <v>22.340740091772258</v>
      </c>
      <c r="K7" s="99">
        <f>IF(ISBLANK(Assumptions!M94), J7,Assumptions!M94*thous_conv)</f>
        <v>20.196329122153124</v>
      </c>
      <c r="L7" s="99">
        <f>IF(ISBLANK(Assumptions!N94), K7,Assumptions!N94*thous_conv)</f>
        <v>18.06294207659629</v>
      </c>
      <c r="M7" s="99">
        <f>IF(ISBLANK(Assumptions!O94), L7,Assumptions!O94*thous_conv)</f>
        <v>15.913397615084225</v>
      </c>
      <c r="N7" s="99">
        <f>IF(ISBLANK(Assumptions!P94), M7,Assumptions!P94*thous_conv)</f>
        <v>13.715069432539002</v>
      </c>
      <c r="O7" s="99">
        <f>IF(ISBLANK(Assumptions!Q94), N7,Assumptions!Q94*thous_conv)</f>
        <v>13.715069432539002</v>
      </c>
      <c r="P7" s="99">
        <f>IF(ISBLANK(Assumptions!R94), O7,Assumptions!R94*thous_conv)</f>
        <v>13.715069432539002</v>
      </c>
      <c r="Q7" s="99">
        <f>IF(ISBLANK(Assumptions!S94), P7,Assumptions!S94*thous_conv)</f>
        <v>13.715069432539002</v>
      </c>
      <c r="R7" s="99">
        <f>IF(ISBLANK(Assumptions!T94), Q7,Assumptions!T94*thous_conv)</f>
        <v>13.715069432539002</v>
      </c>
      <c r="S7" s="99">
        <f>IF(ISBLANK(Assumptions!U94), R7,Assumptions!U94*thous_conv)</f>
        <v>13.715069432539002</v>
      </c>
      <c r="T7" s="99">
        <f>IF(ISBLANK(Assumptions!V94), S7,Assumptions!V94*thous_conv)</f>
        <v>13.715069432539002</v>
      </c>
      <c r="U7" s="99">
        <f>IF(ISBLANK(Assumptions!W94), T7,Assumptions!W94*thous_conv)</f>
        <v>13.715069432539002</v>
      </c>
      <c r="V7" s="99">
        <f>IF(ISBLANK(Assumptions!X94), U7,Assumptions!X94*thous_conv)</f>
        <v>13.715069432539002</v>
      </c>
      <c r="W7" s="99">
        <f>IF(ISBLANK(Assumptions!Y94), V7,Assumptions!Y94*thous_conv)</f>
        <v>13.715069432539002</v>
      </c>
      <c r="X7" s="99">
        <f>IF(ISBLANK(Assumptions!Z94), W7,Assumptions!Z94*thous_conv)</f>
        <v>13.715069432539002</v>
      </c>
      <c r="Y7" s="99">
        <f>IF(ISBLANK(Assumptions!AA94), X7,Assumptions!AA94*thous_conv)</f>
        <v>13.715069432539002</v>
      </c>
      <c r="Z7" s="99">
        <f>IF(ISBLANK(Assumptions!AB94), Y7,Assumptions!AB94*thous_conv)</f>
        <v>13.715069432539002</v>
      </c>
      <c r="AA7" s="99">
        <f>IF(ISBLANK(Assumptions!AC94), Z7,Assumptions!AC94*thous_conv)</f>
        <v>13.715069432539002</v>
      </c>
      <c r="AB7" s="99">
        <f>IF(ISBLANK(Assumptions!AD94), AA7,Assumptions!AD94*thous_conv)</f>
        <v>13.715069432539002</v>
      </c>
      <c r="AC7" s="99">
        <f>IF(ISBLANK(Assumptions!AE94), AB7,Assumptions!AE94*thous_conv)</f>
        <v>13.715069432539002</v>
      </c>
      <c r="AD7" s="99">
        <f>IF(ISBLANK(Assumptions!AF94), AC7,Assumptions!AF94*thous_conv)</f>
        <v>13.715069432539002</v>
      </c>
      <c r="AE7" s="99">
        <f>IF(ISBLANK(Assumptions!AG94), AD7,Assumptions!AG94*thous_conv)</f>
        <v>13.715069432539002</v>
      </c>
      <c r="AF7" s="99">
        <f>IF(ISBLANK(Assumptions!AH94), AE7,Assumptions!AH94*thous_conv)</f>
        <v>13.715069432539002</v>
      </c>
      <c r="AG7" s="99">
        <f>IF(ISBLANK(Assumptions!AI94), AF7,Assumptions!AI94*thous_conv)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2"/>
      <c r="B9" s="182"/>
      <c r="C9" s="182"/>
      <c r="D9" s="182"/>
      <c r="E9" s="182"/>
      <c r="F9" s="183"/>
      <c r="G9" s="182" t="s">
        <v>25</v>
      </c>
      <c r="H9" s="361">
        <f>DATE(LEFT(I9,4), 6,30)</f>
        <v>46203</v>
      </c>
      <c r="I9" s="184" t="str">
        <f>start</f>
        <v>2026-27</v>
      </c>
      <c r="J9" s="184" t="str">
        <f t="shared" ref="J9:AG9" si="1">LEFT(I9,4)+1&amp;"-"&amp;RIGHT(I9,2)+1</f>
        <v>2027-28</v>
      </c>
      <c r="K9" s="184" t="str">
        <f t="shared" si="1"/>
        <v>2028-29</v>
      </c>
      <c r="L9" s="184" t="str">
        <f t="shared" si="1"/>
        <v>2029-30</v>
      </c>
      <c r="M9" s="184" t="str">
        <f t="shared" si="1"/>
        <v>2030-31</v>
      </c>
      <c r="N9" s="184" t="str">
        <f t="shared" si="1"/>
        <v>2031-32</v>
      </c>
      <c r="O9" s="184" t="str">
        <f t="shared" si="1"/>
        <v>2032-33</v>
      </c>
      <c r="P9" s="184" t="str">
        <f t="shared" si="1"/>
        <v>2033-34</v>
      </c>
      <c r="Q9" s="184" t="str">
        <f t="shared" si="1"/>
        <v>2034-35</v>
      </c>
      <c r="R9" s="184" t="str">
        <f t="shared" si="1"/>
        <v>2035-36</v>
      </c>
      <c r="S9" s="184" t="str">
        <f t="shared" si="1"/>
        <v>2036-37</v>
      </c>
      <c r="T9" s="184" t="str">
        <f t="shared" si="1"/>
        <v>2037-38</v>
      </c>
      <c r="U9" s="184" t="str">
        <f t="shared" si="1"/>
        <v>2038-39</v>
      </c>
      <c r="V9" s="184" t="str">
        <f t="shared" si="1"/>
        <v>2039-40</v>
      </c>
      <c r="W9" s="184" t="str">
        <f t="shared" si="1"/>
        <v>2040-41</v>
      </c>
      <c r="X9" s="184" t="str">
        <f t="shared" si="1"/>
        <v>2041-42</v>
      </c>
      <c r="Y9" s="184" t="str">
        <f t="shared" si="1"/>
        <v>2042-43</v>
      </c>
      <c r="Z9" s="184" t="str">
        <f t="shared" si="1"/>
        <v>2043-44</v>
      </c>
      <c r="AA9" s="184" t="str">
        <f t="shared" si="1"/>
        <v>2044-45</v>
      </c>
      <c r="AB9" s="184" t="str">
        <f t="shared" si="1"/>
        <v>2045-46</v>
      </c>
      <c r="AC9" s="184" t="str">
        <f t="shared" si="1"/>
        <v>2046-47</v>
      </c>
      <c r="AD9" s="184" t="str">
        <f t="shared" si="1"/>
        <v>2047-48</v>
      </c>
      <c r="AE9" s="184" t="str">
        <f t="shared" si="1"/>
        <v>2048-49</v>
      </c>
      <c r="AF9" s="184" t="str">
        <f t="shared" si="1"/>
        <v>2049-50</v>
      </c>
      <c r="AG9" s="184" t="str">
        <f t="shared" si="1"/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5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</row>
    <row r="12" spans="1:43" x14ac:dyDescent="0.2">
      <c r="A12" s="3"/>
      <c r="B12" s="3"/>
      <c r="C12" s="3"/>
      <c r="D12" s="3"/>
      <c r="G12" s="206"/>
    </row>
    <row r="13" spans="1:43" x14ac:dyDescent="0.2">
      <c r="C13" s="3" t="s">
        <v>17</v>
      </c>
      <c r="D13"/>
      <c r="E13" s="126" t="s">
        <v>69</v>
      </c>
      <c r="G13" s="207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9">
        <v>0</v>
      </c>
      <c r="G14" s="208">
        <f>input_dollars</f>
        <v>45291</v>
      </c>
      <c r="H14" s="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9">
        <v>0</v>
      </c>
      <c r="G15" s="208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9">
        <v>0</v>
      </c>
      <c r="G16" s="208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8">
        <f>input_dollars</f>
        <v>45291</v>
      </c>
      <c r="H17" s="107"/>
      <c r="I17" s="106">
        <f t="shared" ref="I17:AB17" si="2">SUM(I14:I16)</f>
        <v>0</v>
      </c>
      <c r="J17" s="106">
        <f t="shared" si="2"/>
        <v>0</v>
      </c>
      <c r="K17" s="106">
        <f t="shared" si="2"/>
        <v>0</v>
      </c>
      <c r="L17" s="106">
        <f t="shared" si="2"/>
        <v>0</v>
      </c>
      <c r="M17" s="106">
        <f t="shared" si="2"/>
        <v>0</v>
      </c>
      <c r="N17" s="106">
        <f t="shared" si="2"/>
        <v>0</v>
      </c>
      <c r="O17" s="106">
        <f t="shared" si="2"/>
        <v>0</v>
      </c>
      <c r="P17" s="106">
        <f t="shared" si="2"/>
        <v>0</v>
      </c>
      <c r="Q17" s="106">
        <f t="shared" si="2"/>
        <v>0</v>
      </c>
      <c r="R17" s="106">
        <f t="shared" si="2"/>
        <v>0</v>
      </c>
      <c r="S17" s="106">
        <f t="shared" si="2"/>
        <v>0</v>
      </c>
      <c r="T17" s="106">
        <f t="shared" si="2"/>
        <v>0</v>
      </c>
      <c r="U17" s="106">
        <f t="shared" si="2"/>
        <v>0</v>
      </c>
      <c r="V17" s="106">
        <f t="shared" si="2"/>
        <v>0</v>
      </c>
      <c r="W17" s="106">
        <f t="shared" si="2"/>
        <v>0</v>
      </c>
      <c r="X17" s="106">
        <f t="shared" si="2"/>
        <v>0</v>
      </c>
      <c r="Y17" s="106">
        <f t="shared" si="2"/>
        <v>0</v>
      </c>
      <c r="Z17" s="106">
        <f t="shared" si="2"/>
        <v>0</v>
      </c>
      <c r="AA17" s="106">
        <f t="shared" si="2"/>
        <v>0</v>
      </c>
      <c r="AB17" s="106">
        <f t="shared" si="2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</row>
    <row r="18" spans="1:43" x14ac:dyDescent="0.2">
      <c r="C18"/>
      <c r="D18"/>
      <c r="E18"/>
      <c r="G18" s="207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8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6"/>
    </row>
    <row r="21" spans="1:43" x14ac:dyDescent="0.2">
      <c r="C21"/>
      <c r="D21"/>
      <c r="E21"/>
      <c r="G21" s="207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154</v>
      </c>
      <c r="B22" s="89"/>
      <c r="C22" s="89"/>
      <c r="D22" s="89"/>
      <c r="E22" s="89"/>
      <c r="F22" s="89"/>
      <c r="G22" s="205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9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155</v>
      </c>
      <c r="D24" s="111"/>
      <c r="E24" s="111"/>
      <c r="F24" s="111"/>
      <c r="G24" s="209"/>
      <c r="H24" s="111"/>
      <c r="I24" s="137">
        <v>0</v>
      </c>
      <c r="J24" s="137">
        <v>0</v>
      </c>
      <c r="K24" s="137">
        <v>0</v>
      </c>
      <c r="L24" s="137">
        <v>0</v>
      </c>
      <c r="M24" s="137">
        <v>0</v>
      </c>
      <c r="N24" s="137">
        <v>0</v>
      </c>
      <c r="O24" s="137">
        <v>0</v>
      </c>
      <c r="P24" s="137">
        <v>0</v>
      </c>
      <c r="Q24" s="137">
        <v>0</v>
      </c>
      <c r="R24" s="137">
        <v>0</v>
      </c>
      <c r="S24" s="137">
        <v>0</v>
      </c>
      <c r="T24" s="137">
        <v>0</v>
      </c>
      <c r="U24" s="137">
        <v>0</v>
      </c>
      <c r="V24" s="137">
        <v>0</v>
      </c>
      <c r="W24" s="137">
        <v>0</v>
      </c>
      <c r="X24" s="137">
        <v>0</v>
      </c>
      <c r="Y24" s="137">
        <v>0</v>
      </c>
      <c r="Z24" s="137">
        <v>0</v>
      </c>
      <c r="AA24" s="137">
        <v>0</v>
      </c>
      <c r="AB24" s="137">
        <v>0</v>
      </c>
      <c r="AC24" s="137">
        <v>0</v>
      </c>
      <c r="AD24" s="137">
        <v>0</v>
      </c>
      <c r="AE24" s="137">
        <v>0</v>
      </c>
      <c r="AF24" s="137">
        <v>0</v>
      </c>
      <c r="AG24" s="137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156</v>
      </c>
      <c r="D25" s="209"/>
      <c r="E25" s="111"/>
      <c r="F25" s="111"/>
      <c r="G25" s="209"/>
      <c r="H25" s="111"/>
      <c r="I25" s="137">
        <v>0</v>
      </c>
      <c r="J25" s="137">
        <v>0</v>
      </c>
      <c r="K25" s="137">
        <v>0</v>
      </c>
      <c r="L25" s="137">
        <v>0</v>
      </c>
      <c r="M25" s="137">
        <v>0</v>
      </c>
      <c r="N25" s="137">
        <v>0</v>
      </c>
      <c r="O25" s="137">
        <v>0</v>
      </c>
      <c r="P25" s="137">
        <v>0</v>
      </c>
      <c r="Q25" s="137">
        <v>0</v>
      </c>
      <c r="R25" s="137">
        <v>0</v>
      </c>
      <c r="S25" s="137">
        <v>0</v>
      </c>
      <c r="T25" s="137">
        <v>0</v>
      </c>
      <c r="U25" s="137">
        <v>0</v>
      </c>
      <c r="V25" s="137">
        <v>0</v>
      </c>
      <c r="W25" s="137">
        <v>0</v>
      </c>
      <c r="X25" s="137">
        <v>0</v>
      </c>
      <c r="Y25" s="137">
        <v>0</v>
      </c>
      <c r="Z25" s="137">
        <v>0</v>
      </c>
      <c r="AA25" s="137">
        <v>0</v>
      </c>
      <c r="AB25" s="137">
        <v>0</v>
      </c>
      <c r="AC25" s="137">
        <v>0</v>
      </c>
      <c r="AD25" s="137">
        <v>0</v>
      </c>
      <c r="AE25" s="137">
        <v>0</v>
      </c>
      <c r="AF25" s="137">
        <v>0</v>
      </c>
      <c r="AG25" s="137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9"/>
      <c r="E26" s="111"/>
      <c r="F26" s="111"/>
      <c r="G26" s="209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6"/>
      <c r="E27"/>
      <c r="G27" s="208" t="s">
        <v>40</v>
      </c>
      <c r="H27"/>
      <c r="I27" s="169">
        <f>SUM(Workings_risks!$F$19*Workings_risks!I27,Workings_risks!I26*Workings_risks!$F$18)*Workings_risks!$F$13*Workings_risks!I8</f>
        <v>10.654262722363647</v>
      </c>
      <c r="J27" s="169">
        <f>SUM(Workings_risks!$F$19*Workings_risks!J27,Workings_risks!J26*Workings_risks!$F$18)*Workings_risks!$F$13*Workings_risks!J8</f>
        <v>10.454899626124906</v>
      </c>
      <c r="K27" s="169">
        <f>SUM(Workings_risks!$F$19*Workings_risks!K27,Workings_risks!K26*Workings_risks!$F$18)*Workings_risks!$F$13*Workings_risks!K8</f>
        <v>10.415356741904327</v>
      </c>
      <c r="L27" s="169">
        <f>SUM(Workings_risks!$F$19*Workings_risks!L27,Workings_risks!L26*Workings_risks!$F$18)*Workings_risks!$F$13*Workings_risks!L8</f>
        <v>10.447772206658145</v>
      </c>
      <c r="M27" s="169">
        <f>SUM(Workings_risks!$F$19*Workings_risks!M27,Workings_risks!M26*Workings_risks!$F$18)*Workings_risks!$F$13*Workings_risks!M8</f>
        <v>10.448962629761555</v>
      </c>
      <c r="N27" s="169">
        <f>SUM(Workings_risks!$F$19*Workings_risks!N27,Workings_risks!N26*Workings_risks!$F$18)*Workings_risks!$F$13*Workings_risks!N8</f>
        <v>10.363337043065817</v>
      </c>
      <c r="O27" s="169">
        <f>SUM(Workings_risks!$F$19*Workings_risks!O27,Workings_risks!O26*Workings_risks!$F$18)*Workings_risks!$F$13*Workings_risks!O8</f>
        <v>10.311971001881364</v>
      </c>
      <c r="P27" s="169">
        <f>SUM(Workings_risks!$F$19*Workings_risks!P27,Workings_risks!P26*Workings_risks!$F$18)*Workings_risks!$F$13*Workings_risks!P8</f>
        <v>10.317132475990864</v>
      </c>
      <c r="Q27" s="169">
        <f>SUM(Workings_risks!$F$19*Workings_risks!Q27,Workings_risks!Q26*Workings_risks!$F$18)*Workings_risks!$F$13*Workings_risks!Q8</f>
        <v>10.354438727451058</v>
      </c>
      <c r="R27" s="169">
        <f>SUM(Workings_risks!$F$19*Workings_risks!R27,Workings_risks!R26*Workings_risks!$F$18)*Workings_risks!$F$13*Workings_risks!R8</f>
        <v>10.266370004664344</v>
      </c>
      <c r="S27" s="169">
        <f>SUM(Workings_risks!$F$19*Workings_risks!S27,Workings_risks!S26*Workings_risks!$F$18)*Workings_risks!$F$13*Workings_risks!S8</f>
        <v>10.266687360433744</v>
      </c>
      <c r="T27" s="169">
        <f>SUM(Workings_risks!$F$19*Workings_risks!T27,Workings_risks!T26*Workings_risks!$F$18)*Workings_risks!$F$13*Workings_risks!T8</f>
        <v>10.267004716203143</v>
      </c>
      <c r="U27" s="169">
        <f>SUM(Workings_risks!$F$19*Workings_risks!U27,Workings_risks!U26*Workings_risks!$F$18)*Workings_risks!$F$13*Workings_risks!U8</f>
        <v>10.267322071972544</v>
      </c>
      <c r="V27" s="169">
        <f>SUM(Workings_risks!$F$19*Workings_risks!V27,Workings_risks!V26*Workings_risks!$F$18)*Workings_risks!$F$13*Workings_risks!V8</f>
        <v>10.26763942774194</v>
      </c>
      <c r="W27" s="169">
        <f>SUM(Workings_risks!$F$19*Workings_risks!W27,Workings_risks!W26*Workings_risks!$F$18)*Workings_risks!$F$13*Workings_risks!W8</f>
        <v>10.267956783511339</v>
      </c>
      <c r="X27" s="169">
        <f>SUM(Workings_risks!$F$19*Workings_risks!X27,Workings_risks!X26*Workings_risks!$F$18)*Workings_risks!$F$13*Workings_risks!X8</f>
        <v>10.268274139280738</v>
      </c>
      <c r="Y27" s="169">
        <f>SUM(Workings_risks!$F$19*Workings_risks!Y27,Workings_risks!Y26*Workings_risks!$F$18)*Workings_risks!$F$13*Workings_risks!Y8</f>
        <v>10.268591495050135</v>
      </c>
      <c r="Z27" s="169">
        <f>SUM(Workings_risks!$F$19*Workings_risks!Z27,Workings_risks!Z26*Workings_risks!$F$18)*Workings_risks!$F$13*Workings_risks!Z8</f>
        <v>10.268908850819534</v>
      </c>
      <c r="AA27" s="169">
        <f>SUM(Workings_risks!$F$19*Workings_risks!AA27,Workings_risks!AA26*Workings_risks!$F$18)*Workings_risks!$F$13*Workings_risks!AA8</f>
        <v>10.269226206588936</v>
      </c>
      <c r="AB27" s="169">
        <f>SUM(Workings_risks!$F$19*Workings_risks!AB27,Workings_risks!AB26*Workings_risks!$F$18)*Workings_risks!$F$13*Workings_risks!AB8</f>
        <v>10.269543562358335</v>
      </c>
      <c r="AC27" s="169">
        <f>SUM(Workings_risks!$F$19*Workings_risks!AC27,Workings_risks!AC26*Workings_risks!$F$18)*Workings_risks!$F$13*Workings_risks!AC8</f>
        <v>10.26986091812773</v>
      </c>
      <c r="AD27" s="169">
        <f>SUM(Workings_risks!$F$19*Workings_risks!AD27,Workings_risks!AD26*Workings_risks!$F$18)*Workings_risks!$F$13*Workings_risks!AD8</f>
        <v>10.27017827389713</v>
      </c>
      <c r="AE27" s="169">
        <f>SUM(Workings_risks!$F$19*Workings_risks!AE27,Workings_risks!AE26*Workings_risks!$F$18)*Workings_risks!$F$13*Workings_risks!AE8</f>
        <v>10.270495629666529</v>
      </c>
      <c r="AF27" s="169">
        <f>SUM(Workings_risks!$F$19*Workings_risks!AF27,Workings_risks!AF26*Workings_risks!$F$18)*Workings_risks!$F$13*Workings_risks!AF8</f>
        <v>10.270812985435926</v>
      </c>
      <c r="AG27" s="169">
        <f>SUM(Workings_risks!$F$19*Workings_risks!AG27,Workings_risks!AG26*Workings_risks!$F$18)*Workings_risks!$F$13*Workings_risks!AG8</f>
        <v>10.271130341205325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6" t="s">
        <v>63</v>
      </c>
      <c r="E28" s="113">
        <f>Assumptions!H41*vcr_esc</f>
        <v>45198.640474687112</v>
      </c>
      <c r="F28" s="239" t="str">
        <f>IF(AND(SUM(I27:AG27)&lt;&gt;0, E28=0), "!", "")</f>
        <v/>
      </c>
      <c r="G28" s="208">
        <f>input_dollars</f>
        <v>45291</v>
      </c>
      <c r="H28"/>
      <c r="I28" s="298">
        <f>I27*$E$28</f>
        <v>481558.19031097565</v>
      </c>
      <c r="J28" s="298">
        <f t="shared" ref="J28:AG28" si="3">J27*$E$28</f>
        <v>472547.24940016033</v>
      </c>
      <c r="K28" s="298">
        <f t="shared" si="3"/>
        <v>470759.96479294222</v>
      </c>
      <c r="L28" s="298">
        <f t="shared" si="3"/>
        <v>472225.09973016992</v>
      </c>
      <c r="M28" s="298">
        <f t="shared" si="3"/>
        <v>472278.90523603372</v>
      </c>
      <c r="N28" s="298">
        <f t="shared" si="3"/>
        <v>468408.74512753892</v>
      </c>
      <c r="O28" s="298">
        <f t="shared" si="3"/>
        <v>466087.06989943486</v>
      </c>
      <c r="P28" s="298">
        <f t="shared" si="3"/>
        <v>466320.36151202949</v>
      </c>
      <c r="Q28" s="298">
        <f t="shared" si="3"/>
        <v>468006.55335923709</v>
      </c>
      <c r="R28" s="298">
        <f t="shared" si="3"/>
        <v>464025.96682093554</v>
      </c>
      <c r="S28" s="298">
        <f t="shared" si="3"/>
        <v>464040.31087025924</v>
      </c>
      <c r="T28" s="298">
        <f t="shared" si="3"/>
        <v>464054.65491958283</v>
      </c>
      <c r="U28" s="298">
        <f t="shared" si="3"/>
        <v>464068.99896890653</v>
      </c>
      <c r="V28" s="298">
        <f t="shared" si="3"/>
        <v>464083.34301823011</v>
      </c>
      <c r="W28" s="298">
        <f t="shared" si="3"/>
        <v>464097.68706755369</v>
      </c>
      <c r="X28" s="298">
        <f t="shared" si="3"/>
        <v>464112.03111687733</v>
      </c>
      <c r="Y28" s="298">
        <f t="shared" si="3"/>
        <v>464126.37516620086</v>
      </c>
      <c r="Z28" s="298">
        <f t="shared" si="3"/>
        <v>464140.7192155245</v>
      </c>
      <c r="AA28" s="298">
        <f t="shared" si="3"/>
        <v>464155.06326484826</v>
      </c>
      <c r="AB28" s="298">
        <f t="shared" si="3"/>
        <v>464169.4073141719</v>
      </c>
      <c r="AC28" s="298">
        <f t="shared" si="3"/>
        <v>464183.75136349536</v>
      </c>
      <c r="AD28" s="298">
        <f t="shared" si="3"/>
        <v>464198.09541281906</v>
      </c>
      <c r="AE28" s="298">
        <f t="shared" si="3"/>
        <v>464212.43946214271</v>
      </c>
      <c r="AF28" s="298">
        <f t="shared" si="3"/>
        <v>464226.78351146623</v>
      </c>
      <c r="AG28" s="298">
        <f t="shared" si="3"/>
        <v>464241.12756078981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7"/>
      <c r="E29"/>
      <c r="G29" s="208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6" t="s">
        <v>210</v>
      </c>
      <c r="G30" s="208">
        <f>input_dollars</f>
        <v>45291</v>
      </c>
      <c r="H30" s="150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7"/>
      <c r="E31"/>
      <c r="G31" s="208">
        <f>input_dollars</f>
        <v>45291</v>
      </c>
      <c r="H31" s="150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6" t="s">
        <v>210</v>
      </c>
      <c r="E32"/>
      <c r="G32" s="208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5" t="s">
        <v>177</v>
      </c>
      <c r="D33" s="220"/>
      <c r="E33"/>
      <c r="G33" s="208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5" t="s">
        <v>177</v>
      </c>
      <c r="D34" s="207"/>
      <c r="E34"/>
      <c r="G34" s="208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7"/>
      <c r="E35"/>
      <c r="G35" s="208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176</v>
      </c>
      <c r="D36" s="219"/>
      <c r="E36" s="107"/>
      <c r="F36" s="3"/>
      <c r="G36" s="210"/>
      <c r="H36" s="107"/>
      <c r="I36" s="106">
        <f>SUM(I28:I34)</f>
        <v>481558.19031097565</v>
      </c>
      <c r="J36" s="106">
        <f t="shared" ref="J36:AB36" si="4">SUM(J28:J34)</f>
        <v>472547.24940016033</v>
      </c>
      <c r="K36" s="106">
        <f t="shared" si="4"/>
        <v>470759.96479294222</v>
      </c>
      <c r="L36" s="106">
        <f t="shared" si="4"/>
        <v>472225.09973016992</v>
      </c>
      <c r="M36" s="106">
        <f t="shared" si="4"/>
        <v>472278.90523603372</v>
      </c>
      <c r="N36" s="106">
        <f t="shared" si="4"/>
        <v>468408.74512753892</v>
      </c>
      <c r="O36" s="106">
        <f t="shared" si="4"/>
        <v>466087.06989943486</v>
      </c>
      <c r="P36" s="106">
        <f t="shared" si="4"/>
        <v>466320.36151202949</v>
      </c>
      <c r="Q36" s="106">
        <f t="shared" si="4"/>
        <v>468006.55335923709</v>
      </c>
      <c r="R36" s="106">
        <f t="shared" si="4"/>
        <v>464025.96682093554</v>
      </c>
      <c r="S36" s="106">
        <f t="shared" si="4"/>
        <v>464040.31087025924</v>
      </c>
      <c r="T36" s="106">
        <f t="shared" si="4"/>
        <v>464054.65491958283</v>
      </c>
      <c r="U36" s="106">
        <f t="shared" si="4"/>
        <v>464068.99896890653</v>
      </c>
      <c r="V36" s="106">
        <f t="shared" si="4"/>
        <v>464083.34301823011</v>
      </c>
      <c r="W36" s="106">
        <f t="shared" si="4"/>
        <v>464097.68706755369</v>
      </c>
      <c r="X36" s="106">
        <f t="shared" si="4"/>
        <v>464112.03111687733</v>
      </c>
      <c r="Y36" s="106">
        <f t="shared" si="4"/>
        <v>464126.37516620086</v>
      </c>
      <c r="Z36" s="106">
        <f t="shared" si="4"/>
        <v>464140.7192155245</v>
      </c>
      <c r="AA36" s="106">
        <f t="shared" si="4"/>
        <v>464155.06326484826</v>
      </c>
      <c r="AB36" s="106">
        <f t="shared" si="4"/>
        <v>464169.4073141719</v>
      </c>
      <c r="AC36" s="106">
        <f>SUM(AC28:AC34)</f>
        <v>464183.75136349536</v>
      </c>
      <c r="AD36" s="106">
        <f>SUM(AD28:AD34)</f>
        <v>464198.09541281906</v>
      </c>
      <c r="AE36" s="106">
        <f>SUM(AE28:AE34)</f>
        <v>464212.43946214271</v>
      </c>
      <c r="AF36" s="106">
        <f>SUM(AF28:AF34)</f>
        <v>464226.78351146623</v>
      </c>
      <c r="AG36" s="106">
        <f>SUM(AG28:AG34)</f>
        <v>464241.12756078981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8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5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8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8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6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6" t="s">
        <v>104</v>
      </c>
      <c r="I42" s="31">
        <f t="shared" ref="I42:AG42" si="5">I41*I7</f>
        <v>0</v>
      </c>
      <c r="J42" s="31">
        <f t="shared" si="5"/>
        <v>0</v>
      </c>
      <c r="K42" s="31">
        <f t="shared" si="5"/>
        <v>0</v>
      </c>
      <c r="L42" s="31">
        <f t="shared" si="5"/>
        <v>0</v>
      </c>
      <c r="M42" s="31">
        <f t="shared" si="5"/>
        <v>0</v>
      </c>
      <c r="N42" s="31">
        <f t="shared" si="5"/>
        <v>0</v>
      </c>
      <c r="O42" s="31">
        <f t="shared" si="5"/>
        <v>0</v>
      </c>
      <c r="P42" s="31">
        <f t="shared" si="5"/>
        <v>0</v>
      </c>
      <c r="Q42" s="31">
        <f t="shared" si="5"/>
        <v>0</v>
      </c>
      <c r="R42" s="31">
        <f t="shared" si="5"/>
        <v>0</v>
      </c>
      <c r="S42" s="31">
        <f t="shared" si="5"/>
        <v>0</v>
      </c>
      <c r="T42" s="31">
        <f t="shared" si="5"/>
        <v>0</v>
      </c>
      <c r="U42" s="31">
        <f t="shared" si="5"/>
        <v>0</v>
      </c>
      <c r="V42" s="31">
        <f t="shared" si="5"/>
        <v>0</v>
      </c>
      <c r="W42" s="31">
        <f t="shared" si="5"/>
        <v>0</v>
      </c>
      <c r="X42" s="31">
        <f t="shared" si="5"/>
        <v>0</v>
      </c>
      <c r="Y42" s="31">
        <f t="shared" si="5"/>
        <v>0</v>
      </c>
      <c r="Z42" s="31">
        <f t="shared" si="5"/>
        <v>0</v>
      </c>
      <c r="AA42" s="31">
        <f t="shared" si="5"/>
        <v>0</v>
      </c>
      <c r="AB42" s="31">
        <f t="shared" si="5"/>
        <v>0</v>
      </c>
      <c r="AC42" s="31">
        <f t="shared" si="5"/>
        <v>0</v>
      </c>
      <c r="AD42" s="31">
        <f t="shared" si="5"/>
        <v>0</v>
      </c>
      <c r="AE42" s="31">
        <f t="shared" si="5"/>
        <v>0</v>
      </c>
      <c r="AF42" s="31">
        <f t="shared" si="5"/>
        <v>0</v>
      </c>
      <c r="AG42" s="31">
        <f t="shared" si="5"/>
        <v>0</v>
      </c>
    </row>
    <row r="43" spans="1:16372" x14ac:dyDescent="0.2">
      <c r="D43"/>
      <c r="E43"/>
      <c r="G43" s="208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7"/>
      <c r="E44"/>
      <c r="G44" s="208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298</v>
      </c>
      <c r="D45" s="206" t="s">
        <v>63</v>
      </c>
      <c r="E45" s="113">
        <f>Assumptions!G98-Assumptions!H41</f>
        <v>22301.359525312888</v>
      </c>
      <c r="G45" s="208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299</v>
      </c>
      <c r="D46" s="206" t="s">
        <v>63</v>
      </c>
      <c r="E46" s="113">
        <f>Assumptions!H43</f>
        <v>31030</v>
      </c>
      <c r="G46" s="208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300</v>
      </c>
      <c r="D47" s="206" t="s">
        <v>63</v>
      </c>
      <c r="E47" s="113">
        <f>Assumptions!H44</f>
        <v>52200</v>
      </c>
      <c r="G47" s="208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301</v>
      </c>
      <c r="D48" s="206" t="s">
        <v>126</v>
      </c>
      <c r="E48" s="113">
        <f>Assumptions!H45</f>
        <v>74790</v>
      </c>
      <c r="G48" s="208" t="s">
        <v>207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302</v>
      </c>
      <c r="D49" s="206" t="s">
        <v>208</v>
      </c>
      <c r="E49" s="113">
        <f>Assumptions!H46</f>
        <v>44400</v>
      </c>
      <c r="G49" s="208" t="s">
        <v>209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303</v>
      </c>
      <c r="D50" s="206" t="s">
        <v>208</v>
      </c>
      <c r="E50" s="113">
        <f>Assumptions!H47</f>
        <v>52200</v>
      </c>
      <c r="G50" s="208" t="s">
        <v>209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D51" s="206"/>
      <c r="E51" s="112">
        <f>Assumptions!G104</f>
        <v>0</v>
      </c>
      <c r="G51" s="208"/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D52" s="206"/>
      <c r="E52" s="112">
        <f>Assumptions!G105</f>
        <v>0</v>
      </c>
      <c r="G52" s="208"/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6"/>
      <c r="G53" s="208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6"/>
      <c r="G54" s="208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6"/>
      <c r="G55" s="208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6"/>
      <c r="G56" s="206"/>
    </row>
    <row r="57" spans="1:43" x14ac:dyDescent="0.2">
      <c r="C57" s="3" t="s">
        <v>125</v>
      </c>
      <c r="D57" s="219"/>
      <c r="E57" s="107"/>
      <c r="F57" s="3"/>
      <c r="G57" s="211">
        <f>input_dollars</f>
        <v>45291</v>
      </c>
      <c r="H57" s="107"/>
      <c r="I57" s="106" cm="1">
        <f t="array" ref="I57">SUMPRODUCT((I$45:I$52)*($E$45:$E$52))+SUM(I54:I55)+I42</f>
        <v>0</v>
      </c>
      <c r="J57" s="106" cm="1">
        <f t="array" ref="J57">SUMPRODUCT((J$45:J$52)*($E$45:$E$52))+SUM(J54:J55)+J42</f>
        <v>0</v>
      </c>
      <c r="K57" s="106" cm="1">
        <f t="array" ref="K57">SUMPRODUCT((K$45:K$52)*($E$45:$E$52))+SUM(K54:K55)+K42</f>
        <v>0</v>
      </c>
      <c r="L57" s="106" cm="1">
        <f t="array" ref="L57">SUMPRODUCT((L$45:L$52)*($E$45:$E$52))+SUM(L54:L55)+L42</f>
        <v>0</v>
      </c>
      <c r="M57" s="106" cm="1">
        <f t="array" ref="M57">SUMPRODUCT((M$45:M$52)*($E$45:$E$52))+SUM(M54:M55)+M42</f>
        <v>0</v>
      </c>
      <c r="N57" s="106" cm="1">
        <f t="array" ref="N57">SUMPRODUCT((N$45:N$52)*($E$45:$E$52))+SUM(N54:N55)+N42</f>
        <v>0</v>
      </c>
      <c r="O57" s="106" cm="1">
        <f t="array" ref="O57">SUMPRODUCT((O$45:O$52)*($E$45:$E$52))+SUM(O54:O55)+O42</f>
        <v>0</v>
      </c>
      <c r="P57" s="106" cm="1">
        <f t="array" ref="P57">SUMPRODUCT((P$45:P$52)*($E$45:$E$52))+SUM(P54:P55)+P42</f>
        <v>0</v>
      </c>
      <c r="Q57" s="106" cm="1">
        <f t="array" ref="Q57">SUMPRODUCT((Q$45:Q$52)*($E$45:$E$52))+SUM(Q54:Q55)+Q42</f>
        <v>0</v>
      </c>
      <c r="R57" s="106" cm="1">
        <f t="array" ref="R57">SUMPRODUCT((R$45:R$52)*($E$45:$E$52))+SUM(R54:R55)+R42</f>
        <v>0</v>
      </c>
      <c r="S57" s="106" cm="1">
        <f t="array" ref="S57">SUMPRODUCT((S$45:S$52)*($E$45:$E$52))+SUM(S54:S55)+S42</f>
        <v>0</v>
      </c>
      <c r="T57" s="106" cm="1">
        <f t="array" ref="T57">SUMPRODUCT((T$45:T$52)*($E$45:$E$52))+SUM(T54:T55)+T42</f>
        <v>0</v>
      </c>
      <c r="U57" s="106" cm="1">
        <f t="array" ref="U57">SUMPRODUCT((U$45:U$52)*($E$45:$E$52))+SUM(U54:U55)+U42</f>
        <v>0</v>
      </c>
      <c r="V57" s="106" cm="1">
        <f t="array" ref="V57">SUMPRODUCT((V$45:V$52)*($E$45:$E$52))+SUM(V54:V55)+V42</f>
        <v>0</v>
      </c>
      <c r="W57" s="106" cm="1">
        <f t="array" ref="W57">SUMPRODUCT((W$45:W$52)*($E$45:$E$52))+SUM(W54:W55)+W42</f>
        <v>0</v>
      </c>
      <c r="X57" s="106" cm="1">
        <f t="array" ref="X57">SUMPRODUCT((X$45:X$52)*($E$45:$E$52))+SUM(X54:X55)+X42</f>
        <v>0</v>
      </c>
      <c r="Y57" s="106" cm="1">
        <f t="array" ref="Y57">SUMPRODUCT((Y$45:Y$52)*($E$45:$E$52))+SUM(Y54:Y55)+Y42</f>
        <v>0</v>
      </c>
      <c r="Z57" s="106" cm="1">
        <f t="array" ref="Z57">SUMPRODUCT((Z$45:Z$52)*($E$45:$E$52))+SUM(Z54:Z55)+Z42</f>
        <v>0</v>
      </c>
      <c r="AA57" s="106" cm="1">
        <f t="array" ref="AA57">SUMPRODUCT((AA$45:AA$52)*($E$45:$E$52))+SUM(AA54:AA55)+AA42</f>
        <v>0</v>
      </c>
      <c r="AB57" s="106" cm="1">
        <f t="array" ref="AB57">SUMPRODUCT((AB$45:AB$52)*($E$45:$E$52))+SUM(AB54:AB55)+AB42</f>
        <v>0</v>
      </c>
      <c r="AC57" s="106" cm="1">
        <f t="array" ref="AC57">SUMPRODUCT((AC$45:AC$52)*($E$45:$E$52))+SUM(AC54:AC55)+AC42</f>
        <v>0</v>
      </c>
      <c r="AD57" s="106" cm="1">
        <f t="array" ref="AD57">SUMPRODUCT((AD$45:AD$52)*($E$45:$E$52))+SUM(AD54:AD55)+AD42</f>
        <v>0</v>
      </c>
      <c r="AE57" s="106" cm="1">
        <f t="array" ref="AE57">SUMPRODUCT((AE$45:AE$52)*($E$45:$E$52))+SUM(AE54:AE55)+AE42</f>
        <v>0</v>
      </c>
      <c r="AF57" s="106" cm="1">
        <f t="array" ref="AF57">SUMPRODUCT((AF$45:AF$52)*($E$45:$E$52))+SUM(AF54:AF55)+AF42</f>
        <v>0</v>
      </c>
      <c r="AG57" s="106" cm="1">
        <f t="array" ref="AG57">SUMPRODUCT((AG$45:AG$52)*($E$45:$E$52))+SUM(AG54:AG55)+AG42</f>
        <v>0</v>
      </c>
    </row>
    <row r="58" spans="1:43" x14ac:dyDescent="0.2">
      <c r="D58" s="206"/>
      <c r="G58" s="206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6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5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9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2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3"/>
    </row>
    <row r="64" spans="1:43" x14ac:dyDescent="0.2">
      <c r="C64" s="4" t="s">
        <v>121</v>
      </c>
      <c r="G64" s="211">
        <f>input_dollars</f>
        <v>45291</v>
      </c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</row>
    <row r="65" spans="1:33" x14ac:dyDescent="0.2">
      <c r="G65" s="213"/>
    </row>
    <row r="66" spans="1:33" x14ac:dyDescent="0.2">
      <c r="A66" s="8"/>
      <c r="B66" s="8"/>
      <c r="C66" s="148" t="s">
        <v>30</v>
      </c>
      <c r="D66" s="38"/>
      <c r="F66" s="97"/>
      <c r="G66" s="214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1">
        <f>input_dollars</f>
        <v>45291</v>
      </c>
      <c r="H67" s="31"/>
      <c r="I67" s="119">
        <f t="shared" ref="I67:AG67" si="6">-I14</f>
        <v>0</v>
      </c>
      <c r="J67" s="119">
        <f t="shared" si="6"/>
        <v>0</v>
      </c>
      <c r="K67" s="119">
        <f t="shared" si="6"/>
        <v>0</v>
      </c>
      <c r="L67" s="119">
        <f t="shared" si="6"/>
        <v>0</v>
      </c>
      <c r="M67" s="119">
        <f t="shared" si="6"/>
        <v>0</v>
      </c>
      <c r="N67" s="119">
        <f t="shared" si="6"/>
        <v>0</v>
      </c>
      <c r="O67" s="119">
        <f t="shared" si="6"/>
        <v>0</v>
      </c>
      <c r="P67" s="119">
        <f t="shared" si="6"/>
        <v>0</v>
      </c>
      <c r="Q67" s="119">
        <f t="shared" si="6"/>
        <v>0</v>
      </c>
      <c r="R67" s="119">
        <f t="shared" si="6"/>
        <v>0</v>
      </c>
      <c r="S67" s="119">
        <f t="shared" si="6"/>
        <v>0</v>
      </c>
      <c r="T67" s="119">
        <f t="shared" si="6"/>
        <v>0</v>
      </c>
      <c r="U67" s="119">
        <f t="shared" si="6"/>
        <v>0</v>
      </c>
      <c r="V67" s="119">
        <f t="shared" si="6"/>
        <v>0</v>
      </c>
      <c r="W67" s="119">
        <f t="shared" si="6"/>
        <v>0</v>
      </c>
      <c r="X67" s="119">
        <f t="shared" si="6"/>
        <v>0</v>
      </c>
      <c r="Y67" s="119">
        <f t="shared" si="6"/>
        <v>0</v>
      </c>
      <c r="Z67" s="119">
        <f t="shared" si="6"/>
        <v>0</v>
      </c>
      <c r="AA67" s="119">
        <f t="shared" si="6"/>
        <v>0</v>
      </c>
      <c r="AB67" s="119">
        <f t="shared" si="6"/>
        <v>0</v>
      </c>
      <c r="AC67" s="119">
        <f t="shared" si="6"/>
        <v>0</v>
      </c>
      <c r="AD67" s="119">
        <f t="shared" si="6"/>
        <v>0</v>
      </c>
      <c r="AE67" s="119">
        <f t="shared" si="6"/>
        <v>0</v>
      </c>
      <c r="AF67" s="119">
        <f t="shared" si="6"/>
        <v>0</v>
      </c>
      <c r="AG67" s="119">
        <f t="shared" si="6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1">
        <f>input_dollars</f>
        <v>45291</v>
      </c>
      <c r="H68" s="31"/>
      <c r="I68" s="119">
        <f t="shared" ref="I68:AG68" si="7">-I15</f>
        <v>0</v>
      </c>
      <c r="J68" s="119">
        <f t="shared" si="7"/>
        <v>0</v>
      </c>
      <c r="K68" s="119">
        <f t="shared" si="7"/>
        <v>0</v>
      </c>
      <c r="L68" s="119">
        <f t="shared" si="7"/>
        <v>0</v>
      </c>
      <c r="M68" s="119">
        <f t="shared" si="7"/>
        <v>0</v>
      </c>
      <c r="N68" s="119">
        <f t="shared" si="7"/>
        <v>0</v>
      </c>
      <c r="O68" s="119">
        <f t="shared" si="7"/>
        <v>0</v>
      </c>
      <c r="P68" s="119">
        <f t="shared" si="7"/>
        <v>0</v>
      </c>
      <c r="Q68" s="119">
        <f t="shared" si="7"/>
        <v>0</v>
      </c>
      <c r="R68" s="119">
        <f t="shared" si="7"/>
        <v>0</v>
      </c>
      <c r="S68" s="119">
        <f t="shared" si="7"/>
        <v>0</v>
      </c>
      <c r="T68" s="119">
        <f t="shared" si="7"/>
        <v>0</v>
      </c>
      <c r="U68" s="119">
        <f t="shared" si="7"/>
        <v>0</v>
      </c>
      <c r="V68" s="119">
        <f t="shared" si="7"/>
        <v>0</v>
      </c>
      <c r="W68" s="119">
        <f t="shared" si="7"/>
        <v>0</v>
      </c>
      <c r="X68" s="119">
        <f t="shared" si="7"/>
        <v>0</v>
      </c>
      <c r="Y68" s="119">
        <f t="shared" si="7"/>
        <v>0</v>
      </c>
      <c r="Z68" s="119">
        <f t="shared" si="7"/>
        <v>0</v>
      </c>
      <c r="AA68" s="119">
        <f t="shared" si="7"/>
        <v>0</v>
      </c>
      <c r="AB68" s="119">
        <f t="shared" si="7"/>
        <v>0</v>
      </c>
      <c r="AC68" s="119">
        <f t="shared" si="7"/>
        <v>0</v>
      </c>
      <c r="AD68" s="119">
        <f t="shared" si="7"/>
        <v>0</v>
      </c>
      <c r="AE68" s="119">
        <f t="shared" si="7"/>
        <v>0</v>
      </c>
      <c r="AF68" s="119">
        <f t="shared" si="7"/>
        <v>0</v>
      </c>
      <c r="AG68" s="119">
        <f t="shared" si="7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1">
        <f>input_dollars</f>
        <v>45291</v>
      </c>
      <c r="H69" s="31"/>
      <c r="I69" s="119">
        <f t="shared" ref="I69:AG69" si="8">-I16</f>
        <v>0</v>
      </c>
      <c r="J69" s="119">
        <f t="shared" si="8"/>
        <v>0</v>
      </c>
      <c r="K69" s="119">
        <f t="shared" si="8"/>
        <v>0</v>
      </c>
      <c r="L69" s="119">
        <f t="shared" si="8"/>
        <v>0</v>
      </c>
      <c r="M69" s="119">
        <f t="shared" si="8"/>
        <v>0</v>
      </c>
      <c r="N69" s="119">
        <f t="shared" si="8"/>
        <v>0</v>
      </c>
      <c r="O69" s="119">
        <f t="shared" si="8"/>
        <v>0</v>
      </c>
      <c r="P69" s="119">
        <f t="shared" si="8"/>
        <v>0</v>
      </c>
      <c r="Q69" s="119">
        <f t="shared" si="8"/>
        <v>0</v>
      </c>
      <c r="R69" s="119">
        <f t="shared" si="8"/>
        <v>0</v>
      </c>
      <c r="S69" s="119">
        <f t="shared" si="8"/>
        <v>0</v>
      </c>
      <c r="T69" s="119">
        <f t="shared" si="8"/>
        <v>0</v>
      </c>
      <c r="U69" s="119">
        <f t="shared" si="8"/>
        <v>0</v>
      </c>
      <c r="V69" s="119">
        <f t="shared" si="8"/>
        <v>0</v>
      </c>
      <c r="W69" s="119">
        <f t="shared" si="8"/>
        <v>0</v>
      </c>
      <c r="X69" s="119">
        <f t="shared" si="8"/>
        <v>0</v>
      </c>
      <c r="Y69" s="119">
        <f t="shared" si="8"/>
        <v>0</v>
      </c>
      <c r="Z69" s="119">
        <f t="shared" si="8"/>
        <v>0</v>
      </c>
      <c r="AA69" s="119">
        <f t="shared" si="8"/>
        <v>0</v>
      </c>
      <c r="AB69" s="119">
        <f t="shared" si="8"/>
        <v>0</v>
      </c>
      <c r="AC69" s="119">
        <f t="shared" si="8"/>
        <v>0</v>
      </c>
      <c r="AD69" s="119">
        <f t="shared" si="8"/>
        <v>0</v>
      </c>
      <c r="AE69" s="119">
        <f t="shared" si="8"/>
        <v>0</v>
      </c>
      <c r="AF69" s="119">
        <f t="shared" si="8"/>
        <v>0</v>
      </c>
      <c r="AG69" s="119">
        <f t="shared" si="8"/>
        <v>0</v>
      </c>
    </row>
    <row r="70" spans="1:33" x14ac:dyDescent="0.2">
      <c r="A70" s="8"/>
      <c r="B70" s="8"/>
      <c r="C70" s="4"/>
      <c r="D70" s="38"/>
      <c r="F70" s="97"/>
      <c r="G70" s="215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8" t="s">
        <v>160</v>
      </c>
      <c r="D71" s="38"/>
      <c r="F71" s="97"/>
      <c r="G71" s="214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1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1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1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5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8" t="s">
        <v>91</v>
      </c>
      <c r="D76" s="38"/>
      <c r="F76" s="97"/>
      <c r="G76" s="214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1">
        <f>input_dollars</f>
        <v>45291</v>
      </c>
      <c r="H77" s="31"/>
      <c r="I77" s="119">
        <f t="shared" ref="I77:AG77" si="9">IF($E14=0,0,-PMT(real_disc, $E14,H72,))</f>
        <v>0</v>
      </c>
      <c r="J77" s="119">
        <f t="shared" si="9"/>
        <v>0</v>
      </c>
      <c r="K77" s="119">
        <f t="shared" si="9"/>
        <v>0</v>
      </c>
      <c r="L77" s="119">
        <f t="shared" si="9"/>
        <v>0</v>
      </c>
      <c r="M77" s="119">
        <f t="shared" si="9"/>
        <v>0</v>
      </c>
      <c r="N77" s="119">
        <f t="shared" si="9"/>
        <v>0</v>
      </c>
      <c r="O77" s="119">
        <f t="shared" si="9"/>
        <v>0</v>
      </c>
      <c r="P77" s="119">
        <f t="shared" si="9"/>
        <v>0</v>
      </c>
      <c r="Q77" s="119">
        <f t="shared" si="9"/>
        <v>0</v>
      </c>
      <c r="R77" s="119">
        <f t="shared" si="9"/>
        <v>0</v>
      </c>
      <c r="S77" s="119">
        <f t="shared" si="9"/>
        <v>0</v>
      </c>
      <c r="T77" s="119">
        <f t="shared" si="9"/>
        <v>0</v>
      </c>
      <c r="U77" s="119">
        <f t="shared" si="9"/>
        <v>0</v>
      </c>
      <c r="V77" s="119">
        <f t="shared" si="9"/>
        <v>0</v>
      </c>
      <c r="W77" s="119">
        <f t="shared" si="9"/>
        <v>0</v>
      </c>
      <c r="X77" s="119">
        <f t="shared" si="9"/>
        <v>0</v>
      </c>
      <c r="Y77" s="119">
        <f t="shared" si="9"/>
        <v>0</v>
      </c>
      <c r="Z77" s="119">
        <f t="shared" si="9"/>
        <v>0</v>
      </c>
      <c r="AA77" s="119">
        <f t="shared" si="9"/>
        <v>0</v>
      </c>
      <c r="AB77" s="119">
        <f t="shared" si="9"/>
        <v>0</v>
      </c>
      <c r="AC77" s="119">
        <f t="shared" si="9"/>
        <v>0</v>
      </c>
      <c r="AD77" s="119">
        <f t="shared" si="9"/>
        <v>0</v>
      </c>
      <c r="AE77" s="119">
        <f t="shared" si="9"/>
        <v>0</v>
      </c>
      <c r="AF77" s="119">
        <f t="shared" si="9"/>
        <v>0</v>
      </c>
      <c r="AG77" s="119">
        <f t="shared" si="9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1">
        <f>input_dollars</f>
        <v>45291</v>
      </c>
      <c r="H78" s="31"/>
      <c r="I78" s="119">
        <f t="shared" ref="I78:AG78" si="10">IF($E15=0,0,-PMT(real_disc, $E15,H73,))</f>
        <v>0</v>
      </c>
      <c r="J78" s="119">
        <f t="shared" si="10"/>
        <v>0</v>
      </c>
      <c r="K78" s="119">
        <f t="shared" si="10"/>
        <v>0</v>
      </c>
      <c r="L78" s="119">
        <f t="shared" si="10"/>
        <v>0</v>
      </c>
      <c r="M78" s="119">
        <f t="shared" si="10"/>
        <v>0</v>
      </c>
      <c r="N78" s="119">
        <f t="shared" si="10"/>
        <v>0</v>
      </c>
      <c r="O78" s="119">
        <f t="shared" si="10"/>
        <v>0</v>
      </c>
      <c r="P78" s="119">
        <f t="shared" si="10"/>
        <v>0</v>
      </c>
      <c r="Q78" s="119">
        <f t="shared" si="10"/>
        <v>0</v>
      </c>
      <c r="R78" s="119">
        <f t="shared" si="10"/>
        <v>0</v>
      </c>
      <c r="S78" s="119">
        <f t="shared" si="10"/>
        <v>0</v>
      </c>
      <c r="T78" s="119">
        <f t="shared" si="10"/>
        <v>0</v>
      </c>
      <c r="U78" s="119">
        <f t="shared" si="10"/>
        <v>0</v>
      </c>
      <c r="V78" s="119">
        <f t="shared" si="10"/>
        <v>0</v>
      </c>
      <c r="W78" s="119">
        <f t="shared" si="10"/>
        <v>0</v>
      </c>
      <c r="X78" s="119">
        <f t="shared" si="10"/>
        <v>0</v>
      </c>
      <c r="Y78" s="119">
        <f t="shared" si="10"/>
        <v>0</v>
      </c>
      <c r="Z78" s="119">
        <f t="shared" si="10"/>
        <v>0</v>
      </c>
      <c r="AA78" s="119">
        <f t="shared" si="10"/>
        <v>0</v>
      </c>
      <c r="AB78" s="119">
        <f t="shared" si="10"/>
        <v>0</v>
      </c>
      <c r="AC78" s="119">
        <f t="shared" si="10"/>
        <v>0</v>
      </c>
      <c r="AD78" s="119">
        <f t="shared" si="10"/>
        <v>0</v>
      </c>
      <c r="AE78" s="119">
        <f t="shared" si="10"/>
        <v>0</v>
      </c>
      <c r="AF78" s="119">
        <f t="shared" si="10"/>
        <v>0</v>
      </c>
      <c r="AG78" s="119">
        <f t="shared" si="10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1">
        <f>input_dollars</f>
        <v>45291</v>
      </c>
      <c r="H79" s="31"/>
      <c r="I79" s="119">
        <f t="shared" ref="I79:AG79" si="11">IF($E16=0,0,-PMT(real_disc, $E16,H74,))</f>
        <v>0</v>
      </c>
      <c r="J79" s="119">
        <f t="shared" si="11"/>
        <v>0</v>
      </c>
      <c r="K79" s="119">
        <f t="shared" si="11"/>
        <v>0</v>
      </c>
      <c r="L79" s="119">
        <f t="shared" si="11"/>
        <v>0</v>
      </c>
      <c r="M79" s="119">
        <f t="shared" si="11"/>
        <v>0</v>
      </c>
      <c r="N79" s="119">
        <f t="shared" si="11"/>
        <v>0</v>
      </c>
      <c r="O79" s="119">
        <f t="shared" si="11"/>
        <v>0</v>
      </c>
      <c r="P79" s="119">
        <f t="shared" si="11"/>
        <v>0</v>
      </c>
      <c r="Q79" s="119">
        <f t="shared" si="11"/>
        <v>0</v>
      </c>
      <c r="R79" s="119">
        <f t="shared" si="11"/>
        <v>0</v>
      </c>
      <c r="S79" s="119">
        <f t="shared" si="11"/>
        <v>0</v>
      </c>
      <c r="T79" s="119">
        <f t="shared" si="11"/>
        <v>0</v>
      </c>
      <c r="U79" s="119">
        <f t="shared" si="11"/>
        <v>0</v>
      </c>
      <c r="V79" s="119">
        <f t="shared" si="11"/>
        <v>0</v>
      </c>
      <c r="W79" s="119">
        <f t="shared" si="11"/>
        <v>0</v>
      </c>
      <c r="X79" s="119">
        <f t="shared" si="11"/>
        <v>0</v>
      </c>
      <c r="Y79" s="119">
        <f t="shared" si="11"/>
        <v>0</v>
      </c>
      <c r="Z79" s="119">
        <f t="shared" si="11"/>
        <v>0</v>
      </c>
      <c r="AA79" s="119">
        <f t="shared" si="11"/>
        <v>0</v>
      </c>
      <c r="AB79" s="119">
        <f t="shared" si="11"/>
        <v>0</v>
      </c>
      <c r="AC79" s="119">
        <f t="shared" si="11"/>
        <v>0</v>
      </c>
      <c r="AD79" s="119">
        <f t="shared" si="11"/>
        <v>0</v>
      </c>
      <c r="AE79" s="119">
        <f t="shared" si="11"/>
        <v>0</v>
      </c>
      <c r="AF79" s="119">
        <f t="shared" si="11"/>
        <v>0</v>
      </c>
      <c r="AG79" s="119">
        <f t="shared" si="11"/>
        <v>0</v>
      </c>
    </row>
    <row r="80" spans="1:33" x14ac:dyDescent="0.2">
      <c r="A80" s="8"/>
      <c r="B80" s="8"/>
      <c r="C80" s="173" t="s">
        <v>161</v>
      </c>
      <c r="D80" s="173"/>
      <c r="E80" s="174"/>
      <c r="F80" s="175"/>
      <c r="G80" s="216">
        <f>input_dollars</f>
        <v>45291</v>
      </c>
      <c r="H80" s="176"/>
      <c r="I80" s="177">
        <f>SUM(I77:I79)</f>
        <v>0</v>
      </c>
      <c r="J80" s="177">
        <f t="shared" ref="J80:AB80" si="12">SUM(J77:J79)</f>
        <v>0</v>
      </c>
      <c r="K80" s="177">
        <f t="shared" si="12"/>
        <v>0</v>
      </c>
      <c r="L80" s="177">
        <f t="shared" si="12"/>
        <v>0</v>
      </c>
      <c r="M80" s="177">
        <f t="shared" si="12"/>
        <v>0</v>
      </c>
      <c r="N80" s="177">
        <f t="shared" si="12"/>
        <v>0</v>
      </c>
      <c r="O80" s="177">
        <f t="shared" si="12"/>
        <v>0</v>
      </c>
      <c r="P80" s="177">
        <f t="shared" si="12"/>
        <v>0</v>
      </c>
      <c r="Q80" s="177">
        <f t="shared" si="12"/>
        <v>0</v>
      </c>
      <c r="R80" s="177">
        <f t="shared" si="12"/>
        <v>0</v>
      </c>
      <c r="S80" s="177">
        <f t="shared" si="12"/>
        <v>0</v>
      </c>
      <c r="T80" s="177">
        <f t="shared" si="12"/>
        <v>0</v>
      </c>
      <c r="U80" s="177">
        <f t="shared" si="12"/>
        <v>0</v>
      </c>
      <c r="V80" s="177">
        <f t="shared" si="12"/>
        <v>0</v>
      </c>
      <c r="W80" s="177">
        <f t="shared" si="12"/>
        <v>0</v>
      </c>
      <c r="X80" s="177">
        <f t="shared" si="12"/>
        <v>0</v>
      </c>
      <c r="Y80" s="177">
        <f t="shared" si="12"/>
        <v>0</v>
      </c>
      <c r="Z80" s="177">
        <f t="shared" si="12"/>
        <v>0</v>
      </c>
      <c r="AA80" s="177">
        <f t="shared" si="12"/>
        <v>0</v>
      </c>
      <c r="AB80" s="177">
        <f t="shared" si="12"/>
        <v>0</v>
      </c>
      <c r="AC80" s="177">
        <f>SUM(AC77:AC79)</f>
        <v>0</v>
      </c>
      <c r="AD80" s="177">
        <f>SUM(AD77:AD79)</f>
        <v>0</v>
      </c>
      <c r="AE80" s="177">
        <f>SUM(AE77:AE79)</f>
        <v>0</v>
      </c>
      <c r="AF80" s="177">
        <f>SUM(AF77:AF79)</f>
        <v>0</v>
      </c>
      <c r="AG80" s="177">
        <f>SUM(AG77:AG79)</f>
        <v>0</v>
      </c>
    </row>
    <row r="81" spans="1:33" x14ac:dyDescent="0.2">
      <c r="A81" s="8"/>
      <c r="B81" s="8"/>
      <c r="C81" s="75"/>
      <c r="D81" s="38"/>
      <c r="F81"/>
      <c r="G81" s="217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1">
        <f t="shared" ref="G82:G87" si="13">input_dollars</f>
        <v>45291</v>
      </c>
      <c r="H82" s="31"/>
      <c r="I82" s="119">
        <f>I80</f>
        <v>0</v>
      </c>
      <c r="J82" s="119">
        <f t="shared" ref="J82:AB82" si="14">J80</f>
        <v>0</v>
      </c>
      <c r="K82" s="119">
        <f t="shared" si="14"/>
        <v>0</v>
      </c>
      <c r="L82" s="119">
        <f t="shared" si="14"/>
        <v>0</v>
      </c>
      <c r="M82" s="119">
        <f t="shared" si="14"/>
        <v>0</v>
      </c>
      <c r="N82" s="119">
        <f t="shared" si="14"/>
        <v>0</v>
      </c>
      <c r="O82" s="119">
        <f t="shared" si="14"/>
        <v>0</v>
      </c>
      <c r="P82" s="119">
        <f t="shared" si="14"/>
        <v>0</v>
      </c>
      <c r="Q82" s="119">
        <f t="shared" si="14"/>
        <v>0</v>
      </c>
      <c r="R82" s="119">
        <f t="shared" si="14"/>
        <v>0</v>
      </c>
      <c r="S82" s="119">
        <f t="shared" si="14"/>
        <v>0</v>
      </c>
      <c r="T82" s="119">
        <f t="shared" si="14"/>
        <v>0</v>
      </c>
      <c r="U82" s="119">
        <f t="shared" si="14"/>
        <v>0</v>
      </c>
      <c r="V82" s="119">
        <f t="shared" si="14"/>
        <v>0</v>
      </c>
      <c r="W82" s="119">
        <f t="shared" si="14"/>
        <v>0</v>
      </c>
      <c r="X82" s="119">
        <f t="shared" si="14"/>
        <v>0</v>
      </c>
      <c r="Y82" s="119">
        <f t="shared" si="14"/>
        <v>0</v>
      </c>
      <c r="Z82" s="119">
        <f t="shared" si="14"/>
        <v>0</v>
      </c>
      <c r="AA82" s="119">
        <f t="shared" si="14"/>
        <v>0</v>
      </c>
      <c r="AB82" s="119">
        <f t="shared" si="14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1">
        <f t="shared" si="13"/>
        <v>45291</v>
      </c>
      <c r="H83" s="31"/>
      <c r="I83" s="31">
        <f t="shared" ref="I83:AG83" si="15">-I19</f>
        <v>0</v>
      </c>
      <c r="J83" s="31">
        <f t="shared" si="15"/>
        <v>0</v>
      </c>
      <c r="K83" s="31">
        <f t="shared" si="15"/>
        <v>0</v>
      </c>
      <c r="L83" s="31">
        <f t="shared" si="15"/>
        <v>0</v>
      </c>
      <c r="M83" s="31">
        <f t="shared" si="15"/>
        <v>0</v>
      </c>
      <c r="N83" s="31">
        <f t="shared" si="15"/>
        <v>0</v>
      </c>
      <c r="O83" s="31">
        <f t="shared" si="15"/>
        <v>0</v>
      </c>
      <c r="P83" s="31">
        <f t="shared" si="15"/>
        <v>0</v>
      </c>
      <c r="Q83" s="31">
        <f t="shared" si="15"/>
        <v>0</v>
      </c>
      <c r="R83" s="31">
        <f t="shared" si="15"/>
        <v>0</v>
      </c>
      <c r="S83" s="31">
        <f t="shared" si="15"/>
        <v>0</v>
      </c>
      <c r="T83" s="31">
        <f t="shared" si="15"/>
        <v>0</v>
      </c>
      <c r="U83" s="31">
        <f t="shared" si="15"/>
        <v>0</v>
      </c>
      <c r="V83" s="31">
        <f t="shared" si="15"/>
        <v>0</v>
      </c>
      <c r="W83" s="31">
        <f t="shared" si="15"/>
        <v>0</v>
      </c>
      <c r="X83" s="31">
        <f t="shared" si="15"/>
        <v>0</v>
      </c>
      <c r="Y83" s="31">
        <f t="shared" si="15"/>
        <v>0</v>
      </c>
      <c r="Z83" s="31">
        <f t="shared" si="15"/>
        <v>0</v>
      </c>
      <c r="AA83" s="31">
        <f t="shared" si="15"/>
        <v>0</v>
      </c>
      <c r="AB83" s="31">
        <f t="shared" si="15"/>
        <v>0</v>
      </c>
      <c r="AC83" s="31">
        <f t="shared" si="15"/>
        <v>0</v>
      </c>
      <c r="AD83" s="31">
        <f t="shared" si="15"/>
        <v>0</v>
      </c>
      <c r="AE83" s="31">
        <f t="shared" si="15"/>
        <v>0</v>
      </c>
      <c r="AF83" s="31">
        <f t="shared" si="15"/>
        <v>0</v>
      </c>
      <c r="AG83" s="31">
        <f t="shared" si="15"/>
        <v>0</v>
      </c>
    </row>
    <row r="84" spans="1:33" x14ac:dyDescent="0.2">
      <c r="A84" s="8"/>
      <c r="B84" s="8"/>
      <c r="C84" s="4" t="s">
        <v>142</v>
      </c>
      <c r="D84" s="38"/>
      <c r="F84" s="97"/>
      <c r="G84" s="211">
        <f t="shared" si="13"/>
        <v>45291</v>
      </c>
      <c r="H84" s="31"/>
      <c r="I84" s="31">
        <f>I64</f>
        <v>0</v>
      </c>
      <c r="J84" s="31">
        <f t="shared" ref="J84:AB84" si="16">J64</f>
        <v>0</v>
      </c>
      <c r="K84" s="31">
        <f t="shared" si="16"/>
        <v>0</v>
      </c>
      <c r="L84" s="31">
        <f t="shared" si="16"/>
        <v>0</v>
      </c>
      <c r="M84" s="31">
        <f t="shared" si="16"/>
        <v>0</v>
      </c>
      <c r="N84" s="31">
        <f t="shared" si="16"/>
        <v>0</v>
      </c>
      <c r="O84" s="31">
        <f t="shared" si="16"/>
        <v>0</v>
      </c>
      <c r="P84" s="31">
        <f t="shared" si="16"/>
        <v>0</v>
      </c>
      <c r="Q84" s="31">
        <f t="shared" si="16"/>
        <v>0</v>
      </c>
      <c r="R84" s="31">
        <f t="shared" si="16"/>
        <v>0</v>
      </c>
      <c r="S84" s="31">
        <f t="shared" si="16"/>
        <v>0</v>
      </c>
      <c r="T84" s="31">
        <f t="shared" si="16"/>
        <v>0</v>
      </c>
      <c r="U84" s="31">
        <f t="shared" si="16"/>
        <v>0</v>
      </c>
      <c r="V84" s="31">
        <f t="shared" si="16"/>
        <v>0</v>
      </c>
      <c r="W84" s="31">
        <f t="shared" si="16"/>
        <v>0</v>
      </c>
      <c r="X84" s="31">
        <f t="shared" si="16"/>
        <v>0</v>
      </c>
      <c r="Y84" s="31">
        <f t="shared" si="16"/>
        <v>0</v>
      </c>
      <c r="Z84" s="31">
        <f t="shared" si="16"/>
        <v>0</v>
      </c>
      <c r="AA84" s="31">
        <f t="shared" si="16"/>
        <v>0</v>
      </c>
      <c r="AB84" s="31">
        <f t="shared" si="16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1">
        <f t="shared" si="13"/>
        <v>45291</v>
      </c>
      <c r="H85" s="31"/>
      <c r="I85" s="31">
        <f t="shared" ref="I85:AG85" si="17">I57</f>
        <v>0</v>
      </c>
      <c r="J85" s="31">
        <f t="shared" si="17"/>
        <v>0</v>
      </c>
      <c r="K85" s="31">
        <f t="shared" si="17"/>
        <v>0</v>
      </c>
      <c r="L85" s="31">
        <f t="shared" si="17"/>
        <v>0</v>
      </c>
      <c r="M85" s="31">
        <f t="shared" si="17"/>
        <v>0</v>
      </c>
      <c r="N85" s="31">
        <f t="shared" si="17"/>
        <v>0</v>
      </c>
      <c r="O85" s="31">
        <f t="shared" si="17"/>
        <v>0</v>
      </c>
      <c r="P85" s="31">
        <f t="shared" si="17"/>
        <v>0</v>
      </c>
      <c r="Q85" s="31">
        <f t="shared" si="17"/>
        <v>0</v>
      </c>
      <c r="R85" s="31">
        <f t="shared" si="17"/>
        <v>0</v>
      </c>
      <c r="S85" s="31">
        <f t="shared" si="17"/>
        <v>0</v>
      </c>
      <c r="T85" s="31">
        <f t="shared" si="17"/>
        <v>0</v>
      </c>
      <c r="U85" s="31">
        <f t="shared" si="17"/>
        <v>0</v>
      </c>
      <c r="V85" s="31">
        <f t="shared" si="17"/>
        <v>0</v>
      </c>
      <c r="W85" s="31">
        <f t="shared" si="17"/>
        <v>0</v>
      </c>
      <c r="X85" s="31">
        <f t="shared" si="17"/>
        <v>0</v>
      </c>
      <c r="Y85" s="31">
        <f t="shared" si="17"/>
        <v>0</v>
      </c>
      <c r="Z85" s="31">
        <f t="shared" si="17"/>
        <v>0</v>
      </c>
      <c r="AA85" s="31">
        <f t="shared" si="17"/>
        <v>0</v>
      </c>
      <c r="AB85" s="31">
        <f t="shared" si="17"/>
        <v>0</v>
      </c>
      <c r="AC85" s="31">
        <f t="shared" si="17"/>
        <v>0</v>
      </c>
      <c r="AD85" s="31">
        <f t="shared" si="17"/>
        <v>0</v>
      </c>
      <c r="AE85" s="31">
        <f t="shared" si="17"/>
        <v>0</v>
      </c>
      <c r="AF85" s="31">
        <f t="shared" si="17"/>
        <v>0</v>
      </c>
      <c r="AG85" s="31">
        <f t="shared" si="17"/>
        <v>0</v>
      </c>
    </row>
    <row r="86" spans="1:33" x14ac:dyDescent="0.2">
      <c r="A86" s="8"/>
      <c r="B86" s="8"/>
      <c r="C86" s="4"/>
      <c r="D86" s="38"/>
      <c r="F86" s="31"/>
      <c r="G86" s="21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1" t="s">
        <v>192</v>
      </c>
      <c r="D87" s="179"/>
      <c r="E87" s="174"/>
      <c r="F87" s="180"/>
      <c r="G87" s="216">
        <f t="shared" si="13"/>
        <v>45291</v>
      </c>
      <c r="H87" s="180"/>
      <c r="I87" s="180">
        <f t="shared" ref="I87:AB87" si="18">SUM(I82:I86)</f>
        <v>0</v>
      </c>
      <c r="J87" s="180">
        <f t="shared" si="18"/>
        <v>0</v>
      </c>
      <c r="K87" s="180">
        <f t="shared" si="18"/>
        <v>0</v>
      </c>
      <c r="L87" s="180">
        <f t="shared" si="18"/>
        <v>0</v>
      </c>
      <c r="M87" s="180">
        <f t="shared" si="18"/>
        <v>0</v>
      </c>
      <c r="N87" s="180">
        <f t="shared" si="18"/>
        <v>0</v>
      </c>
      <c r="O87" s="180">
        <f t="shared" si="18"/>
        <v>0</v>
      </c>
      <c r="P87" s="180">
        <f t="shared" si="18"/>
        <v>0</v>
      </c>
      <c r="Q87" s="180">
        <f t="shared" si="18"/>
        <v>0</v>
      </c>
      <c r="R87" s="180">
        <f t="shared" si="18"/>
        <v>0</v>
      </c>
      <c r="S87" s="180">
        <f t="shared" si="18"/>
        <v>0</v>
      </c>
      <c r="T87" s="180">
        <f t="shared" si="18"/>
        <v>0</v>
      </c>
      <c r="U87" s="180">
        <f t="shared" si="18"/>
        <v>0</v>
      </c>
      <c r="V87" s="180">
        <f t="shared" si="18"/>
        <v>0</v>
      </c>
      <c r="W87" s="180">
        <f t="shared" si="18"/>
        <v>0</v>
      </c>
      <c r="X87" s="180">
        <f t="shared" si="18"/>
        <v>0</v>
      </c>
      <c r="Y87" s="180">
        <f t="shared" si="18"/>
        <v>0</v>
      </c>
      <c r="Z87" s="180">
        <f t="shared" si="18"/>
        <v>0</v>
      </c>
      <c r="AA87" s="180">
        <f t="shared" si="18"/>
        <v>0</v>
      </c>
      <c r="AB87" s="180">
        <f t="shared" si="18"/>
        <v>0</v>
      </c>
      <c r="AC87" s="180">
        <f>SUM(AC82:AC86)</f>
        <v>0</v>
      </c>
      <c r="AD87" s="180">
        <f>SUM(AD82:AD86)</f>
        <v>0</v>
      </c>
      <c r="AE87" s="180">
        <f>SUM(AE82:AE86)</f>
        <v>0</v>
      </c>
      <c r="AF87" s="180">
        <f>SUM(AF82:AF86)</f>
        <v>0</v>
      </c>
      <c r="AG87" s="180">
        <f>SUM(AG82:AG86)</f>
        <v>0</v>
      </c>
    </row>
    <row r="88" spans="1:33" x14ac:dyDescent="0.2">
      <c r="A88" s="8"/>
      <c r="B88" s="8"/>
      <c r="C88" s="75"/>
      <c r="D88" s="139"/>
      <c r="E88" s="64"/>
      <c r="F88" s="141"/>
      <c r="G88" s="21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9"/>
      <c r="E89" s="64"/>
      <c r="F89" s="141"/>
      <c r="G89" s="21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1"/>
      <c r="D90" s="82"/>
      <c r="E90" s="232"/>
      <c r="F90" s="233"/>
      <c r="G90" s="232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232"/>
      <c r="D91" s="232"/>
      <c r="E91" s="232"/>
      <c r="F91" s="232"/>
      <c r="G91" s="232"/>
    </row>
    <row r="92" spans="1:33" x14ac:dyDescent="0.2">
      <c r="C92" s="232"/>
      <c r="D92" s="232"/>
      <c r="E92" s="232"/>
      <c r="F92" s="232"/>
      <c r="G92" s="232"/>
    </row>
    <row r="94" spans="1:33" x14ac:dyDescent="0.2">
      <c r="G94" s="12"/>
    </row>
    <row r="102" spans="1:43" ht="15" x14ac:dyDescent="0.2">
      <c r="A102" s="89" t="s">
        <v>218</v>
      </c>
      <c r="B102" s="89"/>
      <c r="C102" s="89"/>
      <c r="D102" s="89"/>
      <c r="E102" s="89"/>
      <c r="F102" s="89"/>
      <c r="G102" s="205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3"/>
      <c r="J104" s="243"/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  <c r="X104" s="243"/>
      <c r="Y104" s="243"/>
      <c r="Z104" s="243"/>
    </row>
    <row r="105" spans="1:43" x14ac:dyDescent="0.2">
      <c r="E105"/>
      <c r="F105"/>
      <c r="G105"/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3"/>
      <c r="X105" s="243"/>
      <c r="Y105" s="243"/>
      <c r="Z105" s="243"/>
    </row>
    <row r="106" spans="1:43" x14ac:dyDescent="0.2">
      <c r="A106" s="1" t="s">
        <v>119</v>
      </c>
      <c r="C106" s="1" t="s">
        <v>192</v>
      </c>
      <c r="D106"/>
      <c r="E106"/>
      <c r="F106"/>
      <c r="G106" s="38" t="str">
        <f>PROPER($A$3)&amp;A106</f>
        <v>Option 1 (Base Case)NPV</v>
      </c>
      <c r="I106" s="31">
        <f>I87</f>
        <v>0</v>
      </c>
      <c r="J106" s="31">
        <f t="shared" ref="J106:AG106" si="19">J87</f>
        <v>0</v>
      </c>
      <c r="K106" s="31">
        <f t="shared" si="19"/>
        <v>0</v>
      </c>
      <c r="L106" s="31">
        <f t="shared" si="19"/>
        <v>0</v>
      </c>
      <c r="M106" s="31">
        <f t="shared" si="19"/>
        <v>0</v>
      </c>
      <c r="N106" s="31">
        <f t="shared" si="19"/>
        <v>0</v>
      </c>
      <c r="O106" s="31">
        <f t="shared" si="19"/>
        <v>0</v>
      </c>
      <c r="P106" s="31">
        <f t="shared" si="19"/>
        <v>0</v>
      </c>
      <c r="Q106" s="31">
        <f t="shared" si="19"/>
        <v>0</v>
      </c>
      <c r="R106" s="31">
        <f t="shared" si="19"/>
        <v>0</v>
      </c>
      <c r="S106" s="31">
        <f t="shared" si="19"/>
        <v>0</v>
      </c>
      <c r="T106" s="31">
        <f t="shared" si="19"/>
        <v>0</v>
      </c>
      <c r="U106" s="31">
        <f t="shared" si="19"/>
        <v>0</v>
      </c>
      <c r="V106" s="31">
        <f t="shared" si="19"/>
        <v>0</v>
      </c>
      <c r="W106" s="31">
        <f t="shared" si="19"/>
        <v>0</v>
      </c>
      <c r="X106" s="31">
        <f t="shared" si="19"/>
        <v>0</v>
      </c>
      <c r="Y106" s="31">
        <f t="shared" si="19"/>
        <v>0</v>
      </c>
      <c r="Z106" s="31">
        <f t="shared" si="19"/>
        <v>0</v>
      </c>
      <c r="AA106" s="31">
        <f t="shared" si="19"/>
        <v>0</v>
      </c>
      <c r="AB106" s="31">
        <f t="shared" si="19"/>
        <v>0</v>
      </c>
      <c r="AC106" s="31">
        <f t="shared" si="19"/>
        <v>0</v>
      </c>
      <c r="AD106" s="31">
        <f t="shared" si="19"/>
        <v>0</v>
      </c>
      <c r="AE106" s="31">
        <f t="shared" si="19"/>
        <v>0</v>
      </c>
      <c r="AF106" s="31">
        <f t="shared" si="19"/>
        <v>0</v>
      </c>
      <c r="AG106" s="31">
        <f t="shared" si="19"/>
        <v>0</v>
      </c>
    </row>
    <row r="107" spans="1:43" x14ac:dyDescent="0.2">
      <c r="C107" s="1" t="s">
        <v>161</v>
      </c>
      <c r="D107"/>
      <c r="E107"/>
      <c r="F107"/>
      <c r="G107"/>
      <c r="I107" s="31">
        <f>I82</f>
        <v>0</v>
      </c>
      <c r="J107" s="31">
        <f t="shared" ref="J107:AG107" si="20">J82</f>
        <v>0</v>
      </c>
      <c r="K107" s="31">
        <f t="shared" si="20"/>
        <v>0</v>
      </c>
      <c r="L107" s="31">
        <f t="shared" si="20"/>
        <v>0</v>
      </c>
      <c r="M107" s="31">
        <f t="shared" si="20"/>
        <v>0</v>
      </c>
      <c r="N107" s="31">
        <f t="shared" si="20"/>
        <v>0</v>
      </c>
      <c r="O107" s="31">
        <f t="shared" si="20"/>
        <v>0</v>
      </c>
      <c r="P107" s="31">
        <f t="shared" si="20"/>
        <v>0</v>
      </c>
      <c r="Q107" s="31">
        <f t="shared" si="20"/>
        <v>0</v>
      </c>
      <c r="R107" s="31">
        <f t="shared" si="20"/>
        <v>0</v>
      </c>
      <c r="S107" s="31">
        <f t="shared" si="20"/>
        <v>0</v>
      </c>
      <c r="T107" s="31">
        <f t="shared" si="20"/>
        <v>0</v>
      </c>
      <c r="U107" s="31">
        <f t="shared" si="20"/>
        <v>0</v>
      </c>
      <c r="V107" s="31">
        <f t="shared" si="20"/>
        <v>0</v>
      </c>
      <c r="W107" s="31">
        <f t="shared" si="20"/>
        <v>0</v>
      </c>
      <c r="X107" s="31">
        <f t="shared" si="20"/>
        <v>0</v>
      </c>
      <c r="Y107" s="31">
        <f t="shared" si="20"/>
        <v>0</v>
      </c>
      <c r="Z107" s="31">
        <f t="shared" si="20"/>
        <v>0</v>
      </c>
      <c r="AA107" s="31">
        <f t="shared" si="20"/>
        <v>0</v>
      </c>
      <c r="AB107" s="31">
        <f t="shared" si="20"/>
        <v>0</v>
      </c>
      <c r="AC107" s="31">
        <f t="shared" si="20"/>
        <v>0</v>
      </c>
      <c r="AD107" s="31">
        <f t="shared" si="20"/>
        <v>0</v>
      </c>
      <c r="AE107" s="31">
        <f t="shared" si="20"/>
        <v>0</v>
      </c>
      <c r="AF107" s="31">
        <f t="shared" si="20"/>
        <v>0</v>
      </c>
      <c r="AG107" s="31">
        <f t="shared" si="20"/>
        <v>0</v>
      </c>
    </row>
    <row r="108" spans="1:43" x14ac:dyDescent="0.2">
      <c r="C108" s="1" t="s">
        <v>243</v>
      </c>
      <c r="D108" s="253"/>
      <c r="E108" s="38"/>
      <c r="I108" s="31">
        <f>SUM(I84:I85)</f>
        <v>0</v>
      </c>
      <c r="J108" s="31">
        <f t="shared" ref="J108:AG108" si="21">SUM(J84:J85)</f>
        <v>0</v>
      </c>
      <c r="K108" s="31">
        <f t="shared" si="21"/>
        <v>0</v>
      </c>
      <c r="L108" s="31">
        <f t="shared" si="21"/>
        <v>0</v>
      </c>
      <c r="M108" s="31">
        <f t="shared" si="21"/>
        <v>0</v>
      </c>
      <c r="N108" s="31">
        <f t="shared" si="21"/>
        <v>0</v>
      </c>
      <c r="O108" s="31">
        <f t="shared" si="21"/>
        <v>0</v>
      </c>
      <c r="P108" s="31">
        <f t="shared" si="21"/>
        <v>0</v>
      </c>
      <c r="Q108" s="31">
        <f t="shared" si="21"/>
        <v>0</v>
      </c>
      <c r="R108" s="31">
        <f t="shared" si="21"/>
        <v>0</v>
      </c>
      <c r="S108" s="31">
        <f t="shared" si="21"/>
        <v>0</v>
      </c>
      <c r="T108" s="31">
        <f t="shared" si="21"/>
        <v>0</v>
      </c>
      <c r="U108" s="31">
        <f t="shared" si="21"/>
        <v>0</v>
      </c>
      <c r="V108" s="31">
        <f t="shared" si="21"/>
        <v>0</v>
      </c>
      <c r="W108" s="31">
        <f t="shared" si="21"/>
        <v>0</v>
      </c>
      <c r="X108" s="31">
        <f t="shared" si="21"/>
        <v>0</v>
      </c>
      <c r="Y108" s="31">
        <f t="shared" si="21"/>
        <v>0</v>
      </c>
      <c r="Z108" s="31">
        <f t="shared" si="21"/>
        <v>0</v>
      </c>
      <c r="AA108" s="31">
        <f t="shared" si="21"/>
        <v>0</v>
      </c>
      <c r="AB108" s="31">
        <f t="shared" si="21"/>
        <v>0</v>
      </c>
      <c r="AC108" s="31">
        <f t="shared" si="21"/>
        <v>0</v>
      </c>
      <c r="AD108" s="31">
        <f t="shared" si="21"/>
        <v>0</v>
      </c>
      <c r="AE108" s="31">
        <f t="shared" si="21"/>
        <v>0</v>
      </c>
      <c r="AF108" s="31">
        <f t="shared" si="21"/>
        <v>0</v>
      </c>
      <c r="AG108" s="31">
        <f t="shared" si="21"/>
        <v>0</v>
      </c>
    </row>
    <row r="109" spans="1:43" x14ac:dyDescent="0.2">
      <c r="D109" s="302" t="str">
        <f>Assumptions!G114</f>
        <v>Capex</v>
      </c>
      <c r="E109" s="302" t="str">
        <f>Assumptions!H114</f>
        <v>Total benefits</v>
      </c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</row>
    <row r="110" spans="1:43" x14ac:dyDescent="0.2">
      <c r="A110" s="1" t="str">
        <f>"sens"&amp;Assumptions!B115</f>
        <v>sens1</v>
      </c>
      <c r="C110" s="301" t="str">
        <f>Assumptions!C115</f>
        <v>Capex 10% higher</v>
      </c>
      <c r="D110" s="302">
        <f>Assumptions!G115</f>
        <v>0.1</v>
      </c>
      <c r="E110" s="302">
        <f>Assumptions!H115</f>
        <v>0</v>
      </c>
      <c r="G110" s="38" t="str">
        <f>PROPER($A$3)&amp;A110</f>
        <v>Option 1 (Base Case)sens1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"sens"&amp;Assumptions!B116</f>
        <v>sens2</v>
      </c>
      <c r="C111" s="301" t="str">
        <f>Assumptions!C116</f>
        <v>Capex 10% lower</v>
      </c>
      <c r="D111" s="302">
        <f>Assumptions!G116</f>
        <v>-0.1</v>
      </c>
      <c r="E111" s="302">
        <f>Assumptions!H116</f>
        <v>0</v>
      </c>
      <c r="G111" s="38" t="str">
        <f t="shared" ref="G111:G117" si="22">PROPER($A$3)&amp;A111</f>
        <v>Option 1 (Base Case)sens2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"sens"&amp;Assumptions!B117</f>
        <v>sens3</v>
      </c>
      <c r="C112" s="301" t="str">
        <f>Assumptions!C117</f>
        <v>Increasing wind escalation</v>
      </c>
      <c r="D112" s="302">
        <f>Assumptions!G117</f>
        <v>0</v>
      </c>
      <c r="E112" s="302">
        <f>Assumptions!H117</f>
        <v>0.15</v>
      </c>
      <c r="G112" s="38" t="str">
        <f t="shared" si="22"/>
        <v>Option 1 (Base Case)sens3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"sens"&amp;Assumptions!B118</f>
        <v>sens4</v>
      </c>
      <c r="C113" s="301" t="str">
        <f>Assumptions!C118</f>
        <v/>
      </c>
      <c r="D113" s="302">
        <f>Assumptions!G118</f>
        <v>0</v>
      </c>
      <c r="E113" s="302">
        <f>Assumptions!H118</f>
        <v>0</v>
      </c>
      <c r="G113" s="38" t="str">
        <f t="shared" si="22"/>
        <v>Option 1 (Base Case)sens4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"sens"&amp;Assumptions!B119</f>
        <v>sens5</v>
      </c>
      <c r="C114" s="301" t="str">
        <f>Assumptions!C119</f>
        <v/>
      </c>
      <c r="D114" s="302">
        <f>Assumptions!G119</f>
        <v>0</v>
      </c>
      <c r="E114" s="302">
        <f>Assumptions!H119</f>
        <v>0</v>
      </c>
      <c r="G114" s="38" t="str">
        <f t="shared" si="22"/>
        <v>Option 1 (Base Case)sens5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"sens"&amp;Assumptions!B120</f>
        <v>sens</v>
      </c>
      <c r="C115" s="301">
        <f>Assumptions!C120</f>
        <v>0</v>
      </c>
      <c r="D115" s="302">
        <f>Assumptions!G120</f>
        <v>0</v>
      </c>
      <c r="E115" s="302">
        <f>Assumptions!H120</f>
        <v>0</v>
      </c>
      <c r="G115" s="38" t="str">
        <f t="shared" si="22"/>
        <v>Option 1 (Base Case)sens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"sens"&amp;Assumptions!B121</f>
        <v>sens</v>
      </c>
      <c r="C116" s="301">
        <f>Assumptions!C121</f>
        <v>0</v>
      </c>
      <c r="D116" s="302">
        <f>Assumptions!G121</f>
        <v>0</v>
      </c>
      <c r="E116" s="302">
        <f>Assumptions!H121</f>
        <v>0</v>
      </c>
      <c r="G116" s="38" t="str">
        <f t="shared" si="22"/>
        <v>Option 1 (Base Case)sens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"sens"&amp;Assumptions!B122</f>
        <v>sens</v>
      </c>
      <c r="C117" s="301">
        <f>Assumptions!C122</f>
        <v>0</v>
      </c>
      <c r="D117" s="302">
        <f>Assumptions!G122</f>
        <v>0</v>
      </c>
      <c r="E117" s="302">
        <f>Assumptions!H122</f>
        <v>0</v>
      </c>
      <c r="G117" s="38" t="str">
        <f t="shared" si="22"/>
        <v>Option 1 (Base Case)sens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4" priority="12">
      <formula>AND(SUM($I14:$AB14)&lt;&gt;0, E14=0)</formula>
    </cfRule>
  </conditionalFormatting>
  <conditionalFormatting sqref="E28">
    <cfRule type="expression" dxfId="13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85" zoomScaleNormal="85" workbookViewId="0">
      <pane xSplit="7" ySplit="10" topLeftCell="H11" activePane="bottomRight" state="frozen"/>
      <selection activeCell="G29" sqref="G29"/>
      <selection pane="topRight" activeCell="G29" sqref="G29"/>
      <selection pane="bottomLeft" activeCell="G29" sqref="G29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3.8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Donald microgrid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4" t="s">
        <v>130</v>
      </c>
      <c r="B3" s="5"/>
      <c r="C3" s="201" t="str">
        <f>INDEX(Assumptions!$E$14:$E$18, MATCH(A3,_xlfn.ANCHORARRAY( Assumptions!$C$14),0))</f>
        <v>Install generator only microgrid</v>
      </c>
    </row>
    <row r="4" spans="1:43" x14ac:dyDescent="0.2">
      <c r="A4" s="202" t="str">
        <f>(INDEX(Data!$D$9:$D$13, MATCH(A3, options,0)))</f>
        <v/>
      </c>
      <c r="B4" s="188"/>
      <c r="C4" s="239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1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3"/>
      <c r="G9" s="18" t="s">
        <v>25</v>
      </c>
      <c r="H9" s="221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5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</row>
    <row r="12" spans="1:43" x14ac:dyDescent="0.2">
      <c r="A12" s="3"/>
      <c r="B12" s="3"/>
      <c r="C12" s="3"/>
      <c r="D12" s="3"/>
      <c r="G12" s="206"/>
    </row>
    <row r="13" spans="1:43" x14ac:dyDescent="0.2">
      <c r="C13" s="3" t="s">
        <v>17</v>
      </c>
      <c r="D13"/>
      <c r="E13" s="126" t="s">
        <v>69</v>
      </c>
      <c r="G13" s="207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296</v>
      </c>
      <c r="D14"/>
      <c r="E14" s="149">
        <v>20</v>
      </c>
      <c r="G14" s="208">
        <f>input_dollars</f>
        <v>45291</v>
      </c>
      <c r="H14" s="150"/>
      <c r="I14" s="32">
        <v>0</v>
      </c>
      <c r="J14" s="32">
        <v>2875475.8874999997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9">
        <v>0</v>
      </c>
      <c r="G15" s="208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9">
        <v>0</v>
      </c>
      <c r="G16" s="208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6" t="s">
        <v>30</v>
      </c>
      <c r="G17" s="208">
        <f>input_dollars</f>
        <v>45291</v>
      </c>
      <c r="H17" s="107"/>
      <c r="I17" s="106">
        <f t="shared" ref="I17:Q17" si="0">SUM(I14:I16)</f>
        <v>0</v>
      </c>
      <c r="J17" s="106">
        <f t="shared" si="0"/>
        <v>2875475.8874999997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</row>
    <row r="18" spans="1:43" x14ac:dyDescent="0.2">
      <c r="C18"/>
      <c r="D18"/>
      <c r="E18"/>
      <c r="G18" s="207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8">
        <f>input_dollars</f>
        <v>45291</v>
      </c>
      <c r="H19" s="107"/>
      <c r="I19" s="32">
        <v>0</v>
      </c>
      <c r="J19" s="32">
        <v>0</v>
      </c>
      <c r="K19" s="32">
        <v>80000</v>
      </c>
      <c r="L19" s="32">
        <v>80000</v>
      </c>
      <c r="M19" s="32">
        <v>80000</v>
      </c>
      <c r="N19" s="32">
        <v>80000</v>
      </c>
      <c r="O19" s="32">
        <v>80000</v>
      </c>
      <c r="P19" s="32">
        <v>80000</v>
      </c>
      <c r="Q19" s="32">
        <v>80000</v>
      </c>
      <c r="R19" s="32">
        <v>80000</v>
      </c>
      <c r="S19" s="32">
        <v>80000</v>
      </c>
      <c r="T19" s="32">
        <v>80000</v>
      </c>
      <c r="U19" s="32">
        <v>80000</v>
      </c>
      <c r="V19" s="32">
        <v>80000</v>
      </c>
      <c r="W19" s="32">
        <v>80000</v>
      </c>
      <c r="X19" s="32">
        <v>80000</v>
      </c>
      <c r="Y19" s="32">
        <v>80000</v>
      </c>
      <c r="Z19" s="32">
        <v>80000</v>
      </c>
      <c r="AA19" s="32">
        <v>80000</v>
      </c>
      <c r="AB19" s="32">
        <v>80000</v>
      </c>
      <c r="AC19" s="32">
        <v>80000</v>
      </c>
      <c r="AD19" s="32">
        <v>80000</v>
      </c>
      <c r="AE19" s="32">
        <v>80000</v>
      </c>
      <c r="AF19" s="32">
        <v>80000</v>
      </c>
      <c r="AG19" s="32">
        <v>80000</v>
      </c>
    </row>
    <row r="20" spans="1:43" x14ac:dyDescent="0.2">
      <c r="G20" s="206"/>
    </row>
    <row r="21" spans="1:43" x14ac:dyDescent="0.2">
      <c r="C21"/>
      <c r="D21"/>
      <c r="E21"/>
      <c r="G21" s="207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154</v>
      </c>
      <c r="B22" s="89"/>
      <c r="C22" s="89"/>
      <c r="D22" s="89"/>
      <c r="E22" s="89"/>
      <c r="F22" s="89"/>
      <c r="G22" s="205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9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155</v>
      </c>
      <c r="D24" s="111"/>
      <c r="E24" s="111"/>
      <c r="F24" s="111"/>
      <c r="G24" s="209"/>
      <c r="H24" s="111"/>
      <c r="I24" s="170">
        <v>0</v>
      </c>
      <c r="J24" s="170">
        <v>0</v>
      </c>
      <c r="K24" s="170">
        <v>0</v>
      </c>
      <c r="L24" s="170">
        <v>0</v>
      </c>
      <c r="M24" s="170">
        <v>0</v>
      </c>
      <c r="N24" s="170">
        <v>0</v>
      </c>
      <c r="O24" s="170">
        <v>0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170">
        <v>0</v>
      </c>
      <c r="V24" s="170">
        <v>0</v>
      </c>
      <c r="W24" s="170">
        <v>0</v>
      </c>
      <c r="X24" s="170">
        <v>0</v>
      </c>
      <c r="Y24" s="170">
        <v>0</v>
      </c>
      <c r="Z24" s="170">
        <v>0</v>
      </c>
      <c r="AA24" s="170">
        <v>0</v>
      </c>
      <c r="AB24" s="170">
        <v>0</v>
      </c>
      <c r="AC24" s="170">
        <v>0</v>
      </c>
      <c r="AD24" s="170">
        <v>0</v>
      </c>
      <c r="AE24" s="170">
        <v>0</v>
      </c>
      <c r="AF24" s="170">
        <v>0</v>
      </c>
      <c r="AG24" s="170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156</v>
      </c>
      <c r="D25" s="209"/>
      <c r="E25" s="111"/>
      <c r="F25" s="111"/>
      <c r="G25" s="209"/>
      <c r="H25" s="111"/>
      <c r="I25" s="170">
        <v>0</v>
      </c>
      <c r="J25" s="170">
        <v>0</v>
      </c>
      <c r="K25" s="170">
        <v>0</v>
      </c>
      <c r="L25" s="170">
        <v>0</v>
      </c>
      <c r="M25" s="170">
        <v>0</v>
      </c>
      <c r="N25" s="170">
        <v>0</v>
      </c>
      <c r="O25" s="170">
        <v>0</v>
      </c>
      <c r="P25" s="170">
        <v>0</v>
      </c>
      <c r="Q25" s="170">
        <v>0</v>
      </c>
      <c r="R25" s="170">
        <v>0</v>
      </c>
      <c r="S25" s="170">
        <v>0</v>
      </c>
      <c r="T25" s="170">
        <v>0</v>
      </c>
      <c r="U25" s="170">
        <v>0</v>
      </c>
      <c r="V25" s="170">
        <v>0</v>
      </c>
      <c r="W25" s="170">
        <v>0</v>
      </c>
      <c r="X25" s="170">
        <v>0</v>
      </c>
      <c r="Y25" s="170">
        <v>0</v>
      </c>
      <c r="Z25" s="170">
        <v>0</v>
      </c>
      <c r="AA25" s="170">
        <v>0</v>
      </c>
      <c r="AB25" s="170">
        <v>0</v>
      </c>
      <c r="AC25" s="170">
        <v>0</v>
      </c>
      <c r="AD25" s="170">
        <v>0</v>
      </c>
      <c r="AE25" s="170">
        <v>0</v>
      </c>
      <c r="AF25" s="170">
        <v>0</v>
      </c>
      <c r="AG25" s="170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9"/>
      <c r="E26" s="111"/>
      <c r="F26" s="111"/>
      <c r="G26" s="209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6"/>
      <c r="E27"/>
      <c r="G27" s="208" t="s">
        <v>40</v>
      </c>
      <c r="H27"/>
      <c r="I27" s="169">
        <f>IF(SUM($H17:H17)&gt;0, 0, 'Option1 (base case)'!I27)</f>
        <v>10.654262722363647</v>
      </c>
      <c r="J27" s="169">
        <f>IF(SUM($H17:I17)&gt;0, 0, 'Option1 (base case)'!J27)</f>
        <v>10.454899626124906</v>
      </c>
      <c r="K27" s="169">
        <f>IF(SUM($H17:J17)&gt;0, 0, 'Option1 (base case)'!K27)</f>
        <v>0</v>
      </c>
      <c r="L27" s="169">
        <f>IF(SUM($H17:K17)&gt;0, 0, 'Option1 (base case)'!L27)</f>
        <v>0</v>
      </c>
      <c r="M27" s="169">
        <f>IF(SUM($H17:L17)&gt;0, 0, 'Option1 (base case)'!M27)</f>
        <v>0</v>
      </c>
      <c r="N27" s="169">
        <f>IF(SUM($H17:M17)&gt;0, 0, 'Option1 (base case)'!N27)</f>
        <v>0</v>
      </c>
      <c r="O27" s="169">
        <f>IF(SUM($H17:N17)&gt;0, 0, 'Option1 (base case)'!O27)</f>
        <v>0</v>
      </c>
      <c r="P27" s="169">
        <f>IF(SUM($H17:O17)&gt;0, 0, 'Option1 (base case)'!P27)</f>
        <v>0</v>
      </c>
      <c r="Q27" s="169">
        <f>IF(SUM($H17:P17)&gt;0, 0, 'Option1 (base case)'!Q27)</f>
        <v>0</v>
      </c>
      <c r="R27" s="169">
        <f>IF(SUM($H17:Q17)&gt;0, 0, 'Option1 (base case)'!R27)</f>
        <v>0</v>
      </c>
      <c r="S27" s="169">
        <f>IF(SUM($H17:R17)&gt;0, 0, 'Option1 (base case)'!S27)</f>
        <v>0</v>
      </c>
      <c r="T27" s="169">
        <f>IF(SUM($H17:S17)&gt;0, 0, 'Option1 (base case)'!T27)</f>
        <v>0</v>
      </c>
      <c r="U27" s="169">
        <f>IF(SUM($H17:T17)&gt;0, 0, 'Option1 (base case)'!U27)</f>
        <v>0</v>
      </c>
      <c r="V27" s="169">
        <f>IF(SUM($H17:U17)&gt;0, 0, 'Option1 (base case)'!V27)</f>
        <v>0</v>
      </c>
      <c r="W27" s="169">
        <f>IF(SUM($H17:V17)&gt;0, 0, 'Option1 (base case)'!W27)</f>
        <v>0</v>
      </c>
      <c r="X27" s="169">
        <f>IF(SUM($H17:W17)&gt;0, 0, 'Option1 (base case)'!X27)</f>
        <v>0</v>
      </c>
      <c r="Y27" s="169">
        <f>IF(SUM($H17:X17)&gt;0, 0, 'Option1 (base case)'!Y27)</f>
        <v>0</v>
      </c>
      <c r="Z27" s="169">
        <f>IF(SUM($H17:Y17)&gt;0, 0, 'Option1 (base case)'!Z27)</f>
        <v>0</v>
      </c>
      <c r="AA27" s="169">
        <f>IF(SUM($H17:Z17)&gt;0, 0, 'Option1 (base case)'!AA27)</f>
        <v>0</v>
      </c>
      <c r="AB27" s="169">
        <f>IF(SUM($H17:AA17)&gt;0, 0, 'Option1 (base case)'!AB27)</f>
        <v>0</v>
      </c>
      <c r="AC27" s="169">
        <f>IF(SUM($H17:AB17)&gt;0, 0, 'Option1 (base case)'!AC27)</f>
        <v>0</v>
      </c>
      <c r="AD27" s="169">
        <f>IF(SUM($H17:AC17)&gt;0, 0, 'Option1 (base case)'!AD27)</f>
        <v>0</v>
      </c>
      <c r="AE27" s="169">
        <f>IF(SUM($H17:AD17)&gt;0, 0, 'Option1 (base case)'!AE27)</f>
        <v>0</v>
      </c>
      <c r="AF27" s="169">
        <f>IF(SUM($H17:AE17)&gt;0, 0, 'Option1 (base case)'!AF27)</f>
        <v>0</v>
      </c>
      <c r="AG27" s="169">
        <f>IF(SUM($H17:AF17)&gt;0, 0, 'Option1 (base case)'!AG27)</f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6" t="s">
        <v>63</v>
      </c>
      <c r="E28" s="113">
        <f>Assumptions!H41*vcr_esc</f>
        <v>45198.640474687112</v>
      </c>
      <c r="F28" s="239" t="str">
        <f>IF(AND(SUM(I27:AG27)&lt;&gt;0, E28=0), "!", "")</f>
        <v/>
      </c>
      <c r="G28" s="208">
        <f>input_dollars</f>
        <v>45291</v>
      </c>
      <c r="H28"/>
      <c r="I28" s="298">
        <f>I27*$E$28</f>
        <v>481558.19031097565</v>
      </c>
      <c r="J28" s="298">
        <f t="shared" ref="J28:AG28" si="2">J27*$E$28</f>
        <v>472547.24940016033</v>
      </c>
      <c r="K28" s="298">
        <f t="shared" si="2"/>
        <v>0</v>
      </c>
      <c r="L28" s="298">
        <f t="shared" si="2"/>
        <v>0</v>
      </c>
      <c r="M28" s="298">
        <f t="shared" si="2"/>
        <v>0</v>
      </c>
      <c r="N28" s="298">
        <f t="shared" si="2"/>
        <v>0</v>
      </c>
      <c r="O28" s="298">
        <f t="shared" si="2"/>
        <v>0</v>
      </c>
      <c r="P28" s="298">
        <f t="shared" si="2"/>
        <v>0</v>
      </c>
      <c r="Q28" s="298">
        <f t="shared" si="2"/>
        <v>0</v>
      </c>
      <c r="R28" s="298">
        <f t="shared" si="2"/>
        <v>0</v>
      </c>
      <c r="S28" s="298">
        <f t="shared" si="2"/>
        <v>0</v>
      </c>
      <c r="T28" s="298">
        <f t="shared" si="2"/>
        <v>0</v>
      </c>
      <c r="U28" s="298">
        <f t="shared" si="2"/>
        <v>0</v>
      </c>
      <c r="V28" s="298">
        <f t="shared" si="2"/>
        <v>0</v>
      </c>
      <c r="W28" s="298">
        <f t="shared" si="2"/>
        <v>0</v>
      </c>
      <c r="X28" s="298">
        <f t="shared" si="2"/>
        <v>0</v>
      </c>
      <c r="Y28" s="298">
        <f t="shared" si="2"/>
        <v>0</v>
      </c>
      <c r="Z28" s="298">
        <f t="shared" si="2"/>
        <v>0</v>
      </c>
      <c r="AA28" s="298">
        <f t="shared" si="2"/>
        <v>0</v>
      </c>
      <c r="AB28" s="298">
        <f t="shared" si="2"/>
        <v>0</v>
      </c>
      <c r="AC28" s="298">
        <f t="shared" si="2"/>
        <v>0</v>
      </c>
      <c r="AD28" s="298">
        <f t="shared" si="2"/>
        <v>0</v>
      </c>
      <c r="AE28" s="298">
        <f t="shared" si="2"/>
        <v>0</v>
      </c>
      <c r="AF28" s="298">
        <f t="shared" si="2"/>
        <v>0</v>
      </c>
      <c r="AG28" s="298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7"/>
      <c r="E29"/>
      <c r="G29" s="208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6" t="s">
        <v>210</v>
      </c>
      <c r="G30" s="208">
        <f>input_dollars</f>
        <v>45291</v>
      </c>
      <c r="H30" s="150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7"/>
      <c r="E31"/>
      <c r="G31" s="208">
        <f>input_dollars</f>
        <v>45291</v>
      </c>
      <c r="H31" s="150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6" t="s">
        <v>210</v>
      </c>
      <c r="E32"/>
      <c r="G32" s="208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57" t="s">
        <v>177</v>
      </c>
      <c r="D33" s="220"/>
      <c r="E33"/>
      <c r="G33" s="208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57" t="s">
        <v>177</v>
      </c>
      <c r="D34" s="207"/>
      <c r="E34"/>
      <c r="G34" s="208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7"/>
      <c r="E35"/>
      <c r="G35" s="208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176</v>
      </c>
      <c r="D36" s="219"/>
      <c r="E36" s="107"/>
      <c r="F36" s="3"/>
      <c r="G36" s="210"/>
      <c r="H36" s="107"/>
      <c r="I36" s="171">
        <f>SUM(I28:I34)</f>
        <v>481558.19031097565</v>
      </c>
      <c r="J36" s="171">
        <f t="shared" ref="J36:AG36" si="3">SUM(J28:J34)</f>
        <v>472547.24940016033</v>
      </c>
      <c r="K36" s="171">
        <f t="shared" si="3"/>
        <v>0</v>
      </c>
      <c r="L36" s="171">
        <f t="shared" si="3"/>
        <v>0</v>
      </c>
      <c r="M36" s="171">
        <f t="shared" si="3"/>
        <v>0</v>
      </c>
      <c r="N36" s="171">
        <f t="shared" si="3"/>
        <v>0</v>
      </c>
      <c r="O36" s="171">
        <f t="shared" si="3"/>
        <v>0</v>
      </c>
      <c r="P36" s="171">
        <f t="shared" si="3"/>
        <v>0</v>
      </c>
      <c r="Q36" s="171">
        <f t="shared" si="3"/>
        <v>0</v>
      </c>
      <c r="R36" s="171">
        <f t="shared" si="3"/>
        <v>0</v>
      </c>
      <c r="S36" s="171">
        <f t="shared" si="3"/>
        <v>0</v>
      </c>
      <c r="T36" s="171">
        <f t="shared" si="3"/>
        <v>0</v>
      </c>
      <c r="U36" s="171">
        <f t="shared" si="3"/>
        <v>0</v>
      </c>
      <c r="V36" s="171">
        <f t="shared" si="3"/>
        <v>0</v>
      </c>
      <c r="W36" s="171">
        <f t="shared" si="3"/>
        <v>0</v>
      </c>
      <c r="X36" s="171">
        <f t="shared" si="3"/>
        <v>0</v>
      </c>
      <c r="Y36" s="171">
        <f t="shared" si="3"/>
        <v>0</v>
      </c>
      <c r="Z36" s="171">
        <f t="shared" si="3"/>
        <v>0</v>
      </c>
      <c r="AA36" s="171">
        <f t="shared" si="3"/>
        <v>0</v>
      </c>
      <c r="AB36" s="171">
        <f t="shared" si="3"/>
        <v>0</v>
      </c>
      <c r="AC36" s="171">
        <f t="shared" si="3"/>
        <v>0</v>
      </c>
      <c r="AD36" s="171">
        <f t="shared" si="3"/>
        <v>0</v>
      </c>
      <c r="AE36" s="171">
        <f t="shared" si="3"/>
        <v>0</v>
      </c>
      <c r="AF36" s="171">
        <f t="shared" si="3"/>
        <v>0</v>
      </c>
      <c r="AG36" s="171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8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5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8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8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6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6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8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7"/>
      <c r="E44"/>
      <c r="G44" s="208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tr">
        <f>'Option1 (base case)'!C45</f>
        <v>Incremental reliability in worst-served areas &gt; 500 mins</v>
      </c>
      <c r="D45" s="206" t="str">
        <f>'Option1 (base case)'!D45</f>
        <v>$/MWh</v>
      </c>
      <c r="E45" s="113">
        <f>'Option1 (base case)'!E45</f>
        <v>22301.359525312888</v>
      </c>
      <c r="G45" s="208" t="s">
        <v>40</v>
      </c>
      <c r="I45" s="328">
        <f>IF(SUM($H$17:H$17)&gt;0,IF(Workings_risks!I31&gt;500,(Workings_risks!I31-500)/60*Workings_risks!$F$13*Workings_risks!I8,0),0)</f>
        <v>0</v>
      </c>
      <c r="J45" s="328">
        <f>IF(SUM($H$17:I$17)&gt;0,IF(Workings_risks!J31&gt;500,(Workings_risks!J31-500)/60*Workings_risks!$F$13*Workings_risks!J8,0),0)</f>
        <v>0</v>
      </c>
      <c r="K45" s="328">
        <f>IF(SUM($H$17:J$17)&gt;0,IF(Workings_risks!K31&gt;500,(Workings_risks!K31-500)/60*Workings_risks!$F$13*Workings_risks!K8,0),0)</f>
        <v>2.326889033358456</v>
      </c>
      <c r="L45" s="328">
        <f>IF(SUM($H$17:K$17)&gt;0,IF(Workings_risks!L31&gt;500,(Workings_risks!L31-500)/60*Workings_risks!$F$13*Workings_risks!L8,0),0)</f>
        <v>2.3388067162051871</v>
      </c>
      <c r="M45" s="328">
        <f>IF(SUM($H$17:L$17)&gt;0,IF(Workings_risks!M31&gt;500,(Workings_risks!M31-500)/60*Workings_risks!$F$13*Workings_risks!M8,0),0)</f>
        <v>2.3437411402633046</v>
      </c>
      <c r="N45" s="328">
        <f>IF(SUM($H$17:M$17)&gt;0,IF(Workings_risks!N31&gt;500,(Workings_risks!N31-500)/60*Workings_risks!$F$13*Workings_risks!N8,0),0)</f>
        <v>2.3246627020846149</v>
      </c>
      <c r="O45" s="328">
        <f>IF(SUM($H$17:N$17)&gt;0,IF(Workings_risks!O31&gt;500,(Workings_risks!O31-500)/60*Workings_risks!$F$13*Workings_risks!O8,0),0)</f>
        <v>2.3132675335119175</v>
      </c>
      <c r="P45" s="328">
        <f>IF(SUM($H$17:O$17)&gt;0,IF(Workings_risks!P31&gt;500,(Workings_risks!P31-500)/60*Workings_risks!$F$13*Workings_risks!P8,0),0)</f>
        <v>2.3145525125206103</v>
      </c>
      <c r="Q45" s="328">
        <f>IF(SUM($H$17:P$17)&gt;0,IF(Workings_risks!Q31&gt;500,(Workings_risks!Q31-500)/60*Workings_risks!$F$13*Workings_risks!Q8,0),0)</f>
        <v>2.3230493880733638</v>
      </c>
      <c r="R45" s="328">
        <f>IF(SUM($H$17:Q$17)&gt;0,IF(Workings_risks!R31&gt;500,(Workings_risks!R31-500)/60*Workings_risks!$F$13*Workings_risks!R8,0),0)</f>
        <v>2.3034173788656531</v>
      </c>
      <c r="S45" s="328">
        <f>IF(SUM($H$17:R$17)&gt;0,IF(Workings_risks!S31&gt;500,(Workings_risks!S31-500)/60*Workings_risks!$F$13*Workings_risks!S8,0),0)</f>
        <v>2.3036150515082632</v>
      </c>
      <c r="T45" s="328">
        <f>IF(SUM($H$17:S$17)&gt;0,IF(Workings_risks!T31&gt;500,(Workings_risks!T31-500)/60*Workings_risks!$F$13*Workings_risks!T8,0),0)</f>
        <v>2.3038127241508715</v>
      </c>
      <c r="U45" s="328">
        <f>IF(SUM($H$17:T$17)&gt;0,IF(Workings_risks!U31&gt;500,(Workings_risks!U31-500)/60*Workings_risks!$F$13*Workings_risks!U8,0),0)</f>
        <v>2.3040103967934811</v>
      </c>
      <c r="V45" s="328">
        <f>IF(SUM($H$17:U$17)&gt;0,IF(Workings_risks!V31&gt;500,(Workings_risks!V31-500)/60*Workings_risks!$F$13*Workings_risks!V8,0),0)</f>
        <v>2.304208069436088</v>
      </c>
      <c r="W45" s="328">
        <f>IF(SUM($H$17:V$17)&gt;0,IF(Workings_risks!W31&gt;500,(Workings_risks!W31-500)/60*Workings_risks!$F$13*Workings_risks!W8,0),0)</f>
        <v>2.3044057420786976</v>
      </c>
      <c r="X45" s="328">
        <f>IF(SUM($H$17:W$17)&gt;0,IF(Workings_risks!X31&gt;500,(Workings_risks!X31-500)/60*Workings_risks!$F$13*Workings_risks!X8,0),0)</f>
        <v>2.3046034147213073</v>
      </c>
      <c r="Y45" s="328">
        <f>IF(SUM($H$17:X$17)&gt;0,IF(Workings_risks!Y31&gt;500,(Workings_risks!Y31-500)/60*Workings_risks!$F$13*Workings_risks!Y8,0),0)</f>
        <v>2.3048010873639142</v>
      </c>
      <c r="Z45" s="328">
        <f>IF(SUM($H$17:Y$17)&gt;0,IF(Workings_risks!Z31&gt;500,(Workings_risks!Z31-500)/60*Workings_risks!$F$13*Workings_risks!Z8,0),0)</f>
        <v>2.3049987600065243</v>
      </c>
      <c r="AA45" s="328">
        <f>IF(SUM($H$17:Z$17)&gt;0,IF(Workings_risks!AA31&gt;500,(Workings_risks!AA31-500)/60*Workings_risks!$F$13*Workings_risks!AA8,0),0)</f>
        <v>2.3051964326491339</v>
      </c>
      <c r="AB45" s="328">
        <f>IF(SUM($H$17:AA$17)&gt;0,IF(Workings_risks!AB31&gt;500,(Workings_risks!AB31-500)/60*Workings_risks!$F$13*Workings_risks!AB8,0),0)</f>
        <v>2.305394105291743</v>
      </c>
      <c r="AC45" s="328">
        <f>IF(SUM($H$17:AB$17)&gt;0,IF(Workings_risks!AC31&gt;500,(Workings_risks!AC31-500)/60*Workings_risks!$F$13*Workings_risks!AC8,0),0)</f>
        <v>2.3055917779343504</v>
      </c>
      <c r="AD45" s="328">
        <f>IF(SUM($H$17:AC$17)&gt;0,IF(Workings_risks!AD31&gt;500,(Workings_risks!AD31-500)/60*Workings_risks!$F$13*Workings_risks!AD8,0),0)</f>
        <v>2.3057894505769601</v>
      </c>
      <c r="AE45" s="328">
        <f>IF(SUM($H$17:AD$17)&gt;0,IF(Workings_risks!AE31&gt;500,(Workings_risks!AE31-500)/60*Workings_risks!$F$13*Workings_risks!AE8,0),0)</f>
        <v>2.3059871232195697</v>
      </c>
      <c r="AF45" s="328">
        <f>IF(SUM($H$17:AE$17)&gt;0,IF(Workings_risks!AF31&gt;500,(Workings_risks!AF31-500)/60*Workings_risks!$F$13*Workings_risks!AF8,0),0)</f>
        <v>2.3061847958621766</v>
      </c>
      <c r="AG45" s="328">
        <f>IF(SUM($H$17:AF$17)&gt;0,IF(Workings_risks!AG31&gt;500,(Workings_risks!AG31-500)/60*Workings_risks!$F$13*Workings_risks!AG8,0),0)</f>
        <v>2.3063824685047867</v>
      </c>
    </row>
    <row r="46" spans="1:16372" x14ac:dyDescent="0.2">
      <c r="C46" s="1" t="str">
        <f>'Option1 (base case)'!C46</f>
        <v>Incremental network resilience (domestic)</v>
      </c>
      <c r="D46" s="206" t="str">
        <f>'Option1 (base case)'!D46</f>
        <v>$/MWh</v>
      </c>
      <c r="E46" s="113">
        <f>'Option1 (base case)'!E46</f>
        <v>31030</v>
      </c>
      <c r="G46" s="208" t="s">
        <v>40</v>
      </c>
      <c r="I46" s="328">
        <f>IF(SUM($H$17:H$17)&gt;0,(('Reliability data'!$K$19*Workings_risks!I$27+IF(bushfire_outage_duration&gt;12,12,bushfire_outage_duration-12)*Workings_risks!I$26)+0.5*('Reliability data'!$K$20*Workings_risks!I$27+IF(bushfire_outage_duration&gt;24,bushfire_outage_duration-24,0)*Workings_risks!I$26))*Workings_risks!$F$13*Workings_risks!I$8,0)*Assumptions!$I43</f>
        <v>0</v>
      </c>
      <c r="J46" s="328">
        <f>IF(SUM($H$17:I$17)&gt;0,(('Reliability data'!$K$19*Workings_risks!J$27+IF(bushfire_outage_duration&gt;12,12,bushfire_outage_duration-12)*Workings_risks!J$26)+0.5*('Reliability data'!$K$20*Workings_risks!J$27+IF(bushfire_outage_duration&gt;24,bushfire_outage_duration-24,0)*Workings_risks!J$26))*Workings_risks!$F$13*Workings_risks!J$8,0)*Assumptions!$I43</f>
        <v>0</v>
      </c>
      <c r="K46" s="328">
        <f>IF(SUM($H$17:J$17)&gt;0,(('Reliability data'!$K$19*Workings_risks!K$27+IF(bushfire_outage_duration&gt;12,12,bushfire_outage_duration-12)*Workings_risks!K$26)+0.5*('Reliability data'!$K$20*Workings_risks!K$27+IF(bushfire_outage_duration&gt;24,bushfire_outage_duration-24,0)*Workings_risks!K$26))*Workings_risks!$F$13*Workings_risks!K$8,0)*Assumptions!$I43</f>
        <v>1.0702898775252392</v>
      </c>
      <c r="L46" s="328">
        <f>IF(SUM($H$17:K$17)&gt;0,(('Reliability data'!$K$19*Workings_risks!L$27+IF(bushfire_outage_duration&gt;12,12,bushfire_outage_duration-12)*Workings_risks!L$26)+0.5*('Reliability data'!$K$20*Workings_risks!L$27+IF(bushfire_outage_duration&gt;24,bushfire_outage_duration-24,0)*Workings_risks!L$26))*Workings_risks!$F$13*Workings_risks!L$8,0)*Assumptions!$I43</f>
        <v>1.0736727529506103</v>
      </c>
      <c r="M46" s="328">
        <f>IF(SUM($H$17:L$17)&gt;0,(('Reliability data'!$K$19*Workings_risks!M$27+IF(bushfire_outage_duration&gt;12,12,bushfire_outage_duration-12)*Workings_risks!M$26)+0.5*('Reliability data'!$K$20*Workings_risks!M$27+IF(bushfire_outage_duration&gt;24,bushfire_outage_duration-24,0)*Workings_risks!M$26))*Workings_risks!$F$13*Workings_risks!M$8,0)*Assumptions!$I43</f>
        <v>1.0738468388385012</v>
      </c>
      <c r="N46" s="328">
        <f>IF(SUM($H$17:M$17)&gt;0,(('Reliability data'!$K$19*Workings_risks!N$27+IF(bushfire_outage_duration&gt;12,12,bushfire_outage_duration-12)*Workings_risks!N$26)+0.5*('Reliability data'!$K$20*Workings_risks!N$27+IF(bushfire_outage_duration&gt;24,bushfire_outage_duration-24,0)*Workings_risks!N$26))*Workings_risks!$F$13*Workings_risks!N$8,0)*Assumptions!$I43</f>
        <v>1.0650537354213776</v>
      </c>
      <c r="O46" s="328">
        <f>IF(SUM($H$17:N$17)&gt;0,(('Reliability data'!$K$19*Workings_risks!O$27+IF(bushfire_outage_duration&gt;12,12,bushfire_outage_duration-12)*Workings_risks!O$26)+0.5*('Reliability data'!$K$20*Workings_risks!O$27+IF(bushfire_outage_duration&gt;24,bushfire_outage_duration-24,0)*Workings_risks!O$26))*Workings_risks!$F$13*Workings_risks!O$8,0)*Assumptions!$I43</f>
        <v>1.0597814415013329</v>
      </c>
      <c r="P46" s="328">
        <f>IF(SUM($H$17:O$17)&gt;0,(('Reliability data'!$K$19*Workings_risks!P$27+IF(bushfire_outage_duration&gt;12,12,bushfire_outage_duration-12)*Workings_risks!P$26)+0.5*('Reliability data'!$K$20*Workings_risks!P$27+IF(bushfire_outage_duration&gt;24,bushfire_outage_duration-24,0)*Workings_risks!P$26))*Workings_risks!$F$13*Workings_risks!P$8,0)*Assumptions!$I43</f>
        <v>1.0603185606985028</v>
      </c>
      <c r="Q46" s="328">
        <f>IF(SUM($H$17:P$17)&gt;0,(('Reliability data'!$K$19*Workings_risks!Q$27+IF(bushfire_outage_duration&gt;12,12,bushfire_outage_duration-12)*Workings_risks!Q$26)+0.5*('Reliability data'!$K$20*Workings_risks!Q$27+IF(bushfire_outage_duration&gt;24,bushfire_outage_duration-24,0)*Workings_risks!Q$26))*Workings_risks!$F$13*Workings_risks!Q$8,0)*Assumptions!$I43</f>
        <v>1.0641593093575756</v>
      </c>
      <c r="R46" s="328">
        <f>IF(SUM($H$17:Q$17)&gt;0,(('Reliability data'!$K$19*Workings_risks!R$27+IF(bushfire_outage_duration&gt;12,12,bushfire_outage_duration-12)*Workings_risks!R$26)+0.5*('Reliability data'!$K$20*Workings_risks!R$27+IF(bushfire_outage_duration&gt;24,bushfire_outage_duration-24,0)*Workings_risks!R$26))*Workings_risks!$F$13*Workings_risks!R$8,0)*Assumptions!$I43</f>
        <v>1.055114831374631</v>
      </c>
      <c r="S46" s="328">
        <f>IF(SUM($H$17:R$17)&gt;0,(('Reliability data'!$K$19*Workings_risks!S$27+IF(bushfire_outage_duration&gt;12,12,bushfire_outage_duration-12)*Workings_risks!S$26)+0.5*('Reliability data'!$K$20*Workings_risks!S$27+IF(bushfire_outage_duration&gt;24,bushfire_outage_duration-24,0)*Workings_risks!S$26))*Workings_risks!$F$13*Workings_risks!S$8,0)*Assumptions!$I43</f>
        <v>1.0551540778492698</v>
      </c>
      <c r="T46" s="328">
        <f>IF(SUM($H$17:S$17)&gt;0,(('Reliability data'!$K$19*Workings_risks!T$27+IF(bushfire_outage_duration&gt;12,12,bushfire_outage_duration-12)*Workings_risks!T$26)+0.5*('Reliability data'!$K$20*Workings_risks!T$27+IF(bushfire_outage_duration&gt;24,bushfire_outage_duration-24,0)*Workings_risks!T$26))*Workings_risks!$F$13*Workings_risks!T$8,0)*Assumptions!$I43</f>
        <v>1.0551933243239087</v>
      </c>
      <c r="U46" s="328">
        <f>IF(SUM($H$17:T$17)&gt;0,(('Reliability data'!$K$19*Workings_risks!U$27+IF(bushfire_outage_duration&gt;12,12,bushfire_outage_duration-12)*Workings_risks!U$26)+0.5*('Reliability data'!$K$20*Workings_risks!U$27+IF(bushfire_outage_duration&gt;24,bushfire_outage_duration-24,0)*Workings_risks!U$26))*Workings_risks!$F$13*Workings_risks!U$8,0)*Assumptions!$I43</f>
        <v>1.0552325707985473</v>
      </c>
      <c r="V46" s="328">
        <f>IF(SUM($H$17:U$17)&gt;0,(('Reliability data'!$K$19*Workings_risks!V$27+IF(bushfire_outage_duration&gt;12,12,bushfire_outage_duration-12)*Workings_risks!V$26)+0.5*('Reliability data'!$K$20*Workings_risks!V$27+IF(bushfire_outage_duration&gt;24,bushfire_outage_duration-24,0)*Workings_risks!V$26))*Workings_risks!$F$13*Workings_risks!V$8,0)*Assumptions!$I43</f>
        <v>1.0552718172731859</v>
      </c>
      <c r="W46" s="328">
        <f>IF(SUM($H$17:V$17)&gt;0,(('Reliability data'!$K$19*Workings_risks!W$27+IF(bushfire_outage_duration&gt;12,12,bushfire_outage_duration-12)*Workings_risks!W$26)+0.5*('Reliability data'!$K$20*Workings_risks!W$27+IF(bushfire_outage_duration&gt;24,bushfire_outage_duration-24,0)*Workings_risks!W$26))*Workings_risks!$F$13*Workings_risks!W$8,0)*Assumptions!$I43</f>
        <v>1.0553110637478247</v>
      </c>
      <c r="X46" s="328">
        <f>IF(SUM($H$17:W$17)&gt;0,(('Reliability data'!$K$19*Workings_risks!X$27+IF(bushfire_outage_duration&gt;12,12,bushfire_outage_duration-12)*Workings_risks!X$26)+0.5*('Reliability data'!$K$20*Workings_risks!X$27+IF(bushfire_outage_duration&gt;24,bushfire_outage_duration-24,0)*Workings_risks!X$26))*Workings_risks!$F$13*Workings_risks!X$8,0)*Assumptions!$I43</f>
        <v>1.0553503102224633</v>
      </c>
      <c r="Y46" s="328">
        <f>IF(SUM($H$17:X$17)&gt;0,(('Reliability data'!$K$19*Workings_risks!Y$27+IF(bushfire_outage_duration&gt;12,12,bushfire_outage_duration-12)*Workings_risks!Y$26)+0.5*('Reliability data'!$K$20*Workings_risks!Y$27+IF(bushfire_outage_duration&gt;24,bushfire_outage_duration-24,0)*Workings_risks!Y$26))*Workings_risks!$F$13*Workings_risks!Y$8,0)*Assumptions!$I43</f>
        <v>1.0553895566971019</v>
      </c>
      <c r="Z46" s="328">
        <f>IF(SUM($H$17:Y$17)&gt;0,(('Reliability data'!$K$19*Workings_risks!Z$27+IF(bushfire_outage_duration&gt;12,12,bushfire_outage_duration-12)*Workings_risks!Z$26)+0.5*('Reliability data'!$K$20*Workings_risks!Z$27+IF(bushfire_outage_duration&gt;24,bushfire_outage_duration-24,0)*Workings_risks!Z$26))*Workings_risks!$F$13*Workings_risks!Z$8,0)*Assumptions!$I43</f>
        <v>1.0554288031717407</v>
      </c>
      <c r="AA46" s="328">
        <f>IF(SUM($H$17:Z$17)&gt;0,(('Reliability data'!$K$19*Workings_risks!AA$27+IF(bushfire_outage_duration&gt;12,12,bushfire_outage_duration-12)*Workings_risks!AA$26)+0.5*('Reliability data'!$K$20*Workings_risks!AA$27+IF(bushfire_outage_duration&gt;24,bushfire_outage_duration-24,0)*Workings_risks!AA$26))*Workings_risks!$F$13*Workings_risks!AA$8,0)*Assumptions!$I43</f>
        <v>1.0554680496463795</v>
      </c>
      <c r="AB46" s="328">
        <f>IF(SUM($H$17:AA$17)&gt;0,(('Reliability data'!$K$19*Workings_risks!AB$27+IF(bushfire_outage_duration&gt;12,12,bushfire_outage_duration-12)*Workings_risks!AB$26)+0.5*('Reliability data'!$K$20*Workings_risks!AB$27+IF(bushfire_outage_duration&gt;24,bushfire_outage_duration-24,0)*Workings_risks!AB$26))*Workings_risks!$F$13*Workings_risks!AB$8,0)*Assumptions!$I43</f>
        <v>1.0555072961210183</v>
      </c>
      <c r="AC46" s="328">
        <f>IF(SUM($H$17:AB$17)&gt;0,(('Reliability data'!$K$19*Workings_risks!AC$27+IF(bushfire_outage_duration&gt;12,12,bushfire_outage_duration-12)*Workings_risks!AC$26)+0.5*('Reliability data'!$K$20*Workings_risks!AC$27+IF(bushfire_outage_duration&gt;24,bushfire_outage_duration-24,0)*Workings_risks!AC$26))*Workings_risks!$F$13*Workings_risks!AC$8,0)*Assumptions!$I43</f>
        <v>1.0555465425956567</v>
      </c>
      <c r="AD46" s="328">
        <f>IF(SUM($H$17:AC$17)&gt;0,(('Reliability data'!$K$19*Workings_risks!AD$27+IF(bushfire_outage_duration&gt;12,12,bushfire_outage_duration-12)*Workings_risks!AD$26)+0.5*('Reliability data'!$K$20*Workings_risks!AD$27+IF(bushfire_outage_duration&gt;24,bushfire_outage_duration-24,0)*Workings_risks!AD$26))*Workings_risks!$F$13*Workings_risks!AD$8,0)*Assumptions!$I43</f>
        <v>1.0555857890702955</v>
      </c>
      <c r="AE46" s="328">
        <f>IF(SUM($H$17:AD$17)&gt;0,(('Reliability data'!$K$19*Workings_risks!AE$27+IF(bushfire_outage_duration&gt;12,12,bushfire_outage_duration-12)*Workings_risks!AE$26)+0.5*('Reliability data'!$K$20*Workings_risks!AE$27+IF(bushfire_outage_duration&gt;24,bushfire_outage_duration-24,0)*Workings_risks!AE$26))*Workings_risks!$F$13*Workings_risks!AE$8,0)*Assumptions!$I43</f>
        <v>1.0556250355449344</v>
      </c>
      <c r="AF46" s="328">
        <f>IF(SUM($H$17:AE$17)&gt;0,(('Reliability data'!$K$19*Workings_risks!AF$27+IF(bushfire_outage_duration&gt;12,12,bushfire_outage_duration-12)*Workings_risks!AF$26)+0.5*('Reliability data'!$K$20*Workings_risks!AF$27+IF(bushfire_outage_duration&gt;24,bushfire_outage_duration-24,0)*Workings_risks!AF$26))*Workings_risks!$F$13*Workings_risks!AF$8,0)*Assumptions!$I43</f>
        <v>1.055664282019573</v>
      </c>
      <c r="AG46" s="328">
        <f>IF(SUM($H$17:AF$17)&gt;0,(('Reliability data'!$K$19*Workings_risks!AG$27+IF(bushfire_outage_duration&gt;12,12,bushfire_outage_duration-12)*Workings_risks!AG$26)+0.5*('Reliability data'!$K$20*Workings_risks!AG$27+IF(bushfire_outage_duration&gt;24,bushfire_outage_duration-24,0)*Workings_risks!AG$26))*Workings_risks!$F$13*Workings_risks!AG$8,0)*Assumptions!$I43</f>
        <v>1.0557035284942116</v>
      </c>
    </row>
    <row r="47" spans="1:16372" x14ac:dyDescent="0.2">
      <c r="C47" s="1" t="str">
        <f>'Option1 (base case)'!C47</f>
        <v>Incremental network resilience (commercial)</v>
      </c>
      <c r="D47" s="206" t="str">
        <f>'Option1 (base case)'!D47</f>
        <v>$/MWh</v>
      </c>
      <c r="E47" s="113">
        <f>'Option1 (base case)'!E47</f>
        <v>52200</v>
      </c>
      <c r="G47" s="208" t="s">
        <v>40</v>
      </c>
      <c r="I47" s="328">
        <f>IF(SUM($H$17:H$17)&gt;0,(0.5*('Reliability data'!$K$22*Workings_risks!I$27+IF(bushfire_outage_duration&gt;12,12,bushfire_outage_duration-12)*Workings_risks!I$26)-0.5*('Reliability data'!$K$23*Workings_risks!I$27+IF(bushfire_outage_duration&gt;72,bushfire_outage_duration-72,0)*Workings_risks!I$26))*Workings_risks!$F$13*Workings_risks!I$8,0)*Assumptions!$I44</f>
        <v>0</v>
      </c>
      <c r="J47" s="328">
        <f>IF(SUM($H$17:I$17)&gt;0,(0.5*('Reliability data'!$K$22*Workings_risks!J$27+IF(bushfire_outage_duration&gt;12,12,bushfire_outage_duration-12)*Workings_risks!J$26)-0.5*('Reliability data'!$K$23*Workings_risks!J$27+IF(bushfire_outage_duration&gt;72,bushfire_outage_duration-72,0)*Workings_risks!J$26))*Workings_risks!$F$13*Workings_risks!J$8,0)*Assumptions!$I44</f>
        <v>0</v>
      </c>
      <c r="K47" s="328">
        <f>IF(SUM($H$17:J$17)&gt;0,(0.5*('Reliability data'!$K$22*Workings_risks!K$27+IF(bushfire_outage_duration&gt;12,12,bushfire_outage_duration-12)*Workings_risks!K$26)-0.5*('Reliability data'!$K$23*Workings_risks!K$27+IF(bushfire_outage_duration&gt;72,bushfire_outage_duration-72,0)*Workings_risks!K$26))*Workings_risks!$F$13*Workings_risks!K$8,0)*Assumptions!$I44</f>
        <v>0.47959428582233243</v>
      </c>
      <c r="L47" s="328">
        <f>IF(SUM($H$17:K$17)&gt;0,(0.5*('Reliability data'!$K$22*Workings_risks!L$27+IF(bushfire_outage_duration&gt;12,12,bushfire_outage_duration-12)*Workings_risks!L$26)-0.5*('Reliability data'!$K$23*Workings_risks!L$27+IF(bushfire_outage_duration&gt;72,bushfire_outage_duration-72,0)*Workings_risks!L$26))*Workings_risks!$F$13*Workings_risks!L$8,0)*Assumptions!$I44</f>
        <v>0.48110825402563462</v>
      </c>
      <c r="M47" s="328">
        <f>IF(SUM($H$17:L$17)&gt;0,(0.5*('Reliability data'!$K$22*Workings_risks!M$27+IF(bushfire_outage_duration&gt;12,12,bushfire_outage_duration-12)*Workings_risks!M$26)-0.5*('Reliability data'!$K$23*Workings_risks!M$27+IF(bushfire_outage_duration&gt;72,bushfire_outage_duration-72,0)*Workings_risks!M$26))*Workings_risks!$F$13*Workings_risks!M$8,0)*Assumptions!$I44</f>
        <v>0.48118437440363498</v>
      </c>
      <c r="N47" s="328">
        <f>IF(SUM($H$17:M$17)&gt;0,(0.5*('Reliability data'!$K$22*Workings_risks!N$27+IF(bushfire_outage_duration&gt;12,12,bushfire_outage_duration-12)*Workings_risks!N$26)-0.5*('Reliability data'!$K$23*Workings_risks!N$27+IF(bushfire_outage_duration&gt;72,bushfire_outage_duration-72,0)*Workings_risks!N$26))*Workings_risks!$F$13*Workings_risks!N$8,0)*Assumptions!$I44</f>
        <v>0.47724399303836063</v>
      </c>
      <c r="O47" s="328">
        <f>IF(SUM($H$17:N$17)&gt;0,(0.5*('Reliability data'!$K$22*Workings_risks!O$27+IF(bushfire_outage_duration&gt;12,12,bushfire_outage_duration-12)*Workings_risks!O$26)-0.5*('Reliability data'!$K$23*Workings_risks!O$27+IF(bushfire_outage_duration&gt;72,bushfire_outage_duration-72,0)*Workings_risks!O$26))*Workings_risks!$F$13*Workings_risks!O$8,0)*Assumptions!$I44</f>
        <v>0.47488126787913332</v>
      </c>
      <c r="P47" s="328">
        <f>IF(SUM($H$17:O$17)&gt;0,(0.5*('Reliability data'!$K$22*Workings_risks!P$27+IF(bushfire_outage_duration&gt;12,12,bushfire_outage_duration-12)*Workings_risks!P$26)-0.5*('Reliability data'!$K$23*Workings_risks!P$27+IF(bushfire_outage_duration&gt;72,bushfire_outage_duration-72,0)*Workings_risks!P$26))*Workings_risks!$F$13*Workings_risks!P$8,0)*Assumptions!$I44</f>
        <v>0.47512170458689196</v>
      </c>
      <c r="Q47" s="328">
        <f>IF(SUM($H$17:P$17)&gt;0,(0.5*('Reliability data'!$K$22*Workings_risks!Q$27+IF(bushfire_outage_duration&gt;12,12,bushfire_outage_duration-12)*Workings_risks!Q$26)-0.5*('Reliability data'!$K$23*Workings_risks!Q$27+IF(bushfire_outage_duration&gt;72,bushfire_outage_duration-72,0)*Workings_risks!Q$26))*Workings_risks!$F$13*Workings_risks!Q$8,0)*Assumptions!$I44</f>
        <v>0.47684247472936536</v>
      </c>
      <c r="R47" s="328">
        <f>IF(SUM($H$17:Q$17)&gt;0,(0.5*('Reliability data'!$K$22*Workings_risks!R$27+IF(bushfire_outage_duration&gt;12,12,bushfire_outage_duration-12)*Workings_risks!R$26)-0.5*('Reliability data'!$K$23*Workings_risks!R$27+IF(bushfire_outage_duration&gt;72,bushfire_outage_duration-72,0)*Workings_risks!R$26))*Workings_risks!$F$13*Workings_risks!R$8,0)*Assumptions!$I44</f>
        <v>0.47278946455767185</v>
      </c>
      <c r="S47" s="328">
        <f>IF(SUM($H$17:R$17)&gt;0,(0.5*('Reliability data'!$K$22*Workings_risks!S$27+IF(bushfire_outage_duration&gt;12,12,bushfire_outage_duration-12)*Workings_risks!S$26)-0.5*('Reliability data'!$K$23*Workings_risks!S$27+IF(bushfire_outage_duration&gt;72,bushfire_outage_duration-72,0)*Workings_risks!S$26))*Workings_risks!$F$13*Workings_risks!S$8,0)*Assumptions!$I44</f>
        <v>0.47280680890153348</v>
      </c>
      <c r="T47" s="328">
        <f>IF(SUM($H$17:S$17)&gt;0,(0.5*('Reliability data'!$K$22*Workings_risks!T$27+IF(bushfire_outage_duration&gt;12,12,bushfire_outage_duration-12)*Workings_risks!T$26)-0.5*('Reliability data'!$K$23*Workings_risks!T$27+IF(bushfire_outage_duration&gt;72,bushfire_outage_duration-72,0)*Workings_risks!T$26))*Workings_risks!$F$13*Workings_risks!T$8,0)*Assumptions!$I44</f>
        <v>0.47282415324539512</v>
      </c>
      <c r="U47" s="328">
        <f>IF(SUM($H$17:T$17)&gt;0,(0.5*('Reliability data'!$K$22*Workings_risks!U$27+IF(bushfire_outage_duration&gt;12,12,bushfire_outage_duration-12)*Workings_risks!U$26)-0.5*('Reliability data'!$K$23*Workings_risks!U$27+IF(bushfire_outage_duration&gt;72,bushfire_outage_duration-72,0)*Workings_risks!U$26))*Workings_risks!$F$13*Workings_risks!U$8,0)*Assumptions!$I44</f>
        <v>0.47284149758925675</v>
      </c>
      <c r="V47" s="328">
        <f>IF(SUM($H$17:U$17)&gt;0,(0.5*('Reliability data'!$K$22*Workings_risks!V$27+IF(bushfire_outage_duration&gt;12,12,bushfire_outage_duration-12)*Workings_risks!V$26)-0.5*('Reliability data'!$K$23*Workings_risks!V$27+IF(bushfire_outage_duration&gt;72,bushfire_outage_duration-72,0)*Workings_risks!V$26))*Workings_risks!$F$13*Workings_risks!V$8,0)*Assumptions!$I44</f>
        <v>0.47285884193311822</v>
      </c>
      <c r="W47" s="328">
        <f>IF(SUM($H$17:V$17)&gt;0,(0.5*('Reliability data'!$K$22*Workings_risks!W$27+IF(bushfire_outage_duration&gt;12,12,bushfire_outage_duration-12)*Workings_risks!W$26)-0.5*('Reliability data'!$K$23*Workings_risks!W$27+IF(bushfire_outage_duration&gt;72,bushfire_outage_duration-72,0)*Workings_risks!W$26))*Workings_risks!$F$13*Workings_risks!W$8,0)*Assumptions!$I44</f>
        <v>0.47287618627697997</v>
      </c>
      <c r="X47" s="328">
        <f>IF(SUM($H$17:W$17)&gt;0,(0.5*('Reliability data'!$K$22*Workings_risks!X$27+IF(bushfire_outage_duration&gt;12,12,bushfire_outage_duration-12)*Workings_risks!X$26)-0.5*('Reliability data'!$K$23*Workings_risks!X$27+IF(bushfire_outage_duration&gt;72,bushfire_outage_duration-72,0)*Workings_risks!X$26))*Workings_risks!$F$13*Workings_risks!X$8,0)*Assumptions!$I44</f>
        <v>0.47289353062084166</v>
      </c>
      <c r="Y47" s="328">
        <f>IF(SUM($H$17:X$17)&gt;0,(0.5*('Reliability data'!$K$22*Workings_risks!Y$27+IF(bushfire_outage_duration&gt;12,12,bushfire_outage_duration-12)*Workings_risks!Y$26)-0.5*('Reliability data'!$K$23*Workings_risks!Y$27+IF(bushfire_outage_duration&gt;72,bushfire_outage_duration-72,0)*Workings_risks!Y$26))*Workings_risks!$F$13*Workings_risks!Y$8,0)*Assumptions!$I44</f>
        <v>0.47291087496470319</v>
      </c>
      <c r="Z47" s="328">
        <f>IF(SUM($H$17:Y$17)&gt;0,(0.5*('Reliability data'!$K$22*Workings_risks!Z$27+IF(bushfire_outage_duration&gt;12,12,bushfire_outage_duration-12)*Workings_risks!Z$26)-0.5*('Reliability data'!$K$23*Workings_risks!Z$27+IF(bushfire_outage_duration&gt;72,bushfire_outage_duration-72,0)*Workings_risks!Z$26))*Workings_risks!$F$13*Workings_risks!Z$8,0)*Assumptions!$I44</f>
        <v>0.47292821930856488</v>
      </c>
      <c r="AA47" s="328">
        <f>IF(SUM($H$17:Z$17)&gt;0,(0.5*('Reliability data'!$K$22*Workings_risks!AA$27+IF(bushfire_outage_duration&gt;12,12,bushfire_outage_duration-12)*Workings_risks!AA$26)-0.5*('Reliability data'!$K$23*Workings_risks!AA$27+IF(bushfire_outage_duration&gt;72,bushfire_outage_duration-72,0)*Workings_risks!AA$26))*Workings_risks!$F$13*Workings_risks!AA$8,0)*Assumptions!$I44</f>
        <v>0.47294556365242651</v>
      </c>
      <c r="AB47" s="328">
        <f>IF(SUM($H$17:AA$17)&gt;0,(0.5*('Reliability data'!$K$22*Workings_risks!AB$27+IF(bushfire_outage_duration&gt;12,12,bushfire_outage_duration-12)*Workings_risks!AB$26)-0.5*('Reliability data'!$K$23*Workings_risks!AB$27+IF(bushfire_outage_duration&gt;72,bushfire_outage_duration-72,0)*Workings_risks!AB$26))*Workings_risks!$F$13*Workings_risks!AB$8,0)*Assumptions!$I44</f>
        <v>0.47296290799628815</v>
      </c>
      <c r="AC47" s="328">
        <f>IF(SUM($H$17:AB$17)&gt;0,(0.5*('Reliability data'!$K$22*Workings_risks!AC$27+IF(bushfire_outage_duration&gt;12,12,bushfire_outage_duration-12)*Workings_risks!AC$26)-0.5*('Reliability data'!$K$23*Workings_risks!AC$27+IF(bushfire_outage_duration&gt;72,bushfire_outage_duration-72,0)*Workings_risks!AC$26))*Workings_risks!$F$13*Workings_risks!AC$8,0)*Assumptions!$I44</f>
        <v>0.47298025234014973</v>
      </c>
      <c r="AD47" s="328">
        <f>IF(SUM($H$17:AC$17)&gt;0,(0.5*('Reliability data'!$K$22*Workings_risks!AD$27+IF(bushfire_outage_duration&gt;12,12,bushfire_outage_duration-12)*Workings_risks!AD$26)-0.5*('Reliability data'!$K$23*Workings_risks!AD$27+IF(bushfire_outage_duration&gt;72,bushfire_outage_duration-72,0)*Workings_risks!AD$26))*Workings_risks!$F$13*Workings_risks!AD$8,0)*Assumptions!$I44</f>
        <v>0.47299759668401137</v>
      </c>
      <c r="AE47" s="328">
        <f>IF(SUM($H$17:AD$17)&gt;0,(0.5*('Reliability data'!$K$22*Workings_risks!AE$27+IF(bushfire_outage_duration&gt;12,12,bushfire_outage_duration-12)*Workings_risks!AE$26)-0.5*('Reliability data'!$K$23*Workings_risks!AE$27+IF(bushfire_outage_duration&gt;72,bushfire_outage_duration-72,0)*Workings_risks!AE$26))*Workings_risks!$F$13*Workings_risks!AE$8,0)*Assumptions!$I44</f>
        <v>0.473014941027873</v>
      </c>
      <c r="AF47" s="328">
        <f>IF(SUM($H$17:AE$17)&gt;0,(0.5*('Reliability data'!$K$22*Workings_risks!AF$27+IF(bushfire_outage_duration&gt;12,12,bushfire_outage_duration-12)*Workings_risks!AF$26)-0.5*('Reliability data'!$K$23*Workings_risks!AF$27+IF(bushfire_outage_duration&gt;72,bushfire_outage_duration-72,0)*Workings_risks!AF$26))*Workings_risks!$F$13*Workings_risks!AF$8,0)*Assumptions!$I44</f>
        <v>0.47303228537173458</v>
      </c>
      <c r="AG47" s="328">
        <f>IF(SUM($H$17:AF$17)&gt;0,(0.5*('Reliability data'!$K$22*Workings_risks!AG$27+IF(bushfire_outage_duration&gt;12,12,bushfire_outage_duration-12)*Workings_risks!AG$26)-0.5*('Reliability data'!$K$23*Workings_risks!AG$27+IF(bushfire_outage_duration&gt;72,bushfire_outage_duration-72,0)*Workings_risks!AG$26))*Workings_risks!$F$13*Workings_risks!AG$8,0)*Assumptions!$I44</f>
        <v>0.47304962971559622</v>
      </c>
    </row>
    <row r="48" spans="1:16372" x14ac:dyDescent="0.2">
      <c r="C48" s="1" t="str">
        <f>'Option1 (base case)'!C48</f>
        <v>Incremental network resilience (industrial)</v>
      </c>
      <c r="D48" s="206" t="str">
        <f>'Option1 (base case)'!D48</f>
        <v>$/customer</v>
      </c>
      <c r="E48" s="113">
        <f>'Option1 (base case)'!E48</f>
        <v>74790</v>
      </c>
      <c r="G48" s="208" t="s">
        <v>40</v>
      </c>
      <c r="I48" s="328">
        <f>IF(SUM($H$17:H$17)&gt;0,(0.5*('Reliability data'!$K$22*Workings_risks!I$27+IF(bushfire_outage_duration&gt;12,12,bushfire_outage_duration-12)*Workings_risks!I$26)-0.5*('Reliability data'!$K$23*Workings_risks!I$27+IF(bushfire_outage_duration&gt;72,bushfire_outage_duration-72,0)*Workings_risks!I$26))*Workings_risks!$F$13*Workings_risks!I$8,0)*Assumptions!$I45</f>
        <v>0</v>
      </c>
      <c r="J48" s="328">
        <f>IF(SUM($H$17:I$17)&gt;0,(0.5*('Reliability data'!$K$22*Workings_risks!J$27+IF(bushfire_outage_duration&gt;12,12,bushfire_outage_duration-12)*Workings_risks!J$26)-0.5*('Reliability data'!$K$23*Workings_risks!J$27+IF(bushfire_outage_duration&gt;72,bushfire_outage_duration-72,0)*Workings_risks!J$26))*Workings_risks!$F$13*Workings_risks!J$8,0)*Assumptions!$I45</f>
        <v>0</v>
      </c>
      <c r="K48" s="328">
        <f>IF(SUM($H$17:J$17)&gt;0,(0.5*('Reliability data'!$K$22*Workings_risks!K$27+IF(bushfire_outage_duration&gt;12,12,bushfire_outage_duration-12)*Workings_risks!K$26)-0.5*('Reliability data'!$K$23*Workings_risks!K$27+IF(bushfire_outage_duration&gt;72,bushfire_outage_duration-72,0)*Workings_risks!K$26))*Workings_risks!$F$13*Workings_risks!K$8,0)*Assumptions!$I45</f>
        <v>0.14433708627212205</v>
      </c>
      <c r="L48" s="328">
        <f>IF(SUM($H$17:K$17)&gt;0,(0.5*('Reliability data'!$K$22*Workings_risks!L$27+IF(bushfire_outage_duration&gt;12,12,bushfire_outage_duration-12)*Workings_risks!L$26)-0.5*('Reliability data'!$K$23*Workings_risks!L$27+IF(bushfire_outage_duration&gt;72,bushfire_outage_duration-72,0)*Workings_risks!L$26))*Workings_risks!$F$13*Workings_risks!L$8,0)*Assumptions!$I45</f>
        <v>0.1447927250602252</v>
      </c>
      <c r="M48" s="328">
        <f>IF(SUM($H$17:L$17)&gt;0,(0.5*('Reliability data'!$K$22*Workings_risks!M$27+IF(bushfire_outage_duration&gt;12,12,bushfire_outage_duration-12)*Workings_risks!M$26)-0.5*('Reliability data'!$K$23*Workings_risks!M$27+IF(bushfire_outage_duration&gt;72,bushfire_outage_duration-72,0)*Workings_risks!M$26))*Workings_risks!$F$13*Workings_risks!M$8,0)*Assumptions!$I45</f>
        <v>0.14481563399365352</v>
      </c>
      <c r="N48" s="328">
        <f>IF(SUM($H$17:M$17)&gt;0,(0.5*('Reliability data'!$K$22*Workings_risks!N$27+IF(bushfire_outage_duration&gt;12,12,bushfire_outage_duration-12)*Workings_risks!N$26)-0.5*('Reliability data'!$K$23*Workings_risks!N$27+IF(bushfire_outage_duration&gt;72,bushfire_outage_duration-72,0)*Workings_risks!N$26))*Workings_risks!$F$13*Workings_risks!N$8,0)*Assumptions!$I45</f>
        <v>0.14362975004574643</v>
      </c>
      <c r="O48" s="328">
        <f>IF(SUM($H$17:N$17)&gt;0,(0.5*('Reliability data'!$K$22*Workings_risks!O$27+IF(bushfire_outage_duration&gt;12,12,bushfire_outage_duration-12)*Workings_risks!O$26)-0.5*('Reliability data'!$K$23*Workings_risks!O$27+IF(bushfire_outage_duration&gt;72,bushfire_outage_duration-72,0)*Workings_risks!O$26))*Workings_risks!$F$13*Workings_risks!O$8,0)*Assumptions!$I45</f>
        <v>0.14291867221344914</v>
      </c>
      <c r="P48" s="328">
        <f>IF(SUM($H$17:O$17)&gt;0,(0.5*('Reliability data'!$K$22*Workings_risks!P$27+IF(bushfire_outage_duration&gt;12,12,bushfire_outage_duration-12)*Workings_risks!P$26)-0.5*('Reliability data'!$K$23*Workings_risks!P$27+IF(bushfire_outage_duration&gt;72,bushfire_outage_duration-72,0)*Workings_risks!P$26))*Workings_risks!$F$13*Workings_risks!P$8,0)*Assumptions!$I45</f>
        <v>0.14299103323787471</v>
      </c>
      <c r="Q48" s="328">
        <f>IF(SUM($H$17:P$17)&gt;0,(0.5*('Reliability data'!$K$22*Workings_risks!Q$27+IF(bushfire_outage_duration&gt;12,12,bushfire_outage_duration-12)*Workings_risks!Q$26)-0.5*('Reliability data'!$K$23*Workings_risks!Q$27+IF(bushfire_outage_duration&gt;72,bushfire_outage_duration-72,0)*Workings_risks!Q$26))*Workings_risks!$F$13*Workings_risks!Q$8,0)*Assumptions!$I45</f>
        <v>0.14350891044336062</v>
      </c>
      <c r="R48" s="328">
        <f>IF(SUM($H$17:Q$17)&gt;0,(0.5*('Reliability data'!$K$22*Workings_risks!R$27+IF(bushfire_outage_duration&gt;12,12,bushfire_outage_duration-12)*Workings_risks!R$26)-0.5*('Reliability data'!$K$23*Workings_risks!R$27+IF(bushfire_outage_duration&gt;72,bushfire_outage_duration-72,0)*Workings_risks!R$26))*Workings_risks!$F$13*Workings_risks!R$8,0)*Assumptions!$I45</f>
        <v>0.14228913010796637</v>
      </c>
      <c r="S48" s="328">
        <f>IF(SUM($H$17:R$17)&gt;0,(0.5*('Reliability data'!$K$22*Workings_risks!S$27+IF(bushfire_outage_duration&gt;12,12,bushfire_outage_duration-12)*Workings_risks!S$26)-0.5*('Reliability data'!$K$23*Workings_risks!S$27+IF(bushfire_outage_duration&gt;72,bushfire_outage_duration-72,0)*Workings_risks!S$26))*Workings_risks!$F$13*Workings_risks!S$8,0)*Assumptions!$I45</f>
        <v>0.14229435000347035</v>
      </c>
      <c r="T48" s="328">
        <f>IF(SUM($H$17:S$17)&gt;0,(0.5*('Reliability data'!$K$22*Workings_risks!T$27+IF(bushfire_outage_duration&gt;12,12,bushfire_outage_duration-12)*Workings_risks!T$26)-0.5*('Reliability data'!$K$23*Workings_risks!T$27+IF(bushfire_outage_duration&gt;72,bushfire_outage_duration-72,0)*Workings_risks!T$26))*Workings_risks!$F$13*Workings_risks!T$8,0)*Assumptions!$I45</f>
        <v>0.14229956989897433</v>
      </c>
      <c r="U48" s="328">
        <f>IF(SUM($H$17:T$17)&gt;0,(0.5*('Reliability data'!$K$22*Workings_risks!U$27+IF(bushfire_outage_duration&gt;12,12,bushfire_outage_duration-12)*Workings_risks!U$26)-0.5*('Reliability data'!$K$23*Workings_risks!U$27+IF(bushfire_outage_duration&gt;72,bushfire_outage_duration-72,0)*Workings_risks!U$26))*Workings_risks!$F$13*Workings_risks!U$8,0)*Assumptions!$I45</f>
        <v>0.14230478979447828</v>
      </c>
      <c r="V48" s="328">
        <f>IF(SUM($H$17:U$17)&gt;0,(0.5*('Reliability data'!$K$22*Workings_risks!V$27+IF(bushfire_outage_duration&gt;12,12,bushfire_outage_duration-12)*Workings_risks!V$26)-0.5*('Reliability data'!$K$23*Workings_risks!V$27+IF(bushfire_outage_duration&gt;72,bushfire_outage_duration-72,0)*Workings_risks!V$26))*Workings_risks!$F$13*Workings_risks!V$8,0)*Assumptions!$I45</f>
        <v>0.1423100096899822</v>
      </c>
      <c r="W48" s="328">
        <f>IF(SUM($H$17:V$17)&gt;0,(0.5*('Reliability data'!$K$22*Workings_risks!W$27+IF(bushfire_outage_duration&gt;12,12,bushfire_outage_duration-12)*Workings_risks!W$26)-0.5*('Reliability data'!$K$23*Workings_risks!W$27+IF(bushfire_outage_duration&gt;72,bushfire_outage_duration-72,0)*Workings_risks!W$26))*Workings_risks!$F$13*Workings_risks!W$8,0)*Assumptions!$I45</f>
        <v>0.1423152295854862</v>
      </c>
      <c r="X48" s="328">
        <f>IF(SUM($H$17:W$17)&gt;0,(0.5*('Reliability data'!$K$22*Workings_risks!X$27+IF(bushfire_outage_duration&gt;12,12,bushfire_outage_duration-12)*Workings_risks!X$26)-0.5*('Reliability data'!$K$23*Workings_risks!X$27+IF(bushfire_outage_duration&gt;72,bushfire_outage_duration-72,0)*Workings_risks!X$26))*Workings_risks!$F$13*Workings_risks!X$8,0)*Assumptions!$I45</f>
        <v>0.14232044948099015</v>
      </c>
      <c r="Y48" s="328">
        <f>IF(SUM($H$17:X$17)&gt;0,(0.5*('Reliability data'!$K$22*Workings_risks!Y$27+IF(bushfire_outage_duration&gt;12,12,bushfire_outage_duration-12)*Workings_risks!Y$26)-0.5*('Reliability data'!$K$23*Workings_risks!Y$27+IF(bushfire_outage_duration&gt;72,bushfire_outage_duration-72,0)*Workings_risks!Y$26))*Workings_risks!$F$13*Workings_risks!Y$8,0)*Assumptions!$I45</f>
        <v>0.1423256693764941</v>
      </c>
      <c r="Z48" s="328">
        <f>IF(SUM($H$17:Y$17)&gt;0,(0.5*('Reliability data'!$K$22*Workings_risks!Z$27+IF(bushfire_outage_duration&gt;12,12,bushfire_outage_duration-12)*Workings_risks!Z$26)-0.5*('Reliability data'!$K$23*Workings_risks!Z$27+IF(bushfire_outage_duration&gt;72,bushfire_outage_duration-72,0)*Workings_risks!Z$26))*Workings_risks!$F$13*Workings_risks!Z$8,0)*Assumptions!$I45</f>
        <v>0.14233088927199808</v>
      </c>
      <c r="AA48" s="328">
        <f>IF(SUM($H$17:Z$17)&gt;0,(0.5*('Reliability data'!$K$22*Workings_risks!AA$27+IF(bushfire_outage_duration&gt;12,12,bushfire_outage_duration-12)*Workings_risks!AA$26)-0.5*('Reliability data'!$K$23*Workings_risks!AA$27+IF(bushfire_outage_duration&gt;72,bushfire_outage_duration-72,0)*Workings_risks!AA$26))*Workings_risks!$F$13*Workings_risks!AA$8,0)*Assumptions!$I45</f>
        <v>0.14233610916750203</v>
      </c>
      <c r="AB48" s="328">
        <f>IF(SUM($H$17:AA$17)&gt;0,(0.5*('Reliability data'!$K$22*Workings_risks!AB$27+IF(bushfire_outage_duration&gt;12,12,bushfire_outage_duration-12)*Workings_risks!AB$26)-0.5*('Reliability data'!$K$23*Workings_risks!AB$27+IF(bushfire_outage_duration&gt;72,bushfire_outage_duration-72,0)*Workings_risks!AB$26))*Workings_risks!$F$13*Workings_risks!AB$8,0)*Assumptions!$I45</f>
        <v>0.14234132906300601</v>
      </c>
      <c r="AC48" s="328">
        <f>IF(SUM($H$17:AB$17)&gt;0,(0.5*('Reliability data'!$K$22*Workings_risks!AC$27+IF(bushfire_outage_duration&gt;12,12,bushfire_outage_duration-12)*Workings_risks!AC$26)-0.5*('Reliability data'!$K$23*Workings_risks!AC$27+IF(bushfire_outage_duration&gt;72,bushfire_outage_duration-72,0)*Workings_risks!AC$26))*Workings_risks!$F$13*Workings_risks!AC$8,0)*Assumptions!$I45</f>
        <v>0.14234654895850996</v>
      </c>
      <c r="AD48" s="328">
        <f>IF(SUM($H$17:AC$17)&gt;0,(0.5*('Reliability data'!$K$22*Workings_risks!AD$27+IF(bushfire_outage_duration&gt;12,12,bushfire_outage_duration-12)*Workings_risks!AD$26)-0.5*('Reliability data'!$K$23*Workings_risks!AD$27+IF(bushfire_outage_duration&gt;72,bushfire_outage_duration-72,0)*Workings_risks!AD$26))*Workings_risks!$F$13*Workings_risks!AD$8,0)*Assumptions!$I45</f>
        <v>0.1423517688540139</v>
      </c>
      <c r="AE48" s="328">
        <f>IF(SUM($H$17:AD$17)&gt;0,(0.5*('Reliability data'!$K$22*Workings_risks!AE$27+IF(bushfire_outage_duration&gt;12,12,bushfire_outage_duration-12)*Workings_risks!AE$26)-0.5*('Reliability data'!$K$23*Workings_risks!AE$27+IF(bushfire_outage_duration&gt;72,bushfire_outage_duration-72,0)*Workings_risks!AE$26))*Workings_risks!$F$13*Workings_risks!AE$8,0)*Assumptions!$I45</f>
        <v>0.14235698874951788</v>
      </c>
      <c r="AF48" s="328">
        <f>IF(SUM($H$17:AE$17)&gt;0,(0.5*('Reliability data'!$K$22*Workings_risks!AF$27+IF(bushfire_outage_duration&gt;12,12,bushfire_outage_duration-12)*Workings_risks!AF$26)-0.5*('Reliability data'!$K$23*Workings_risks!AF$27+IF(bushfire_outage_duration&gt;72,bushfire_outage_duration-72,0)*Workings_risks!AF$26))*Workings_risks!$F$13*Workings_risks!AF$8,0)*Assumptions!$I45</f>
        <v>0.14236220864502183</v>
      </c>
      <c r="AG48" s="328">
        <f>IF(SUM($H$17:AF$17)&gt;0,(0.5*('Reliability data'!$K$22*Workings_risks!AG$27+IF(bushfire_outage_duration&gt;12,12,bushfire_outage_duration-12)*Workings_risks!AG$26)-0.5*('Reliability data'!$K$23*Workings_risks!AG$27+IF(bushfire_outage_duration&gt;72,bushfire_outage_duration-72,0)*Workings_risks!AG$26))*Workings_risks!$F$13*Workings_risks!AG$8,0)*Assumptions!$I45</f>
        <v>0.14236742854052578</v>
      </c>
    </row>
    <row r="49" spans="1:43" x14ac:dyDescent="0.2">
      <c r="C49" s="1" t="str">
        <f>'Option1 (base case)'!C49</f>
        <v>Incremental network resilience (agricultural)</v>
      </c>
      <c r="D49" s="206" t="str">
        <f>'Option1 (base case)'!D49</f>
        <v>$/customer min</v>
      </c>
      <c r="E49" s="113">
        <f>'Option1 (base case)'!E49</f>
        <v>44400</v>
      </c>
      <c r="G49" s="208" t="s">
        <v>40</v>
      </c>
      <c r="I49" s="328">
        <f>IF(SUM($H$17:H$17)&gt;0,(0.5*('Reliability data'!$K$22*Workings_risks!I$27+IF(bushfire_outage_duration&gt;12,12,bushfire_outage_duration-12)*Workings_risks!I$26)-0.5*('Reliability data'!$K$23*Workings_risks!I$27+IF(bushfire_outage_duration&gt;72,bushfire_outage_duration-72,0)*Workings_risks!I$26))*Workings_risks!$F$13*Workings_risks!I$8,0)*Assumptions!$I46</f>
        <v>0</v>
      </c>
      <c r="J49" s="328">
        <f>IF(SUM($H$17:I$17)&gt;0,(0.5*('Reliability data'!$K$22*Workings_risks!J$27+IF(bushfire_outage_duration&gt;12,12,bushfire_outage_duration-12)*Workings_risks!J$26)-0.5*('Reliability data'!$K$23*Workings_risks!J$27+IF(bushfire_outage_duration&gt;72,bushfire_outage_duration-72,0)*Workings_risks!J$26))*Workings_risks!$F$13*Workings_risks!J$8,0)*Assumptions!$I46</f>
        <v>0</v>
      </c>
      <c r="K49" s="328">
        <f>IF(SUM($H$17:J$17)&gt;0,(0.5*('Reliability data'!$K$22*Workings_risks!K$27+IF(bushfire_outage_duration&gt;12,12,bushfire_outage_duration-12)*Workings_risks!K$26)-0.5*('Reliability data'!$K$23*Workings_risks!K$27+IF(bushfire_outage_duration&gt;72,bushfire_outage_duration-72,0)*Workings_risks!K$26))*Workings_risks!$F$13*Workings_risks!K$8,0)*Assumptions!$I46</f>
        <v>6.5915699179545428E-2</v>
      </c>
      <c r="L49" s="328">
        <f>IF(SUM($H$17:K$17)&gt;0,(0.5*('Reliability data'!$K$22*Workings_risks!L$27+IF(bushfire_outage_duration&gt;12,12,bushfire_outage_duration-12)*Workings_risks!L$26)-0.5*('Reliability data'!$K$23*Workings_risks!L$27+IF(bushfire_outage_duration&gt;72,bushfire_outage_duration-72,0)*Workings_risks!L$26))*Workings_risks!$F$13*Workings_risks!L$8,0)*Assumptions!$I46</f>
        <v>6.6123779791859544E-2</v>
      </c>
      <c r="M49" s="328">
        <f>IF(SUM($H$17:L$17)&gt;0,(0.5*('Reliability data'!$K$22*Workings_risks!M$27+IF(bushfire_outage_duration&gt;12,12,bushfire_outage_duration-12)*Workings_risks!M$26)-0.5*('Reliability data'!$K$23*Workings_risks!M$27+IF(bushfire_outage_duration&gt;72,bushfire_outage_duration-72,0)*Workings_risks!M$26))*Workings_risks!$F$13*Workings_risks!M$8,0)*Assumptions!$I46</f>
        <v>6.6134241817963763E-2</v>
      </c>
      <c r="N49" s="328">
        <f>IF(SUM($H$17:M$17)&gt;0,(0.5*('Reliability data'!$K$22*Workings_risks!N$27+IF(bushfire_outage_duration&gt;12,12,bushfire_outage_duration-12)*Workings_risks!N$26)-0.5*('Reliability data'!$K$23*Workings_risks!N$27+IF(bushfire_outage_duration&gt;72,bushfire_outage_duration-72,0)*Workings_risks!N$26))*Workings_risks!$F$13*Workings_risks!N$8,0)*Assumptions!$I46</f>
        <v>6.5592673662536793E-2</v>
      </c>
      <c r="O49" s="328">
        <f>IF(SUM($H$17:N$17)&gt;0,(0.5*('Reliability data'!$K$22*Workings_risks!O$27+IF(bushfire_outage_duration&gt;12,12,bushfire_outage_duration-12)*Workings_risks!O$26)-0.5*('Reliability data'!$K$23*Workings_risks!O$27+IF(bushfire_outage_duration&gt;72,bushfire_outage_duration-72,0)*Workings_risks!O$26))*Workings_risks!$F$13*Workings_risks!O$8,0)*Assumptions!$I46</f>
        <v>6.526793943311926E-2</v>
      </c>
      <c r="P49" s="328">
        <f>IF(SUM($H$17:O$17)&gt;0,(0.5*('Reliability data'!$K$22*Workings_risks!P$27+IF(bushfire_outage_duration&gt;12,12,bushfire_outage_duration-12)*Workings_risks!P$26)-0.5*('Reliability data'!$K$23*Workings_risks!P$27+IF(bushfire_outage_duration&gt;72,bushfire_outage_duration-72,0)*Workings_risks!P$26))*Workings_risks!$F$13*Workings_risks!P$8,0)*Assumptions!$I46</f>
        <v>6.53009851848491E-2</v>
      </c>
      <c r="Q49" s="328">
        <f>IF(SUM($H$17:P$17)&gt;0,(0.5*('Reliability data'!$K$22*Workings_risks!Q$27+IF(bushfire_outage_duration&gt;12,12,bushfire_outage_duration-12)*Workings_risks!Q$26)-0.5*('Reliability data'!$K$23*Workings_risks!Q$27+IF(bushfire_outage_duration&gt;72,bushfire_outage_duration-72,0)*Workings_risks!Q$26))*Workings_risks!$F$13*Workings_risks!Q$8,0)*Assumptions!$I46</f>
        <v>6.5537488768026578E-2</v>
      </c>
      <c r="R49" s="328">
        <f>IF(SUM($H$17:Q$17)&gt;0,(0.5*('Reliability data'!$K$22*Workings_risks!R$27+IF(bushfire_outage_duration&gt;12,12,bushfire_outage_duration-12)*Workings_risks!R$26)-0.5*('Reliability data'!$K$23*Workings_risks!R$27+IF(bushfire_outage_duration&gt;72,bushfire_outage_duration-72,0)*Workings_risks!R$26))*Workings_risks!$F$13*Workings_risks!R$8,0)*Assumptions!$I46</f>
        <v>6.4980440848260573E-2</v>
      </c>
      <c r="S49" s="328">
        <f>IF(SUM($H$17:R$17)&gt;0,(0.5*('Reliability data'!$K$22*Workings_risks!S$27+IF(bushfire_outage_duration&gt;12,12,bushfire_outage_duration-12)*Workings_risks!S$26)-0.5*('Reliability data'!$K$23*Workings_risks!S$27+IF(bushfire_outage_duration&gt;72,bushfire_outage_duration-72,0)*Workings_risks!S$26))*Workings_risks!$F$13*Workings_risks!S$8,0)*Assumptions!$I46</f>
        <v>6.4982824664303107E-2</v>
      </c>
      <c r="T49" s="328">
        <f>IF(SUM($H$17:S$17)&gt;0,(0.5*('Reliability data'!$K$22*Workings_risks!T$27+IF(bushfire_outage_duration&gt;12,12,bushfire_outage_duration-12)*Workings_risks!T$26)-0.5*('Reliability data'!$K$23*Workings_risks!T$27+IF(bushfire_outage_duration&gt;72,bushfire_outage_duration-72,0)*Workings_risks!T$26))*Workings_risks!$F$13*Workings_risks!T$8,0)*Assumptions!$I46</f>
        <v>6.4985208480345655E-2</v>
      </c>
      <c r="U49" s="328">
        <f>IF(SUM($H$17:T$17)&gt;0,(0.5*('Reliability data'!$K$22*Workings_risks!U$27+IF(bushfire_outage_duration&gt;12,12,bushfire_outage_duration-12)*Workings_risks!U$26)-0.5*('Reliability data'!$K$23*Workings_risks!U$27+IF(bushfire_outage_duration&gt;72,bushfire_outage_duration-72,0)*Workings_risks!U$26))*Workings_risks!$F$13*Workings_risks!U$8,0)*Assumptions!$I46</f>
        <v>6.4987592296388189E-2</v>
      </c>
      <c r="V49" s="328">
        <f>IF(SUM($H$17:U$17)&gt;0,(0.5*('Reliability data'!$K$22*Workings_risks!V$27+IF(bushfire_outage_duration&gt;12,12,bushfire_outage_duration-12)*Workings_risks!V$26)-0.5*('Reliability data'!$K$23*Workings_risks!V$27+IF(bushfire_outage_duration&gt;72,bushfire_outage_duration-72,0)*Workings_risks!V$26))*Workings_risks!$F$13*Workings_risks!V$8,0)*Assumptions!$I46</f>
        <v>6.4989976112430695E-2</v>
      </c>
      <c r="W49" s="328">
        <f>IF(SUM($H$17:V$17)&gt;0,(0.5*('Reliability data'!$K$22*Workings_risks!W$27+IF(bushfire_outage_duration&gt;12,12,bushfire_outage_duration-12)*Workings_risks!W$26)-0.5*('Reliability data'!$K$23*Workings_risks!W$27+IF(bushfire_outage_duration&gt;72,bushfire_outage_duration-72,0)*Workings_risks!W$26))*Workings_risks!$F$13*Workings_risks!W$8,0)*Assumptions!$I46</f>
        <v>6.4992359928473242E-2</v>
      </c>
      <c r="X49" s="328">
        <f>IF(SUM($H$17:W$17)&gt;0,(0.5*('Reliability data'!$K$22*Workings_risks!X$27+IF(bushfire_outage_duration&gt;12,12,bushfire_outage_duration-12)*Workings_risks!X$26)-0.5*('Reliability data'!$K$23*Workings_risks!X$27+IF(bushfire_outage_duration&gt;72,bushfire_outage_duration-72,0)*Workings_risks!X$26))*Workings_risks!$F$13*Workings_risks!X$8,0)*Assumptions!$I46</f>
        <v>6.4994743744515776E-2</v>
      </c>
      <c r="Y49" s="328">
        <f>IF(SUM($H$17:X$17)&gt;0,(0.5*('Reliability data'!$K$22*Workings_risks!Y$27+IF(bushfire_outage_duration&gt;12,12,bushfire_outage_duration-12)*Workings_risks!Y$26)-0.5*('Reliability data'!$K$23*Workings_risks!Y$27+IF(bushfire_outage_duration&gt;72,bushfire_outage_duration-72,0)*Workings_risks!Y$26))*Workings_risks!$F$13*Workings_risks!Y$8,0)*Assumptions!$I46</f>
        <v>6.4997127560558296E-2</v>
      </c>
      <c r="Z49" s="328">
        <f>IF(SUM($H$17:Y$17)&gt;0,(0.5*('Reliability data'!$K$22*Workings_risks!Z$27+IF(bushfire_outage_duration&gt;12,12,bushfire_outage_duration-12)*Workings_risks!Z$26)-0.5*('Reliability data'!$K$23*Workings_risks!Z$27+IF(bushfire_outage_duration&gt;72,bushfire_outage_duration-72,0)*Workings_risks!Z$26))*Workings_risks!$F$13*Workings_risks!Z$8,0)*Assumptions!$I46</f>
        <v>6.499951137660083E-2</v>
      </c>
      <c r="AA49" s="328">
        <f>IF(SUM($H$17:Z$17)&gt;0,(0.5*('Reliability data'!$K$22*Workings_risks!AA$27+IF(bushfire_outage_duration&gt;12,12,bushfire_outage_duration-12)*Workings_risks!AA$26)-0.5*('Reliability data'!$K$23*Workings_risks!AA$27+IF(bushfire_outage_duration&gt;72,bushfire_outage_duration-72,0)*Workings_risks!AA$26))*Workings_risks!$F$13*Workings_risks!AA$8,0)*Assumptions!$I46</f>
        <v>6.5001895192643364E-2</v>
      </c>
      <c r="AB49" s="328">
        <f>IF(SUM($H$17:AA$17)&gt;0,(0.5*('Reliability data'!$K$22*Workings_risks!AB$27+IF(bushfire_outage_duration&gt;12,12,bushfire_outage_duration-12)*Workings_risks!AB$26)-0.5*('Reliability data'!$K$23*Workings_risks!AB$27+IF(bushfire_outage_duration&gt;72,bushfire_outage_duration-72,0)*Workings_risks!AB$26))*Workings_risks!$F$13*Workings_risks!AB$8,0)*Assumptions!$I46</f>
        <v>6.5004279008685897E-2</v>
      </c>
      <c r="AC49" s="328">
        <f>IF(SUM($H$17:AB$17)&gt;0,(0.5*('Reliability data'!$K$22*Workings_risks!AC$27+IF(bushfire_outage_duration&gt;12,12,bushfire_outage_duration-12)*Workings_risks!AC$26)-0.5*('Reliability data'!$K$23*Workings_risks!AC$27+IF(bushfire_outage_duration&gt;72,bushfire_outage_duration-72,0)*Workings_risks!AC$26))*Workings_risks!$F$13*Workings_risks!AC$8,0)*Assumptions!$I46</f>
        <v>6.5006662824728417E-2</v>
      </c>
      <c r="AD49" s="328">
        <f>IF(SUM($H$17:AC$17)&gt;0,(0.5*('Reliability data'!$K$22*Workings_risks!AD$27+IF(bushfire_outage_duration&gt;12,12,bushfire_outage_duration-12)*Workings_risks!AD$26)-0.5*('Reliability data'!$K$23*Workings_risks!AD$27+IF(bushfire_outage_duration&gt;72,bushfire_outage_duration-72,0)*Workings_risks!AD$26))*Workings_risks!$F$13*Workings_risks!AD$8,0)*Assumptions!$I46</f>
        <v>6.5009046640770965E-2</v>
      </c>
      <c r="AE49" s="328">
        <f>IF(SUM($H$17:AD$17)&gt;0,(0.5*('Reliability data'!$K$22*Workings_risks!AE$27+IF(bushfire_outage_duration&gt;12,12,bushfire_outage_duration-12)*Workings_risks!AE$26)-0.5*('Reliability data'!$K$23*Workings_risks!AE$27+IF(bushfire_outage_duration&gt;72,bushfire_outage_duration-72,0)*Workings_risks!AE$26))*Workings_risks!$F$13*Workings_risks!AE$8,0)*Assumptions!$I46</f>
        <v>6.5011430456813499E-2</v>
      </c>
      <c r="AF49" s="328">
        <f>IF(SUM($H$17:AE$17)&gt;0,(0.5*('Reliability data'!$K$22*Workings_risks!AF$27+IF(bushfire_outage_duration&gt;12,12,bushfire_outage_duration-12)*Workings_risks!AF$26)-0.5*('Reliability data'!$K$23*Workings_risks!AF$27+IF(bushfire_outage_duration&gt;72,bushfire_outage_duration-72,0)*Workings_risks!AF$26))*Workings_risks!$F$13*Workings_risks!AF$8,0)*Assumptions!$I46</f>
        <v>6.5013814272856019E-2</v>
      </c>
      <c r="AG49" s="328">
        <f>IF(SUM($H$17:AF$17)&gt;0,(0.5*('Reliability data'!$K$22*Workings_risks!AG$27+IF(bushfire_outage_duration&gt;12,12,bushfire_outage_duration-12)*Workings_risks!AG$26)-0.5*('Reliability data'!$K$23*Workings_risks!AG$27+IF(bushfire_outage_duration&gt;72,bushfire_outage_duration-72,0)*Workings_risks!AG$26))*Workings_risks!$F$13*Workings_risks!AG$8,0)*Assumptions!$I46</f>
        <v>6.5016198088898552E-2</v>
      </c>
    </row>
    <row r="50" spans="1:43" x14ac:dyDescent="0.2">
      <c r="C50" s="1" t="str">
        <f>'Option1 (base case)'!C50</f>
        <v>Incremental network resilience (others)</v>
      </c>
      <c r="D50" s="206" t="str">
        <f>'Option1 (base case)'!D50</f>
        <v>$/customer min</v>
      </c>
      <c r="E50" s="113">
        <f>'Option1 (base case)'!E50</f>
        <v>52200</v>
      </c>
      <c r="G50" s="208" t="s">
        <v>40</v>
      </c>
      <c r="I50" s="328">
        <f>IF(SUM($H$17:H$17)&gt;0,(0.5*('Reliability data'!$K$22*Workings_risks!I$27+IF(bushfire_outage_duration&gt;12,12,bushfire_outage_duration-12)*Workings_risks!I$26)-0.5*('Reliability data'!$K$23*Workings_risks!I$27+IF(bushfire_outage_duration&gt;72,bushfire_outage_duration-72,0)*Workings_risks!I$26))*Workings_risks!$F$13*Workings_risks!I$8,0)*Assumptions!$I47</f>
        <v>0</v>
      </c>
      <c r="J50" s="328">
        <f>IF(SUM($H$17:I$17)&gt;0,(0.5*('Reliability data'!$K$22*Workings_risks!J$27+IF(bushfire_outage_duration&gt;12,12,bushfire_outage_duration-12)*Workings_risks!J$26)-0.5*('Reliability data'!$K$23*Workings_risks!J$27+IF(bushfire_outage_duration&gt;72,bushfire_outage_duration-72,0)*Workings_risks!J$26))*Workings_risks!$F$13*Workings_risks!J$8,0)*Assumptions!$I47</f>
        <v>0</v>
      </c>
      <c r="K50" s="328">
        <f>IF(SUM($H$17:J$17)&gt;0,(0.5*('Reliability data'!$K$22*Workings_risks!K$27+IF(bushfire_outage_duration&gt;12,12,bushfire_outage_duration-12)*Workings_risks!K$26)-0.5*('Reliability data'!$K$23*Workings_risks!K$27+IF(bushfire_outage_duration&gt;72,bushfire_outage_duration-72,0)*Workings_risks!K$26))*Workings_risks!$F$13*Workings_risks!K$8,0)*Assumptions!$I47</f>
        <v>0</v>
      </c>
      <c r="L50" s="328">
        <f>IF(SUM($H$17:K$17)&gt;0,(0.5*('Reliability data'!$K$22*Workings_risks!L$27+IF(bushfire_outage_duration&gt;12,12,bushfire_outage_duration-12)*Workings_risks!L$26)-0.5*('Reliability data'!$K$23*Workings_risks!L$27+IF(bushfire_outage_duration&gt;72,bushfire_outage_duration-72,0)*Workings_risks!L$26))*Workings_risks!$F$13*Workings_risks!L$8,0)*Assumptions!$I47</f>
        <v>0</v>
      </c>
      <c r="M50" s="328">
        <f>IF(SUM($H$17:L$17)&gt;0,(0.5*('Reliability data'!$K$22*Workings_risks!M$27+IF(bushfire_outage_duration&gt;12,12,bushfire_outage_duration-12)*Workings_risks!M$26)-0.5*('Reliability data'!$K$23*Workings_risks!M$27+IF(bushfire_outage_duration&gt;72,bushfire_outage_duration-72,0)*Workings_risks!M$26))*Workings_risks!$F$13*Workings_risks!M$8,0)*Assumptions!$I47</f>
        <v>0</v>
      </c>
      <c r="N50" s="328">
        <f>IF(SUM($H$17:M$17)&gt;0,(0.5*('Reliability data'!$K$22*Workings_risks!N$27+IF(bushfire_outage_duration&gt;12,12,bushfire_outage_duration-12)*Workings_risks!N$26)-0.5*('Reliability data'!$K$23*Workings_risks!N$27+IF(bushfire_outage_duration&gt;72,bushfire_outage_duration-72,0)*Workings_risks!N$26))*Workings_risks!$F$13*Workings_risks!N$8,0)*Assumptions!$I47</f>
        <v>0</v>
      </c>
      <c r="O50" s="328">
        <f>IF(SUM($H$17:N$17)&gt;0,(0.5*('Reliability data'!$K$22*Workings_risks!O$27+IF(bushfire_outage_duration&gt;12,12,bushfire_outage_duration-12)*Workings_risks!O$26)-0.5*('Reliability data'!$K$23*Workings_risks!O$27+IF(bushfire_outage_duration&gt;72,bushfire_outage_duration-72,0)*Workings_risks!O$26))*Workings_risks!$F$13*Workings_risks!O$8,0)*Assumptions!$I47</f>
        <v>0</v>
      </c>
      <c r="P50" s="328">
        <f>IF(SUM($H$17:O$17)&gt;0,(0.5*('Reliability data'!$K$22*Workings_risks!P$27+IF(bushfire_outage_duration&gt;12,12,bushfire_outage_duration-12)*Workings_risks!P$26)-0.5*('Reliability data'!$K$23*Workings_risks!P$27+IF(bushfire_outage_duration&gt;72,bushfire_outage_duration-72,0)*Workings_risks!P$26))*Workings_risks!$F$13*Workings_risks!P$8,0)*Assumptions!$I47</f>
        <v>0</v>
      </c>
      <c r="Q50" s="328">
        <f>IF(SUM($H$17:P$17)&gt;0,(0.5*('Reliability data'!$K$22*Workings_risks!Q$27+IF(bushfire_outage_duration&gt;12,12,bushfire_outage_duration-12)*Workings_risks!Q$26)-0.5*('Reliability data'!$K$23*Workings_risks!Q$27+IF(bushfire_outage_duration&gt;72,bushfire_outage_duration-72,0)*Workings_risks!Q$26))*Workings_risks!$F$13*Workings_risks!Q$8,0)*Assumptions!$I47</f>
        <v>0</v>
      </c>
      <c r="R50" s="328">
        <f>IF(SUM($H$17:Q$17)&gt;0,(0.5*('Reliability data'!$K$22*Workings_risks!R$27+IF(bushfire_outage_duration&gt;12,12,bushfire_outage_duration-12)*Workings_risks!R$26)-0.5*('Reliability data'!$K$23*Workings_risks!R$27+IF(bushfire_outage_duration&gt;72,bushfire_outage_duration-72,0)*Workings_risks!R$26))*Workings_risks!$F$13*Workings_risks!R$8,0)*Assumptions!$I47</f>
        <v>0</v>
      </c>
      <c r="S50" s="328">
        <f>IF(SUM($H$17:R$17)&gt;0,(0.5*('Reliability data'!$K$22*Workings_risks!S$27+IF(bushfire_outage_duration&gt;12,12,bushfire_outage_duration-12)*Workings_risks!S$26)-0.5*('Reliability data'!$K$23*Workings_risks!S$27+IF(bushfire_outage_duration&gt;72,bushfire_outage_duration-72,0)*Workings_risks!S$26))*Workings_risks!$F$13*Workings_risks!S$8,0)*Assumptions!$I47</f>
        <v>0</v>
      </c>
      <c r="T50" s="328">
        <f>IF(SUM($H$17:S$17)&gt;0,(0.5*('Reliability data'!$K$22*Workings_risks!T$27+IF(bushfire_outage_duration&gt;12,12,bushfire_outage_duration-12)*Workings_risks!T$26)-0.5*('Reliability data'!$K$23*Workings_risks!T$27+IF(bushfire_outage_duration&gt;72,bushfire_outage_duration-72,0)*Workings_risks!T$26))*Workings_risks!$F$13*Workings_risks!T$8,0)*Assumptions!$I47</f>
        <v>0</v>
      </c>
      <c r="U50" s="328">
        <f>IF(SUM($H$17:T$17)&gt;0,(0.5*('Reliability data'!$K$22*Workings_risks!U$27+IF(bushfire_outage_duration&gt;12,12,bushfire_outage_duration-12)*Workings_risks!U$26)-0.5*('Reliability data'!$K$23*Workings_risks!U$27+IF(bushfire_outage_duration&gt;72,bushfire_outage_duration-72,0)*Workings_risks!U$26))*Workings_risks!$F$13*Workings_risks!U$8,0)*Assumptions!$I47</f>
        <v>0</v>
      </c>
      <c r="V50" s="328">
        <f>IF(SUM($H$17:U$17)&gt;0,(0.5*('Reliability data'!$K$22*Workings_risks!V$27+IF(bushfire_outage_duration&gt;12,12,bushfire_outage_duration-12)*Workings_risks!V$26)-0.5*('Reliability data'!$K$23*Workings_risks!V$27+IF(bushfire_outage_duration&gt;72,bushfire_outage_duration-72,0)*Workings_risks!V$26))*Workings_risks!$F$13*Workings_risks!V$8,0)*Assumptions!$I47</f>
        <v>0</v>
      </c>
      <c r="W50" s="328">
        <f>IF(SUM($H$17:V$17)&gt;0,(0.5*('Reliability data'!$K$22*Workings_risks!W$27+IF(bushfire_outage_duration&gt;12,12,bushfire_outage_duration-12)*Workings_risks!W$26)-0.5*('Reliability data'!$K$23*Workings_risks!W$27+IF(bushfire_outage_duration&gt;72,bushfire_outage_duration-72,0)*Workings_risks!W$26))*Workings_risks!$F$13*Workings_risks!W$8,0)*Assumptions!$I47</f>
        <v>0</v>
      </c>
      <c r="X50" s="328">
        <f>IF(SUM($H$17:W$17)&gt;0,(0.5*('Reliability data'!$K$22*Workings_risks!X$27+IF(bushfire_outage_duration&gt;12,12,bushfire_outage_duration-12)*Workings_risks!X$26)-0.5*('Reliability data'!$K$23*Workings_risks!X$27+IF(bushfire_outage_duration&gt;72,bushfire_outage_duration-72,0)*Workings_risks!X$26))*Workings_risks!$F$13*Workings_risks!X$8,0)*Assumptions!$I47</f>
        <v>0</v>
      </c>
      <c r="Y50" s="328">
        <f>IF(SUM($H$17:X$17)&gt;0,(0.5*('Reliability data'!$K$22*Workings_risks!Y$27+IF(bushfire_outage_duration&gt;12,12,bushfire_outage_duration-12)*Workings_risks!Y$26)-0.5*('Reliability data'!$K$23*Workings_risks!Y$27+IF(bushfire_outage_duration&gt;72,bushfire_outage_duration-72,0)*Workings_risks!Y$26))*Workings_risks!$F$13*Workings_risks!Y$8,0)*Assumptions!$I47</f>
        <v>0</v>
      </c>
      <c r="Z50" s="328">
        <f>IF(SUM($H$17:Y$17)&gt;0,(0.5*('Reliability data'!$K$22*Workings_risks!Z$27+IF(bushfire_outage_duration&gt;12,12,bushfire_outage_duration-12)*Workings_risks!Z$26)-0.5*('Reliability data'!$K$23*Workings_risks!Z$27+IF(bushfire_outage_duration&gt;72,bushfire_outage_duration-72,0)*Workings_risks!Z$26))*Workings_risks!$F$13*Workings_risks!Z$8,0)*Assumptions!$I47</f>
        <v>0</v>
      </c>
      <c r="AA50" s="328">
        <f>IF(SUM($H$17:Z$17)&gt;0,(0.5*('Reliability data'!$K$22*Workings_risks!AA$27+IF(bushfire_outage_duration&gt;12,12,bushfire_outage_duration-12)*Workings_risks!AA$26)-0.5*('Reliability data'!$K$23*Workings_risks!AA$27+IF(bushfire_outage_duration&gt;72,bushfire_outage_duration-72,0)*Workings_risks!AA$26))*Workings_risks!$F$13*Workings_risks!AA$8,0)*Assumptions!$I47</f>
        <v>0</v>
      </c>
      <c r="AB50" s="328">
        <f>IF(SUM($H$17:AA$17)&gt;0,(0.5*('Reliability data'!$K$22*Workings_risks!AB$27+IF(bushfire_outage_duration&gt;12,12,bushfire_outage_duration-12)*Workings_risks!AB$26)-0.5*('Reliability data'!$K$23*Workings_risks!AB$27+IF(bushfire_outage_duration&gt;72,bushfire_outage_duration-72,0)*Workings_risks!AB$26))*Workings_risks!$F$13*Workings_risks!AB$8,0)*Assumptions!$I47</f>
        <v>0</v>
      </c>
      <c r="AC50" s="328">
        <f>IF(SUM($H$17:AB$17)&gt;0,(0.5*('Reliability data'!$K$22*Workings_risks!AC$27+IF(bushfire_outage_duration&gt;12,12,bushfire_outage_duration-12)*Workings_risks!AC$26)-0.5*('Reliability data'!$K$23*Workings_risks!AC$27+IF(bushfire_outage_duration&gt;72,bushfire_outage_duration-72,0)*Workings_risks!AC$26))*Workings_risks!$F$13*Workings_risks!AC$8,0)*Assumptions!$I47</f>
        <v>0</v>
      </c>
      <c r="AD50" s="328">
        <f>IF(SUM($H$17:AC$17)&gt;0,(0.5*('Reliability data'!$K$22*Workings_risks!AD$27+IF(bushfire_outage_duration&gt;12,12,bushfire_outage_duration-12)*Workings_risks!AD$26)-0.5*('Reliability data'!$K$23*Workings_risks!AD$27+IF(bushfire_outage_duration&gt;72,bushfire_outage_duration-72,0)*Workings_risks!AD$26))*Workings_risks!$F$13*Workings_risks!AD$8,0)*Assumptions!$I47</f>
        <v>0</v>
      </c>
      <c r="AE50" s="328">
        <f>IF(SUM($H$17:AD$17)&gt;0,(0.5*('Reliability data'!$K$22*Workings_risks!AE$27+IF(bushfire_outage_duration&gt;12,12,bushfire_outage_duration-12)*Workings_risks!AE$26)-0.5*('Reliability data'!$K$23*Workings_risks!AE$27+IF(bushfire_outage_duration&gt;72,bushfire_outage_duration-72,0)*Workings_risks!AE$26))*Workings_risks!$F$13*Workings_risks!AE$8,0)*Assumptions!$I47</f>
        <v>0</v>
      </c>
      <c r="AF50" s="328">
        <f>IF(SUM($H$17:AE$17)&gt;0,(0.5*('Reliability data'!$K$22*Workings_risks!AF$27+IF(bushfire_outage_duration&gt;12,12,bushfire_outage_duration-12)*Workings_risks!AF$26)-0.5*('Reliability data'!$K$23*Workings_risks!AF$27+IF(bushfire_outage_duration&gt;72,bushfire_outage_duration-72,0)*Workings_risks!AF$26))*Workings_risks!$F$13*Workings_risks!AF$8,0)*Assumptions!$I47</f>
        <v>0</v>
      </c>
      <c r="AG50" s="328">
        <f>IF(SUM($H$17:AF$17)&gt;0,(0.5*('Reliability data'!$K$22*Workings_risks!AG$27+IF(bushfire_outage_duration&gt;12,12,bushfire_outage_duration-12)*Workings_risks!AG$26)-0.5*('Reliability data'!$K$23*Workings_risks!AG$27+IF(bushfire_outage_duration&gt;72,bushfire_outage_duration-72,0)*Workings_risks!AG$26))*Workings_risks!$F$13*Workings_risks!AG$8,0)*Assumptions!$I47</f>
        <v>0</v>
      </c>
    </row>
    <row r="51" spans="1:43" x14ac:dyDescent="0.2">
      <c r="D51" s="206"/>
      <c r="E51" s="112"/>
      <c r="G51" s="208"/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D52" s="206"/>
      <c r="E52" s="112"/>
      <c r="G52" s="208"/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6"/>
      <c r="G53" s="208"/>
      <c r="H53" s="62"/>
      <c r="I53" s="329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6"/>
      <c r="G54" s="208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6"/>
      <c r="G55" s="208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6"/>
      <c r="G56" s="206"/>
    </row>
    <row r="57" spans="1:43" x14ac:dyDescent="0.2">
      <c r="C57" s="3" t="s">
        <v>125</v>
      </c>
      <c r="D57" s="219"/>
      <c r="E57" s="107"/>
      <c r="F57" s="3"/>
      <c r="G57" s="211">
        <f>input_dollars</f>
        <v>45291</v>
      </c>
      <c r="H57" s="107"/>
      <c r="I57" s="171" cm="1">
        <f t="array" ref="I57">SUMPRODUCT((I$45:I$52)*($E$45:$E$52))+SUM(I54:I55)+I42</f>
        <v>0</v>
      </c>
      <c r="J57" s="171" cm="1">
        <f t="array" ref="J57">SUMPRODUCT((J$45:J$52)*($E$45:$E$52))+SUM(J54:J55)+J42</f>
        <v>0</v>
      </c>
      <c r="K57" s="171" cm="1">
        <f t="array" ref="K57">SUMPRODUCT((K$45:K$52)*($E$45:$E$52))+SUM(K54:K55)+K42</f>
        <v>123860.33325383245</v>
      </c>
      <c r="L57" s="171" cm="1">
        <f t="array" ref="L57">SUMPRODUCT((L$45:L$52)*($E$45:$E$52))+SUM(L54:L55)+L42</f>
        <v>124353.42955251667</v>
      </c>
      <c r="M57" s="171" cm="1">
        <f t="array" ref="M57">SUMPRODUCT((M$45:M$52)*($E$45:$E$52))+SUM(M54:M55)+M42</f>
        <v>124475.02715941012</v>
      </c>
      <c r="N57" s="171" cm="1">
        <f t="array" ref="N57">SUMPRODUCT((N$45:N$52)*($E$45:$E$52))+SUM(N54:N55)+N42</f>
        <v>123458.2762575401</v>
      </c>
      <c r="O57" s="171" cm="1">
        <f t="array" ref="O57">SUMPRODUCT((O$45:O$52)*($E$45:$E$52))+SUM(O54:O55)+O42</f>
        <v>122849.61526183452</v>
      </c>
      <c r="P57" s="171" cm="1">
        <f t="array" ref="P57">SUMPRODUCT((P$45:P$52)*($E$45:$E$52))+SUM(P54:P55)+P42</f>
        <v>122914.36875791663</v>
      </c>
      <c r="Q57" s="171" cm="1">
        <f t="array" ref="Q57">SUMPRODUCT((Q$45:Q$52)*($E$45:$E$52))+SUM(Q54:Q55)+Q42</f>
        <v>123362.09606207997</v>
      </c>
      <c r="R57" s="171" cm="1">
        <f t="array" ref="R57">SUMPRODUCT((R$45:R$52)*($E$45:$E$52))+SUM(R54:R55)+R42</f>
        <v>122316.09798483962</v>
      </c>
      <c r="S57" s="171" cm="1">
        <f t="array" ref="S57">SUMPRODUCT((S$45:S$52)*($E$45:$E$52))+SUM(S54:S55)+S42</f>
        <v>122323.12578378544</v>
      </c>
      <c r="T57" s="171" cm="1">
        <f t="array" ref="T57">SUMPRODUCT((T$45:T$52)*($E$45:$E$52))+SUM(T54:T55)+T42</f>
        <v>122330.15358273123</v>
      </c>
      <c r="U57" s="171" cm="1">
        <f t="array" ref="U57">SUMPRODUCT((U$45:U$52)*($E$45:$E$52))+SUM(U54:U55)+U42</f>
        <v>122337.18138167702</v>
      </c>
      <c r="V57" s="171" cm="1">
        <f t="array" ref="V57">SUMPRODUCT((V$45:V$52)*($E$45:$E$52))+SUM(V54:V55)+V42</f>
        <v>122344.20918062275</v>
      </c>
      <c r="W57" s="171" cm="1">
        <f t="array" ref="W57">SUMPRODUCT((W$45:W$52)*($E$45:$E$52))+SUM(W54:W55)+W42</f>
        <v>122351.23697956855</v>
      </c>
      <c r="X57" s="171" cm="1">
        <f t="array" ref="X57">SUMPRODUCT((X$45:X$52)*($E$45:$E$52))+SUM(X54:X55)+X42</f>
        <v>122358.26477851436</v>
      </c>
      <c r="Y57" s="171" cm="1">
        <f t="array" ref="Y57">SUMPRODUCT((Y$45:Y$52)*($E$45:$E$52))+SUM(Y54:Y55)+Y42</f>
        <v>122365.2925774601</v>
      </c>
      <c r="Z57" s="171" cm="1">
        <f t="array" ref="Z57">SUMPRODUCT((Z$45:Z$52)*($E$45:$E$52))+SUM(Z54:Z55)+Z42</f>
        <v>122372.32037640593</v>
      </c>
      <c r="AA57" s="171" cm="1">
        <f t="array" ref="AA57">SUMPRODUCT((AA$45:AA$52)*($E$45:$E$52))+SUM(AA54:AA55)+AA42</f>
        <v>122379.34817535171</v>
      </c>
      <c r="AB57" s="171" cm="1">
        <f t="array" ref="AB57">SUMPRODUCT((AB$45:AB$52)*($E$45:$E$52))+SUM(AB54:AB55)+AB42</f>
        <v>122386.37597429752</v>
      </c>
      <c r="AC57" s="171" cm="1">
        <f t="array" ref="AC57">SUMPRODUCT((AC$45:AC$52)*($E$45:$E$52))+SUM(AC54:AC55)+AC42</f>
        <v>122393.40377324326</v>
      </c>
      <c r="AD57" s="171" cm="1">
        <f t="array" ref="AD57">SUMPRODUCT((AD$45:AD$52)*($E$45:$E$52))+SUM(AD54:AD55)+AD42</f>
        <v>122400.43157218905</v>
      </c>
      <c r="AE57" s="171" cm="1">
        <f t="array" ref="AE57">SUMPRODUCT((AE$45:AE$52)*($E$45:$E$52))+SUM(AE54:AE55)+AE42</f>
        <v>122407.45937113486</v>
      </c>
      <c r="AF57" s="171" cm="1">
        <f t="array" ref="AF57">SUMPRODUCT((AF$45:AF$52)*($E$45:$E$52))+SUM(AF54:AF55)+AF42</f>
        <v>122414.48717008061</v>
      </c>
      <c r="AG57" s="171" cm="1">
        <f t="array" ref="AG57">SUMPRODUCT((AG$45:AG$52)*($E$45:$E$52))+SUM(AG54:AG55)+AG42</f>
        <v>122421.51496902641</v>
      </c>
    </row>
    <row r="58" spans="1:43" x14ac:dyDescent="0.2">
      <c r="D58" s="206"/>
      <c r="G58" s="206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6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5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9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2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3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</row>
    <row r="64" spans="1:43" x14ac:dyDescent="0.2">
      <c r="C64" s="4" t="str">
        <f>'Option1 (base case)'!C64</f>
        <v>Risks mitigated vs base case</v>
      </c>
      <c r="G64" s="211">
        <f>input_dollars</f>
        <v>45291</v>
      </c>
      <c r="I64" s="133">
        <f>(1-INDEX(Data!$C$9:$C$13, MATCH($A$3, options,0)))*('Option1 (base case)'!I36-I36)</f>
        <v>0</v>
      </c>
      <c r="J64" s="133">
        <f>(1-INDEX(Data!$C$9:$C$13, MATCH($A$3, options,0)))*('Option1 (base case)'!J36-J36)</f>
        <v>0</v>
      </c>
      <c r="K64" s="133">
        <f>(1-INDEX(Data!$C$9:$C$13, MATCH($A$3, options,0)))*('Option1 (base case)'!K36-K36)</f>
        <v>470759.96479294222</v>
      </c>
      <c r="L64" s="133">
        <f>(1-INDEX(Data!$C$9:$C$13, MATCH($A$3, options,0)))*('Option1 (base case)'!L36-L36)</f>
        <v>472225.09973016992</v>
      </c>
      <c r="M64" s="133">
        <f>(1-INDEX(Data!$C$9:$C$13, MATCH($A$3, options,0)))*('Option1 (base case)'!M36-M36)</f>
        <v>472278.90523603372</v>
      </c>
      <c r="N64" s="133">
        <f>(1-INDEX(Data!$C$9:$C$13, MATCH($A$3, options,0)))*('Option1 (base case)'!N36-N36)</f>
        <v>468408.74512753892</v>
      </c>
      <c r="O64" s="133">
        <f>(1-INDEX(Data!$C$9:$C$13, MATCH($A$3, options,0)))*('Option1 (base case)'!O36-O36)</f>
        <v>466087.06989943486</v>
      </c>
      <c r="P64" s="133">
        <f>(1-INDEX(Data!$C$9:$C$13, MATCH($A$3, options,0)))*('Option1 (base case)'!P36-P36)</f>
        <v>466320.36151202949</v>
      </c>
      <c r="Q64" s="133">
        <f>(1-INDEX(Data!$C$9:$C$13, MATCH($A$3, options,0)))*('Option1 (base case)'!Q36-Q36)</f>
        <v>468006.55335923709</v>
      </c>
      <c r="R64" s="133">
        <f>(1-INDEX(Data!$C$9:$C$13, MATCH($A$3, options,0)))*('Option1 (base case)'!R36-R36)</f>
        <v>464025.96682093554</v>
      </c>
      <c r="S64" s="133">
        <f>(1-INDEX(Data!$C$9:$C$13, MATCH($A$3, options,0)))*('Option1 (base case)'!S36-S36)</f>
        <v>464040.31087025924</v>
      </c>
      <c r="T64" s="133">
        <f>(1-INDEX(Data!$C$9:$C$13, MATCH($A$3, options,0)))*('Option1 (base case)'!T36-T36)</f>
        <v>464054.65491958283</v>
      </c>
      <c r="U64" s="133">
        <f>(1-INDEX(Data!$C$9:$C$13, MATCH($A$3, options,0)))*('Option1 (base case)'!U36-U36)</f>
        <v>464068.99896890653</v>
      </c>
      <c r="V64" s="133">
        <f>(1-INDEX(Data!$C$9:$C$13, MATCH($A$3, options,0)))*('Option1 (base case)'!V36-V36)</f>
        <v>464083.34301823011</v>
      </c>
      <c r="W64" s="133">
        <f>(1-INDEX(Data!$C$9:$C$13, MATCH($A$3, options,0)))*('Option1 (base case)'!W36-W36)</f>
        <v>464097.68706755369</v>
      </c>
      <c r="X64" s="133">
        <f>(1-INDEX(Data!$C$9:$C$13, MATCH($A$3, options,0)))*('Option1 (base case)'!X36-X36)</f>
        <v>464112.03111687733</v>
      </c>
      <c r="Y64" s="133">
        <f>(1-INDEX(Data!$C$9:$C$13, MATCH($A$3, options,0)))*('Option1 (base case)'!Y36-Y36)</f>
        <v>464126.37516620086</v>
      </c>
      <c r="Z64" s="133">
        <f>(1-INDEX(Data!$C$9:$C$13, MATCH($A$3, options,0)))*('Option1 (base case)'!Z36-Z36)</f>
        <v>464140.7192155245</v>
      </c>
      <c r="AA64" s="133">
        <f>(1-INDEX(Data!$C$9:$C$13, MATCH($A$3, options,0)))*('Option1 (base case)'!AA36-AA36)</f>
        <v>464155.06326484826</v>
      </c>
      <c r="AB64" s="133">
        <f>(1-INDEX(Data!$C$9:$C$13, MATCH($A$3, options,0)))*('Option1 (base case)'!AB36-AB36)</f>
        <v>464169.4073141719</v>
      </c>
      <c r="AC64" s="133">
        <f>(1-INDEX(Data!$C$9:$C$13, MATCH($A$3, options,0)))*('Option1 (base case)'!AC36-AC36)</f>
        <v>464183.75136349536</v>
      </c>
      <c r="AD64" s="133">
        <f>(1-INDEX(Data!$C$9:$C$13, MATCH($A$3, options,0)))*('Option1 (base case)'!AD36-AD36)</f>
        <v>464198.09541281906</v>
      </c>
      <c r="AE64" s="133">
        <f>(1-INDEX(Data!$C$9:$C$13, MATCH($A$3, options,0)))*('Option1 (base case)'!AE36-AE36)</f>
        <v>464212.43946214271</v>
      </c>
      <c r="AF64" s="133">
        <f>(1-INDEX(Data!$C$9:$C$13, MATCH($A$3, options,0)))*('Option1 (base case)'!AF36-AF36)</f>
        <v>464226.78351146623</v>
      </c>
      <c r="AG64" s="133">
        <f>(1-INDEX(Data!$C$9:$C$13, MATCH($A$3, options,0)))*('Option1 (base case)'!AG36-AG36)</f>
        <v>464241.12756078981</v>
      </c>
    </row>
    <row r="65" spans="1:33" x14ac:dyDescent="0.2">
      <c r="G65" s="213"/>
    </row>
    <row r="66" spans="1:33" x14ac:dyDescent="0.2">
      <c r="A66" s="8"/>
      <c r="B66" s="8"/>
      <c r="C66" s="148" t="s">
        <v>30</v>
      </c>
      <c r="D66" s="38"/>
      <c r="F66" s="97"/>
      <c r="G66" s="214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Microgrid (exc BESS)</v>
      </c>
      <c r="D67" s="38"/>
      <c r="F67" s="97"/>
      <c r="G67" s="211">
        <f>input_dollars</f>
        <v>45291</v>
      </c>
      <c r="H67" s="31"/>
      <c r="I67" s="119">
        <f t="shared" ref="I67:AG67" si="5">-I14</f>
        <v>0</v>
      </c>
      <c r="J67" s="119">
        <f t="shared" si="5"/>
        <v>-2875475.8874999997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11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11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5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8" t="s">
        <v>160</v>
      </c>
      <c r="D71" s="38"/>
      <c r="F71" s="97"/>
      <c r="G71" s="214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Microgrid (exc BESS)</v>
      </c>
      <c r="D72" s="38"/>
      <c r="F72" s="97"/>
      <c r="G72" s="211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-2875475.8874999997</v>
      </c>
      <c r="K72" s="119" cm="1">
        <f t="array" ref="K72">SUMPRODUCT(($I67:K67))-SUMPRODUCT(($I67:K67)*($I$6:K$6&lt;=(K$6-$E14)))</f>
        <v>-2875475.8874999997</v>
      </c>
      <c r="L72" s="119" cm="1">
        <f t="array" ref="L72">SUMPRODUCT(($I67:L67))-SUMPRODUCT(($I67:L67)*($I$6:L$6&lt;=(L$6-$E14)))</f>
        <v>-2875475.8874999997</v>
      </c>
      <c r="M72" s="119" cm="1">
        <f t="array" ref="M72">SUMPRODUCT(($I67:M67))-SUMPRODUCT(($I67:M67)*($I$6:M$6&lt;=(M$6-$E14)))</f>
        <v>-2875475.8874999997</v>
      </c>
      <c r="N72" s="119" cm="1">
        <f t="array" ref="N72">SUMPRODUCT(($I67:N67))-SUMPRODUCT(($I67:N67)*($I$6:N$6&lt;=(N$6-$E14)))</f>
        <v>-2875475.8874999997</v>
      </c>
      <c r="O72" s="119" cm="1">
        <f t="array" ref="O72">SUMPRODUCT(($I67:O67))-SUMPRODUCT(($I67:O67)*($I$6:O$6&lt;=(O$6-$E14)))</f>
        <v>-2875475.8874999997</v>
      </c>
      <c r="P72" s="119" cm="1">
        <f t="array" ref="P72">SUMPRODUCT(($I67:P67))-SUMPRODUCT(($I67:P67)*($I$6:P$6&lt;=(P$6-$E14)))</f>
        <v>-2875475.8874999997</v>
      </c>
      <c r="Q72" s="119" cm="1">
        <f t="array" ref="Q72">SUMPRODUCT(($I67:Q67))-SUMPRODUCT(($I67:Q67)*($I$6:Q$6&lt;=(Q$6-$E14)))</f>
        <v>-2875475.8874999997</v>
      </c>
      <c r="R72" s="119" cm="1">
        <f t="array" ref="R72">SUMPRODUCT(($I67:R67))-SUMPRODUCT(($I67:R67)*($I$6:R$6&lt;=(R$6-$E14)))</f>
        <v>-2875475.8874999997</v>
      </c>
      <c r="S72" s="119" cm="1">
        <f t="array" ref="S72">SUMPRODUCT(($I67:S67))-SUMPRODUCT(($I67:S67)*($I$6:S$6&lt;=(S$6-$E14)))</f>
        <v>-2875475.8874999997</v>
      </c>
      <c r="T72" s="119" cm="1">
        <f t="array" ref="T72">SUMPRODUCT(($I67:T67))-SUMPRODUCT(($I67:T67)*($I$6:T$6&lt;=(T$6-$E14)))</f>
        <v>-2875475.8874999997</v>
      </c>
      <c r="U72" s="119" cm="1">
        <f t="array" ref="U72">SUMPRODUCT(($I67:U67))-SUMPRODUCT(($I67:U67)*($I$6:U$6&lt;=(U$6-$E14)))</f>
        <v>-2875475.8874999997</v>
      </c>
      <c r="V72" s="119" cm="1">
        <f t="array" ref="V72">SUMPRODUCT(($I67:V67))-SUMPRODUCT(($I67:V67)*($I$6:V$6&lt;=(V$6-$E14)))</f>
        <v>-2875475.8874999997</v>
      </c>
      <c r="W72" s="119" cm="1">
        <f t="array" ref="W72">SUMPRODUCT(($I67:W67))-SUMPRODUCT(($I67:W67)*($I$6:W$6&lt;=(W$6-$E14)))</f>
        <v>-2875475.8874999997</v>
      </c>
      <c r="X72" s="119" cm="1">
        <f t="array" ref="X72">SUMPRODUCT(($I67:X67))-SUMPRODUCT(($I67:X67)*($I$6:X$6&lt;=(X$6-$E14)))</f>
        <v>-2875475.8874999997</v>
      </c>
      <c r="Y72" s="119" cm="1">
        <f t="array" ref="Y72">SUMPRODUCT(($I67:Y67))-SUMPRODUCT(($I67:Y67)*($I$6:Y$6&lt;=(Y$6-$E14)))</f>
        <v>-2875475.8874999997</v>
      </c>
      <c r="Z72" s="119" cm="1">
        <f t="array" ref="Z72">SUMPRODUCT(($I67:Z67))-SUMPRODUCT(($I67:Z67)*($I$6:Z$6&lt;=(Z$6-$E14)))</f>
        <v>-2875475.8874999997</v>
      </c>
      <c r="AA72" s="119" cm="1">
        <f t="array" ref="AA72">SUMPRODUCT(($I67:AA67))-SUMPRODUCT(($I67:AA67)*($I$6:AA$6&lt;=(AA$6-$E14)))</f>
        <v>-2875475.8874999997</v>
      </c>
      <c r="AB72" s="119" cm="1">
        <f t="array" ref="AB72">SUMPRODUCT(($I67:AB67))-SUMPRODUCT(($I67:AB67)*($I$6:AB$6&lt;=(AB$6-$E14)))</f>
        <v>-2875475.8874999997</v>
      </c>
      <c r="AC72" s="119" cm="1">
        <f t="array" ref="AC72">SUMPRODUCT(($I67:AC67))-SUMPRODUCT(($I67:AC67)*($I$6:AC$6&lt;=(AC$6-$E14)))</f>
        <v>-2875475.8874999997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>
        <f>C15</f>
        <v>0</v>
      </c>
      <c r="D73" s="38"/>
      <c r="F73" s="97"/>
      <c r="G73" s="211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11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5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8" t="s">
        <v>91</v>
      </c>
      <c r="D76" s="38"/>
      <c r="F76" s="97"/>
      <c r="G76" s="214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Microgrid (exc BESS)</v>
      </c>
      <c r="D77" s="38"/>
      <c r="F77" s="97"/>
      <c r="G77" s="211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-202321.57970812789</v>
      </c>
      <c r="L77" s="119">
        <f t="shared" si="8"/>
        <v>-202321.57970812789</v>
      </c>
      <c r="M77" s="119">
        <f t="shared" si="8"/>
        <v>-202321.57970812789</v>
      </c>
      <c r="N77" s="119">
        <f t="shared" si="8"/>
        <v>-202321.57970812789</v>
      </c>
      <c r="O77" s="119">
        <f t="shared" si="8"/>
        <v>-202321.57970812789</v>
      </c>
      <c r="P77" s="119">
        <f t="shared" si="8"/>
        <v>-202321.57970812789</v>
      </c>
      <c r="Q77" s="119">
        <f t="shared" si="8"/>
        <v>-202321.57970812789</v>
      </c>
      <c r="R77" s="119">
        <f t="shared" si="8"/>
        <v>-202321.57970812789</v>
      </c>
      <c r="S77" s="119">
        <f t="shared" si="8"/>
        <v>-202321.57970812789</v>
      </c>
      <c r="T77" s="119">
        <f t="shared" si="8"/>
        <v>-202321.57970812789</v>
      </c>
      <c r="U77" s="119">
        <f t="shared" si="8"/>
        <v>-202321.57970812789</v>
      </c>
      <c r="V77" s="119">
        <f t="shared" si="8"/>
        <v>-202321.57970812789</v>
      </c>
      <c r="W77" s="119">
        <f t="shared" si="8"/>
        <v>-202321.57970812789</v>
      </c>
      <c r="X77" s="119">
        <f t="shared" si="8"/>
        <v>-202321.57970812789</v>
      </c>
      <c r="Y77" s="119">
        <f t="shared" si="8"/>
        <v>-202321.57970812789</v>
      </c>
      <c r="Z77" s="119">
        <f t="shared" si="8"/>
        <v>-202321.57970812789</v>
      </c>
      <c r="AA77" s="119">
        <f t="shared" si="8"/>
        <v>-202321.57970812789</v>
      </c>
      <c r="AB77" s="119">
        <f t="shared" si="8"/>
        <v>-202321.57970812789</v>
      </c>
      <c r="AC77" s="119">
        <f t="shared" si="8"/>
        <v>-202321.57970812789</v>
      </c>
      <c r="AD77" s="119">
        <f t="shared" si="8"/>
        <v>-202321.57970812789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11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11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3" t="s">
        <v>161</v>
      </c>
      <c r="D80" s="173"/>
      <c r="E80" s="174"/>
      <c r="F80" s="175"/>
      <c r="G80" s="216">
        <f>input_dollars</f>
        <v>45291</v>
      </c>
      <c r="H80" s="176"/>
      <c r="I80" s="177">
        <f>SUM(I77:I79)</f>
        <v>0</v>
      </c>
      <c r="J80" s="177">
        <f t="shared" ref="J80:AB80" si="11">SUM(J77:J79)</f>
        <v>0</v>
      </c>
      <c r="K80" s="177">
        <f t="shared" si="11"/>
        <v>-202321.57970812789</v>
      </c>
      <c r="L80" s="177">
        <f t="shared" si="11"/>
        <v>-202321.57970812789</v>
      </c>
      <c r="M80" s="177">
        <f t="shared" si="11"/>
        <v>-202321.57970812789</v>
      </c>
      <c r="N80" s="177">
        <f t="shared" si="11"/>
        <v>-202321.57970812789</v>
      </c>
      <c r="O80" s="177">
        <f t="shared" si="11"/>
        <v>-202321.57970812789</v>
      </c>
      <c r="P80" s="177">
        <f t="shared" si="11"/>
        <v>-202321.57970812789</v>
      </c>
      <c r="Q80" s="177">
        <f t="shared" si="11"/>
        <v>-202321.57970812789</v>
      </c>
      <c r="R80" s="177">
        <f t="shared" si="11"/>
        <v>-202321.57970812789</v>
      </c>
      <c r="S80" s="177">
        <f t="shared" si="11"/>
        <v>-202321.57970812789</v>
      </c>
      <c r="T80" s="177">
        <f t="shared" si="11"/>
        <v>-202321.57970812789</v>
      </c>
      <c r="U80" s="177">
        <f t="shared" si="11"/>
        <v>-202321.57970812789</v>
      </c>
      <c r="V80" s="177">
        <f t="shared" si="11"/>
        <v>-202321.57970812789</v>
      </c>
      <c r="W80" s="177">
        <f t="shared" si="11"/>
        <v>-202321.57970812789</v>
      </c>
      <c r="X80" s="177">
        <f t="shared" si="11"/>
        <v>-202321.57970812789</v>
      </c>
      <c r="Y80" s="177">
        <f t="shared" si="11"/>
        <v>-202321.57970812789</v>
      </c>
      <c r="Z80" s="177">
        <f t="shared" si="11"/>
        <v>-202321.57970812789</v>
      </c>
      <c r="AA80" s="177">
        <f t="shared" si="11"/>
        <v>-202321.57970812789</v>
      </c>
      <c r="AB80" s="177">
        <f t="shared" si="11"/>
        <v>-202321.57970812789</v>
      </c>
      <c r="AC80" s="177">
        <f>SUM(AC77:AC79)</f>
        <v>-202321.57970812789</v>
      </c>
      <c r="AD80" s="177">
        <f>SUM(AD77:AD79)</f>
        <v>-202321.57970812789</v>
      </c>
      <c r="AE80" s="177">
        <f>SUM(AE77:AE79)</f>
        <v>0</v>
      </c>
      <c r="AF80" s="177">
        <f>SUM(AF77:AF79)</f>
        <v>0</v>
      </c>
      <c r="AG80" s="177">
        <f>SUM(AG77:AG79)</f>
        <v>0</v>
      </c>
    </row>
    <row r="81" spans="1:33" x14ac:dyDescent="0.2">
      <c r="A81" s="8"/>
      <c r="B81" s="8"/>
      <c r="C81" s="75"/>
      <c r="D81" s="38"/>
      <c r="F81"/>
      <c r="G81" s="217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1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-202321.57970812789</v>
      </c>
      <c r="L82" s="119">
        <f t="shared" si="13"/>
        <v>-202321.57970812789</v>
      </c>
      <c r="M82" s="119">
        <f t="shared" si="13"/>
        <v>-202321.57970812789</v>
      </c>
      <c r="N82" s="119">
        <f t="shared" si="13"/>
        <v>-202321.57970812789</v>
      </c>
      <c r="O82" s="119">
        <f t="shared" si="13"/>
        <v>-202321.57970812789</v>
      </c>
      <c r="P82" s="119">
        <f t="shared" si="13"/>
        <v>-202321.57970812789</v>
      </c>
      <c r="Q82" s="119">
        <f t="shared" si="13"/>
        <v>-202321.57970812789</v>
      </c>
      <c r="R82" s="119">
        <f t="shared" si="13"/>
        <v>-202321.57970812789</v>
      </c>
      <c r="S82" s="119">
        <f t="shared" si="13"/>
        <v>-202321.57970812789</v>
      </c>
      <c r="T82" s="119">
        <f t="shared" si="13"/>
        <v>-202321.57970812789</v>
      </c>
      <c r="U82" s="119">
        <f t="shared" si="13"/>
        <v>-202321.57970812789</v>
      </c>
      <c r="V82" s="119">
        <f t="shared" si="13"/>
        <v>-202321.57970812789</v>
      </c>
      <c r="W82" s="119">
        <f t="shared" si="13"/>
        <v>-202321.57970812789</v>
      </c>
      <c r="X82" s="119">
        <f t="shared" si="13"/>
        <v>-202321.57970812789</v>
      </c>
      <c r="Y82" s="119">
        <f t="shared" si="13"/>
        <v>-202321.57970812789</v>
      </c>
      <c r="Z82" s="119">
        <f t="shared" si="13"/>
        <v>-202321.57970812789</v>
      </c>
      <c r="AA82" s="119">
        <f t="shared" si="13"/>
        <v>-202321.57970812789</v>
      </c>
      <c r="AB82" s="119">
        <f t="shared" si="13"/>
        <v>-202321.57970812789</v>
      </c>
      <c r="AC82" s="119">
        <f>AC80</f>
        <v>-202321.57970812789</v>
      </c>
      <c r="AD82" s="119">
        <f>AD80</f>
        <v>-202321.57970812789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1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-80000</v>
      </c>
      <c r="L83" s="31">
        <f t="shared" si="14"/>
        <v>-80000</v>
      </c>
      <c r="M83" s="31">
        <f t="shared" si="14"/>
        <v>-80000</v>
      </c>
      <c r="N83" s="31">
        <f t="shared" si="14"/>
        <v>-80000</v>
      </c>
      <c r="O83" s="31">
        <f t="shared" si="14"/>
        <v>-80000</v>
      </c>
      <c r="P83" s="31">
        <f t="shared" si="14"/>
        <v>-80000</v>
      </c>
      <c r="Q83" s="31">
        <f t="shared" si="14"/>
        <v>-80000</v>
      </c>
      <c r="R83" s="31">
        <f t="shared" si="14"/>
        <v>-80000</v>
      </c>
      <c r="S83" s="31">
        <f t="shared" si="14"/>
        <v>-80000</v>
      </c>
      <c r="T83" s="31">
        <f t="shared" si="14"/>
        <v>-80000</v>
      </c>
      <c r="U83" s="31">
        <f t="shared" si="14"/>
        <v>-80000</v>
      </c>
      <c r="V83" s="31">
        <f t="shared" si="14"/>
        <v>-80000</v>
      </c>
      <c r="W83" s="31">
        <f t="shared" si="14"/>
        <v>-80000</v>
      </c>
      <c r="X83" s="31">
        <f t="shared" si="14"/>
        <v>-80000</v>
      </c>
      <c r="Y83" s="31">
        <f t="shared" si="14"/>
        <v>-80000</v>
      </c>
      <c r="Z83" s="31">
        <f t="shared" si="14"/>
        <v>-80000</v>
      </c>
      <c r="AA83" s="31">
        <f t="shared" si="14"/>
        <v>-80000</v>
      </c>
      <c r="AB83" s="31">
        <f t="shared" si="14"/>
        <v>-80000</v>
      </c>
      <c r="AC83" s="31">
        <f t="shared" si="14"/>
        <v>-80000</v>
      </c>
      <c r="AD83" s="31">
        <f t="shared" si="14"/>
        <v>-80000</v>
      </c>
      <c r="AE83" s="31">
        <f t="shared" si="14"/>
        <v>-80000</v>
      </c>
      <c r="AF83" s="31">
        <f t="shared" si="14"/>
        <v>-80000</v>
      </c>
      <c r="AG83" s="31">
        <f t="shared" si="14"/>
        <v>-80000</v>
      </c>
    </row>
    <row r="84" spans="1:33" x14ac:dyDescent="0.2">
      <c r="A84" s="8"/>
      <c r="B84" s="8"/>
      <c r="C84" s="4" t="s">
        <v>142</v>
      </c>
      <c r="D84" s="38"/>
      <c r="F84" s="97"/>
      <c r="G84" s="211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470759.96479294222</v>
      </c>
      <c r="L84" s="31">
        <f t="shared" si="15"/>
        <v>472225.09973016992</v>
      </c>
      <c r="M84" s="31">
        <f t="shared" si="15"/>
        <v>472278.90523603372</v>
      </c>
      <c r="N84" s="31">
        <f t="shared" si="15"/>
        <v>468408.74512753892</v>
      </c>
      <c r="O84" s="31">
        <f t="shared" si="15"/>
        <v>466087.06989943486</v>
      </c>
      <c r="P84" s="31">
        <f t="shared" si="15"/>
        <v>466320.36151202949</v>
      </c>
      <c r="Q84" s="31">
        <f t="shared" si="15"/>
        <v>468006.55335923709</v>
      </c>
      <c r="R84" s="31">
        <f t="shared" si="15"/>
        <v>464025.96682093554</v>
      </c>
      <c r="S84" s="31">
        <f t="shared" si="15"/>
        <v>464040.31087025924</v>
      </c>
      <c r="T84" s="31">
        <f t="shared" si="15"/>
        <v>464054.65491958283</v>
      </c>
      <c r="U84" s="31">
        <f t="shared" si="15"/>
        <v>464068.99896890653</v>
      </c>
      <c r="V84" s="31">
        <f t="shared" si="15"/>
        <v>464083.34301823011</v>
      </c>
      <c r="W84" s="31">
        <f t="shared" si="15"/>
        <v>464097.68706755369</v>
      </c>
      <c r="X84" s="31">
        <f t="shared" si="15"/>
        <v>464112.03111687733</v>
      </c>
      <c r="Y84" s="31">
        <f t="shared" si="15"/>
        <v>464126.37516620086</v>
      </c>
      <c r="Z84" s="31">
        <f t="shared" si="15"/>
        <v>464140.7192155245</v>
      </c>
      <c r="AA84" s="31">
        <f t="shared" si="15"/>
        <v>464155.06326484826</v>
      </c>
      <c r="AB84" s="31">
        <f t="shared" si="15"/>
        <v>464169.4073141719</v>
      </c>
      <c r="AC84" s="31">
        <f>AC64</f>
        <v>464183.75136349536</v>
      </c>
      <c r="AD84" s="31">
        <f>AD64</f>
        <v>464198.09541281906</v>
      </c>
      <c r="AE84" s="31">
        <f>AE64</f>
        <v>464212.43946214271</v>
      </c>
      <c r="AF84" s="31">
        <f>AF64</f>
        <v>464226.78351146623</v>
      </c>
      <c r="AG84" s="31">
        <f>AG64</f>
        <v>464241.12756078981</v>
      </c>
    </row>
    <row r="85" spans="1:33" x14ac:dyDescent="0.2">
      <c r="A85" s="8"/>
      <c r="B85" s="8"/>
      <c r="C85" s="4" t="s">
        <v>122</v>
      </c>
      <c r="D85" s="38"/>
      <c r="F85" s="97"/>
      <c r="G85" s="211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123860.33325383245</v>
      </c>
      <c r="L85" s="31">
        <f t="shared" si="16"/>
        <v>124353.42955251667</v>
      </c>
      <c r="M85" s="31">
        <f t="shared" si="16"/>
        <v>124475.02715941012</v>
      </c>
      <c r="N85" s="31">
        <f t="shared" si="16"/>
        <v>123458.2762575401</v>
      </c>
      <c r="O85" s="31">
        <f t="shared" si="16"/>
        <v>122849.61526183452</v>
      </c>
      <c r="P85" s="31">
        <f t="shared" si="16"/>
        <v>122914.36875791663</v>
      </c>
      <c r="Q85" s="31">
        <f t="shared" si="16"/>
        <v>123362.09606207997</v>
      </c>
      <c r="R85" s="31">
        <f t="shared" si="16"/>
        <v>122316.09798483962</v>
      </c>
      <c r="S85" s="31">
        <f t="shared" si="16"/>
        <v>122323.12578378544</v>
      </c>
      <c r="T85" s="31">
        <f t="shared" si="16"/>
        <v>122330.15358273123</v>
      </c>
      <c r="U85" s="31">
        <f t="shared" si="16"/>
        <v>122337.18138167702</v>
      </c>
      <c r="V85" s="31">
        <f t="shared" si="16"/>
        <v>122344.20918062275</v>
      </c>
      <c r="W85" s="31">
        <f t="shared" si="16"/>
        <v>122351.23697956855</v>
      </c>
      <c r="X85" s="31">
        <f t="shared" si="16"/>
        <v>122358.26477851436</v>
      </c>
      <c r="Y85" s="31">
        <f t="shared" si="16"/>
        <v>122365.2925774601</v>
      </c>
      <c r="Z85" s="31">
        <f t="shared" si="16"/>
        <v>122372.32037640593</v>
      </c>
      <c r="AA85" s="31">
        <f t="shared" si="16"/>
        <v>122379.34817535171</v>
      </c>
      <c r="AB85" s="31">
        <f t="shared" si="16"/>
        <v>122386.37597429752</v>
      </c>
      <c r="AC85" s="31">
        <f t="shared" si="16"/>
        <v>122393.40377324326</v>
      </c>
      <c r="AD85" s="31">
        <f t="shared" si="16"/>
        <v>122400.43157218905</v>
      </c>
      <c r="AE85" s="31">
        <f t="shared" si="16"/>
        <v>122407.45937113486</v>
      </c>
      <c r="AF85" s="31">
        <f t="shared" si="16"/>
        <v>122414.48717008061</v>
      </c>
      <c r="AG85" s="31">
        <f t="shared" si="16"/>
        <v>122421.51496902641</v>
      </c>
    </row>
    <row r="86" spans="1:33" x14ac:dyDescent="0.2">
      <c r="A86" s="8"/>
      <c r="B86" s="8"/>
      <c r="C86" s="4"/>
      <c r="D86" s="38"/>
      <c r="F86" s="31"/>
      <c r="G86" s="21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8" t="s">
        <v>192</v>
      </c>
      <c r="D87" s="179"/>
      <c r="E87" s="174"/>
      <c r="F87" s="180"/>
      <c r="G87" s="216">
        <f t="shared" si="12"/>
        <v>45291</v>
      </c>
      <c r="H87" s="180"/>
      <c r="I87" s="180">
        <f t="shared" ref="I87:AB87" si="17">SUM(I82:I86)</f>
        <v>0</v>
      </c>
      <c r="J87" s="180">
        <f t="shared" si="17"/>
        <v>0</v>
      </c>
      <c r="K87" s="180">
        <f t="shared" si="17"/>
        <v>312298.71833864681</v>
      </c>
      <c r="L87" s="180">
        <f t="shared" si="17"/>
        <v>314256.9495745587</v>
      </c>
      <c r="M87" s="180">
        <f t="shared" si="17"/>
        <v>314432.35268731596</v>
      </c>
      <c r="N87" s="180">
        <f t="shared" si="17"/>
        <v>309545.44167695113</v>
      </c>
      <c r="O87" s="180">
        <f t="shared" si="17"/>
        <v>306615.1054531415</v>
      </c>
      <c r="P87" s="180">
        <f t="shared" si="17"/>
        <v>306913.15056181821</v>
      </c>
      <c r="Q87" s="180">
        <f t="shared" si="17"/>
        <v>309047.06971318915</v>
      </c>
      <c r="R87" s="180">
        <f t="shared" si="17"/>
        <v>304020.4850976473</v>
      </c>
      <c r="S87" s="180">
        <f t="shared" si="17"/>
        <v>304041.85694591678</v>
      </c>
      <c r="T87" s="180">
        <f t="shared" si="17"/>
        <v>304063.22879418614</v>
      </c>
      <c r="U87" s="180">
        <f t="shared" si="17"/>
        <v>304084.60064245563</v>
      </c>
      <c r="V87" s="180">
        <f t="shared" si="17"/>
        <v>304105.97249072499</v>
      </c>
      <c r="W87" s="180">
        <f t="shared" si="17"/>
        <v>304127.34433899436</v>
      </c>
      <c r="X87" s="180">
        <f t="shared" si="17"/>
        <v>304148.71618726384</v>
      </c>
      <c r="Y87" s="180">
        <f t="shared" si="17"/>
        <v>304170.08803553309</v>
      </c>
      <c r="Z87" s="180">
        <f t="shared" si="17"/>
        <v>304191.45988380257</v>
      </c>
      <c r="AA87" s="180">
        <f t="shared" si="17"/>
        <v>304212.83173207205</v>
      </c>
      <c r="AB87" s="180">
        <f t="shared" si="17"/>
        <v>304234.20358034153</v>
      </c>
      <c r="AC87" s="180">
        <f>SUM(AC82:AC86)</f>
        <v>304255.57542861073</v>
      </c>
      <c r="AD87" s="180">
        <f>SUM(AD82:AD86)</f>
        <v>304276.94727688021</v>
      </c>
      <c r="AE87" s="180">
        <f>SUM(AE82:AE86)</f>
        <v>506619.89883327758</v>
      </c>
      <c r="AF87" s="180">
        <f>SUM(AF82:AF86)</f>
        <v>506641.27068154683</v>
      </c>
      <c r="AG87" s="180">
        <f>SUM(AG82:AG86)</f>
        <v>506662.64252981625</v>
      </c>
    </row>
    <row r="88" spans="1:33" x14ac:dyDescent="0.2">
      <c r="A88" s="8"/>
      <c r="B88" s="8"/>
      <c r="C88" s="75"/>
      <c r="D88" s="139"/>
      <c r="F88" s="142"/>
      <c r="G88" s="21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9"/>
      <c r="F89" s="142"/>
      <c r="G89" s="21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1" t="s">
        <v>202</v>
      </c>
      <c r="D90" s="82"/>
      <c r="E90" s="232"/>
      <c r="F90" s="233"/>
      <c r="G90" s="234" cm="1">
        <f t="array" ref="G90">IF(SUM($I17:$AG17)=0,0,(INDEX(I$6:AG$6,MATCH(TRUE,INDEX($I17:$AG17&lt;&gt;0,),0))))</f>
        <v>2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A91" s="8"/>
      <c r="B91" s="8"/>
      <c r="C91" s="82"/>
      <c r="D91" s="235"/>
      <c r="E91" s="232"/>
      <c r="F91" s="233"/>
      <c r="G91" s="234"/>
      <c r="H91" s="3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1:33" x14ac:dyDescent="0.2">
      <c r="C92" s="236" t="s">
        <v>197</v>
      </c>
      <c r="D92" s="237"/>
      <c r="E92" s="237"/>
      <c r="F92" s="237"/>
      <c r="G92" s="238">
        <f>IF(_xlfn.MINIFS($G$90:$G$91, $G$90:$G$91, "&gt;"&amp;0)=0, $A$4, _xlfn.MINIFS($G$90:$G$91, $G$90:$G$91, "&gt;"&amp;0))</f>
        <v>2</v>
      </c>
    </row>
    <row r="94" spans="1:33" x14ac:dyDescent="0.2">
      <c r="G94" s="12"/>
      <c r="I94" s="249"/>
      <c r="J94" s="249"/>
      <c r="K94" s="249"/>
      <c r="L94" s="249"/>
      <c r="M94" s="249"/>
      <c r="N94" s="249"/>
      <c r="O94" s="249"/>
      <c r="P94" s="249"/>
      <c r="Q94" s="249"/>
      <c r="R94" s="249"/>
      <c r="S94" s="249"/>
      <c r="T94" s="249"/>
      <c r="U94" s="249"/>
      <c r="V94" s="249"/>
      <c r="W94" s="249"/>
      <c r="X94" s="249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x14ac:dyDescent="0.2">
      <c r="I95" s="243"/>
      <c r="J95" s="243"/>
      <c r="K95" s="243"/>
      <c r="L95" s="243"/>
      <c r="M95" s="243"/>
      <c r="N95" s="243"/>
      <c r="O95" s="243"/>
      <c r="P95" s="243"/>
      <c r="Q95" s="243"/>
      <c r="R95" s="243"/>
      <c r="S95" s="243"/>
      <c r="T95" s="243"/>
      <c r="U95" s="243"/>
      <c r="V95" s="243"/>
      <c r="W95" s="243"/>
      <c r="X95" s="243"/>
      <c r="Y95" s="243"/>
      <c r="Z95" s="243"/>
    </row>
    <row r="96" spans="1:33" x14ac:dyDescent="0.2"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243"/>
      <c r="W96" s="243"/>
      <c r="X96" s="243"/>
      <c r="Y96" s="243"/>
      <c r="Z96" s="243"/>
    </row>
    <row r="97" spans="1:43" x14ac:dyDescent="0.2">
      <c r="I97" s="243"/>
      <c r="J97" s="243"/>
      <c r="K97" s="243"/>
      <c r="L97" s="243"/>
      <c r="M97" s="243"/>
      <c r="N97" s="243"/>
      <c r="O97" s="243"/>
      <c r="P97" s="243"/>
      <c r="Q97" s="243"/>
      <c r="R97" s="243"/>
      <c r="S97" s="243"/>
      <c r="T97" s="243"/>
      <c r="U97" s="243"/>
      <c r="V97" s="243"/>
      <c r="W97" s="243"/>
      <c r="X97" s="243"/>
      <c r="Y97" s="243"/>
      <c r="Z97" s="243"/>
    </row>
    <row r="98" spans="1:43" x14ac:dyDescent="0.2">
      <c r="I98" s="243"/>
      <c r="J98" s="243"/>
      <c r="K98" s="243"/>
      <c r="L98" s="243"/>
      <c r="M98" s="243"/>
      <c r="N98" s="243"/>
      <c r="O98" s="243"/>
      <c r="P98" s="243"/>
      <c r="Q98" s="243"/>
      <c r="R98" s="243"/>
      <c r="S98" s="243"/>
      <c r="T98" s="243"/>
      <c r="U98" s="243"/>
      <c r="V98" s="243"/>
      <c r="W98" s="243"/>
      <c r="X98" s="243"/>
      <c r="Y98" s="243"/>
      <c r="Z98" s="243"/>
    </row>
    <row r="99" spans="1:43" x14ac:dyDescent="0.2">
      <c r="I99" s="243"/>
      <c r="J99" s="243"/>
      <c r="K99" s="243"/>
      <c r="L99" s="243"/>
      <c r="M99" s="243"/>
      <c r="N99" s="243"/>
      <c r="O99" s="243"/>
      <c r="P99" s="243"/>
      <c r="Q99" s="243"/>
      <c r="R99" s="243"/>
      <c r="S99" s="243"/>
      <c r="T99" s="243"/>
      <c r="U99" s="243"/>
      <c r="V99" s="243"/>
      <c r="W99" s="243"/>
      <c r="X99" s="243"/>
      <c r="Y99" s="243"/>
      <c r="Z99" s="243"/>
    </row>
    <row r="100" spans="1:43" x14ac:dyDescent="0.2">
      <c r="I100" s="243"/>
      <c r="J100" s="243"/>
      <c r="K100" s="243"/>
      <c r="L100" s="243"/>
      <c r="M100" s="243"/>
      <c r="N100" s="243"/>
      <c r="O100" s="243"/>
      <c r="P100" s="243"/>
      <c r="Q100" s="243"/>
      <c r="R100" s="243"/>
      <c r="S100" s="243"/>
      <c r="T100" s="243"/>
      <c r="U100" s="243"/>
      <c r="V100" s="243"/>
      <c r="W100" s="243"/>
      <c r="X100" s="243"/>
      <c r="Y100" s="243"/>
      <c r="Z100" s="243"/>
    </row>
    <row r="101" spans="1:43" x14ac:dyDescent="0.2">
      <c r="I101" s="243"/>
      <c r="J101" s="243"/>
      <c r="K101" s="243"/>
      <c r="L101" s="243"/>
      <c r="M101" s="243"/>
      <c r="N101" s="243"/>
      <c r="O101" s="243"/>
      <c r="P101" s="243"/>
      <c r="Q101" s="243"/>
      <c r="R101" s="243"/>
      <c r="S101" s="243"/>
      <c r="T101" s="243"/>
      <c r="U101" s="243"/>
      <c r="V101" s="243"/>
      <c r="W101" s="243"/>
      <c r="X101" s="243"/>
      <c r="Y101" s="243"/>
      <c r="Z101" s="243"/>
    </row>
    <row r="102" spans="1:43" ht="15" x14ac:dyDescent="0.2">
      <c r="A102" s="89" t="s">
        <v>218</v>
      </c>
      <c r="B102" s="89"/>
      <c r="C102" s="89"/>
      <c r="D102" s="89"/>
      <c r="E102" s="89"/>
      <c r="F102" s="89"/>
      <c r="G102" s="205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3"/>
      <c r="J104" s="243"/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  <c r="X104" s="243"/>
      <c r="Y104" s="243"/>
      <c r="Z104" s="243"/>
    </row>
    <row r="105" spans="1:43" x14ac:dyDescent="0.2">
      <c r="D105"/>
      <c r="E105"/>
      <c r="F105"/>
      <c r="G105"/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3"/>
      <c r="X105" s="243"/>
      <c r="Y105" s="243"/>
      <c r="Z105" s="243"/>
    </row>
    <row r="106" spans="1:43" x14ac:dyDescent="0.2">
      <c r="A106" s="1" t="s">
        <v>119</v>
      </c>
      <c r="C106" s="1" t="s">
        <v>192</v>
      </c>
      <c r="D106"/>
      <c r="E106"/>
      <c r="F106"/>
      <c r="G106" s="38" t="str">
        <f>PROPER($A$3)&amp;A106</f>
        <v>Option 2NPV</v>
      </c>
      <c r="I106" s="31">
        <f>I87</f>
        <v>0</v>
      </c>
      <c r="J106" s="31">
        <f t="shared" ref="J106:AG106" si="18">J87</f>
        <v>0</v>
      </c>
      <c r="K106" s="31">
        <f t="shared" si="18"/>
        <v>312298.71833864681</v>
      </c>
      <c r="L106" s="31">
        <f t="shared" si="18"/>
        <v>314256.9495745587</v>
      </c>
      <c r="M106" s="31">
        <f t="shared" si="18"/>
        <v>314432.35268731596</v>
      </c>
      <c r="N106" s="31">
        <f t="shared" si="18"/>
        <v>309545.44167695113</v>
      </c>
      <c r="O106" s="31">
        <f t="shared" si="18"/>
        <v>306615.1054531415</v>
      </c>
      <c r="P106" s="31">
        <f t="shared" si="18"/>
        <v>306913.15056181821</v>
      </c>
      <c r="Q106" s="31">
        <f t="shared" si="18"/>
        <v>309047.06971318915</v>
      </c>
      <c r="R106" s="31">
        <f t="shared" si="18"/>
        <v>304020.4850976473</v>
      </c>
      <c r="S106" s="31">
        <f t="shared" si="18"/>
        <v>304041.85694591678</v>
      </c>
      <c r="T106" s="31">
        <f t="shared" si="18"/>
        <v>304063.22879418614</v>
      </c>
      <c r="U106" s="31">
        <f t="shared" si="18"/>
        <v>304084.60064245563</v>
      </c>
      <c r="V106" s="31">
        <f t="shared" si="18"/>
        <v>304105.97249072499</v>
      </c>
      <c r="W106" s="31">
        <f t="shared" si="18"/>
        <v>304127.34433899436</v>
      </c>
      <c r="X106" s="31">
        <f t="shared" si="18"/>
        <v>304148.71618726384</v>
      </c>
      <c r="Y106" s="31">
        <f t="shared" si="18"/>
        <v>304170.08803553309</v>
      </c>
      <c r="Z106" s="31">
        <f t="shared" si="18"/>
        <v>304191.45988380257</v>
      </c>
      <c r="AA106" s="31">
        <f t="shared" si="18"/>
        <v>304212.83173207205</v>
      </c>
      <c r="AB106" s="31">
        <f t="shared" si="18"/>
        <v>304234.20358034153</v>
      </c>
      <c r="AC106" s="31">
        <f t="shared" si="18"/>
        <v>304255.57542861073</v>
      </c>
      <c r="AD106" s="31">
        <f t="shared" si="18"/>
        <v>304276.94727688021</v>
      </c>
      <c r="AE106" s="31">
        <f t="shared" si="18"/>
        <v>506619.89883327758</v>
      </c>
      <c r="AF106" s="31">
        <f t="shared" si="18"/>
        <v>506641.27068154683</v>
      </c>
      <c r="AG106" s="31">
        <f t="shared" si="18"/>
        <v>506662.64252981625</v>
      </c>
    </row>
    <row r="107" spans="1:43" x14ac:dyDescent="0.2">
      <c r="C107" s="1" t="s">
        <v>161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-202321.57970812789</v>
      </c>
      <c r="L107" s="31">
        <f t="shared" si="19"/>
        <v>-202321.57970812789</v>
      </c>
      <c r="M107" s="31">
        <f t="shared" si="19"/>
        <v>-202321.57970812789</v>
      </c>
      <c r="N107" s="31">
        <f t="shared" si="19"/>
        <v>-202321.57970812789</v>
      </c>
      <c r="O107" s="31">
        <f t="shared" si="19"/>
        <v>-202321.57970812789</v>
      </c>
      <c r="P107" s="31">
        <f t="shared" si="19"/>
        <v>-202321.57970812789</v>
      </c>
      <c r="Q107" s="31">
        <f t="shared" si="19"/>
        <v>-202321.57970812789</v>
      </c>
      <c r="R107" s="31">
        <f t="shared" si="19"/>
        <v>-202321.57970812789</v>
      </c>
      <c r="S107" s="31">
        <f t="shared" si="19"/>
        <v>-202321.57970812789</v>
      </c>
      <c r="T107" s="31">
        <f t="shared" si="19"/>
        <v>-202321.57970812789</v>
      </c>
      <c r="U107" s="31">
        <f t="shared" si="19"/>
        <v>-202321.57970812789</v>
      </c>
      <c r="V107" s="31">
        <f t="shared" si="19"/>
        <v>-202321.57970812789</v>
      </c>
      <c r="W107" s="31">
        <f t="shared" si="19"/>
        <v>-202321.57970812789</v>
      </c>
      <c r="X107" s="31">
        <f t="shared" si="19"/>
        <v>-202321.57970812789</v>
      </c>
      <c r="Y107" s="31">
        <f t="shared" si="19"/>
        <v>-202321.57970812789</v>
      </c>
      <c r="Z107" s="31">
        <f t="shared" si="19"/>
        <v>-202321.57970812789</v>
      </c>
      <c r="AA107" s="31">
        <f t="shared" si="19"/>
        <v>-202321.57970812789</v>
      </c>
      <c r="AB107" s="31">
        <f t="shared" si="19"/>
        <v>-202321.57970812789</v>
      </c>
      <c r="AC107" s="31">
        <f t="shared" si="19"/>
        <v>-202321.57970812789</v>
      </c>
      <c r="AD107" s="31">
        <f t="shared" si="19"/>
        <v>-202321.57970812789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243</v>
      </c>
      <c r="D108" s="253"/>
      <c r="E108" s="38"/>
      <c r="I108" s="31">
        <f>SUM(I84:I85)</f>
        <v>0</v>
      </c>
      <c r="J108" s="31">
        <f t="shared" ref="J108:AG108" si="20">SUM(J84:J85)</f>
        <v>0</v>
      </c>
      <c r="K108" s="31">
        <f t="shared" si="20"/>
        <v>594620.2980467747</v>
      </c>
      <c r="L108" s="31">
        <f t="shared" si="20"/>
        <v>596578.52928268653</v>
      </c>
      <c r="M108" s="31">
        <f t="shared" si="20"/>
        <v>596753.93239544379</v>
      </c>
      <c r="N108" s="31">
        <f t="shared" si="20"/>
        <v>591867.02138507902</v>
      </c>
      <c r="O108" s="31">
        <f t="shared" si="20"/>
        <v>588936.68516126939</v>
      </c>
      <c r="P108" s="31">
        <f t="shared" si="20"/>
        <v>589234.73026994616</v>
      </c>
      <c r="Q108" s="31">
        <f t="shared" si="20"/>
        <v>591368.64942131704</v>
      </c>
      <c r="R108" s="31">
        <f t="shared" si="20"/>
        <v>586342.06480577518</v>
      </c>
      <c r="S108" s="31">
        <f t="shared" si="20"/>
        <v>586363.43665404466</v>
      </c>
      <c r="T108" s="31">
        <f t="shared" si="20"/>
        <v>586384.80850231403</v>
      </c>
      <c r="U108" s="31">
        <f t="shared" si="20"/>
        <v>586406.18035058351</v>
      </c>
      <c r="V108" s="31">
        <f t="shared" si="20"/>
        <v>586427.55219885288</v>
      </c>
      <c r="W108" s="31">
        <f t="shared" si="20"/>
        <v>586448.92404712224</v>
      </c>
      <c r="X108" s="31">
        <f t="shared" si="20"/>
        <v>586470.29589539173</v>
      </c>
      <c r="Y108" s="31">
        <f t="shared" si="20"/>
        <v>586491.66774366098</v>
      </c>
      <c r="Z108" s="31">
        <f t="shared" si="20"/>
        <v>586513.03959193046</v>
      </c>
      <c r="AA108" s="31">
        <f t="shared" si="20"/>
        <v>586534.41144019994</v>
      </c>
      <c r="AB108" s="31">
        <f t="shared" si="20"/>
        <v>586555.78328846942</v>
      </c>
      <c r="AC108" s="31">
        <f t="shared" si="20"/>
        <v>586577.15513673867</v>
      </c>
      <c r="AD108" s="31">
        <f t="shared" si="20"/>
        <v>586598.52698500815</v>
      </c>
      <c r="AE108" s="31">
        <f t="shared" si="20"/>
        <v>586619.89883327752</v>
      </c>
      <c r="AF108" s="31">
        <f t="shared" si="20"/>
        <v>586641.27068154688</v>
      </c>
      <c r="AG108" s="31">
        <f t="shared" si="20"/>
        <v>586662.64252981625</v>
      </c>
    </row>
    <row r="109" spans="1:43" x14ac:dyDescent="0.2">
      <c r="D109" s="302" t="str">
        <f>Assumptions!G114</f>
        <v>Capex</v>
      </c>
      <c r="E109" s="302" t="str">
        <f>Assumptions!H114</f>
        <v>Total benefits</v>
      </c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</row>
    <row r="110" spans="1:43" x14ac:dyDescent="0.2">
      <c r="A110" s="1" t="str">
        <f>"sens"&amp;Assumptions!B115</f>
        <v>sens1</v>
      </c>
      <c r="C110" s="301" t="str">
        <f>Assumptions!C115</f>
        <v>Capex 10% higher</v>
      </c>
      <c r="D110" s="302">
        <f>Assumptions!G115</f>
        <v>0.1</v>
      </c>
      <c r="E110" s="302">
        <f>Assumptions!H115</f>
        <v>0</v>
      </c>
      <c r="G110" s="38" t="str">
        <f>PROPER($A$3)&amp;A110</f>
        <v>Option 2sens1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292066.560367834</v>
      </c>
      <c r="L110" s="31" cm="1">
        <f t="array" ref="L110">L$106+IF($C110&lt;&gt;0,SUMPRODUCT((L$107:L$108)*TRANSPOSE(($D110:$E110))),0)</f>
        <v>294024.79160374589</v>
      </c>
      <c r="M110" s="31" cm="1">
        <f t="array" ref="M110">M$106+IF($C110&lt;&gt;0,SUMPRODUCT((M$107:M$108)*TRANSPOSE(($D110:$E110))),0)</f>
        <v>294200.19471650315</v>
      </c>
      <c r="N110" s="31" cm="1">
        <f t="array" ref="N110">N$106+IF($C110&lt;&gt;0,SUMPRODUCT((N$107:N$108)*TRANSPOSE(($D110:$E110))),0)</f>
        <v>289313.28370613832</v>
      </c>
      <c r="O110" s="31" cm="1">
        <f t="array" ref="O110">O$106+IF($C110&lt;&gt;0,SUMPRODUCT((O$107:O$108)*TRANSPOSE(($D110:$E110))),0)</f>
        <v>286382.94748232869</v>
      </c>
      <c r="P110" s="31" cm="1">
        <f t="array" ref="P110">P$106+IF($C110&lt;&gt;0,SUMPRODUCT((P$107:P$108)*TRANSPOSE(($D110:$E110))),0)</f>
        <v>286680.9925910054</v>
      </c>
      <c r="Q110" s="31" cm="1">
        <f t="array" ref="Q110">Q$106+IF($C110&lt;&gt;0,SUMPRODUCT((Q$107:Q$108)*TRANSPOSE(($D110:$E110))),0)</f>
        <v>288814.91174237634</v>
      </c>
      <c r="R110" s="31" cm="1">
        <f t="array" ref="R110">R$106+IF($C110&lt;&gt;0,SUMPRODUCT((R$107:R$108)*TRANSPOSE(($D110:$E110))),0)</f>
        <v>283788.32712683448</v>
      </c>
      <c r="S110" s="31" cm="1">
        <f t="array" ref="S110">S$106+IF($C110&lt;&gt;0,SUMPRODUCT((S$107:S$108)*TRANSPOSE(($D110:$E110))),0)</f>
        <v>283809.69897510397</v>
      </c>
      <c r="T110" s="31" cm="1">
        <f t="array" ref="T110">T$106+IF($C110&lt;&gt;0,SUMPRODUCT((T$107:T$108)*TRANSPOSE(($D110:$E110))),0)</f>
        <v>283831.07082337333</v>
      </c>
      <c r="U110" s="31" cm="1">
        <f t="array" ref="U110">U$106+IF($C110&lt;&gt;0,SUMPRODUCT((U$107:U$108)*TRANSPOSE(($D110:$E110))),0)</f>
        <v>283852.44267164281</v>
      </c>
      <c r="V110" s="31" cm="1">
        <f t="array" ref="V110">V$106+IF($C110&lt;&gt;0,SUMPRODUCT((V$107:V$108)*TRANSPOSE(($D110:$E110))),0)</f>
        <v>283873.81451991218</v>
      </c>
      <c r="W110" s="31" cm="1">
        <f t="array" ref="W110">W$106+IF($C110&lt;&gt;0,SUMPRODUCT((W$107:W$108)*TRANSPOSE(($D110:$E110))),0)</f>
        <v>283895.18636818154</v>
      </c>
      <c r="X110" s="31" cm="1">
        <f t="array" ref="X110">X$106+IF($C110&lt;&gt;0,SUMPRODUCT((X$107:X$108)*TRANSPOSE(($D110:$E110))),0)</f>
        <v>283916.55821645103</v>
      </c>
      <c r="Y110" s="31" cm="1">
        <f t="array" ref="Y110">Y$106+IF($C110&lt;&gt;0,SUMPRODUCT((Y$107:Y$108)*TRANSPOSE(($D110:$E110))),0)</f>
        <v>283937.93006472028</v>
      </c>
      <c r="Z110" s="31" cm="1">
        <f t="array" ref="Z110">Z$106+IF($C110&lt;&gt;0,SUMPRODUCT((Z$107:Z$108)*TRANSPOSE(($D110:$E110))),0)</f>
        <v>283959.30191298976</v>
      </c>
      <c r="AA110" s="31" cm="1">
        <f t="array" ref="AA110">AA$106+IF($C110&lt;&gt;0,SUMPRODUCT((AA$107:AA$108)*TRANSPOSE(($D110:$E110))),0)</f>
        <v>283980.67376125924</v>
      </c>
      <c r="AB110" s="31" cm="1">
        <f t="array" ref="AB110">AB$106+IF($C110&lt;&gt;0,SUMPRODUCT((AB$107:AB$108)*TRANSPOSE(($D110:$E110))),0)</f>
        <v>284002.04560952872</v>
      </c>
      <c r="AC110" s="31" cm="1">
        <f t="array" ref="AC110">AC$106+IF($C110&lt;&gt;0,SUMPRODUCT((AC$107:AC$108)*TRANSPOSE(($D110:$E110))),0)</f>
        <v>284023.41745779791</v>
      </c>
      <c r="AD110" s="31" cm="1">
        <f t="array" ref="AD110">AD$106+IF($C110&lt;&gt;0,SUMPRODUCT((AD$107:AD$108)*TRANSPOSE(($D110:$E110))),0)</f>
        <v>284044.7893060674</v>
      </c>
      <c r="AE110" s="31" cm="1">
        <f t="array" ref="AE110">AE$106+IF($C110&lt;&gt;0,SUMPRODUCT((AE$107:AE$108)*TRANSPOSE(($D110:$E110))),0)</f>
        <v>506619.89883327758</v>
      </c>
      <c r="AF110" s="31" cm="1">
        <f t="array" ref="AF110">AF$106+IF($C110&lt;&gt;0,SUMPRODUCT((AF$107:AF$108)*TRANSPOSE(($D110:$E110))),0)</f>
        <v>506641.27068154683</v>
      </c>
      <c r="AG110" s="31" cm="1">
        <f t="array" ref="AG110">AG$106+IF($C110&lt;&gt;0,SUMPRODUCT((AG$107:AG$108)*TRANSPOSE(($D110:$E110))),0)</f>
        <v>506662.64252981625</v>
      </c>
    </row>
    <row r="111" spans="1:43" x14ac:dyDescent="0.2">
      <c r="A111" s="1" t="str">
        <f>"sens"&amp;Assumptions!B116</f>
        <v>sens2</v>
      </c>
      <c r="C111" s="301" t="str">
        <f>Assumptions!C116</f>
        <v>Capex 10% lower</v>
      </c>
      <c r="D111" s="302">
        <f>Assumptions!G116</f>
        <v>-0.1</v>
      </c>
      <c r="E111" s="302">
        <f>Assumptions!H116</f>
        <v>0</v>
      </c>
      <c r="G111" s="38" t="str">
        <f t="shared" ref="G111:G117" si="21">PROPER($A$3)&amp;A111</f>
        <v>Option 2sens2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332530.87630945962</v>
      </c>
      <c r="L111" s="31" cm="1">
        <f t="array" ref="L111">L$106+IF($C111&lt;&gt;0,SUMPRODUCT((L$107:L$108)*TRANSPOSE(($D111:$E111))),0)</f>
        <v>334489.10754537152</v>
      </c>
      <c r="M111" s="31" cm="1">
        <f t="array" ref="M111">M$106+IF($C111&lt;&gt;0,SUMPRODUCT((M$107:M$108)*TRANSPOSE(($D111:$E111))),0)</f>
        <v>334664.51065812877</v>
      </c>
      <c r="N111" s="31" cm="1">
        <f t="array" ref="N111">N$106+IF($C111&lt;&gt;0,SUMPRODUCT((N$107:N$108)*TRANSPOSE(($D111:$E111))),0)</f>
        <v>329777.59964776394</v>
      </c>
      <c r="O111" s="31" cm="1">
        <f t="array" ref="O111">O$106+IF($C111&lt;&gt;0,SUMPRODUCT((O$107:O$108)*TRANSPOSE(($D111:$E111))),0)</f>
        <v>326847.26342395431</v>
      </c>
      <c r="P111" s="31" cm="1">
        <f t="array" ref="P111">P$106+IF($C111&lt;&gt;0,SUMPRODUCT((P$107:P$108)*TRANSPOSE(($D111:$E111))),0)</f>
        <v>327145.30853263102</v>
      </c>
      <c r="Q111" s="31" cm="1">
        <f t="array" ref="Q111">Q$106+IF($C111&lt;&gt;0,SUMPRODUCT((Q$107:Q$108)*TRANSPOSE(($D111:$E111))),0)</f>
        <v>329279.22768400196</v>
      </c>
      <c r="R111" s="31" cm="1">
        <f t="array" ref="R111">R$106+IF($C111&lt;&gt;0,SUMPRODUCT((R$107:R$108)*TRANSPOSE(($D111:$E111))),0)</f>
        <v>324252.64306846011</v>
      </c>
      <c r="S111" s="31" cm="1">
        <f t="array" ref="S111">S$106+IF($C111&lt;&gt;0,SUMPRODUCT((S$107:S$108)*TRANSPOSE(($D111:$E111))),0)</f>
        <v>324274.01491672959</v>
      </c>
      <c r="T111" s="31" cm="1">
        <f t="array" ref="T111">T$106+IF($C111&lt;&gt;0,SUMPRODUCT((T$107:T$108)*TRANSPOSE(($D111:$E111))),0)</f>
        <v>324295.38676499896</v>
      </c>
      <c r="U111" s="31" cm="1">
        <f t="array" ref="U111">U$106+IF($C111&lt;&gt;0,SUMPRODUCT((U$107:U$108)*TRANSPOSE(($D111:$E111))),0)</f>
        <v>324316.75861326844</v>
      </c>
      <c r="V111" s="31" cm="1">
        <f t="array" ref="V111">V$106+IF($C111&lt;&gt;0,SUMPRODUCT((V$107:V$108)*TRANSPOSE(($D111:$E111))),0)</f>
        <v>324338.1304615378</v>
      </c>
      <c r="W111" s="31" cm="1">
        <f t="array" ref="W111">W$106+IF($C111&lt;&gt;0,SUMPRODUCT((W$107:W$108)*TRANSPOSE(($D111:$E111))),0)</f>
        <v>324359.50230980717</v>
      </c>
      <c r="X111" s="31" cm="1">
        <f t="array" ref="X111">X$106+IF($C111&lt;&gt;0,SUMPRODUCT((X$107:X$108)*TRANSPOSE(($D111:$E111))),0)</f>
        <v>324380.87415807665</v>
      </c>
      <c r="Y111" s="31" cm="1">
        <f t="array" ref="Y111">Y$106+IF($C111&lt;&gt;0,SUMPRODUCT((Y$107:Y$108)*TRANSPOSE(($D111:$E111))),0)</f>
        <v>324402.2460063459</v>
      </c>
      <c r="Z111" s="31" cm="1">
        <f t="array" ref="Z111">Z$106+IF($C111&lt;&gt;0,SUMPRODUCT((Z$107:Z$108)*TRANSPOSE(($D111:$E111))),0)</f>
        <v>324423.61785461538</v>
      </c>
      <c r="AA111" s="31" cm="1">
        <f t="array" ref="AA111">AA$106+IF($C111&lt;&gt;0,SUMPRODUCT((AA$107:AA$108)*TRANSPOSE(($D111:$E111))),0)</f>
        <v>324444.98970288486</v>
      </c>
      <c r="AB111" s="31" cm="1">
        <f t="array" ref="AB111">AB$106+IF($C111&lt;&gt;0,SUMPRODUCT((AB$107:AB$108)*TRANSPOSE(($D111:$E111))),0)</f>
        <v>324466.36155115435</v>
      </c>
      <c r="AC111" s="31" cm="1">
        <f t="array" ref="AC111">AC$106+IF($C111&lt;&gt;0,SUMPRODUCT((AC$107:AC$108)*TRANSPOSE(($D111:$E111))),0)</f>
        <v>324487.73339942354</v>
      </c>
      <c r="AD111" s="31" cm="1">
        <f t="array" ref="AD111">AD$106+IF($C111&lt;&gt;0,SUMPRODUCT((AD$107:AD$108)*TRANSPOSE(($D111:$E111))),0)</f>
        <v>324509.10524769302</v>
      </c>
      <c r="AE111" s="31" cm="1">
        <f t="array" ref="AE111">AE$106+IF($C111&lt;&gt;0,SUMPRODUCT((AE$107:AE$108)*TRANSPOSE(($D111:$E111))),0)</f>
        <v>506619.89883327758</v>
      </c>
      <c r="AF111" s="31" cm="1">
        <f t="array" ref="AF111">AF$106+IF($C111&lt;&gt;0,SUMPRODUCT((AF$107:AF$108)*TRANSPOSE(($D111:$E111))),0)</f>
        <v>506641.27068154683</v>
      </c>
      <c r="AG111" s="31" cm="1">
        <f t="array" ref="AG111">AG$106+IF($C111&lt;&gt;0,SUMPRODUCT((AG$107:AG$108)*TRANSPOSE(($D111:$E111))),0)</f>
        <v>506662.64252981625</v>
      </c>
    </row>
    <row r="112" spans="1:43" x14ac:dyDescent="0.2">
      <c r="A112" s="1" t="str">
        <f>"sens"&amp;Assumptions!B117</f>
        <v>sens3</v>
      </c>
      <c r="C112" s="301" t="str">
        <f>Assumptions!C117</f>
        <v>Increasing wind escalation</v>
      </c>
      <c r="D112" s="302">
        <f>Assumptions!G117</f>
        <v>0</v>
      </c>
      <c r="E112" s="302">
        <v>0.15</v>
      </c>
      <c r="G112" s="38" t="str">
        <f t="shared" si="21"/>
        <v>Option 2sens3</v>
      </c>
      <c r="I112" s="335">
        <f>IF(I106&lt;&gt;0, I106+SUM(Workings_risks!$F$19*Workings_risks!I28,Workings_risks!I26*Workings_risks!$F$18)*Workings_risks!$F$13*Workings_risks!I8*$E$28,0)</f>
        <v>0</v>
      </c>
      <c r="J112" s="335">
        <f>IF(J106&lt;&gt;0, J106+SUM(Workings_risks!$F$19*Workings_risks!J28,Workings_risks!J26*Workings_risks!$F$18)*Workings_risks!$F$13*Workings_risks!J8*$E$28,0)</f>
        <v>0</v>
      </c>
      <c r="K112" s="335">
        <f>IF(K106&lt;&gt;0, K106+SUM(Workings_risks!$F$19*Workings_risks!K28,Workings_risks!K26*Workings_risks!$F$18)*Workings_risks!$F$13*Workings_risks!K8*$E$28,0)</f>
        <v>315489.8433952069</v>
      </c>
      <c r="L112" s="335">
        <f>IF(L106&lt;&gt;0, L106+SUM(Workings_risks!$F$19*Workings_risks!L28,Workings_risks!L26*Workings_risks!$F$18)*Workings_risks!$F$13*Workings_risks!L8*$E$28,0)</f>
        <v>317081.94967899862</v>
      </c>
      <c r="M112" s="335">
        <f>IF(M106&lt;&gt;0, M106+SUM(Workings_risks!$F$19*Workings_risks!M28,Workings_risks!M26*Workings_risks!$F$18)*Workings_risks!$F$13*Workings_risks!M8*$E$28,0)</f>
        <v>316882.92177078611</v>
      </c>
      <c r="N112" s="335">
        <f>IF(N106&lt;&gt;0, N106+SUM(Workings_risks!$F$19*Workings_risks!N28,Workings_risks!N26*Workings_risks!$F$18)*Workings_risks!$F$13*Workings_risks!N8*$E$28,0)</f>
        <v>311966.8930293126</v>
      </c>
      <c r="O112" s="335">
        <f>IF(O106&lt;&gt;0, O106+SUM(Workings_risks!$F$19*Workings_risks!O28,Workings_risks!O26*Workings_risks!$F$18)*Workings_risks!$F$13*Workings_risks!O8*$E$28,0)</f>
        <v>309015.56460048741</v>
      </c>
      <c r="P112" s="335">
        <f>IF(P106&lt;&gt;0, P106+SUM(Workings_risks!$F$19*Workings_risks!P28,Workings_risks!P26*Workings_risks!$F$18)*Workings_risks!$F$13*Workings_risks!P8*$E$28,0)</f>
        <v>309305.81761780829</v>
      </c>
      <c r="Q112" s="335">
        <f>IF(Q106&lt;&gt;0, Q106+SUM(Workings_risks!$F$19*Workings_risks!Q28,Workings_risks!Q26*Workings_risks!$F$18)*Workings_risks!$F$13*Workings_risks!Q8*$E$28,0)</f>
        <v>311439.36356743757</v>
      </c>
      <c r="R112" s="335">
        <f>IF(R106&lt;&gt;0, R106+SUM(Workings_risks!$F$19*Workings_risks!R28,Workings_risks!R26*Workings_risks!$F$18)*Workings_risks!$F$13*Workings_risks!R8*$E$28,0)</f>
        <v>306383.48444756196</v>
      </c>
      <c r="S112" s="335">
        <f>IF(S106&lt;&gt;0, S106+SUM(Workings_risks!$F$19*Workings_risks!S28,Workings_risks!S26*Workings_risks!$F$18)*Workings_risks!$F$13*Workings_risks!S8*$E$28,0)</f>
        <v>306395.98313391523</v>
      </c>
      <c r="T112" s="335">
        <f>IF(T106&lt;&gt;0, T106+SUM(Workings_risks!$F$19*Workings_risks!T28,Workings_risks!T26*Workings_risks!$F$18)*Workings_risks!$F$13*Workings_risks!T8*$E$28,0)</f>
        <v>306408.48240608524</v>
      </c>
      <c r="U112" s="335">
        <f>IF(U106&lt;&gt;0, U106+SUM(Workings_risks!$F$19*Workings_risks!U28,Workings_risks!U26*Workings_risks!$F$18)*Workings_risks!$F$13*Workings_risks!U8*$E$28,0)</f>
        <v>306420.98226402776</v>
      </c>
      <c r="V112" s="335">
        <f>IF(V106&lt;&gt;0, V106+SUM(Workings_risks!$F$19*Workings_risks!V28,Workings_risks!V26*Workings_risks!$F$18)*Workings_risks!$F$13*Workings_risks!V8*$E$28,0)</f>
        <v>306433.48270769807</v>
      </c>
      <c r="W112" s="335">
        <f>IF(W106&lt;&gt;0, W106+SUM(Workings_risks!$F$19*Workings_risks!W28,Workings_risks!W26*Workings_risks!$F$18)*Workings_risks!$F$13*Workings_risks!W8*$E$28,0)</f>
        <v>306445.98373705166</v>
      </c>
      <c r="X112" s="335">
        <f>IF(X106&lt;&gt;0, X106+SUM(Workings_risks!$F$19*Workings_risks!X28,Workings_risks!X26*Workings_risks!$F$18)*Workings_risks!$F$13*Workings_risks!X8*$E$28,0)</f>
        <v>306458.48535204423</v>
      </c>
      <c r="Y112" s="335">
        <f>IF(Y106&lt;&gt;0, Y106+SUM(Workings_risks!$F$19*Workings_risks!Y28,Workings_risks!Y26*Workings_risks!$F$18)*Workings_risks!$F$13*Workings_risks!Y8*$E$28,0)</f>
        <v>306470.98755263101</v>
      </c>
      <c r="Z112" s="335">
        <f>IF(Z106&lt;&gt;0, Z106+SUM(Workings_risks!$F$19*Workings_risks!Z28,Workings_risks!Z26*Workings_risks!$F$18)*Workings_risks!$F$13*Workings_risks!Z8*$E$28,0)</f>
        <v>306483.49033876788</v>
      </c>
      <c r="AA112" s="335">
        <f>IF(AA106&lt;&gt;0, AA106+SUM(Workings_risks!$F$19*Workings_risks!AA28,Workings_risks!AA26*Workings_risks!$F$18)*Workings_risks!$F$13*Workings_risks!AA8*$E$28,0)</f>
        <v>306495.99371041026</v>
      </c>
      <c r="AB112" s="335">
        <f>IF(AB106&lt;&gt;0, AB106+SUM(Workings_risks!$F$19*Workings_risks!AB28,Workings_risks!AB26*Workings_risks!$F$18)*Workings_risks!$F$13*Workings_risks!AB8*$E$28,0)</f>
        <v>306508.4976675135</v>
      </c>
      <c r="AC112" s="335">
        <f>IF(AC106&lt;&gt;0, AC106+SUM(Workings_risks!$F$19*Workings_risks!AC28,Workings_risks!AC26*Workings_risks!$F$18)*Workings_risks!$F$13*Workings_risks!AC8*$E$28,0)</f>
        <v>306521.00221003313</v>
      </c>
      <c r="AD112" s="335">
        <f>IF(AD106&lt;&gt;0, AD106+SUM(Workings_risks!$F$19*Workings_risks!AD28,Workings_risks!AD26*Workings_risks!$F$18)*Workings_risks!$F$13*Workings_risks!AD8*$E$28,0)</f>
        <v>306533.50733792497</v>
      </c>
      <c r="AE112" s="335">
        <f>IF(AE106&lt;&gt;0, AE106+SUM(Workings_risks!$F$19*Workings_risks!AE28,Workings_risks!AE26*Workings_risks!$F$18)*Workings_risks!$F$13*Workings_risks!AE8*$E$28,0)</f>
        <v>508867.59275927226</v>
      </c>
      <c r="AF112" s="335">
        <f>IF(AF106&lt;&gt;0, AF106+SUM(Workings_risks!$F$19*Workings_risks!AF28,Workings_risks!AF26*Workings_risks!$F$18)*Workings_risks!$F$13*Workings_risks!AF8*$E$28,0)</f>
        <v>508880.0990577747</v>
      </c>
      <c r="AG112" s="335">
        <f>IF(AG106&lt;&gt;0, AG106+SUM(Workings_risks!$F$19*Workings_risks!AG28,Workings_risks!AG26*Workings_risks!$F$18)*Workings_risks!$F$13*Workings_risks!AG8*$E$28,0)</f>
        <v>508892.60594151588</v>
      </c>
    </row>
    <row r="113" spans="1:33" x14ac:dyDescent="0.2">
      <c r="A113" s="1" t="str">
        <f>"sens"&amp;Assumptions!B118</f>
        <v>sens4</v>
      </c>
      <c r="C113" s="301" t="str">
        <f>Assumptions!C118</f>
        <v/>
      </c>
      <c r="D113" s="302">
        <f>Assumptions!G118</f>
        <v>0</v>
      </c>
      <c r="E113" s="302">
        <f>Assumptions!H118</f>
        <v>0</v>
      </c>
      <c r="G113" s="38" t="str">
        <f t="shared" si="21"/>
        <v>Option 2sens4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312298.71833864681</v>
      </c>
      <c r="L113" s="31" cm="1">
        <f t="array" ref="L113">L$106+IF($C113&lt;&gt;0,SUMPRODUCT((L$107:L$108)*TRANSPOSE(($D113:$E113))),0)</f>
        <v>314256.9495745587</v>
      </c>
      <c r="M113" s="31" cm="1">
        <f t="array" ref="M113">M$106+IF($C113&lt;&gt;0,SUMPRODUCT((M$107:M$108)*TRANSPOSE(($D113:$E113))),0)</f>
        <v>314432.35268731596</v>
      </c>
      <c r="N113" s="31" cm="1">
        <f t="array" ref="N113">N$106+IF($C113&lt;&gt;0,SUMPRODUCT((N$107:N$108)*TRANSPOSE(($D113:$E113))),0)</f>
        <v>309545.44167695113</v>
      </c>
      <c r="O113" s="31" cm="1">
        <f t="array" ref="O113">O$106+IF($C113&lt;&gt;0,SUMPRODUCT((O$107:O$108)*TRANSPOSE(($D113:$E113))),0)</f>
        <v>306615.1054531415</v>
      </c>
      <c r="P113" s="31" cm="1">
        <f t="array" ref="P113">P$106+IF($C113&lt;&gt;0,SUMPRODUCT((P$107:P$108)*TRANSPOSE(($D113:$E113))),0)</f>
        <v>306913.15056181821</v>
      </c>
      <c r="Q113" s="31" cm="1">
        <f t="array" ref="Q113">Q$106+IF($C113&lt;&gt;0,SUMPRODUCT((Q$107:Q$108)*TRANSPOSE(($D113:$E113))),0)</f>
        <v>309047.06971318915</v>
      </c>
      <c r="R113" s="31" cm="1">
        <f t="array" ref="R113">R$106+IF($C113&lt;&gt;0,SUMPRODUCT((R$107:R$108)*TRANSPOSE(($D113:$E113))),0)</f>
        <v>304020.4850976473</v>
      </c>
      <c r="S113" s="31" cm="1">
        <f t="array" ref="S113">S$106+IF($C113&lt;&gt;0,SUMPRODUCT((S$107:S$108)*TRANSPOSE(($D113:$E113))),0)</f>
        <v>304041.85694591678</v>
      </c>
      <c r="T113" s="31" cm="1">
        <f t="array" ref="T113">T$106+IF($C113&lt;&gt;0,SUMPRODUCT((T$107:T$108)*TRANSPOSE(($D113:$E113))),0)</f>
        <v>304063.22879418614</v>
      </c>
      <c r="U113" s="31" cm="1">
        <f t="array" ref="U113">U$106+IF($C113&lt;&gt;0,SUMPRODUCT((U$107:U$108)*TRANSPOSE(($D113:$E113))),0)</f>
        <v>304084.60064245563</v>
      </c>
      <c r="V113" s="31" cm="1">
        <f t="array" ref="V113">V$106+IF($C113&lt;&gt;0,SUMPRODUCT((V$107:V$108)*TRANSPOSE(($D113:$E113))),0)</f>
        <v>304105.97249072499</v>
      </c>
      <c r="W113" s="31" cm="1">
        <f t="array" ref="W113">W$106+IF($C113&lt;&gt;0,SUMPRODUCT((W$107:W$108)*TRANSPOSE(($D113:$E113))),0)</f>
        <v>304127.34433899436</v>
      </c>
      <c r="X113" s="31" cm="1">
        <f t="array" ref="X113">X$106+IF($C113&lt;&gt;0,SUMPRODUCT((X$107:X$108)*TRANSPOSE(($D113:$E113))),0)</f>
        <v>304148.71618726384</v>
      </c>
      <c r="Y113" s="31" cm="1">
        <f t="array" ref="Y113">Y$106+IF($C113&lt;&gt;0,SUMPRODUCT((Y$107:Y$108)*TRANSPOSE(($D113:$E113))),0)</f>
        <v>304170.08803553309</v>
      </c>
      <c r="Z113" s="31" cm="1">
        <f t="array" ref="Z113">Z$106+IF($C113&lt;&gt;0,SUMPRODUCT((Z$107:Z$108)*TRANSPOSE(($D113:$E113))),0)</f>
        <v>304191.45988380257</v>
      </c>
      <c r="AA113" s="31" cm="1">
        <f t="array" ref="AA113">AA$106+IF($C113&lt;&gt;0,SUMPRODUCT((AA$107:AA$108)*TRANSPOSE(($D113:$E113))),0)</f>
        <v>304212.83173207205</v>
      </c>
      <c r="AB113" s="31" cm="1">
        <f t="array" ref="AB113">AB$106+IF($C113&lt;&gt;0,SUMPRODUCT((AB$107:AB$108)*TRANSPOSE(($D113:$E113))),0)</f>
        <v>304234.20358034153</v>
      </c>
      <c r="AC113" s="31" cm="1">
        <f t="array" ref="AC113">AC$106+IF($C113&lt;&gt;0,SUMPRODUCT((AC$107:AC$108)*TRANSPOSE(($D113:$E113))),0)</f>
        <v>304255.57542861073</v>
      </c>
      <c r="AD113" s="31" cm="1">
        <f t="array" ref="AD113">AD$106+IF($C113&lt;&gt;0,SUMPRODUCT((AD$107:AD$108)*TRANSPOSE(($D113:$E113))),0)</f>
        <v>304276.94727688021</v>
      </c>
      <c r="AE113" s="31" cm="1">
        <f t="array" ref="AE113">AE$106+IF($C113&lt;&gt;0,SUMPRODUCT((AE$107:AE$108)*TRANSPOSE(($D113:$E113))),0)</f>
        <v>506619.89883327758</v>
      </c>
      <c r="AF113" s="31" cm="1">
        <f t="array" ref="AF113">AF$106+IF($C113&lt;&gt;0,SUMPRODUCT((AF$107:AF$108)*TRANSPOSE(($D113:$E113))),0)</f>
        <v>506641.27068154683</v>
      </c>
      <c r="AG113" s="31" cm="1">
        <f t="array" ref="AG113">AG$106+IF($C113&lt;&gt;0,SUMPRODUCT((AG$107:AG$108)*TRANSPOSE(($D113:$E113))),0)</f>
        <v>506662.64252981625</v>
      </c>
    </row>
    <row r="114" spans="1:33" x14ac:dyDescent="0.2">
      <c r="A114" s="1" t="str">
        <f>"sens"&amp;Assumptions!B119</f>
        <v>sens5</v>
      </c>
      <c r="C114" s="301" t="str">
        <f>Assumptions!C119</f>
        <v/>
      </c>
      <c r="D114" s="302">
        <f>Assumptions!G119</f>
        <v>0</v>
      </c>
      <c r="E114" s="302">
        <f>Assumptions!H119</f>
        <v>0</v>
      </c>
      <c r="G114" s="38" t="str">
        <f t="shared" si="21"/>
        <v>Option 2sens5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312298.71833864681</v>
      </c>
      <c r="L114" s="31" cm="1">
        <f t="array" ref="L114">L$106+IF($C114&lt;&gt;0,SUMPRODUCT((L$107:L$108)*TRANSPOSE(($D114:$E114))),0)</f>
        <v>314256.9495745587</v>
      </c>
      <c r="M114" s="31" cm="1">
        <f t="array" ref="M114">M$106+IF($C114&lt;&gt;0,SUMPRODUCT((M$107:M$108)*TRANSPOSE(($D114:$E114))),0)</f>
        <v>314432.35268731596</v>
      </c>
      <c r="N114" s="31" cm="1">
        <f t="array" ref="N114">N$106+IF($C114&lt;&gt;0,SUMPRODUCT((N$107:N$108)*TRANSPOSE(($D114:$E114))),0)</f>
        <v>309545.44167695113</v>
      </c>
      <c r="O114" s="31" cm="1">
        <f t="array" ref="O114">O$106+IF($C114&lt;&gt;0,SUMPRODUCT((O$107:O$108)*TRANSPOSE(($D114:$E114))),0)</f>
        <v>306615.1054531415</v>
      </c>
      <c r="P114" s="31" cm="1">
        <f t="array" ref="P114">P$106+IF($C114&lt;&gt;0,SUMPRODUCT((P$107:P$108)*TRANSPOSE(($D114:$E114))),0)</f>
        <v>306913.15056181821</v>
      </c>
      <c r="Q114" s="31" cm="1">
        <f t="array" ref="Q114">Q$106+IF($C114&lt;&gt;0,SUMPRODUCT((Q$107:Q$108)*TRANSPOSE(($D114:$E114))),0)</f>
        <v>309047.06971318915</v>
      </c>
      <c r="R114" s="31" cm="1">
        <f t="array" ref="R114">R$106+IF($C114&lt;&gt;0,SUMPRODUCT((R$107:R$108)*TRANSPOSE(($D114:$E114))),0)</f>
        <v>304020.4850976473</v>
      </c>
      <c r="S114" s="31" cm="1">
        <f t="array" ref="S114">S$106+IF($C114&lt;&gt;0,SUMPRODUCT((S$107:S$108)*TRANSPOSE(($D114:$E114))),0)</f>
        <v>304041.85694591678</v>
      </c>
      <c r="T114" s="31" cm="1">
        <f t="array" ref="T114">T$106+IF($C114&lt;&gt;0,SUMPRODUCT((T$107:T$108)*TRANSPOSE(($D114:$E114))),0)</f>
        <v>304063.22879418614</v>
      </c>
      <c r="U114" s="31" cm="1">
        <f t="array" ref="U114">U$106+IF($C114&lt;&gt;0,SUMPRODUCT((U$107:U$108)*TRANSPOSE(($D114:$E114))),0)</f>
        <v>304084.60064245563</v>
      </c>
      <c r="V114" s="31" cm="1">
        <f t="array" ref="V114">V$106+IF($C114&lt;&gt;0,SUMPRODUCT((V$107:V$108)*TRANSPOSE(($D114:$E114))),0)</f>
        <v>304105.97249072499</v>
      </c>
      <c r="W114" s="31" cm="1">
        <f t="array" ref="W114">W$106+IF($C114&lt;&gt;0,SUMPRODUCT((W$107:W$108)*TRANSPOSE(($D114:$E114))),0)</f>
        <v>304127.34433899436</v>
      </c>
      <c r="X114" s="31" cm="1">
        <f t="array" ref="X114">X$106+IF($C114&lt;&gt;0,SUMPRODUCT((X$107:X$108)*TRANSPOSE(($D114:$E114))),0)</f>
        <v>304148.71618726384</v>
      </c>
      <c r="Y114" s="31" cm="1">
        <f t="array" ref="Y114">Y$106+IF($C114&lt;&gt;0,SUMPRODUCT((Y$107:Y$108)*TRANSPOSE(($D114:$E114))),0)</f>
        <v>304170.08803553309</v>
      </c>
      <c r="Z114" s="31" cm="1">
        <f t="array" ref="Z114">Z$106+IF($C114&lt;&gt;0,SUMPRODUCT((Z$107:Z$108)*TRANSPOSE(($D114:$E114))),0)</f>
        <v>304191.45988380257</v>
      </c>
      <c r="AA114" s="31" cm="1">
        <f t="array" ref="AA114">AA$106+IF($C114&lt;&gt;0,SUMPRODUCT((AA$107:AA$108)*TRANSPOSE(($D114:$E114))),0)</f>
        <v>304212.83173207205</v>
      </c>
      <c r="AB114" s="31" cm="1">
        <f t="array" ref="AB114">AB$106+IF($C114&lt;&gt;0,SUMPRODUCT((AB$107:AB$108)*TRANSPOSE(($D114:$E114))),0)</f>
        <v>304234.20358034153</v>
      </c>
      <c r="AC114" s="31" cm="1">
        <f t="array" ref="AC114">AC$106+IF($C114&lt;&gt;0,SUMPRODUCT((AC$107:AC$108)*TRANSPOSE(($D114:$E114))),0)</f>
        <v>304255.57542861073</v>
      </c>
      <c r="AD114" s="31" cm="1">
        <f t="array" ref="AD114">AD$106+IF($C114&lt;&gt;0,SUMPRODUCT((AD$107:AD$108)*TRANSPOSE(($D114:$E114))),0)</f>
        <v>304276.94727688021</v>
      </c>
      <c r="AE114" s="31" cm="1">
        <f t="array" ref="AE114">AE$106+IF($C114&lt;&gt;0,SUMPRODUCT((AE$107:AE$108)*TRANSPOSE(($D114:$E114))),0)</f>
        <v>506619.89883327758</v>
      </c>
      <c r="AF114" s="31" cm="1">
        <f t="array" ref="AF114">AF$106+IF($C114&lt;&gt;0,SUMPRODUCT((AF$107:AF$108)*TRANSPOSE(($D114:$E114))),0)</f>
        <v>506641.27068154683</v>
      </c>
      <c r="AG114" s="31" cm="1">
        <f t="array" ref="AG114">AG$106+IF($C114&lt;&gt;0,SUMPRODUCT((AG$107:AG$108)*TRANSPOSE(($D114:$E114))),0)</f>
        <v>506662.64252981625</v>
      </c>
    </row>
    <row r="115" spans="1:33" x14ac:dyDescent="0.2">
      <c r="A115" s="1" t="str">
        <f>"sens"&amp;Assumptions!B120</f>
        <v>sens</v>
      </c>
      <c r="C115" s="301">
        <f>Assumptions!C120</f>
        <v>0</v>
      </c>
      <c r="D115" s="302">
        <f>Assumptions!G120</f>
        <v>0</v>
      </c>
      <c r="E115" s="302">
        <f>Assumptions!H120</f>
        <v>0</v>
      </c>
      <c r="G115" s="38" t="str">
        <f t="shared" si="21"/>
        <v>Option 2sens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312298.71833864681</v>
      </c>
      <c r="L115" s="31" cm="1">
        <f t="array" ref="L115">L$106+IF($C115&lt;&gt;0,SUMPRODUCT((L$107:L$108)*TRANSPOSE(($D115:$E115))),0)</f>
        <v>314256.9495745587</v>
      </c>
      <c r="M115" s="31" cm="1">
        <f t="array" ref="M115">M$106+IF($C115&lt;&gt;0,SUMPRODUCT((M$107:M$108)*TRANSPOSE(($D115:$E115))),0)</f>
        <v>314432.35268731596</v>
      </c>
      <c r="N115" s="31" cm="1">
        <f t="array" ref="N115">N$106+IF($C115&lt;&gt;0,SUMPRODUCT((N$107:N$108)*TRANSPOSE(($D115:$E115))),0)</f>
        <v>309545.44167695113</v>
      </c>
      <c r="O115" s="31" cm="1">
        <f t="array" ref="O115">O$106+IF($C115&lt;&gt;0,SUMPRODUCT((O$107:O$108)*TRANSPOSE(($D115:$E115))),0)</f>
        <v>306615.1054531415</v>
      </c>
      <c r="P115" s="31" cm="1">
        <f t="array" ref="P115">P$106+IF($C115&lt;&gt;0,SUMPRODUCT((P$107:P$108)*TRANSPOSE(($D115:$E115))),0)</f>
        <v>306913.15056181821</v>
      </c>
      <c r="Q115" s="31" cm="1">
        <f t="array" ref="Q115">Q$106+IF($C115&lt;&gt;0,SUMPRODUCT((Q$107:Q$108)*TRANSPOSE(($D115:$E115))),0)</f>
        <v>309047.06971318915</v>
      </c>
      <c r="R115" s="31" cm="1">
        <f t="array" ref="R115">R$106+IF($C115&lt;&gt;0,SUMPRODUCT((R$107:R$108)*TRANSPOSE(($D115:$E115))),0)</f>
        <v>304020.4850976473</v>
      </c>
      <c r="S115" s="31" cm="1">
        <f t="array" ref="S115">S$106+IF($C115&lt;&gt;0,SUMPRODUCT((S$107:S$108)*TRANSPOSE(($D115:$E115))),0)</f>
        <v>304041.85694591678</v>
      </c>
      <c r="T115" s="31" cm="1">
        <f t="array" ref="T115">T$106+IF($C115&lt;&gt;0,SUMPRODUCT((T$107:T$108)*TRANSPOSE(($D115:$E115))),0)</f>
        <v>304063.22879418614</v>
      </c>
      <c r="U115" s="31" cm="1">
        <f t="array" ref="U115">U$106+IF($C115&lt;&gt;0,SUMPRODUCT((U$107:U$108)*TRANSPOSE(($D115:$E115))),0)</f>
        <v>304084.60064245563</v>
      </c>
      <c r="V115" s="31" cm="1">
        <f t="array" ref="V115">V$106+IF($C115&lt;&gt;0,SUMPRODUCT((V$107:V$108)*TRANSPOSE(($D115:$E115))),0)</f>
        <v>304105.97249072499</v>
      </c>
      <c r="W115" s="31" cm="1">
        <f t="array" ref="W115">W$106+IF($C115&lt;&gt;0,SUMPRODUCT((W$107:W$108)*TRANSPOSE(($D115:$E115))),0)</f>
        <v>304127.34433899436</v>
      </c>
      <c r="X115" s="31" cm="1">
        <f t="array" ref="X115">X$106+IF($C115&lt;&gt;0,SUMPRODUCT((X$107:X$108)*TRANSPOSE(($D115:$E115))),0)</f>
        <v>304148.71618726384</v>
      </c>
      <c r="Y115" s="31" cm="1">
        <f t="array" ref="Y115">Y$106+IF($C115&lt;&gt;0,SUMPRODUCT((Y$107:Y$108)*TRANSPOSE(($D115:$E115))),0)</f>
        <v>304170.08803553309</v>
      </c>
      <c r="Z115" s="31" cm="1">
        <f t="array" ref="Z115">Z$106+IF($C115&lt;&gt;0,SUMPRODUCT((Z$107:Z$108)*TRANSPOSE(($D115:$E115))),0)</f>
        <v>304191.45988380257</v>
      </c>
      <c r="AA115" s="31" cm="1">
        <f t="array" ref="AA115">AA$106+IF($C115&lt;&gt;0,SUMPRODUCT((AA$107:AA$108)*TRANSPOSE(($D115:$E115))),0)</f>
        <v>304212.83173207205</v>
      </c>
      <c r="AB115" s="31" cm="1">
        <f t="array" ref="AB115">AB$106+IF($C115&lt;&gt;0,SUMPRODUCT((AB$107:AB$108)*TRANSPOSE(($D115:$E115))),0)</f>
        <v>304234.20358034153</v>
      </c>
      <c r="AC115" s="31" cm="1">
        <f t="array" ref="AC115">AC$106+IF($C115&lt;&gt;0,SUMPRODUCT((AC$107:AC$108)*TRANSPOSE(($D115:$E115))),0)</f>
        <v>304255.57542861073</v>
      </c>
      <c r="AD115" s="31" cm="1">
        <f t="array" ref="AD115">AD$106+IF($C115&lt;&gt;0,SUMPRODUCT((AD$107:AD$108)*TRANSPOSE(($D115:$E115))),0)</f>
        <v>304276.94727688021</v>
      </c>
      <c r="AE115" s="31" cm="1">
        <f t="array" ref="AE115">AE$106+IF($C115&lt;&gt;0,SUMPRODUCT((AE$107:AE$108)*TRANSPOSE(($D115:$E115))),0)</f>
        <v>506619.89883327758</v>
      </c>
      <c r="AF115" s="31" cm="1">
        <f t="array" ref="AF115">AF$106+IF($C115&lt;&gt;0,SUMPRODUCT((AF$107:AF$108)*TRANSPOSE(($D115:$E115))),0)</f>
        <v>506641.27068154683</v>
      </c>
      <c r="AG115" s="31" cm="1">
        <f t="array" ref="AG115">AG$106+IF($C115&lt;&gt;0,SUMPRODUCT((AG$107:AG$108)*TRANSPOSE(($D115:$E115))),0)</f>
        <v>506662.64252981625</v>
      </c>
    </row>
    <row r="116" spans="1:33" x14ac:dyDescent="0.2">
      <c r="A116" s="1" t="str">
        <f>"sens"&amp;Assumptions!B121</f>
        <v>sens</v>
      </c>
      <c r="C116" s="301">
        <f>Assumptions!C121</f>
        <v>0</v>
      </c>
      <c r="D116" s="302">
        <f>Assumptions!G121</f>
        <v>0</v>
      </c>
      <c r="E116" s="302">
        <f>Assumptions!H121</f>
        <v>0</v>
      </c>
      <c r="G116" s="38" t="str">
        <f t="shared" si="21"/>
        <v>Option 2sens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312298.71833864681</v>
      </c>
      <c r="L116" s="31" cm="1">
        <f t="array" ref="L116">L$106+IF($C116&lt;&gt;0,SUMPRODUCT((L$107:L$108)*TRANSPOSE(($D116:$E116))),0)</f>
        <v>314256.9495745587</v>
      </c>
      <c r="M116" s="31" cm="1">
        <f t="array" ref="M116">M$106+IF($C116&lt;&gt;0,SUMPRODUCT((M$107:M$108)*TRANSPOSE(($D116:$E116))),0)</f>
        <v>314432.35268731596</v>
      </c>
      <c r="N116" s="31" cm="1">
        <f t="array" ref="N116">N$106+IF($C116&lt;&gt;0,SUMPRODUCT((N$107:N$108)*TRANSPOSE(($D116:$E116))),0)</f>
        <v>309545.44167695113</v>
      </c>
      <c r="O116" s="31" cm="1">
        <f t="array" ref="O116">O$106+IF($C116&lt;&gt;0,SUMPRODUCT((O$107:O$108)*TRANSPOSE(($D116:$E116))),0)</f>
        <v>306615.1054531415</v>
      </c>
      <c r="P116" s="31" cm="1">
        <f t="array" ref="P116">P$106+IF($C116&lt;&gt;0,SUMPRODUCT((P$107:P$108)*TRANSPOSE(($D116:$E116))),0)</f>
        <v>306913.15056181821</v>
      </c>
      <c r="Q116" s="31" cm="1">
        <f t="array" ref="Q116">Q$106+IF($C116&lt;&gt;0,SUMPRODUCT((Q$107:Q$108)*TRANSPOSE(($D116:$E116))),0)</f>
        <v>309047.06971318915</v>
      </c>
      <c r="R116" s="31" cm="1">
        <f t="array" ref="R116">R$106+IF($C116&lt;&gt;0,SUMPRODUCT((R$107:R$108)*TRANSPOSE(($D116:$E116))),0)</f>
        <v>304020.4850976473</v>
      </c>
      <c r="S116" s="31" cm="1">
        <f t="array" ref="S116">S$106+IF($C116&lt;&gt;0,SUMPRODUCT((S$107:S$108)*TRANSPOSE(($D116:$E116))),0)</f>
        <v>304041.85694591678</v>
      </c>
      <c r="T116" s="31" cm="1">
        <f t="array" ref="T116">T$106+IF($C116&lt;&gt;0,SUMPRODUCT((T$107:T$108)*TRANSPOSE(($D116:$E116))),0)</f>
        <v>304063.22879418614</v>
      </c>
      <c r="U116" s="31" cm="1">
        <f t="array" ref="U116">U$106+IF($C116&lt;&gt;0,SUMPRODUCT((U$107:U$108)*TRANSPOSE(($D116:$E116))),0)</f>
        <v>304084.60064245563</v>
      </c>
      <c r="V116" s="31" cm="1">
        <f t="array" ref="V116">V$106+IF($C116&lt;&gt;0,SUMPRODUCT((V$107:V$108)*TRANSPOSE(($D116:$E116))),0)</f>
        <v>304105.97249072499</v>
      </c>
      <c r="W116" s="31" cm="1">
        <f t="array" ref="W116">W$106+IF($C116&lt;&gt;0,SUMPRODUCT((W$107:W$108)*TRANSPOSE(($D116:$E116))),0)</f>
        <v>304127.34433899436</v>
      </c>
      <c r="X116" s="31" cm="1">
        <f t="array" ref="X116">X$106+IF($C116&lt;&gt;0,SUMPRODUCT((X$107:X$108)*TRANSPOSE(($D116:$E116))),0)</f>
        <v>304148.71618726384</v>
      </c>
      <c r="Y116" s="31" cm="1">
        <f t="array" ref="Y116">Y$106+IF($C116&lt;&gt;0,SUMPRODUCT((Y$107:Y$108)*TRANSPOSE(($D116:$E116))),0)</f>
        <v>304170.08803553309</v>
      </c>
      <c r="Z116" s="31" cm="1">
        <f t="array" ref="Z116">Z$106+IF($C116&lt;&gt;0,SUMPRODUCT((Z$107:Z$108)*TRANSPOSE(($D116:$E116))),0)</f>
        <v>304191.45988380257</v>
      </c>
      <c r="AA116" s="31" cm="1">
        <f t="array" ref="AA116">AA$106+IF($C116&lt;&gt;0,SUMPRODUCT((AA$107:AA$108)*TRANSPOSE(($D116:$E116))),0)</f>
        <v>304212.83173207205</v>
      </c>
      <c r="AB116" s="31" cm="1">
        <f t="array" ref="AB116">AB$106+IF($C116&lt;&gt;0,SUMPRODUCT((AB$107:AB$108)*TRANSPOSE(($D116:$E116))),0)</f>
        <v>304234.20358034153</v>
      </c>
      <c r="AC116" s="31" cm="1">
        <f t="array" ref="AC116">AC$106+IF($C116&lt;&gt;0,SUMPRODUCT((AC$107:AC$108)*TRANSPOSE(($D116:$E116))),0)</f>
        <v>304255.57542861073</v>
      </c>
      <c r="AD116" s="31" cm="1">
        <f t="array" ref="AD116">AD$106+IF($C116&lt;&gt;0,SUMPRODUCT((AD$107:AD$108)*TRANSPOSE(($D116:$E116))),0)</f>
        <v>304276.94727688021</v>
      </c>
      <c r="AE116" s="31" cm="1">
        <f t="array" ref="AE116">AE$106+IF($C116&lt;&gt;0,SUMPRODUCT((AE$107:AE$108)*TRANSPOSE(($D116:$E116))),0)</f>
        <v>506619.89883327758</v>
      </c>
      <c r="AF116" s="31" cm="1">
        <f t="array" ref="AF116">AF$106+IF($C116&lt;&gt;0,SUMPRODUCT((AF$107:AF$108)*TRANSPOSE(($D116:$E116))),0)</f>
        <v>506641.27068154683</v>
      </c>
      <c r="AG116" s="31" cm="1">
        <f t="array" ref="AG116">AG$106+IF($C116&lt;&gt;0,SUMPRODUCT((AG$107:AG$108)*TRANSPOSE(($D116:$E116))),0)</f>
        <v>506662.64252981625</v>
      </c>
    </row>
    <row r="117" spans="1:33" x14ac:dyDescent="0.2">
      <c r="A117" s="1" t="str">
        <f>"sens"&amp;Assumptions!B122</f>
        <v>sens</v>
      </c>
      <c r="C117" s="301">
        <f>Assumptions!C122</f>
        <v>0</v>
      </c>
      <c r="D117" s="302">
        <f>Assumptions!G122</f>
        <v>0</v>
      </c>
      <c r="E117" s="302">
        <f>Assumptions!H122</f>
        <v>0</v>
      </c>
      <c r="G117" s="38" t="str">
        <f t="shared" si="21"/>
        <v>Option 2sens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312298.71833864681</v>
      </c>
      <c r="L117" s="31" cm="1">
        <f t="array" ref="L117">L$106+IF($C117&lt;&gt;0,SUMPRODUCT((L$107:L$108)*TRANSPOSE(($D117:$E117))),0)</f>
        <v>314256.9495745587</v>
      </c>
      <c r="M117" s="31" cm="1">
        <f t="array" ref="M117">M$106+IF($C117&lt;&gt;0,SUMPRODUCT((M$107:M$108)*TRANSPOSE(($D117:$E117))),0)</f>
        <v>314432.35268731596</v>
      </c>
      <c r="N117" s="31" cm="1">
        <f t="array" ref="N117">N$106+IF($C117&lt;&gt;0,SUMPRODUCT((N$107:N$108)*TRANSPOSE(($D117:$E117))),0)</f>
        <v>309545.44167695113</v>
      </c>
      <c r="O117" s="31" cm="1">
        <f t="array" ref="O117">O$106+IF($C117&lt;&gt;0,SUMPRODUCT((O$107:O$108)*TRANSPOSE(($D117:$E117))),0)</f>
        <v>306615.1054531415</v>
      </c>
      <c r="P117" s="31" cm="1">
        <f t="array" ref="P117">P$106+IF($C117&lt;&gt;0,SUMPRODUCT((P$107:P$108)*TRANSPOSE(($D117:$E117))),0)</f>
        <v>306913.15056181821</v>
      </c>
      <c r="Q117" s="31" cm="1">
        <f t="array" ref="Q117">Q$106+IF($C117&lt;&gt;0,SUMPRODUCT((Q$107:Q$108)*TRANSPOSE(($D117:$E117))),0)</f>
        <v>309047.06971318915</v>
      </c>
      <c r="R117" s="31" cm="1">
        <f t="array" ref="R117">R$106+IF($C117&lt;&gt;0,SUMPRODUCT((R$107:R$108)*TRANSPOSE(($D117:$E117))),0)</f>
        <v>304020.4850976473</v>
      </c>
      <c r="S117" s="31" cm="1">
        <f t="array" ref="S117">S$106+IF($C117&lt;&gt;0,SUMPRODUCT((S$107:S$108)*TRANSPOSE(($D117:$E117))),0)</f>
        <v>304041.85694591678</v>
      </c>
      <c r="T117" s="31" cm="1">
        <f t="array" ref="T117">T$106+IF($C117&lt;&gt;0,SUMPRODUCT((T$107:T$108)*TRANSPOSE(($D117:$E117))),0)</f>
        <v>304063.22879418614</v>
      </c>
      <c r="U117" s="31" cm="1">
        <f t="array" ref="U117">U$106+IF($C117&lt;&gt;0,SUMPRODUCT((U$107:U$108)*TRANSPOSE(($D117:$E117))),0)</f>
        <v>304084.60064245563</v>
      </c>
      <c r="V117" s="31" cm="1">
        <f t="array" ref="V117">V$106+IF($C117&lt;&gt;0,SUMPRODUCT((V$107:V$108)*TRANSPOSE(($D117:$E117))),0)</f>
        <v>304105.97249072499</v>
      </c>
      <c r="W117" s="31" cm="1">
        <f t="array" ref="W117">W$106+IF($C117&lt;&gt;0,SUMPRODUCT((W$107:W$108)*TRANSPOSE(($D117:$E117))),0)</f>
        <v>304127.34433899436</v>
      </c>
      <c r="X117" s="31" cm="1">
        <f t="array" ref="X117">X$106+IF($C117&lt;&gt;0,SUMPRODUCT((X$107:X$108)*TRANSPOSE(($D117:$E117))),0)</f>
        <v>304148.71618726384</v>
      </c>
      <c r="Y117" s="31" cm="1">
        <f t="array" ref="Y117">Y$106+IF($C117&lt;&gt;0,SUMPRODUCT((Y$107:Y$108)*TRANSPOSE(($D117:$E117))),0)</f>
        <v>304170.08803553309</v>
      </c>
      <c r="Z117" s="31" cm="1">
        <f t="array" ref="Z117">Z$106+IF($C117&lt;&gt;0,SUMPRODUCT((Z$107:Z$108)*TRANSPOSE(($D117:$E117))),0)</f>
        <v>304191.45988380257</v>
      </c>
      <c r="AA117" s="31" cm="1">
        <f t="array" ref="AA117">AA$106+IF($C117&lt;&gt;0,SUMPRODUCT((AA$107:AA$108)*TRANSPOSE(($D117:$E117))),0)</f>
        <v>304212.83173207205</v>
      </c>
      <c r="AB117" s="31" cm="1">
        <f t="array" ref="AB117">AB$106+IF($C117&lt;&gt;0,SUMPRODUCT((AB$107:AB$108)*TRANSPOSE(($D117:$E117))),0)</f>
        <v>304234.20358034153</v>
      </c>
      <c r="AC117" s="31" cm="1">
        <f t="array" ref="AC117">AC$106+IF($C117&lt;&gt;0,SUMPRODUCT((AC$107:AC$108)*TRANSPOSE(($D117:$E117))),0)</f>
        <v>304255.57542861073</v>
      </c>
      <c r="AD117" s="31" cm="1">
        <f t="array" ref="AD117">AD$106+IF($C117&lt;&gt;0,SUMPRODUCT((AD$107:AD$108)*TRANSPOSE(($D117:$E117))),0)</f>
        <v>304276.94727688021</v>
      </c>
      <c r="AE117" s="31" cm="1">
        <f t="array" ref="AE117">AE$106+IF($C117&lt;&gt;0,SUMPRODUCT((AE$107:AE$108)*TRANSPOSE(($D117:$E117))),0)</f>
        <v>506619.89883327758</v>
      </c>
      <c r="AF117" s="31" cm="1">
        <f t="array" ref="AF117">AF$106+IF($C117&lt;&gt;0,SUMPRODUCT((AF$107:AF$108)*TRANSPOSE(($D117:$E117))),0)</f>
        <v>506641.27068154683</v>
      </c>
      <c r="AG117" s="31" cm="1">
        <f t="array" ref="AG117">AG$106+IF($C117&lt;&gt;0,SUMPRODUCT((AG$107:AG$108)*TRANSPOSE(($D117:$E117))),0)</f>
        <v>506662.64252981625</v>
      </c>
    </row>
    <row r="118" spans="1:33" x14ac:dyDescent="0.2">
      <c r="E118" s="244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21" spans="1:33" x14ac:dyDescent="0.2">
      <c r="M121" s="31"/>
      <c r="N121" s="31"/>
      <c r="O121" s="31"/>
    </row>
    <row r="122" spans="1:33" x14ac:dyDescent="0.2">
      <c r="N122" s="249"/>
    </row>
    <row r="129" spans="9:12" x14ac:dyDescent="0.2">
      <c r="I129" s="249"/>
      <c r="J129" s="249"/>
      <c r="K129" s="249"/>
      <c r="L129" s="249"/>
    </row>
    <row r="130" spans="9:12" x14ac:dyDescent="0.2">
      <c r="I130" s="249"/>
      <c r="J130" s="249"/>
      <c r="K130" s="249"/>
      <c r="L130" s="249"/>
    </row>
    <row r="131" spans="9:12" x14ac:dyDescent="0.2">
      <c r="I131" s="249"/>
      <c r="J131" s="249"/>
      <c r="K131" s="249"/>
      <c r="L131" s="249"/>
    </row>
    <row r="132" spans="9:12" x14ac:dyDescent="0.2">
      <c r="I132" s="249"/>
      <c r="J132" s="249"/>
      <c r="K132" s="249"/>
      <c r="L132" s="249"/>
    </row>
    <row r="133" spans="9:12" x14ac:dyDescent="0.2">
      <c r="I133" s="249"/>
      <c r="J133" s="249"/>
      <c r="K133" s="249"/>
      <c r="L133" s="249"/>
    </row>
    <row r="134" spans="9:12" x14ac:dyDescent="0.2">
      <c r="I134" s="249"/>
      <c r="J134" s="249"/>
      <c r="K134" s="249"/>
      <c r="L134" s="249"/>
    </row>
    <row r="135" spans="9:12" x14ac:dyDescent="0.2">
      <c r="I135" s="249"/>
      <c r="J135" s="249"/>
      <c r="K135" s="249"/>
      <c r="L135" s="249"/>
    </row>
    <row r="136" spans="9:12" x14ac:dyDescent="0.2">
      <c r="I136" s="249"/>
      <c r="J136" s="249"/>
      <c r="K136" s="249"/>
      <c r="L136" s="249"/>
    </row>
  </sheetData>
  <conditionalFormatting sqref="E28">
    <cfRule type="expression" dxfId="12" priority="236">
      <formula>AND(SUM($I$27:$AG$27)&gt;0, $E$28=0)</formula>
    </cfRule>
  </conditionalFormatting>
  <conditionalFormatting sqref="E14:E16">
    <cfRule type="expression" dxfId="11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A4 C3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90" zoomScaleNormal="90" workbookViewId="0">
      <pane xSplit="7" ySplit="10" topLeftCell="H19" activePane="bottomRight" state="frozen"/>
      <selection activeCell="G29" sqref="G29"/>
      <selection pane="topRight" activeCell="G29" sqref="G29"/>
      <selection pane="bottomLeft" activeCell="G29" sqref="G29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Donald microgrid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4" t="s">
        <v>135</v>
      </c>
      <c r="B3" s="5"/>
      <c r="C3" s="201" t="str">
        <f>INDEX(Assumptions!$E$14:$E$18, MATCH(A3,_xlfn.ANCHORARRAY( Assumptions!$C$14),0))</f>
        <v>Install generator + BESS microgrid</v>
      </c>
    </row>
    <row r="4" spans="1:43" x14ac:dyDescent="0.2">
      <c r="A4" s="202" t="str">
        <f>(INDEX(Data!$D$9:$D$13, MATCH(A3, options,0)))</f>
        <v/>
      </c>
      <c r="B4" s="188"/>
      <c r="C4" s="239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1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3"/>
      <c r="G9" s="18" t="s">
        <v>25</v>
      </c>
      <c r="H9" s="221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5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</row>
    <row r="12" spans="1:43" x14ac:dyDescent="0.2">
      <c r="A12" s="3"/>
      <c r="B12" s="3"/>
      <c r="C12" s="3"/>
      <c r="D12" s="3"/>
      <c r="G12" s="206"/>
      <c r="AH12"/>
    </row>
    <row r="13" spans="1:43" x14ac:dyDescent="0.2">
      <c r="C13" s="3" t="s">
        <v>17</v>
      </c>
      <c r="D13"/>
      <c r="E13" s="126" t="s">
        <v>69</v>
      </c>
      <c r="G13" s="207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296</v>
      </c>
      <c r="D14"/>
      <c r="E14" s="149">
        <v>20</v>
      </c>
      <c r="G14" s="208">
        <f>input_dollars</f>
        <v>45291</v>
      </c>
      <c r="H14" s="150"/>
      <c r="I14" s="32">
        <v>0</v>
      </c>
      <c r="J14" s="32">
        <v>2875475.8874999997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297</v>
      </c>
      <c r="D15"/>
      <c r="E15" s="149">
        <v>20</v>
      </c>
      <c r="G15" s="208">
        <f>input_dollars</f>
        <v>45291</v>
      </c>
      <c r="H15" s="2"/>
      <c r="I15" s="32">
        <v>0</v>
      </c>
      <c r="J15" s="32">
        <v>3516193.0625000005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9">
        <v>0</v>
      </c>
      <c r="G16" s="208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8">
        <f>input_dollars</f>
        <v>45291</v>
      </c>
      <c r="H17" s="107"/>
      <c r="I17" s="106">
        <f t="shared" ref="I17:Q17" si="0">SUM(I14:I16)</f>
        <v>0</v>
      </c>
      <c r="J17" s="106">
        <f t="shared" si="0"/>
        <v>6391668.9500000002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B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  <c r="AH17"/>
    </row>
    <row r="18" spans="1:43" x14ac:dyDescent="0.2">
      <c r="C18"/>
      <c r="D18"/>
      <c r="E18"/>
      <c r="G18" s="207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8">
        <f>input_dollars</f>
        <v>45291</v>
      </c>
      <c r="H19" s="107"/>
      <c r="I19" s="32">
        <v>0</v>
      </c>
      <c r="J19" s="32">
        <v>0</v>
      </c>
      <c r="K19" s="32">
        <v>180000</v>
      </c>
      <c r="L19" s="32">
        <v>180000</v>
      </c>
      <c r="M19" s="32">
        <v>180000</v>
      </c>
      <c r="N19" s="32">
        <v>180000</v>
      </c>
      <c r="O19" s="32">
        <v>180000</v>
      </c>
      <c r="P19" s="32">
        <v>180000</v>
      </c>
      <c r="Q19" s="32">
        <v>180000</v>
      </c>
      <c r="R19" s="32">
        <v>180000</v>
      </c>
      <c r="S19" s="32">
        <v>180000</v>
      </c>
      <c r="T19" s="32">
        <v>180000</v>
      </c>
      <c r="U19" s="32">
        <v>180000</v>
      </c>
      <c r="V19" s="32">
        <v>180000</v>
      </c>
      <c r="W19" s="32">
        <v>180000</v>
      </c>
      <c r="X19" s="32">
        <v>180000</v>
      </c>
      <c r="Y19" s="32">
        <v>180000</v>
      </c>
      <c r="Z19" s="32">
        <v>180000</v>
      </c>
      <c r="AA19" s="32">
        <v>180000</v>
      </c>
      <c r="AB19" s="32">
        <v>180000</v>
      </c>
      <c r="AC19" s="32">
        <v>180000</v>
      </c>
      <c r="AD19" s="32">
        <v>180000</v>
      </c>
      <c r="AE19" s="32">
        <v>180000</v>
      </c>
      <c r="AF19" s="32">
        <v>180000</v>
      </c>
      <c r="AG19" s="32">
        <v>180000</v>
      </c>
      <c r="AH19"/>
    </row>
    <row r="20" spans="1:43" x14ac:dyDescent="0.2">
      <c r="G20" s="206"/>
      <c r="AH20"/>
    </row>
    <row r="21" spans="1:43" x14ac:dyDescent="0.2">
      <c r="C21"/>
      <c r="D21"/>
      <c r="E21"/>
      <c r="G21" s="207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154</v>
      </c>
      <c r="B22" s="89"/>
      <c r="C22" s="89"/>
      <c r="D22" s="89"/>
      <c r="E22" s="89"/>
      <c r="F22" s="89"/>
      <c r="G22" s="205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9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155</v>
      </c>
      <c r="D24" s="111"/>
      <c r="E24" s="111"/>
      <c r="F24" s="111"/>
      <c r="G24" s="209"/>
      <c r="H24" s="111"/>
      <c r="I24" s="170">
        <v>0</v>
      </c>
      <c r="J24" s="170">
        <v>0</v>
      </c>
      <c r="K24" s="170">
        <v>0</v>
      </c>
      <c r="L24" s="170">
        <v>0</v>
      </c>
      <c r="M24" s="170">
        <v>0</v>
      </c>
      <c r="N24" s="170">
        <v>0</v>
      </c>
      <c r="O24" s="170">
        <v>0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170">
        <v>0</v>
      </c>
      <c r="V24" s="170">
        <v>0</v>
      </c>
      <c r="W24" s="170">
        <v>0</v>
      </c>
      <c r="X24" s="170">
        <v>0</v>
      </c>
      <c r="Y24" s="170">
        <v>0</v>
      </c>
      <c r="Z24" s="170">
        <v>0</v>
      </c>
      <c r="AA24" s="170">
        <v>0</v>
      </c>
      <c r="AB24" s="170">
        <v>0</v>
      </c>
      <c r="AC24" s="170">
        <v>0</v>
      </c>
      <c r="AD24" s="170">
        <v>0</v>
      </c>
      <c r="AE24" s="170">
        <v>0</v>
      </c>
      <c r="AF24" s="170">
        <v>0</v>
      </c>
      <c r="AG24" s="170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156</v>
      </c>
      <c r="D25" s="209"/>
      <c r="E25" s="111"/>
      <c r="F25" s="111"/>
      <c r="G25" s="209"/>
      <c r="H25" s="111"/>
      <c r="I25" s="170">
        <v>0</v>
      </c>
      <c r="J25" s="170">
        <v>0</v>
      </c>
      <c r="K25" s="170">
        <v>0</v>
      </c>
      <c r="L25" s="170">
        <v>0</v>
      </c>
      <c r="M25" s="170">
        <v>0</v>
      </c>
      <c r="N25" s="170">
        <v>0</v>
      </c>
      <c r="O25" s="170">
        <v>0</v>
      </c>
      <c r="P25" s="170">
        <v>0</v>
      </c>
      <c r="Q25" s="170">
        <v>0</v>
      </c>
      <c r="R25" s="170">
        <v>0</v>
      </c>
      <c r="S25" s="170">
        <v>0</v>
      </c>
      <c r="T25" s="170">
        <v>0</v>
      </c>
      <c r="U25" s="170">
        <v>0</v>
      </c>
      <c r="V25" s="170">
        <v>0</v>
      </c>
      <c r="W25" s="170">
        <v>0</v>
      </c>
      <c r="X25" s="170">
        <v>0</v>
      </c>
      <c r="Y25" s="170">
        <v>0</v>
      </c>
      <c r="Z25" s="170">
        <v>0</v>
      </c>
      <c r="AA25" s="170">
        <v>0</v>
      </c>
      <c r="AB25" s="170">
        <v>0</v>
      </c>
      <c r="AC25" s="170">
        <v>0</v>
      </c>
      <c r="AD25" s="170">
        <v>0</v>
      </c>
      <c r="AE25" s="170">
        <v>0</v>
      </c>
      <c r="AF25" s="170">
        <v>0</v>
      </c>
      <c r="AG25" s="170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9"/>
      <c r="E26" s="111"/>
      <c r="F26" s="111"/>
      <c r="G26" s="209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6"/>
      <c r="E27"/>
      <c r="G27" s="208" t="s">
        <v>40</v>
      </c>
      <c r="H27"/>
      <c r="I27" s="169">
        <f>IF(SUM($H17:H17)&gt;0, 0, 'Option1 (base case)'!I27)</f>
        <v>10.654262722363647</v>
      </c>
      <c r="J27" s="169">
        <f>IF(SUM($H17:I17)&gt;0, 0, 'Option1 (base case)'!J27)</f>
        <v>10.454899626124906</v>
      </c>
      <c r="K27" s="169">
        <f>IF(SUM($H17:J17)&gt;0, 0, 'Option1 (base case)'!K27)</f>
        <v>0</v>
      </c>
      <c r="L27" s="169">
        <f>IF(SUM($H17:K17)&gt;0, 0, 'Option1 (base case)'!L27)</f>
        <v>0</v>
      </c>
      <c r="M27" s="169">
        <f>IF(SUM($H17:L17)&gt;0, 0, 'Option1 (base case)'!M27)</f>
        <v>0</v>
      </c>
      <c r="N27" s="169">
        <f>IF(SUM($H17:M17)&gt;0, 0, 'Option1 (base case)'!N27)</f>
        <v>0</v>
      </c>
      <c r="O27" s="169">
        <f>IF(SUM($H17:N17)&gt;0, 0, 'Option1 (base case)'!O27)</f>
        <v>0</v>
      </c>
      <c r="P27" s="169">
        <f>IF(SUM($H17:O17)&gt;0, 0, 'Option1 (base case)'!P27)</f>
        <v>0</v>
      </c>
      <c r="Q27" s="169">
        <f>IF(SUM($H17:P17)&gt;0, 0, 'Option1 (base case)'!Q27)</f>
        <v>0</v>
      </c>
      <c r="R27" s="169">
        <f>IF(SUM($H17:Q17)&gt;0, 0, 'Option1 (base case)'!R27)</f>
        <v>0</v>
      </c>
      <c r="S27" s="169">
        <f>IF(SUM($H17:R17)&gt;0, 0, 'Option1 (base case)'!S27)</f>
        <v>0</v>
      </c>
      <c r="T27" s="169">
        <f>IF(SUM($H17:S17)&gt;0, 0, 'Option1 (base case)'!T27)</f>
        <v>0</v>
      </c>
      <c r="U27" s="169">
        <f>IF(SUM($H17:T17)&gt;0, 0, 'Option1 (base case)'!U27)</f>
        <v>0</v>
      </c>
      <c r="V27" s="169">
        <f>IF(SUM($H17:U17)&gt;0, 0, 'Option1 (base case)'!V27)</f>
        <v>0</v>
      </c>
      <c r="W27" s="169">
        <f>IF(SUM($H17:V17)&gt;0, 0, 'Option1 (base case)'!W27)</f>
        <v>0</v>
      </c>
      <c r="X27" s="169">
        <f>IF(SUM($H17:W17)&gt;0, 0, 'Option1 (base case)'!X27)</f>
        <v>0</v>
      </c>
      <c r="Y27" s="169">
        <f>IF(SUM($H17:X17)&gt;0, 0, 'Option1 (base case)'!Y27)</f>
        <v>0</v>
      </c>
      <c r="Z27" s="169">
        <f>IF(SUM($H17:Y17)&gt;0, 0, 'Option1 (base case)'!Z27)</f>
        <v>0</v>
      </c>
      <c r="AA27" s="169">
        <f>IF(SUM($H17:Z17)&gt;0, 0, 'Option1 (base case)'!AA27)</f>
        <v>0</v>
      </c>
      <c r="AB27" s="169">
        <f>IF(SUM($H17:AA17)&gt;0, 0, 'Option1 (base case)'!AB27)</f>
        <v>0</v>
      </c>
      <c r="AC27" s="169">
        <f>IF(SUM($H17:AB17)&gt;0, 0, 'Option1 (base case)'!AC27)</f>
        <v>0</v>
      </c>
      <c r="AD27" s="169">
        <f>IF(SUM($H17:AC17)&gt;0, 0, 'Option1 (base case)'!AD27)</f>
        <v>0</v>
      </c>
      <c r="AE27" s="169">
        <f>IF(SUM($H17:AD17)&gt;0, 0, 'Option1 (base case)'!AE27)</f>
        <v>0</v>
      </c>
      <c r="AF27" s="169">
        <f>IF(SUM($H17:AE17)&gt;0, 0, 'Option1 (base case)'!AF27)</f>
        <v>0</v>
      </c>
      <c r="AG27" s="169">
        <f>IF(SUM($H17:AF17)&gt;0, 0, 'Option1 (base case)'!AG27)</f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6" t="s">
        <v>63</v>
      </c>
      <c r="E28" s="113">
        <f>Assumptions!H41*vcr_esc</f>
        <v>45198.640474687112</v>
      </c>
      <c r="F28" s="239" t="str">
        <f>IF(AND(SUM(I27:AG27)&lt;&gt;0, E28=0), "!", "")</f>
        <v/>
      </c>
      <c r="G28" s="208">
        <f>input_dollars</f>
        <v>45291</v>
      </c>
      <c r="H28"/>
      <c r="I28" s="298">
        <f>I27*$E$28</f>
        <v>481558.19031097565</v>
      </c>
      <c r="J28" s="298">
        <f t="shared" ref="J28:AG28" si="2">J27*$E$28</f>
        <v>472547.24940016033</v>
      </c>
      <c r="K28" s="298">
        <f t="shared" si="2"/>
        <v>0</v>
      </c>
      <c r="L28" s="298">
        <f t="shared" si="2"/>
        <v>0</v>
      </c>
      <c r="M28" s="298">
        <f t="shared" si="2"/>
        <v>0</v>
      </c>
      <c r="N28" s="298">
        <f t="shared" si="2"/>
        <v>0</v>
      </c>
      <c r="O28" s="298">
        <f t="shared" si="2"/>
        <v>0</v>
      </c>
      <c r="P28" s="298">
        <f t="shared" si="2"/>
        <v>0</v>
      </c>
      <c r="Q28" s="298">
        <f t="shared" si="2"/>
        <v>0</v>
      </c>
      <c r="R28" s="298">
        <f t="shared" si="2"/>
        <v>0</v>
      </c>
      <c r="S28" s="298">
        <f t="shared" si="2"/>
        <v>0</v>
      </c>
      <c r="T28" s="298">
        <f t="shared" si="2"/>
        <v>0</v>
      </c>
      <c r="U28" s="298">
        <f t="shared" si="2"/>
        <v>0</v>
      </c>
      <c r="V28" s="298">
        <f t="shared" si="2"/>
        <v>0</v>
      </c>
      <c r="W28" s="298">
        <f t="shared" si="2"/>
        <v>0</v>
      </c>
      <c r="X28" s="298">
        <f t="shared" si="2"/>
        <v>0</v>
      </c>
      <c r="Y28" s="298">
        <f t="shared" si="2"/>
        <v>0</v>
      </c>
      <c r="Z28" s="298">
        <f t="shared" si="2"/>
        <v>0</v>
      </c>
      <c r="AA28" s="298">
        <f t="shared" si="2"/>
        <v>0</v>
      </c>
      <c r="AB28" s="298">
        <f t="shared" si="2"/>
        <v>0</v>
      </c>
      <c r="AC28" s="298">
        <f t="shared" si="2"/>
        <v>0</v>
      </c>
      <c r="AD28" s="298">
        <f t="shared" si="2"/>
        <v>0</v>
      </c>
      <c r="AE28" s="298">
        <f t="shared" si="2"/>
        <v>0</v>
      </c>
      <c r="AF28" s="298">
        <f t="shared" si="2"/>
        <v>0</v>
      </c>
      <c r="AG28" s="298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7"/>
      <c r="E29"/>
      <c r="G29" s="208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6" t="s">
        <v>210</v>
      </c>
      <c r="G30" s="208">
        <f>input_dollars</f>
        <v>45291</v>
      </c>
      <c r="H30" s="150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7"/>
      <c r="E31"/>
      <c r="G31" s="208">
        <f>input_dollars</f>
        <v>45291</v>
      </c>
      <c r="H31" s="150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6" t="s">
        <v>210</v>
      </c>
      <c r="E32"/>
      <c r="G32" s="208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5" t="s">
        <v>177</v>
      </c>
      <c r="D33" s="220"/>
      <c r="E33"/>
      <c r="G33" s="208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5" t="s">
        <v>177</v>
      </c>
      <c r="D34" s="207"/>
      <c r="E34"/>
      <c r="G34" s="208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7"/>
      <c r="E35"/>
      <c r="G35" s="208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176</v>
      </c>
      <c r="D36" s="219"/>
      <c r="E36" s="107"/>
      <c r="F36" s="3"/>
      <c r="G36" s="210"/>
      <c r="H36" s="107"/>
      <c r="I36" s="171">
        <f>SUM(I28:I34)</f>
        <v>481558.19031097565</v>
      </c>
      <c r="J36" s="171">
        <f t="shared" ref="J36:AB36" si="3">SUM(J28:J34)</f>
        <v>472547.24940016033</v>
      </c>
      <c r="K36" s="171">
        <f t="shared" si="3"/>
        <v>0</v>
      </c>
      <c r="L36" s="171">
        <f t="shared" si="3"/>
        <v>0</v>
      </c>
      <c r="M36" s="171">
        <f t="shared" si="3"/>
        <v>0</v>
      </c>
      <c r="N36" s="171">
        <f t="shared" si="3"/>
        <v>0</v>
      </c>
      <c r="O36" s="171">
        <f t="shared" si="3"/>
        <v>0</v>
      </c>
      <c r="P36" s="171">
        <f t="shared" si="3"/>
        <v>0</v>
      </c>
      <c r="Q36" s="171">
        <f t="shared" si="3"/>
        <v>0</v>
      </c>
      <c r="R36" s="171">
        <f t="shared" si="3"/>
        <v>0</v>
      </c>
      <c r="S36" s="171">
        <f t="shared" si="3"/>
        <v>0</v>
      </c>
      <c r="T36" s="171">
        <f t="shared" si="3"/>
        <v>0</v>
      </c>
      <c r="U36" s="171">
        <f t="shared" si="3"/>
        <v>0</v>
      </c>
      <c r="V36" s="171">
        <f t="shared" si="3"/>
        <v>0</v>
      </c>
      <c r="W36" s="171">
        <f t="shared" si="3"/>
        <v>0</v>
      </c>
      <c r="X36" s="171">
        <f t="shared" si="3"/>
        <v>0</v>
      </c>
      <c r="Y36" s="171">
        <f t="shared" si="3"/>
        <v>0</v>
      </c>
      <c r="Z36" s="171">
        <f t="shared" si="3"/>
        <v>0</v>
      </c>
      <c r="AA36" s="171">
        <f t="shared" si="3"/>
        <v>0</v>
      </c>
      <c r="AB36" s="171">
        <f t="shared" si="3"/>
        <v>0</v>
      </c>
      <c r="AC36" s="171">
        <f>SUM(AC28:AC34)</f>
        <v>0</v>
      </c>
      <c r="AD36" s="171">
        <f>SUM(AD28:AD34)</f>
        <v>0</v>
      </c>
      <c r="AE36" s="171">
        <f>SUM(AE28:AE34)</f>
        <v>0</v>
      </c>
      <c r="AF36" s="171">
        <f>SUM(AF28:AF34)</f>
        <v>0</v>
      </c>
      <c r="AG36" s="171">
        <f>SUM(AG28:AG34)</f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8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5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8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8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6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</row>
    <row r="42" spans="1:16372" ht="13.5" x14ac:dyDescent="0.25">
      <c r="C42" s="1" t="s">
        <v>129</v>
      </c>
      <c r="G42" s="206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</row>
    <row r="43" spans="1:16372" x14ac:dyDescent="0.2">
      <c r="D43"/>
      <c r="E43"/>
      <c r="G43" s="208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7"/>
      <c r="E44"/>
      <c r="G44" s="208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tr">
        <f>'Option1 (base case)'!C45</f>
        <v>Incremental reliability in worst-served areas &gt; 500 mins</v>
      </c>
      <c r="D45" s="206" t="str">
        <f>'Option1 (base case)'!D45</f>
        <v>$/MWh</v>
      </c>
      <c r="E45" s="113">
        <f>'Option1 (base case)'!E45</f>
        <v>22301.359525312888</v>
      </c>
      <c r="G45" s="208" t="s">
        <v>40</v>
      </c>
      <c r="I45" s="328">
        <f>Option2!I45</f>
        <v>0</v>
      </c>
      <c r="J45" s="328">
        <f>Option2!J45</f>
        <v>0</v>
      </c>
      <c r="K45" s="328">
        <f>Option2!K45</f>
        <v>2.326889033358456</v>
      </c>
      <c r="L45" s="328">
        <f>Option2!L45</f>
        <v>2.3388067162051871</v>
      </c>
      <c r="M45" s="328">
        <f>Option2!M45</f>
        <v>2.3437411402633046</v>
      </c>
      <c r="N45" s="328">
        <f>Option2!N45</f>
        <v>2.3246627020846149</v>
      </c>
      <c r="O45" s="328">
        <f>Option2!O45</f>
        <v>2.3132675335119175</v>
      </c>
      <c r="P45" s="328">
        <f>Option2!P45</f>
        <v>2.3145525125206103</v>
      </c>
      <c r="Q45" s="328">
        <f>Option2!Q45</f>
        <v>2.3230493880733638</v>
      </c>
      <c r="R45" s="328">
        <f>Option2!R45</f>
        <v>2.3034173788656531</v>
      </c>
      <c r="S45" s="328">
        <f>Option2!S45</f>
        <v>2.3036150515082632</v>
      </c>
      <c r="T45" s="328">
        <f>Option2!T45</f>
        <v>2.3038127241508715</v>
      </c>
      <c r="U45" s="328">
        <f>Option2!U45</f>
        <v>2.3040103967934811</v>
      </c>
      <c r="V45" s="328">
        <f>Option2!V45</f>
        <v>2.304208069436088</v>
      </c>
      <c r="W45" s="328">
        <f>Option2!W45</f>
        <v>2.3044057420786976</v>
      </c>
      <c r="X45" s="328">
        <f>Option2!X45</f>
        <v>2.3046034147213073</v>
      </c>
      <c r="Y45" s="328">
        <f>Option2!Y45</f>
        <v>2.3048010873639142</v>
      </c>
      <c r="Z45" s="328">
        <f>Option2!Z45</f>
        <v>2.3049987600065243</v>
      </c>
      <c r="AA45" s="328">
        <f>Option2!AA45</f>
        <v>2.3051964326491339</v>
      </c>
      <c r="AB45" s="328">
        <f>Option2!AB45</f>
        <v>2.305394105291743</v>
      </c>
      <c r="AC45" s="328">
        <f>Option2!AC45</f>
        <v>2.3055917779343504</v>
      </c>
      <c r="AD45" s="328">
        <f>Option2!AD45</f>
        <v>2.3057894505769601</v>
      </c>
      <c r="AE45" s="328">
        <f>Option2!AE45</f>
        <v>2.3059871232195697</v>
      </c>
      <c r="AF45" s="328">
        <f>Option2!AF45</f>
        <v>2.3061847958621766</v>
      </c>
      <c r="AG45" s="328">
        <f>Option2!AG45</f>
        <v>2.3063824685047867</v>
      </c>
      <c r="AH45"/>
    </row>
    <row r="46" spans="1:16372" x14ac:dyDescent="0.2">
      <c r="C46" s="1" t="str">
        <f>'Option1 (base case)'!C46</f>
        <v>Incremental network resilience (domestic)</v>
      </c>
      <c r="D46" s="206" t="str">
        <f>'Option1 (base case)'!D46</f>
        <v>$/MWh</v>
      </c>
      <c r="E46" s="113">
        <f>'Option1 (base case)'!E46</f>
        <v>31030</v>
      </c>
      <c r="G46" s="208" t="s">
        <v>40</v>
      </c>
      <c r="I46" s="328">
        <f>Option2!I46</f>
        <v>0</v>
      </c>
      <c r="J46" s="328">
        <f>Option2!J46</f>
        <v>0</v>
      </c>
      <c r="K46" s="328">
        <f>Option2!K46</f>
        <v>1.0702898775252392</v>
      </c>
      <c r="L46" s="328">
        <f>Option2!L46</f>
        <v>1.0736727529506103</v>
      </c>
      <c r="M46" s="328">
        <f>Option2!M46</f>
        <v>1.0738468388385012</v>
      </c>
      <c r="N46" s="328">
        <f>Option2!N46</f>
        <v>1.0650537354213776</v>
      </c>
      <c r="O46" s="328">
        <f>Option2!O46</f>
        <v>1.0597814415013329</v>
      </c>
      <c r="P46" s="328">
        <f>Option2!P46</f>
        <v>1.0603185606985028</v>
      </c>
      <c r="Q46" s="328">
        <f>Option2!Q46</f>
        <v>1.0641593093575756</v>
      </c>
      <c r="R46" s="328">
        <f>Option2!R46</f>
        <v>1.055114831374631</v>
      </c>
      <c r="S46" s="328">
        <f>Option2!S46</f>
        <v>1.0551540778492698</v>
      </c>
      <c r="T46" s="328">
        <f>Option2!T46</f>
        <v>1.0551933243239087</v>
      </c>
      <c r="U46" s="328">
        <f>Option2!U46</f>
        <v>1.0552325707985473</v>
      </c>
      <c r="V46" s="328">
        <f>Option2!V46</f>
        <v>1.0552718172731859</v>
      </c>
      <c r="W46" s="328">
        <f>Option2!W46</f>
        <v>1.0553110637478247</v>
      </c>
      <c r="X46" s="328">
        <f>Option2!X46</f>
        <v>1.0553503102224633</v>
      </c>
      <c r="Y46" s="328">
        <f>Option2!Y46</f>
        <v>1.0553895566971019</v>
      </c>
      <c r="Z46" s="328">
        <f>Option2!Z46</f>
        <v>1.0554288031717407</v>
      </c>
      <c r="AA46" s="328">
        <f>Option2!AA46</f>
        <v>1.0554680496463795</v>
      </c>
      <c r="AB46" s="328">
        <f>Option2!AB46</f>
        <v>1.0555072961210183</v>
      </c>
      <c r="AC46" s="328">
        <f>Option2!AC46</f>
        <v>1.0555465425956567</v>
      </c>
      <c r="AD46" s="328">
        <f>Option2!AD46</f>
        <v>1.0555857890702955</v>
      </c>
      <c r="AE46" s="328">
        <f>Option2!AE46</f>
        <v>1.0556250355449344</v>
      </c>
      <c r="AF46" s="328">
        <f>Option2!AF46</f>
        <v>1.055664282019573</v>
      </c>
      <c r="AG46" s="328">
        <f>Option2!AG46</f>
        <v>1.0557035284942116</v>
      </c>
      <c r="AH46"/>
    </row>
    <row r="47" spans="1:16372" x14ac:dyDescent="0.2">
      <c r="C47" s="1" t="str">
        <f>'Option1 (base case)'!C47</f>
        <v>Incremental network resilience (commercial)</v>
      </c>
      <c r="D47" s="206" t="str">
        <f>'Option1 (base case)'!D47</f>
        <v>$/MWh</v>
      </c>
      <c r="E47" s="113">
        <f>'Option1 (base case)'!E47</f>
        <v>52200</v>
      </c>
      <c r="G47" s="208" t="s">
        <v>40</v>
      </c>
      <c r="I47" s="328">
        <f>Option2!I47</f>
        <v>0</v>
      </c>
      <c r="J47" s="328">
        <f>Option2!J47</f>
        <v>0</v>
      </c>
      <c r="K47" s="328">
        <f>Option2!K47</f>
        <v>0.47959428582233243</v>
      </c>
      <c r="L47" s="328">
        <f>Option2!L47</f>
        <v>0.48110825402563462</v>
      </c>
      <c r="M47" s="328">
        <f>Option2!M47</f>
        <v>0.48118437440363498</v>
      </c>
      <c r="N47" s="328">
        <f>Option2!N47</f>
        <v>0.47724399303836063</v>
      </c>
      <c r="O47" s="328">
        <f>Option2!O47</f>
        <v>0.47488126787913332</v>
      </c>
      <c r="P47" s="328">
        <f>Option2!P47</f>
        <v>0.47512170458689196</v>
      </c>
      <c r="Q47" s="328">
        <f>Option2!Q47</f>
        <v>0.47684247472936536</v>
      </c>
      <c r="R47" s="328">
        <f>Option2!R47</f>
        <v>0.47278946455767185</v>
      </c>
      <c r="S47" s="328">
        <f>Option2!S47</f>
        <v>0.47280680890153348</v>
      </c>
      <c r="T47" s="328">
        <f>Option2!T47</f>
        <v>0.47282415324539512</v>
      </c>
      <c r="U47" s="328">
        <f>Option2!U47</f>
        <v>0.47284149758925675</v>
      </c>
      <c r="V47" s="328">
        <f>Option2!V47</f>
        <v>0.47285884193311822</v>
      </c>
      <c r="W47" s="328">
        <f>Option2!W47</f>
        <v>0.47287618627697997</v>
      </c>
      <c r="X47" s="328">
        <f>Option2!X47</f>
        <v>0.47289353062084166</v>
      </c>
      <c r="Y47" s="328">
        <f>Option2!Y47</f>
        <v>0.47291087496470319</v>
      </c>
      <c r="Z47" s="328">
        <f>Option2!Z47</f>
        <v>0.47292821930856488</v>
      </c>
      <c r="AA47" s="328">
        <f>Option2!AA47</f>
        <v>0.47294556365242651</v>
      </c>
      <c r="AB47" s="328">
        <f>Option2!AB47</f>
        <v>0.47296290799628815</v>
      </c>
      <c r="AC47" s="328">
        <f>Option2!AC47</f>
        <v>0.47298025234014973</v>
      </c>
      <c r="AD47" s="328">
        <f>Option2!AD47</f>
        <v>0.47299759668401137</v>
      </c>
      <c r="AE47" s="328">
        <f>Option2!AE47</f>
        <v>0.473014941027873</v>
      </c>
      <c r="AF47" s="328">
        <f>Option2!AF47</f>
        <v>0.47303228537173458</v>
      </c>
      <c r="AG47" s="328">
        <f>Option2!AG47</f>
        <v>0.47304962971559622</v>
      </c>
      <c r="AH47"/>
    </row>
    <row r="48" spans="1:16372" x14ac:dyDescent="0.2">
      <c r="C48" s="1" t="str">
        <f>'Option1 (base case)'!C48</f>
        <v>Incremental network resilience (industrial)</v>
      </c>
      <c r="D48" s="206" t="str">
        <f>'Option1 (base case)'!D48</f>
        <v>$/customer</v>
      </c>
      <c r="E48" s="113">
        <f>'Option1 (base case)'!E48</f>
        <v>74790</v>
      </c>
      <c r="G48" s="208" t="s">
        <v>40</v>
      </c>
      <c r="I48" s="328">
        <f>Option2!I48</f>
        <v>0</v>
      </c>
      <c r="J48" s="328">
        <f>Option2!J48</f>
        <v>0</v>
      </c>
      <c r="K48" s="328">
        <f>Option2!K48</f>
        <v>0.14433708627212205</v>
      </c>
      <c r="L48" s="328">
        <f>Option2!L48</f>
        <v>0.1447927250602252</v>
      </c>
      <c r="M48" s="328">
        <f>Option2!M48</f>
        <v>0.14481563399365352</v>
      </c>
      <c r="N48" s="328">
        <f>Option2!N48</f>
        <v>0.14362975004574643</v>
      </c>
      <c r="O48" s="328">
        <f>Option2!O48</f>
        <v>0.14291867221344914</v>
      </c>
      <c r="P48" s="328">
        <f>Option2!P48</f>
        <v>0.14299103323787471</v>
      </c>
      <c r="Q48" s="328">
        <f>Option2!Q48</f>
        <v>0.14350891044336062</v>
      </c>
      <c r="R48" s="328">
        <f>Option2!R48</f>
        <v>0.14228913010796637</v>
      </c>
      <c r="S48" s="328">
        <f>Option2!S48</f>
        <v>0.14229435000347035</v>
      </c>
      <c r="T48" s="328">
        <f>Option2!T48</f>
        <v>0.14229956989897433</v>
      </c>
      <c r="U48" s="328">
        <f>Option2!U48</f>
        <v>0.14230478979447828</v>
      </c>
      <c r="V48" s="328">
        <f>Option2!V48</f>
        <v>0.1423100096899822</v>
      </c>
      <c r="W48" s="328">
        <f>Option2!W48</f>
        <v>0.1423152295854862</v>
      </c>
      <c r="X48" s="328">
        <f>Option2!X48</f>
        <v>0.14232044948099015</v>
      </c>
      <c r="Y48" s="328">
        <f>Option2!Y48</f>
        <v>0.1423256693764941</v>
      </c>
      <c r="Z48" s="328">
        <f>Option2!Z48</f>
        <v>0.14233088927199808</v>
      </c>
      <c r="AA48" s="328">
        <f>Option2!AA48</f>
        <v>0.14233610916750203</v>
      </c>
      <c r="AB48" s="328">
        <f>Option2!AB48</f>
        <v>0.14234132906300601</v>
      </c>
      <c r="AC48" s="328">
        <f>Option2!AC48</f>
        <v>0.14234654895850996</v>
      </c>
      <c r="AD48" s="328">
        <f>Option2!AD48</f>
        <v>0.1423517688540139</v>
      </c>
      <c r="AE48" s="328">
        <f>Option2!AE48</f>
        <v>0.14235698874951788</v>
      </c>
      <c r="AF48" s="328">
        <f>Option2!AF48</f>
        <v>0.14236220864502183</v>
      </c>
      <c r="AG48" s="328">
        <f>Option2!AG48</f>
        <v>0.14236742854052578</v>
      </c>
      <c r="AH48"/>
    </row>
    <row r="49" spans="1:43" x14ac:dyDescent="0.2">
      <c r="C49" s="1" t="str">
        <f>'Option1 (base case)'!C49</f>
        <v>Incremental network resilience (agricultural)</v>
      </c>
      <c r="D49" s="206" t="str">
        <f>'Option1 (base case)'!D49</f>
        <v>$/customer min</v>
      </c>
      <c r="E49" s="113">
        <f>'Option1 (base case)'!E49</f>
        <v>44400</v>
      </c>
      <c r="G49" s="208" t="s">
        <v>40</v>
      </c>
      <c r="I49" s="328">
        <f>Option2!I49</f>
        <v>0</v>
      </c>
      <c r="J49" s="328">
        <f>Option2!J49</f>
        <v>0</v>
      </c>
      <c r="K49" s="328">
        <f>Option2!K49</f>
        <v>6.5915699179545428E-2</v>
      </c>
      <c r="L49" s="328">
        <f>Option2!L49</f>
        <v>6.6123779791859544E-2</v>
      </c>
      <c r="M49" s="328">
        <f>Option2!M49</f>
        <v>6.6134241817963763E-2</v>
      </c>
      <c r="N49" s="328">
        <f>Option2!N49</f>
        <v>6.5592673662536793E-2</v>
      </c>
      <c r="O49" s="328">
        <f>Option2!O49</f>
        <v>6.526793943311926E-2</v>
      </c>
      <c r="P49" s="328">
        <f>Option2!P49</f>
        <v>6.53009851848491E-2</v>
      </c>
      <c r="Q49" s="328">
        <f>Option2!Q49</f>
        <v>6.5537488768026578E-2</v>
      </c>
      <c r="R49" s="328">
        <f>Option2!R49</f>
        <v>6.4980440848260573E-2</v>
      </c>
      <c r="S49" s="328">
        <f>Option2!S49</f>
        <v>6.4982824664303107E-2</v>
      </c>
      <c r="T49" s="328">
        <f>Option2!T49</f>
        <v>6.4985208480345655E-2</v>
      </c>
      <c r="U49" s="328">
        <f>Option2!U49</f>
        <v>6.4987592296388189E-2</v>
      </c>
      <c r="V49" s="328">
        <f>Option2!V49</f>
        <v>6.4989976112430695E-2</v>
      </c>
      <c r="W49" s="328">
        <f>Option2!W49</f>
        <v>6.4992359928473242E-2</v>
      </c>
      <c r="X49" s="328">
        <f>Option2!X49</f>
        <v>6.4994743744515776E-2</v>
      </c>
      <c r="Y49" s="328">
        <f>Option2!Y49</f>
        <v>6.4997127560558296E-2</v>
      </c>
      <c r="Z49" s="328">
        <f>Option2!Z49</f>
        <v>6.499951137660083E-2</v>
      </c>
      <c r="AA49" s="328">
        <f>Option2!AA49</f>
        <v>6.5001895192643364E-2</v>
      </c>
      <c r="AB49" s="328">
        <f>Option2!AB49</f>
        <v>6.5004279008685897E-2</v>
      </c>
      <c r="AC49" s="328">
        <f>Option2!AC49</f>
        <v>6.5006662824728417E-2</v>
      </c>
      <c r="AD49" s="328">
        <f>Option2!AD49</f>
        <v>6.5009046640770965E-2</v>
      </c>
      <c r="AE49" s="328">
        <f>Option2!AE49</f>
        <v>6.5011430456813499E-2</v>
      </c>
      <c r="AF49" s="328">
        <f>Option2!AF49</f>
        <v>6.5013814272856019E-2</v>
      </c>
      <c r="AG49" s="328">
        <f>Option2!AG49</f>
        <v>6.5016198088898552E-2</v>
      </c>
      <c r="AH49"/>
    </row>
    <row r="50" spans="1:43" x14ac:dyDescent="0.2">
      <c r="C50" s="1" t="str">
        <f>'Option1 (base case)'!C50</f>
        <v>Incremental network resilience (others)</v>
      </c>
      <c r="D50" s="206" t="str">
        <f>'Option1 (base case)'!D50</f>
        <v>$/customer min</v>
      </c>
      <c r="E50" s="113">
        <f>'Option1 (base case)'!E50</f>
        <v>52200</v>
      </c>
      <c r="G50" s="208" t="s">
        <v>40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2">
      <c r="C51" s="1" t="s">
        <v>304</v>
      </c>
      <c r="D51" s="206" t="s">
        <v>305</v>
      </c>
      <c r="E51" s="113">
        <v>11000</v>
      </c>
      <c r="G51" s="208" t="s">
        <v>104</v>
      </c>
      <c r="I51" s="32">
        <v>0</v>
      </c>
      <c r="J51" s="32">
        <v>0</v>
      </c>
      <c r="K51" s="32">
        <v>1</v>
      </c>
      <c r="L51" s="32">
        <v>1</v>
      </c>
      <c r="M51" s="32">
        <v>1</v>
      </c>
      <c r="N51" s="32">
        <v>1</v>
      </c>
      <c r="O51" s="32">
        <v>1</v>
      </c>
      <c r="P51" s="32">
        <v>1</v>
      </c>
      <c r="Q51" s="32">
        <v>1</v>
      </c>
      <c r="R51" s="32">
        <v>1</v>
      </c>
      <c r="S51" s="32">
        <v>1</v>
      </c>
      <c r="T51" s="32">
        <v>1</v>
      </c>
      <c r="U51" s="32">
        <v>1</v>
      </c>
      <c r="V51" s="32">
        <v>1</v>
      </c>
      <c r="W51" s="32">
        <v>1</v>
      </c>
      <c r="X51" s="32">
        <v>1</v>
      </c>
      <c r="Y51" s="32">
        <v>1</v>
      </c>
      <c r="Z51" s="32">
        <v>1</v>
      </c>
      <c r="AA51" s="32">
        <v>1</v>
      </c>
      <c r="AB51" s="32">
        <v>1</v>
      </c>
      <c r="AC51" s="32">
        <v>1</v>
      </c>
      <c r="AD51" s="32">
        <v>1</v>
      </c>
      <c r="AE51" s="32">
        <v>1</v>
      </c>
      <c r="AF51" s="32">
        <v>1</v>
      </c>
      <c r="AG51" s="32">
        <v>1</v>
      </c>
      <c r="AH51"/>
    </row>
    <row r="52" spans="1:43" x14ac:dyDescent="0.2">
      <c r="D52" s="206"/>
      <c r="E52" s="112"/>
      <c r="G52" s="208"/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x14ac:dyDescent="0.2">
      <c r="D53" s="206"/>
      <c r="G53" s="208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/>
    </row>
    <row r="54" spans="1:43" x14ac:dyDescent="0.2">
      <c r="C54" s="1" t="s">
        <v>117</v>
      </c>
      <c r="D54" s="206"/>
      <c r="G54" s="208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/>
    </row>
    <row r="55" spans="1:43" x14ac:dyDescent="0.2">
      <c r="C55" s="1" t="s">
        <v>118</v>
      </c>
      <c r="D55" s="206"/>
      <c r="G55" s="208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x14ac:dyDescent="0.2">
      <c r="D56" s="206"/>
      <c r="G56" s="206"/>
      <c r="AH56"/>
    </row>
    <row r="57" spans="1:43" x14ac:dyDescent="0.2">
      <c r="C57" s="3" t="s">
        <v>125</v>
      </c>
      <c r="D57" s="219"/>
      <c r="E57" s="107"/>
      <c r="F57" s="3"/>
      <c r="G57" s="211">
        <f>input_dollars</f>
        <v>45291</v>
      </c>
      <c r="H57" s="107"/>
      <c r="I57" s="171" cm="1">
        <f t="array" ref="I57">SUMPRODUCT((I$45:I$52)*($E$45:$E$52))+SUM(I54:I55)+I42</f>
        <v>0</v>
      </c>
      <c r="J57" s="171" cm="1">
        <f t="array" ref="J57">SUMPRODUCT((J$45:J$52)*($E$45:$E$52))+SUM(J54:J55)+J42</f>
        <v>0</v>
      </c>
      <c r="K57" s="171" cm="1">
        <f t="array" ref="K57">SUMPRODUCT((K$45:K$52)*($E$45:$E$52))+SUM(K54:K55)+K42</f>
        <v>134860.33325383245</v>
      </c>
      <c r="L57" s="171" cm="1">
        <f t="array" ref="L57">SUMPRODUCT((L$45:L$52)*($E$45:$E$52))+SUM(L54:L55)+L42</f>
        <v>135353.42955251667</v>
      </c>
      <c r="M57" s="171" cm="1">
        <f t="array" ref="M57">SUMPRODUCT((M$45:M$52)*($E$45:$E$52))+SUM(M54:M55)+M42</f>
        <v>135475.02715941012</v>
      </c>
      <c r="N57" s="171" cm="1">
        <f t="array" ref="N57">SUMPRODUCT((N$45:N$52)*($E$45:$E$52))+SUM(N54:N55)+N42</f>
        <v>134458.2762575401</v>
      </c>
      <c r="O57" s="171" cm="1">
        <f t="array" ref="O57">SUMPRODUCT((O$45:O$52)*($E$45:$E$52))+SUM(O54:O55)+O42</f>
        <v>133849.61526183452</v>
      </c>
      <c r="P57" s="171" cm="1">
        <f t="array" ref="P57">SUMPRODUCT((P$45:P$52)*($E$45:$E$52))+SUM(P54:P55)+P42</f>
        <v>133914.36875791661</v>
      </c>
      <c r="Q57" s="171" cm="1">
        <f t="array" ref="Q57">SUMPRODUCT((Q$45:Q$52)*($E$45:$E$52))+SUM(Q54:Q55)+Q42</f>
        <v>134362.09606207997</v>
      </c>
      <c r="R57" s="171" cm="1">
        <f t="array" ref="R57">SUMPRODUCT((R$45:R$52)*($E$45:$E$52))+SUM(R54:R55)+R42</f>
        <v>133316.09798483964</v>
      </c>
      <c r="S57" s="171" cm="1">
        <f t="array" ref="S57">SUMPRODUCT((S$45:S$52)*($E$45:$E$52))+SUM(S54:S55)+S42</f>
        <v>133323.12578378542</v>
      </c>
      <c r="T57" s="171" cm="1">
        <f t="array" ref="T57">SUMPRODUCT((T$45:T$52)*($E$45:$E$52))+SUM(T54:T55)+T42</f>
        <v>133330.15358273123</v>
      </c>
      <c r="U57" s="171" cm="1">
        <f t="array" ref="U57">SUMPRODUCT((U$45:U$52)*($E$45:$E$52))+SUM(U54:U55)+U42</f>
        <v>133337.18138167702</v>
      </c>
      <c r="V57" s="171" cm="1">
        <f t="array" ref="V57">SUMPRODUCT((V$45:V$52)*($E$45:$E$52))+SUM(V54:V55)+V42</f>
        <v>133344.20918062277</v>
      </c>
      <c r="W57" s="171" cm="1">
        <f t="array" ref="W57">SUMPRODUCT((W$45:W$52)*($E$45:$E$52))+SUM(W54:W55)+W42</f>
        <v>133351.23697956855</v>
      </c>
      <c r="X57" s="171" cm="1">
        <f t="array" ref="X57">SUMPRODUCT((X$45:X$52)*($E$45:$E$52))+SUM(X54:X55)+X42</f>
        <v>133358.26477851436</v>
      </c>
      <c r="Y57" s="171" cm="1">
        <f t="array" ref="Y57">SUMPRODUCT((Y$45:Y$52)*($E$45:$E$52))+SUM(Y54:Y55)+Y42</f>
        <v>133365.29257746012</v>
      </c>
      <c r="Z57" s="171" cm="1">
        <f t="array" ref="Z57">SUMPRODUCT((Z$45:Z$52)*($E$45:$E$52))+SUM(Z54:Z55)+Z42</f>
        <v>133372.32037640593</v>
      </c>
      <c r="AA57" s="171" cm="1">
        <f t="array" ref="AA57">SUMPRODUCT((AA$45:AA$52)*($E$45:$E$52))+SUM(AA54:AA55)+AA42</f>
        <v>133379.34817535171</v>
      </c>
      <c r="AB57" s="171" cm="1">
        <f t="array" ref="AB57">SUMPRODUCT((AB$45:AB$52)*($E$45:$E$52))+SUM(AB54:AB55)+AB42</f>
        <v>133386.37597429752</v>
      </c>
      <c r="AC57" s="171" cm="1">
        <f t="array" ref="AC57">SUMPRODUCT((AC$45:AC$52)*($E$45:$E$52))+SUM(AC54:AC55)+AC42</f>
        <v>133393.40377324325</v>
      </c>
      <c r="AD57" s="171" cm="1">
        <f t="array" ref="AD57">SUMPRODUCT((AD$45:AD$52)*($E$45:$E$52))+SUM(AD54:AD55)+AD42</f>
        <v>133400.43157218903</v>
      </c>
      <c r="AE57" s="171" cm="1">
        <f t="array" ref="AE57">SUMPRODUCT((AE$45:AE$52)*($E$45:$E$52))+SUM(AE54:AE55)+AE42</f>
        <v>133407.45937113487</v>
      </c>
      <c r="AF57" s="171" cm="1">
        <f t="array" ref="AF57">SUMPRODUCT((AF$45:AF$52)*($E$45:$E$52))+SUM(AF54:AF55)+AF42</f>
        <v>133414.4871700806</v>
      </c>
      <c r="AG57" s="171" cm="1">
        <f t="array" ref="AG57">SUMPRODUCT((AG$45:AG$52)*($E$45:$E$52))+SUM(AG54:AG55)+AG42</f>
        <v>133421.51496902641</v>
      </c>
      <c r="AH57"/>
    </row>
    <row r="58" spans="1:43" x14ac:dyDescent="0.2">
      <c r="D58" s="206"/>
      <c r="G58" s="206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/>
    </row>
    <row r="59" spans="1:43" x14ac:dyDescent="0.2">
      <c r="G59" s="206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5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9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2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3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/>
    </row>
    <row r="64" spans="1:43" x14ac:dyDescent="0.2">
      <c r="C64" s="4" t="str">
        <f>'Option1 (base case)'!C64</f>
        <v>Risks mitigated vs base case</v>
      </c>
      <c r="G64" s="211">
        <f>input_dollars</f>
        <v>45291</v>
      </c>
      <c r="I64" s="133">
        <f>(1-INDEX(Data!$C$9:$C$13, MATCH($A$3, options,0)))*('Option1 (base case)'!I36-I36)</f>
        <v>0</v>
      </c>
      <c r="J64" s="133">
        <f>(1-INDEX(Data!$C$9:$C$13, MATCH($A$3, options,0)))*('Option1 (base case)'!J36-J36)</f>
        <v>0</v>
      </c>
      <c r="K64" s="133">
        <f>(1-INDEX(Data!$C$9:$C$13, MATCH($A$3, options,0)))*('Option1 (base case)'!K36-K36)</f>
        <v>470759.96479294222</v>
      </c>
      <c r="L64" s="133">
        <f>(1-INDEX(Data!$C$9:$C$13, MATCH($A$3, options,0)))*('Option1 (base case)'!L36-L36)</f>
        <v>472225.09973016992</v>
      </c>
      <c r="M64" s="133">
        <f>(1-INDEX(Data!$C$9:$C$13, MATCH($A$3, options,0)))*('Option1 (base case)'!M36-M36)</f>
        <v>472278.90523603372</v>
      </c>
      <c r="N64" s="133">
        <f>(1-INDEX(Data!$C$9:$C$13, MATCH($A$3, options,0)))*('Option1 (base case)'!N36-N36)</f>
        <v>468408.74512753892</v>
      </c>
      <c r="O64" s="133">
        <f>(1-INDEX(Data!$C$9:$C$13, MATCH($A$3, options,0)))*('Option1 (base case)'!O36-O36)</f>
        <v>466087.06989943486</v>
      </c>
      <c r="P64" s="133">
        <f>(1-INDEX(Data!$C$9:$C$13, MATCH($A$3, options,0)))*('Option1 (base case)'!P36-P36)</f>
        <v>466320.36151202949</v>
      </c>
      <c r="Q64" s="133">
        <f>(1-INDEX(Data!$C$9:$C$13, MATCH($A$3, options,0)))*('Option1 (base case)'!Q36-Q36)</f>
        <v>468006.55335923709</v>
      </c>
      <c r="R64" s="133">
        <f>(1-INDEX(Data!$C$9:$C$13, MATCH($A$3, options,0)))*('Option1 (base case)'!R36-R36)</f>
        <v>464025.96682093554</v>
      </c>
      <c r="S64" s="133">
        <f>(1-INDEX(Data!$C$9:$C$13, MATCH($A$3, options,0)))*('Option1 (base case)'!S36-S36)</f>
        <v>464040.31087025924</v>
      </c>
      <c r="T64" s="133">
        <f>(1-INDEX(Data!$C$9:$C$13, MATCH($A$3, options,0)))*('Option1 (base case)'!T36-T36)</f>
        <v>464054.65491958283</v>
      </c>
      <c r="U64" s="133">
        <f>(1-INDEX(Data!$C$9:$C$13, MATCH($A$3, options,0)))*('Option1 (base case)'!U36-U36)</f>
        <v>464068.99896890653</v>
      </c>
      <c r="V64" s="133">
        <f>(1-INDEX(Data!$C$9:$C$13, MATCH($A$3, options,0)))*('Option1 (base case)'!V36-V36)</f>
        <v>464083.34301823011</v>
      </c>
      <c r="W64" s="133">
        <f>(1-INDEX(Data!$C$9:$C$13, MATCH($A$3, options,0)))*('Option1 (base case)'!W36-W36)</f>
        <v>464097.68706755369</v>
      </c>
      <c r="X64" s="133">
        <f>(1-INDEX(Data!$C$9:$C$13, MATCH($A$3, options,0)))*('Option1 (base case)'!X36-X36)</f>
        <v>464112.03111687733</v>
      </c>
      <c r="Y64" s="133">
        <f>(1-INDEX(Data!$C$9:$C$13, MATCH($A$3, options,0)))*('Option1 (base case)'!Y36-Y36)</f>
        <v>464126.37516620086</v>
      </c>
      <c r="Z64" s="133">
        <f>(1-INDEX(Data!$C$9:$C$13, MATCH($A$3, options,0)))*('Option1 (base case)'!Z36-Z36)</f>
        <v>464140.7192155245</v>
      </c>
      <c r="AA64" s="133">
        <f>(1-INDEX(Data!$C$9:$C$13, MATCH($A$3, options,0)))*('Option1 (base case)'!AA36-AA36)</f>
        <v>464155.06326484826</v>
      </c>
      <c r="AB64" s="133">
        <f>(1-INDEX(Data!$C$9:$C$13, MATCH($A$3, options,0)))*('Option1 (base case)'!AB36-AB36)</f>
        <v>464169.4073141719</v>
      </c>
      <c r="AC64" s="133">
        <f>(1-INDEX(Data!$C$9:$C$13, MATCH($A$3, options,0)))*('Option1 (base case)'!AC36-AC36)</f>
        <v>464183.75136349536</v>
      </c>
      <c r="AD64" s="133">
        <f>(1-INDEX(Data!$C$9:$C$13, MATCH($A$3, options,0)))*('Option1 (base case)'!AD36-AD36)</f>
        <v>464198.09541281906</v>
      </c>
      <c r="AE64" s="133">
        <f>(1-INDEX(Data!$C$9:$C$13, MATCH($A$3, options,0)))*('Option1 (base case)'!AE36-AE36)</f>
        <v>464212.43946214271</v>
      </c>
      <c r="AF64" s="133">
        <f>(1-INDEX(Data!$C$9:$C$13, MATCH($A$3, options,0)))*('Option1 (base case)'!AF36-AF36)</f>
        <v>464226.78351146623</v>
      </c>
      <c r="AG64" s="133">
        <f>(1-INDEX(Data!$C$9:$C$13, MATCH($A$3, options,0)))*('Option1 (base case)'!AG36-AG36)</f>
        <v>464241.12756078981</v>
      </c>
      <c r="AH64"/>
    </row>
    <row r="65" spans="1:34" x14ac:dyDescent="0.2">
      <c r="G65" s="213"/>
      <c r="AH65"/>
    </row>
    <row r="66" spans="1:34" x14ac:dyDescent="0.2">
      <c r="A66" s="8"/>
      <c r="B66" s="8"/>
      <c r="C66" s="148" t="s">
        <v>30</v>
      </c>
      <c r="D66" s="38"/>
      <c r="F66" s="97"/>
      <c r="G66" s="214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/>
    </row>
    <row r="67" spans="1:34" x14ac:dyDescent="0.2">
      <c r="A67" s="8"/>
      <c r="B67" s="8"/>
      <c r="C67" s="4" t="str">
        <f>C14</f>
        <v>Microgrid (exc BESS)</v>
      </c>
      <c r="D67" s="38"/>
      <c r="F67" s="97"/>
      <c r="G67" s="211">
        <f>input_dollars</f>
        <v>45291</v>
      </c>
      <c r="H67" s="31"/>
      <c r="I67" s="119">
        <f t="shared" ref="I67:AG67" si="5">-I14</f>
        <v>0</v>
      </c>
      <c r="J67" s="119">
        <f t="shared" si="5"/>
        <v>-2875475.8874999997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  <c r="AH67"/>
    </row>
    <row r="68" spans="1:34" x14ac:dyDescent="0.2">
      <c r="A68" s="8"/>
      <c r="B68" s="8"/>
      <c r="C68" s="4" t="str">
        <f>C15</f>
        <v>BESS</v>
      </c>
      <c r="D68" s="38"/>
      <c r="F68" s="97"/>
      <c r="G68" s="211">
        <f>input_dollars</f>
        <v>45291</v>
      </c>
      <c r="H68" s="31"/>
      <c r="I68" s="119">
        <f t="shared" ref="I68:AG68" si="6">-I15</f>
        <v>0</v>
      </c>
      <c r="J68" s="119">
        <f t="shared" si="6"/>
        <v>-3516193.0625000005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  <c r="AH68"/>
    </row>
    <row r="69" spans="1:34" x14ac:dyDescent="0.2">
      <c r="A69" s="8"/>
      <c r="B69" s="8"/>
      <c r="C69" s="4">
        <f>C16</f>
        <v>0</v>
      </c>
      <c r="D69" s="38"/>
      <c r="F69" s="97"/>
      <c r="G69" s="211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  <c r="AH69"/>
    </row>
    <row r="70" spans="1:34" x14ac:dyDescent="0.2">
      <c r="A70" s="8"/>
      <c r="B70" s="8"/>
      <c r="C70" s="4"/>
      <c r="D70" s="38"/>
      <c r="F70" s="97"/>
      <c r="G70" s="215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/>
    </row>
    <row r="71" spans="1:34" x14ac:dyDescent="0.2">
      <c r="A71" s="8"/>
      <c r="B71" s="8"/>
      <c r="C71" s="148" t="s">
        <v>160</v>
      </c>
      <c r="D71" s="38"/>
      <c r="F71" s="97"/>
      <c r="G71" s="214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/>
    </row>
    <row r="72" spans="1:34" x14ac:dyDescent="0.2">
      <c r="A72" s="8"/>
      <c r="B72" s="8"/>
      <c r="C72" s="4" t="str">
        <f>C14</f>
        <v>Microgrid (exc BESS)</v>
      </c>
      <c r="D72" s="38"/>
      <c r="F72" s="97"/>
      <c r="G72" s="211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-2875475.8874999997</v>
      </c>
      <c r="K72" s="119" cm="1">
        <f t="array" ref="K72">SUMPRODUCT(($I67:K67))-SUMPRODUCT(($I67:K67)*($I$6:K$6&lt;=(K$6-$E14)))</f>
        <v>-2875475.8874999997</v>
      </c>
      <c r="L72" s="119" cm="1">
        <f t="array" ref="L72">SUMPRODUCT(($I67:L67))-SUMPRODUCT(($I67:L67)*($I$6:L$6&lt;=(L$6-$E14)))</f>
        <v>-2875475.8874999997</v>
      </c>
      <c r="M72" s="119" cm="1">
        <f t="array" ref="M72">SUMPRODUCT(($I67:M67))-SUMPRODUCT(($I67:M67)*($I$6:M$6&lt;=(M$6-$E14)))</f>
        <v>-2875475.8874999997</v>
      </c>
      <c r="N72" s="119" cm="1">
        <f t="array" ref="N72">SUMPRODUCT(($I67:N67))-SUMPRODUCT(($I67:N67)*($I$6:N$6&lt;=(N$6-$E14)))</f>
        <v>-2875475.8874999997</v>
      </c>
      <c r="O72" s="119" cm="1">
        <f t="array" ref="O72">SUMPRODUCT(($I67:O67))-SUMPRODUCT(($I67:O67)*($I$6:O$6&lt;=(O$6-$E14)))</f>
        <v>-2875475.8874999997</v>
      </c>
      <c r="P72" s="119" cm="1">
        <f t="array" ref="P72">SUMPRODUCT(($I67:P67))-SUMPRODUCT(($I67:P67)*($I$6:P$6&lt;=(P$6-$E14)))</f>
        <v>-2875475.8874999997</v>
      </c>
      <c r="Q72" s="119" cm="1">
        <f t="array" ref="Q72">SUMPRODUCT(($I67:Q67))-SUMPRODUCT(($I67:Q67)*($I$6:Q$6&lt;=(Q$6-$E14)))</f>
        <v>-2875475.8874999997</v>
      </c>
      <c r="R72" s="119" cm="1">
        <f t="array" ref="R72">SUMPRODUCT(($I67:R67))-SUMPRODUCT(($I67:R67)*($I$6:R$6&lt;=(R$6-$E14)))</f>
        <v>-2875475.8874999997</v>
      </c>
      <c r="S72" s="119" cm="1">
        <f t="array" ref="S72">SUMPRODUCT(($I67:S67))-SUMPRODUCT(($I67:S67)*($I$6:S$6&lt;=(S$6-$E14)))</f>
        <v>-2875475.8874999997</v>
      </c>
      <c r="T72" s="119" cm="1">
        <f t="array" ref="T72">SUMPRODUCT(($I67:T67))-SUMPRODUCT(($I67:T67)*($I$6:T$6&lt;=(T$6-$E14)))</f>
        <v>-2875475.8874999997</v>
      </c>
      <c r="U72" s="119" cm="1">
        <f t="array" ref="U72">SUMPRODUCT(($I67:U67))-SUMPRODUCT(($I67:U67)*($I$6:U$6&lt;=(U$6-$E14)))</f>
        <v>-2875475.8874999997</v>
      </c>
      <c r="V72" s="119" cm="1">
        <f t="array" ref="V72">SUMPRODUCT(($I67:V67))-SUMPRODUCT(($I67:V67)*($I$6:V$6&lt;=(V$6-$E14)))</f>
        <v>-2875475.8874999997</v>
      </c>
      <c r="W72" s="119" cm="1">
        <f t="array" ref="W72">SUMPRODUCT(($I67:W67))-SUMPRODUCT(($I67:W67)*($I$6:W$6&lt;=(W$6-$E14)))</f>
        <v>-2875475.8874999997</v>
      </c>
      <c r="X72" s="119" cm="1">
        <f t="array" ref="X72">SUMPRODUCT(($I67:X67))-SUMPRODUCT(($I67:X67)*($I$6:X$6&lt;=(X$6-$E14)))</f>
        <v>-2875475.8874999997</v>
      </c>
      <c r="Y72" s="119" cm="1">
        <f t="array" ref="Y72">SUMPRODUCT(($I67:Y67))-SUMPRODUCT(($I67:Y67)*($I$6:Y$6&lt;=(Y$6-$E14)))</f>
        <v>-2875475.8874999997</v>
      </c>
      <c r="Z72" s="119" cm="1">
        <f t="array" ref="Z72">SUMPRODUCT(($I67:Z67))-SUMPRODUCT(($I67:Z67)*($I$6:Z$6&lt;=(Z$6-$E14)))</f>
        <v>-2875475.8874999997</v>
      </c>
      <c r="AA72" s="119" cm="1">
        <f t="array" ref="AA72">SUMPRODUCT(($I67:AA67))-SUMPRODUCT(($I67:AA67)*($I$6:AA$6&lt;=(AA$6-$E14)))</f>
        <v>-2875475.8874999997</v>
      </c>
      <c r="AB72" s="119" cm="1">
        <f t="array" ref="AB72">SUMPRODUCT(($I67:AB67))-SUMPRODUCT(($I67:AB67)*($I$6:AB$6&lt;=(AB$6-$E14)))</f>
        <v>-2875475.8874999997</v>
      </c>
      <c r="AC72" s="119" cm="1">
        <f t="array" ref="AC72">SUMPRODUCT(($I67:AC67))-SUMPRODUCT(($I67:AC67)*($I$6:AC$6&lt;=(AC$6-$E14)))</f>
        <v>-2875475.8874999997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  <c r="AH72"/>
    </row>
    <row r="73" spans="1:34" x14ac:dyDescent="0.2">
      <c r="A73" s="8"/>
      <c r="B73" s="8"/>
      <c r="C73" s="4" t="str">
        <f>C15</f>
        <v>BESS</v>
      </c>
      <c r="D73" s="38"/>
      <c r="F73" s="97"/>
      <c r="G73" s="211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-3516193.0625000005</v>
      </c>
      <c r="K73" s="119" cm="1">
        <f t="array" ref="K73">SUMPRODUCT(($I68:K68))-SUMPRODUCT(($I68:K68)*($I$6:K$6&lt;=(K$6-$E15)))</f>
        <v>-3516193.0625000005</v>
      </c>
      <c r="L73" s="119" cm="1">
        <f t="array" ref="L73">SUMPRODUCT(($I68:L68))-SUMPRODUCT(($I68:L68)*($I$6:L$6&lt;=(L$6-$E15)))</f>
        <v>-3516193.0625000005</v>
      </c>
      <c r="M73" s="119" cm="1">
        <f t="array" ref="M73">SUMPRODUCT(($I68:M68))-SUMPRODUCT(($I68:M68)*($I$6:M$6&lt;=(M$6-$E15)))</f>
        <v>-3516193.0625000005</v>
      </c>
      <c r="N73" s="119" cm="1">
        <f t="array" ref="N73">SUMPRODUCT(($I68:N68))-SUMPRODUCT(($I68:N68)*($I$6:N$6&lt;=(N$6-$E15)))</f>
        <v>-3516193.0625000005</v>
      </c>
      <c r="O73" s="119" cm="1">
        <f t="array" ref="O73">SUMPRODUCT(($I68:O68))-SUMPRODUCT(($I68:O68)*($I$6:O$6&lt;=(O$6-$E15)))</f>
        <v>-3516193.0625000005</v>
      </c>
      <c r="P73" s="119" cm="1">
        <f t="array" ref="P73">SUMPRODUCT(($I68:P68))-SUMPRODUCT(($I68:P68)*($I$6:P$6&lt;=(P$6-$E15)))</f>
        <v>-3516193.0625000005</v>
      </c>
      <c r="Q73" s="119" cm="1">
        <f t="array" ref="Q73">SUMPRODUCT(($I68:Q68))-SUMPRODUCT(($I68:Q68)*($I$6:Q$6&lt;=(Q$6-$E15)))</f>
        <v>-3516193.0625000005</v>
      </c>
      <c r="R73" s="119" cm="1">
        <f t="array" ref="R73">SUMPRODUCT(($I68:R68))-SUMPRODUCT(($I68:R68)*($I$6:R$6&lt;=(R$6-$E15)))</f>
        <v>-3516193.0625000005</v>
      </c>
      <c r="S73" s="119" cm="1">
        <f t="array" ref="S73">SUMPRODUCT(($I68:S68))-SUMPRODUCT(($I68:S68)*($I$6:S$6&lt;=(S$6-$E15)))</f>
        <v>-3516193.0625000005</v>
      </c>
      <c r="T73" s="119" cm="1">
        <f t="array" ref="T73">SUMPRODUCT(($I68:T68))-SUMPRODUCT(($I68:T68)*($I$6:T$6&lt;=(T$6-$E15)))</f>
        <v>-3516193.0625000005</v>
      </c>
      <c r="U73" s="119" cm="1">
        <f t="array" ref="U73">SUMPRODUCT(($I68:U68))-SUMPRODUCT(($I68:U68)*($I$6:U$6&lt;=(U$6-$E15)))</f>
        <v>-3516193.0625000005</v>
      </c>
      <c r="V73" s="119" cm="1">
        <f t="array" ref="V73">SUMPRODUCT(($I68:V68))-SUMPRODUCT(($I68:V68)*($I$6:V$6&lt;=(V$6-$E15)))</f>
        <v>-3516193.0625000005</v>
      </c>
      <c r="W73" s="119" cm="1">
        <f t="array" ref="W73">SUMPRODUCT(($I68:W68))-SUMPRODUCT(($I68:W68)*($I$6:W$6&lt;=(W$6-$E15)))</f>
        <v>-3516193.0625000005</v>
      </c>
      <c r="X73" s="119" cm="1">
        <f t="array" ref="X73">SUMPRODUCT(($I68:X68))-SUMPRODUCT(($I68:X68)*($I$6:X$6&lt;=(X$6-$E15)))</f>
        <v>-3516193.0625000005</v>
      </c>
      <c r="Y73" s="119" cm="1">
        <f t="array" ref="Y73">SUMPRODUCT(($I68:Y68))-SUMPRODUCT(($I68:Y68)*($I$6:Y$6&lt;=(Y$6-$E15)))</f>
        <v>-3516193.0625000005</v>
      </c>
      <c r="Z73" s="119" cm="1">
        <f t="array" ref="Z73">SUMPRODUCT(($I68:Z68))-SUMPRODUCT(($I68:Z68)*($I$6:Z$6&lt;=(Z$6-$E15)))</f>
        <v>-3516193.0625000005</v>
      </c>
      <c r="AA73" s="119" cm="1">
        <f t="array" ref="AA73">SUMPRODUCT(($I68:AA68))-SUMPRODUCT(($I68:AA68)*($I$6:AA$6&lt;=(AA$6-$E15)))</f>
        <v>-3516193.0625000005</v>
      </c>
      <c r="AB73" s="119" cm="1">
        <f t="array" ref="AB73">SUMPRODUCT(($I68:AB68))-SUMPRODUCT(($I68:AB68)*($I$6:AB$6&lt;=(AB$6-$E15)))</f>
        <v>-3516193.0625000005</v>
      </c>
      <c r="AC73" s="119" cm="1">
        <f t="array" ref="AC73">SUMPRODUCT(($I68:AC68))-SUMPRODUCT(($I68:AC68)*($I$6:AC$6&lt;=(AC$6-$E15)))</f>
        <v>-3516193.0625000005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  <c r="AH73"/>
    </row>
    <row r="74" spans="1:34" x14ac:dyDescent="0.2">
      <c r="A74" s="8"/>
      <c r="B74" s="8"/>
      <c r="C74" s="4">
        <f>C16</f>
        <v>0</v>
      </c>
      <c r="D74" s="38"/>
      <c r="F74" s="97"/>
      <c r="G74" s="211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  <c r="AH74"/>
    </row>
    <row r="75" spans="1:34" x14ac:dyDescent="0.2">
      <c r="A75" s="8"/>
      <c r="B75" s="8"/>
      <c r="C75" s="4"/>
      <c r="D75" s="38"/>
      <c r="F75" s="97"/>
      <c r="G75" s="215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/>
    </row>
    <row r="76" spans="1:34" x14ac:dyDescent="0.2">
      <c r="A76" s="8"/>
      <c r="B76" s="8"/>
      <c r="C76" s="148" t="s">
        <v>91</v>
      </c>
      <c r="D76" s="38"/>
      <c r="G76" s="214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/>
    </row>
    <row r="77" spans="1:34" x14ac:dyDescent="0.2">
      <c r="A77" s="8"/>
      <c r="B77" s="8"/>
      <c r="C77" s="4" t="str">
        <f>$C$76&amp;" - "&amp;C14</f>
        <v>Annualised capex - Microgrid (exc BESS)</v>
      </c>
      <c r="D77" s="38"/>
      <c r="G77" s="211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-202321.57970812789</v>
      </c>
      <c r="L77" s="119">
        <f t="shared" si="8"/>
        <v>-202321.57970812789</v>
      </c>
      <c r="M77" s="119">
        <f t="shared" si="8"/>
        <v>-202321.57970812789</v>
      </c>
      <c r="N77" s="119">
        <f t="shared" si="8"/>
        <v>-202321.57970812789</v>
      </c>
      <c r="O77" s="119">
        <f t="shared" si="8"/>
        <v>-202321.57970812789</v>
      </c>
      <c r="P77" s="119">
        <f t="shared" si="8"/>
        <v>-202321.57970812789</v>
      </c>
      <c r="Q77" s="119">
        <f t="shared" si="8"/>
        <v>-202321.57970812789</v>
      </c>
      <c r="R77" s="119">
        <f t="shared" si="8"/>
        <v>-202321.57970812789</v>
      </c>
      <c r="S77" s="119">
        <f t="shared" si="8"/>
        <v>-202321.57970812789</v>
      </c>
      <c r="T77" s="119">
        <f t="shared" si="8"/>
        <v>-202321.57970812789</v>
      </c>
      <c r="U77" s="119">
        <f t="shared" si="8"/>
        <v>-202321.57970812789</v>
      </c>
      <c r="V77" s="119">
        <f t="shared" si="8"/>
        <v>-202321.57970812789</v>
      </c>
      <c r="W77" s="119">
        <f t="shared" si="8"/>
        <v>-202321.57970812789</v>
      </c>
      <c r="X77" s="119">
        <f t="shared" si="8"/>
        <v>-202321.57970812789</v>
      </c>
      <c r="Y77" s="119">
        <f t="shared" si="8"/>
        <v>-202321.57970812789</v>
      </c>
      <c r="Z77" s="119">
        <f t="shared" si="8"/>
        <v>-202321.57970812789</v>
      </c>
      <c r="AA77" s="119">
        <f t="shared" si="8"/>
        <v>-202321.57970812789</v>
      </c>
      <c r="AB77" s="119">
        <f t="shared" si="8"/>
        <v>-202321.57970812789</v>
      </c>
      <c r="AC77" s="119">
        <f t="shared" si="8"/>
        <v>-202321.57970812789</v>
      </c>
      <c r="AD77" s="119">
        <f t="shared" si="8"/>
        <v>-202321.57970812789</v>
      </c>
      <c r="AE77" s="119">
        <f t="shared" si="8"/>
        <v>0</v>
      </c>
      <c r="AF77" s="119">
        <f t="shared" si="8"/>
        <v>0</v>
      </c>
      <c r="AG77" s="119">
        <f t="shared" si="8"/>
        <v>0</v>
      </c>
      <c r="AH77"/>
    </row>
    <row r="78" spans="1:34" x14ac:dyDescent="0.2">
      <c r="A78" s="8"/>
      <c r="B78" s="8"/>
      <c r="C78" s="4" t="str">
        <f>$C$76&amp;" - "&amp;C15</f>
        <v>Annualised capex - BESS</v>
      </c>
      <c r="D78" s="38"/>
      <c r="G78" s="211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-247403.13005450656</v>
      </c>
      <c r="L78" s="119">
        <f t="shared" si="9"/>
        <v>-247403.13005450656</v>
      </c>
      <c r="M78" s="119">
        <f t="shared" si="9"/>
        <v>-247403.13005450656</v>
      </c>
      <c r="N78" s="119">
        <f t="shared" si="9"/>
        <v>-247403.13005450656</v>
      </c>
      <c r="O78" s="119">
        <f t="shared" si="9"/>
        <v>-247403.13005450656</v>
      </c>
      <c r="P78" s="119">
        <f t="shared" si="9"/>
        <v>-247403.13005450656</v>
      </c>
      <c r="Q78" s="119">
        <f t="shared" si="9"/>
        <v>-247403.13005450656</v>
      </c>
      <c r="R78" s="119">
        <f t="shared" si="9"/>
        <v>-247403.13005450656</v>
      </c>
      <c r="S78" s="119">
        <f t="shared" si="9"/>
        <v>-247403.13005450656</v>
      </c>
      <c r="T78" s="119">
        <f t="shared" si="9"/>
        <v>-247403.13005450656</v>
      </c>
      <c r="U78" s="119">
        <f t="shared" si="9"/>
        <v>-247403.13005450656</v>
      </c>
      <c r="V78" s="119">
        <f t="shared" si="9"/>
        <v>-247403.13005450656</v>
      </c>
      <c r="W78" s="119">
        <f t="shared" si="9"/>
        <v>-247403.13005450656</v>
      </c>
      <c r="X78" s="119">
        <f t="shared" si="9"/>
        <v>-247403.13005450656</v>
      </c>
      <c r="Y78" s="119">
        <f t="shared" si="9"/>
        <v>-247403.13005450656</v>
      </c>
      <c r="Z78" s="119">
        <f t="shared" si="9"/>
        <v>-247403.13005450656</v>
      </c>
      <c r="AA78" s="119">
        <f t="shared" si="9"/>
        <v>-247403.13005450656</v>
      </c>
      <c r="AB78" s="119">
        <f t="shared" si="9"/>
        <v>-247403.13005450656</v>
      </c>
      <c r="AC78" s="119">
        <f t="shared" si="9"/>
        <v>-247403.13005450656</v>
      </c>
      <c r="AD78" s="119">
        <f t="shared" si="9"/>
        <v>-247403.13005450656</v>
      </c>
      <c r="AE78" s="119">
        <f t="shared" si="9"/>
        <v>0</v>
      </c>
      <c r="AF78" s="119">
        <f t="shared" si="9"/>
        <v>0</v>
      </c>
      <c r="AG78" s="119">
        <f t="shared" si="9"/>
        <v>0</v>
      </c>
      <c r="AH78"/>
    </row>
    <row r="79" spans="1:34" x14ac:dyDescent="0.2">
      <c r="A79" s="8"/>
      <c r="B79" s="8"/>
      <c r="C79" s="4" t="str">
        <f>$C$76&amp;" - "&amp;C16</f>
        <v xml:space="preserve">Annualised capex - </v>
      </c>
      <c r="D79" s="38"/>
      <c r="G79" s="211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  <c r="AH79"/>
    </row>
    <row r="80" spans="1:34" x14ac:dyDescent="0.2">
      <c r="A80" s="8"/>
      <c r="B80" s="8"/>
      <c r="C80" s="173" t="s">
        <v>161</v>
      </c>
      <c r="D80" s="173"/>
      <c r="E80" s="174"/>
      <c r="F80" s="175"/>
      <c r="G80" s="216">
        <f>input_dollars</f>
        <v>45291</v>
      </c>
      <c r="H80" s="176"/>
      <c r="I80" s="177">
        <f>SUM(I77:I79)</f>
        <v>0</v>
      </c>
      <c r="J80" s="177">
        <f t="shared" ref="J80:AB80" si="11">SUM(J77:J79)</f>
        <v>0</v>
      </c>
      <c r="K80" s="177">
        <f t="shared" si="11"/>
        <v>-449724.70976263448</v>
      </c>
      <c r="L80" s="177">
        <f t="shared" si="11"/>
        <v>-449724.70976263448</v>
      </c>
      <c r="M80" s="177">
        <f t="shared" si="11"/>
        <v>-449724.70976263448</v>
      </c>
      <c r="N80" s="177">
        <f t="shared" si="11"/>
        <v>-449724.70976263448</v>
      </c>
      <c r="O80" s="177">
        <f t="shared" si="11"/>
        <v>-449724.70976263448</v>
      </c>
      <c r="P80" s="177">
        <f t="shared" si="11"/>
        <v>-449724.70976263448</v>
      </c>
      <c r="Q80" s="177">
        <f t="shared" si="11"/>
        <v>-449724.70976263448</v>
      </c>
      <c r="R80" s="177">
        <f t="shared" si="11"/>
        <v>-449724.70976263448</v>
      </c>
      <c r="S80" s="177">
        <f t="shared" si="11"/>
        <v>-449724.70976263448</v>
      </c>
      <c r="T80" s="177">
        <f t="shared" si="11"/>
        <v>-449724.70976263448</v>
      </c>
      <c r="U80" s="177">
        <f t="shared" si="11"/>
        <v>-449724.70976263448</v>
      </c>
      <c r="V80" s="177">
        <f t="shared" si="11"/>
        <v>-449724.70976263448</v>
      </c>
      <c r="W80" s="177">
        <f t="shared" si="11"/>
        <v>-449724.70976263448</v>
      </c>
      <c r="X80" s="177">
        <f t="shared" si="11"/>
        <v>-449724.70976263448</v>
      </c>
      <c r="Y80" s="177">
        <f t="shared" si="11"/>
        <v>-449724.70976263448</v>
      </c>
      <c r="Z80" s="177">
        <f t="shared" si="11"/>
        <v>-449724.70976263448</v>
      </c>
      <c r="AA80" s="177">
        <f t="shared" si="11"/>
        <v>-449724.70976263448</v>
      </c>
      <c r="AB80" s="177">
        <f t="shared" si="11"/>
        <v>-449724.70976263448</v>
      </c>
      <c r="AC80" s="177">
        <f>SUM(AC77:AC79)</f>
        <v>-449724.70976263448</v>
      </c>
      <c r="AD80" s="177">
        <f>SUM(AD77:AD79)</f>
        <v>-449724.70976263448</v>
      </c>
      <c r="AE80" s="177">
        <f>SUM(AE77:AE79)</f>
        <v>0</v>
      </c>
      <c r="AF80" s="177">
        <f>SUM(AF77:AF79)</f>
        <v>0</v>
      </c>
      <c r="AG80" s="177">
        <f>SUM(AG77:AG79)</f>
        <v>0</v>
      </c>
      <c r="AH80"/>
    </row>
    <row r="81" spans="1:34" x14ac:dyDescent="0.2">
      <c r="A81" s="8"/>
      <c r="B81" s="8"/>
      <c r="C81" s="75"/>
      <c r="D81" s="38"/>
      <c r="F81"/>
      <c r="G81" s="217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">
      <c r="A82" s="8"/>
      <c r="B82" s="8"/>
      <c r="C82" s="4" t="s">
        <v>91</v>
      </c>
      <c r="D82" s="38"/>
      <c r="F82" s="97"/>
      <c r="G82" s="211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-449724.70976263448</v>
      </c>
      <c r="L82" s="119">
        <f t="shared" si="13"/>
        <v>-449724.70976263448</v>
      </c>
      <c r="M82" s="119">
        <f t="shared" si="13"/>
        <v>-449724.70976263448</v>
      </c>
      <c r="N82" s="119">
        <f t="shared" si="13"/>
        <v>-449724.70976263448</v>
      </c>
      <c r="O82" s="119">
        <f t="shared" si="13"/>
        <v>-449724.70976263448</v>
      </c>
      <c r="P82" s="119">
        <f t="shared" si="13"/>
        <v>-449724.70976263448</v>
      </c>
      <c r="Q82" s="119">
        <f t="shared" si="13"/>
        <v>-449724.70976263448</v>
      </c>
      <c r="R82" s="119">
        <f t="shared" si="13"/>
        <v>-449724.70976263448</v>
      </c>
      <c r="S82" s="119">
        <f t="shared" si="13"/>
        <v>-449724.70976263448</v>
      </c>
      <c r="T82" s="119">
        <f t="shared" si="13"/>
        <v>-449724.70976263448</v>
      </c>
      <c r="U82" s="119">
        <f t="shared" si="13"/>
        <v>-449724.70976263448</v>
      </c>
      <c r="V82" s="119">
        <f t="shared" si="13"/>
        <v>-449724.70976263448</v>
      </c>
      <c r="W82" s="119">
        <f t="shared" si="13"/>
        <v>-449724.70976263448</v>
      </c>
      <c r="X82" s="119">
        <f t="shared" si="13"/>
        <v>-449724.70976263448</v>
      </c>
      <c r="Y82" s="119">
        <f t="shared" si="13"/>
        <v>-449724.70976263448</v>
      </c>
      <c r="Z82" s="119">
        <f t="shared" si="13"/>
        <v>-449724.70976263448</v>
      </c>
      <c r="AA82" s="119">
        <f t="shared" si="13"/>
        <v>-449724.70976263448</v>
      </c>
      <c r="AB82" s="119">
        <f t="shared" si="13"/>
        <v>-449724.70976263448</v>
      </c>
      <c r="AC82" s="119">
        <f>AC80</f>
        <v>-449724.70976263448</v>
      </c>
      <c r="AD82" s="119">
        <f>AD80</f>
        <v>-449724.70976263448</v>
      </c>
      <c r="AE82" s="119">
        <f>AE80</f>
        <v>0</v>
      </c>
      <c r="AF82" s="119">
        <f>AF80</f>
        <v>0</v>
      </c>
      <c r="AG82" s="119">
        <f>AG80</f>
        <v>0</v>
      </c>
      <c r="AH82"/>
    </row>
    <row r="83" spans="1:34" x14ac:dyDescent="0.2">
      <c r="A83" s="8"/>
      <c r="B83" s="8"/>
      <c r="C83" s="4" t="s">
        <v>31</v>
      </c>
      <c r="D83" s="38"/>
      <c r="F83" s="97"/>
      <c r="G83" s="211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-180000</v>
      </c>
      <c r="L83" s="31">
        <f t="shared" si="14"/>
        <v>-180000</v>
      </c>
      <c r="M83" s="31">
        <f t="shared" si="14"/>
        <v>-180000</v>
      </c>
      <c r="N83" s="31">
        <f t="shared" si="14"/>
        <v>-180000</v>
      </c>
      <c r="O83" s="31">
        <f t="shared" si="14"/>
        <v>-180000</v>
      </c>
      <c r="P83" s="31">
        <f t="shared" si="14"/>
        <v>-180000</v>
      </c>
      <c r="Q83" s="31">
        <f t="shared" si="14"/>
        <v>-180000</v>
      </c>
      <c r="R83" s="31">
        <f t="shared" si="14"/>
        <v>-180000</v>
      </c>
      <c r="S83" s="31">
        <f t="shared" si="14"/>
        <v>-180000</v>
      </c>
      <c r="T83" s="31">
        <f t="shared" si="14"/>
        <v>-180000</v>
      </c>
      <c r="U83" s="31">
        <f t="shared" si="14"/>
        <v>-180000</v>
      </c>
      <c r="V83" s="31">
        <f t="shared" si="14"/>
        <v>-180000</v>
      </c>
      <c r="W83" s="31">
        <f t="shared" si="14"/>
        <v>-180000</v>
      </c>
      <c r="X83" s="31">
        <f t="shared" si="14"/>
        <v>-180000</v>
      </c>
      <c r="Y83" s="31">
        <f t="shared" si="14"/>
        <v>-180000</v>
      </c>
      <c r="Z83" s="31">
        <f t="shared" si="14"/>
        <v>-180000</v>
      </c>
      <c r="AA83" s="31">
        <f t="shared" si="14"/>
        <v>-180000</v>
      </c>
      <c r="AB83" s="31">
        <f t="shared" si="14"/>
        <v>-180000</v>
      </c>
      <c r="AC83" s="31">
        <f t="shared" si="14"/>
        <v>-180000</v>
      </c>
      <c r="AD83" s="31">
        <f t="shared" si="14"/>
        <v>-180000</v>
      </c>
      <c r="AE83" s="31">
        <f t="shared" si="14"/>
        <v>-180000</v>
      </c>
      <c r="AF83" s="31">
        <f t="shared" si="14"/>
        <v>-180000</v>
      </c>
      <c r="AG83" s="31">
        <f t="shared" si="14"/>
        <v>-180000</v>
      </c>
      <c r="AH83"/>
    </row>
    <row r="84" spans="1:34" x14ac:dyDescent="0.2">
      <c r="A84" s="8"/>
      <c r="B84" s="8"/>
      <c r="C84" s="4" t="s">
        <v>142</v>
      </c>
      <c r="D84" s="38"/>
      <c r="F84" s="97"/>
      <c r="G84" s="211">
        <f t="shared" si="12"/>
        <v>45291</v>
      </c>
      <c r="H84" s="31"/>
      <c r="I84" s="31">
        <f t="shared" ref="I84:AG84" si="15">I64</f>
        <v>0</v>
      </c>
      <c r="J84" s="31">
        <f t="shared" si="15"/>
        <v>0</v>
      </c>
      <c r="K84" s="31">
        <f t="shared" si="15"/>
        <v>470759.96479294222</v>
      </c>
      <c r="L84" s="31">
        <f t="shared" si="15"/>
        <v>472225.09973016992</v>
      </c>
      <c r="M84" s="31">
        <f t="shared" si="15"/>
        <v>472278.90523603372</v>
      </c>
      <c r="N84" s="31">
        <f t="shared" si="15"/>
        <v>468408.74512753892</v>
      </c>
      <c r="O84" s="31">
        <f t="shared" si="15"/>
        <v>466087.06989943486</v>
      </c>
      <c r="P84" s="31">
        <f t="shared" si="15"/>
        <v>466320.36151202949</v>
      </c>
      <c r="Q84" s="31">
        <f t="shared" si="15"/>
        <v>468006.55335923709</v>
      </c>
      <c r="R84" s="31">
        <f t="shared" si="15"/>
        <v>464025.96682093554</v>
      </c>
      <c r="S84" s="31">
        <f t="shared" si="15"/>
        <v>464040.31087025924</v>
      </c>
      <c r="T84" s="31">
        <f t="shared" si="15"/>
        <v>464054.65491958283</v>
      </c>
      <c r="U84" s="31">
        <f t="shared" si="15"/>
        <v>464068.99896890653</v>
      </c>
      <c r="V84" s="31">
        <f t="shared" si="15"/>
        <v>464083.34301823011</v>
      </c>
      <c r="W84" s="31">
        <f t="shared" si="15"/>
        <v>464097.68706755369</v>
      </c>
      <c r="X84" s="31">
        <f t="shared" si="15"/>
        <v>464112.03111687733</v>
      </c>
      <c r="Y84" s="31">
        <f t="shared" si="15"/>
        <v>464126.37516620086</v>
      </c>
      <c r="Z84" s="31">
        <f t="shared" si="15"/>
        <v>464140.7192155245</v>
      </c>
      <c r="AA84" s="31">
        <f t="shared" si="15"/>
        <v>464155.06326484826</v>
      </c>
      <c r="AB84" s="31">
        <f t="shared" si="15"/>
        <v>464169.4073141719</v>
      </c>
      <c r="AC84" s="31">
        <f t="shared" si="15"/>
        <v>464183.75136349536</v>
      </c>
      <c r="AD84" s="31">
        <f t="shared" si="15"/>
        <v>464198.09541281906</v>
      </c>
      <c r="AE84" s="31">
        <f t="shared" si="15"/>
        <v>464212.43946214271</v>
      </c>
      <c r="AF84" s="31">
        <f t="shared" si="15"/>
        <v>464226.78351146623</v>
      </c>
      <c r="AG84" s="31">
        <f t="shared" si="15"/>
        <v>464241.12756078981</v>
      </c>
      <c r="AH84"/>
    </row>
    <row r="85" spans="1:34" x14ac:dyDescent="0.2">
      <c r="A85" s="8"/>
      <c r="B85" s="8"/>
      <c r="C85" s="4" t="s">
        <v>122</v>
      </c>
      <c r="D85" s="38"/>
      <c r="F85" s="97"/>
      <c r="G85" s="211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134860.33325383245</v>
      </c>
      <c r="L85" s="31">
        <f t="shared" si="16"/>
        <v>135353.42955251667</v>
      </c>
      <c r="M85" s="31">
        <f t="shared" si="16"/>
        <v>135475.02715941012</v>
      </c>
      <c r="N85" s="31">
        <f t="shared" si="16"/>
        <v>134458.2762575401</v>
      </c>
      <c r="O85" s="31">
        <f t="shared" si="16"/>
        <v>133849.61526183452</v>
      </c>
      <c r="P85" s="31">
        <f t="shared" si="16"/>
        <v>133914.36875791661</v>
      </c>
      <c r="Q85" s="31">
        <f t="shared" si="16"/>
        <v>134362.09606207997</v>
      </c>
      <c r="R85" s="31">
        <f t="shared" si="16"/>
        <v>133316.09798483964</v>
      </c>
      <c r="S85" s="31">
        <f t="shared" si="16"/>
        <v>133323.12578378542</v>
      </c>
      <c r="T85" s="31">
        <f t="shared" si="16"/>
        <v>133330.15358273123</v>
      </c>
      <c r="U85" s="31">
        <f t="shared" si="16"/>
        <v>133337.18138167702</v>
      </c>
      <c r="V85" s="31">
        <f t="shared" si="16"/>
        <v>133344.20918062277</v>
      </c>
      <c r="W85" s="31">
        <f t="shared" si="16"/>
        <v>133351.23697956855</v>
      </c>
      <c r="X85" s="31">
        <f t="shared" si="16"/>
        <v>133358.26477851436</v>
      </c>
      <c r="Y85" s="31">
        <f t="shared" si="16"/>
        <v>133365.29257746012</v>
      </c>
      <c r="Z85" s="31">
        <f t="shared" si="16"/>
        <v>133372.32037640593</v>
      </c>
      <c r="AA85" s="31">
        <f t="shared" si="16"/>
        <v>133379.34817535171</v>
      </c>
      <c r="AB85" s="31">
        <f t="shared" si="16"/>
        <v>133386.37597429752</v>
      </c>
      <c r="AC85" s="31">
        <f t="shared" si="16"/>
        <v>133393.40377324325</v>
      </c>
      <c r="AD85" s="31">
        <f t="shared" si="16"/>
        <v>133400.43157218903</v>
      </c>
      <c r="AE85" s="31">
        <f t="shared" si="16"/>
        <v>133407.45937113487</v>
      </c>
      <c r="AF85" s="31">
        <f t="shared" si="16"/>
        <v>133414.4871700806</v>
      </c>
      <c r="AG85" s="31">
        <f t="shared" si="16"/>
        <v>133421.51496902641</v>
      </c>
      <c r="AH85"/>
    </row>
    <row r="86" spans="1:34" x14ac:dyDescent="0.2">
      <c r="A86" s="8"/>
      <c r="B86" s="8"/>
      <c r="C86" s="4"/>
      <c r="D86" s="38"/>
      <c r="F86" s="31"/>
      <c r="G86" s="21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/>
    </row>
    <row r="87" spans="1:34" x14ac:dyDescent="0.2">
      <c r="A87" s="8"/>
      <c r="B87" s="8"/>
      <c r="C87" s="178" t="s">
        <v>192</v>
      </c>
      <c r="D87" s="179"/>
      <c r="E87" s="174"/>
      <c r="F87" s="180"/>
      <c r="G87" s="216">
        <f t="shared" si="12"/>
        <v>45291</v>
      </c>
      <c r="H87" s="180"/>
      <c r="I87" s="180">
        <f t="shared" ref="I87:AB87" si="17">SUM(I82:I86)</f>
        <v>0</v>
      </c>
      <c r="J87" s="180">
        <f t="shared" si="17"/>
        <v>0</v>
      </c>
      <c r="K87" s="180">
        <f t="shared" si="17"/>
        <v>-24104.411715859809</v>
      </c>
      <c r="L87" s="180">
        <f t="shared" si="17"/>
        <v>-22146.180479947885</v>
      </c>
      <c r="M87" s="180">
        <f t="shared" si="17"/>
        <v>-21970.777367190633</v>
      </c>
      <c r="N87" s="180">
        <f t="shared" si="17"/>
        <v>-26857.68837755546</v>
      </c>
      <c r="O87" s="180">
        <f t="shared" si="17"/>
        <v>-29788.02460136509</v>
      </c>
      <c r="P87" s="180">
        <f t="shared" si="17"/>
        <v>-29489.979492688377</v>
      </c>
      <c r="Q87" s="180">
        <f t="shared" si="17"/>
        <v>-27356.06034131741</v>
      </c>
      <c r="R87" s="180">
        <f t="shared" si="17"/>
        <v>-32382.644956859294</v>
      </c>
      <c r="S87" s="180">
        <f t="shared" si="17"/>
        <v>-32361.273108589812</v>
      </c>
      <c r="T87" s="180">
        <f t="shared" si="17"/>
        <v>-32339.901260320417</v>
      </c>
      <c r="U87" s="180">
        <f t="shared" si="17"/>
        <v>-32318.529412050935</v>
      </c>
      <c r="V87" s="180">
        <f t="shared" si="17"/>
        <v>-32297.157563781599</v>
      </c>
      <c r="W87" s="180">
        <f t="shared" si="17"/>
        <v>-32275.785715512233</v>
      </c>
      <c r="X87" s="180">
        <f t="shared" si="17"/>
        <v>-32254.41386724278</v>
      </c>
      <c r="Y87" s="180">
        <f t="shared" si="17"/>
        <v>-32233.042018973501</v>
      </c>
      <c r="Z87" s="180">
        <f t="shared" si="17"/>
        <v>-32211.670170704048</v>
      </c>
      <c r="AA87" s="180">
        <f t="shared" si="17"/>
        <v>-32190.298322434508</v>
      </c>
      <c r="AB87" s="180">
        <f t="shared" si="17"/>
        <v>-32168.926474165055</v>
      </c>
      <c r="AC87" s="180">
        <f>SUM(AC82:AC86)</f>
        <v>-32147.554625895864</v>
      </c>
      <c r="AD87" s="180">
        <f>SUM(AD82:AD86)</f>
        <v>-32126.182777626382</v>
      </c>
      <c r="AE87" s="180">
        <f>SUM(AE82:AE86)</f>
        <v>417619.89883327758</v>
      </c>
      <c r="AF87" s="180">
        <f>SUM(AF82:AF86)</f>
        <v>417641.27068154683</v>
      </c>
      <c r="AG87" s="180">
        <f>SUM(AG82:AG86)</f>
        <v>417662.64252981625</v>
      </c>
      <c r="AH87"/>
    </row>
    <row r="88" spans="1:34" x14ac:dyDescent="0.2">
      <c r="A88" s="8"/>
      <c r="B88" s="8"/>
      <c r="C88" s="75"/>
      <c r="D88" s="139"/>
      <c r="E88" s="64"/>
      <c r="F88" s="142"/>
      <c r="G88" s="21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/>
    </row>
    <row r="89" spans="1:34" x14ac:dyDescent="0.2">
      <c r="A89" s="8"/>
      <c r="B89" s="8"/>
      <c r="C89" s="75"/>
      <c r="D89" s="139"/>
      <c r="E89" s="64"/>
      <c r="F89" s="142"/>
      <c r="G89" s="21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/>
    </row>
    <row r="90" spans="1:34" x14ac:dyDescent="0.2">
      <c r="A90" s="8"/>
      <c r="B90" s="8"/>
      <c r="C90" s="231" t="s">
        <v>202</v>
      </c>
      <c r="D90" s="82"/>
      <c r="E90" s="232"/>
      <c r="F90" s="233"/>
      <c r="G90" s="234" cm="1">
        <f t="array" ref="G90">IF(SUM($I17:$AG17)=0,0,(INDEX(I$6:AG$6,MATCH(TRUE,INDEX($I17:$AG17&lt;&gt;0,),0))))</f>
        <v>2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/>
    </row>
    <row r="91" spans="1:34" x14ac:dyDescent="0.2">
      <c r="C91" s="82"/>
      <c r="D91" s="235"/>
      <c r="E91" s="232"/>
      <c r="F91" s="232"/>
      <c r="G91" s="234"/>
    </row>
    <row r="92" spans="1:34" x14ac:dyDescent="0.2">
      <c r="C92" s="236" t="s">
        <v>197</v>
      </c>
      <c r="D92" s="237"/>
      <c r="E92" s="237"/>
      <c r="F92" s="237"/>
      <c r="G92" s="238">
        <f>IF(_xlfn.MINIFS($G$90:$G$91, $G$90:$G$91, "&gt;"&amp;0)=0, $A$4, _xlfn.MINIFS($G$90:$G$91, $G$90:$G$91, "&gt;"&amp;0))</f>
        <v>2</v>
      </c>
    </row>
    <row r="94" spans="1:34" x14ac:dyDescent="0.2">
      <c r="G94" s="12"/>
    </row>
    <row r="102" spans="1:43" ht="15" x14ac:dyDescent="0.2">
      <c r="A102" s="89" t="s">
        <v>218</v>
      </c>
      <c r="B102" s="89"/>
      <c r="C102" s="89"/>
      <c r="D102" s="89"/>
      <c r="E102" s="89"/>
      <c r="F102" s="89"/>
      <c r="G102" s="205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3"/>
      <c r="J104" s="243"/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  <c r="X104" s="243"/>
      <c r="Y104" s="243"/>
      <c r="Z104" s="243"/>
    </row>
    <row r="105" spans="1:43" x14ac:dyDescent="0.2"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3"/>
      <c r="X105" s="243"/>
      <c r="Y105" s="243"/>
      <c r="Z105" s="243"/>
    </row>
    <row r="106" spans="1:43" x14ac:dyDescent="0.2">
      <c r="A106" s="1" t="s">
        <v>119</v>
      </c>
      <c r="C106" s="1" t="s">
        <v>192</v>
      </c>
      <c r="D106"/>
      <c r="E106"/>
      <c r="F106"/>
      <c r="G106" s="38" t="str">
        <f>PROPER($A$3)&amp;A106</f>
        <v>Option 3NPV</v>
      </c>
      <c r="I106" s="31">
        <f>I87</f>
        <v>0</v>
      </c>
      <c r="J106" s="31">
        <f t="shared" ref="J106:AG106" si="18">J87</f>
        <v>0</v>
      </c>
      <c r="K106" s="31">
        <f t="shared" si="18"/>
        <v>-24104.411715859809</v>
      </c>
      <c r="L106" s="31">
        <f t="shared" si="18"/>
        <v>-22146.180479947885</v>
      </c>
      <c r="M106" s="31">
        <f t="shared" si="18"/>
        <v>-21970.777367190633</v>
      </c>
      <c r="N106" s="31">
        <f t="shared" si="18"/>
        <v>-26857.68837755546</v>
      </c>
      <c r="O106" s="31">
        <f t="shared" si="18"/>
        <v>-29788.02460136509</v>
      </c>
      <c r="P106" s="31">
        <f t="shared" si="18"/>
        <v>-29489.979492688377</v>
      </c>
      <c r="Q106" s="31">
        <f t="shared" si="18"/>
        <v>-27356.06034131741</v>
      </c>
      <c r="R106" s="31">
        <f t="shared" si="18"/>
        <v>-32382.644956859294</v>
      </c>
      <c r="S106" s="31">
        <f t="shared" si="18"/>
        <v>-32361.273108589812</v>
      </c>
      <c r="T106" s="31">
        <f t="shared" si="18"/>
        <v>-32339.901260320417</v>
      </c>
      <c r="U106" s="31">
        <f t="shared" si="18"/>
        <v>-32318.529412050935</v>
      </c>
      <c r="V106" s="31">
        <f t="shared" si="18"/>
        <v>-32297.157563781599</v>
      </c>
      <c r="W106" s="31">
        <f t="shared" si="18"/>
        <v>-32275.785715512233</v>
      </c>
      <c r="X106" s="31">
        <f t="shared" si="18"/>
        <v>-32254.41386724278</v>
      </c>
      <c r="Y106" s="31">
        <f t="shared" si="18"/>
        <v>-32233.042018973501</v>
      </c>
      <c r="Z106" s="31">
        <f t="shared" si="18"/>
        <v>-32211.670170704048</v>
      </c>
      <c r="AA106" s="31">
        <f t="shared" si="18"/>
        <v>-32190.298322434508</v>
      </c>
      <c r="AB106" s="31">
        <f t="shared" si="18"/>
        <v>-32168.926474165055</v>
      </c>
      <c r="AC106" s="31">
        <f t="shared" si="18"/>
        <v>-32147.554625895864</v>
      </c>
      <c r="AD106" s="31">
        <f t="shared" si="18"/>
        <v>-32126.182777626382</v>
      </c>
      <c r="AE106" s="31">
        <f t="shared" si="18"/>
        <v>417619.89883327758</v>
      </c>
      <c r="AF106" s="31">
        <f t="shared" si="18"/>
        <v>417641.27068154683</v>
      </c>
      <c r="AG106" s="31">
        <f t="shared" si="18"/>
        <v>417662.64252981625</v>
      </c>
    </row>
    <row r="107" spans="1:43" x14ac:dyDescent="0.2">
      <c r="C107" s="1" t="s">
        <v>161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-449724.70976263448</v>
      </c>
      <c r="L107" s="31">
        <f t="shared" si="19"/>
        <v>-449724.70976263448</v>
      </c>
      <c r="M107" s="31">
        <f t="shared" si="19"/>
        <v>-449724.70976263448</v>
      </c>
      <c r="N107" s="31">
        <f t="shared" si="19"/>
        <v>-449724.70976263448</v>
      </c>
      <c r="O107" s="31">
        <f t="shared" si="19"/>
        <v>-449724.70976263448</v>
      </c>
      <c r="P107" s="31">
        <f t="shared" si="19"/>
        <v>-449724.70976263448</v>
      </c>
      <c r="Q107" s="31">
        <f t="shared" si="19"/>
        <v>-449724.70976263448</v>
      </c>
      <c r="R107" s="31">
        <f t="shared" si="19"/>
        <v>-449724.70976263448</v>
      </c>
      <c r="S107" s="31">
        <f t="shared" si="19"/>
        <v>-449724.70976263448</v>
      </c>
      <c r="T107" s="31">
        <f t="shared" si="19"/>
        <v>-449724.70976263448</v>
      </c>
      <c r="U107" s="31">
        <f t="shared" si="19"/>
        <v>-449724.70976263448</v>
      </c>
      <c r="V107" s="31">
        <f t="shared" si="19"/>
        <v>-449724.70976263448</v>
      </c>
      <c r="W107" s="31">
        <f t="shared" si="19"/>
        <v>-449724.70976263448</v>
      </c>
      <c r="X107" s="31">
        <f t="shared" si="19"/>
        <v>-449724.70976263448</v>
      </c>
      <c r="Y107" s="31">
        <f t="shared" si="19"/>
        <v>-449724.70976263448</v>
      </c>
      <c r="Z107" s="31">
        <f t="shared" si="19"/>
        <v>-449724.70976263448</v>
      </c>
      <c r="AA107" s="31">
        <f t="shared" si="19"/>
        <v>-449724.70976263448</v>
      </c>
      <c r="AB107" s="31">
        <f t="shared" si="19"/>
        <v>-449724.70976263448</v>
      </c>
      <c r="AC107" s="31">
        <f t="shared" si="19"/>
        <v>-449724.70976263448</v>
      </c>
      <c r="AD107" s="31">
        <f t="shared" si="19"/>
        <v>-449724.70976263448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243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605620.2980467747</v>
      </c>
      <c r="L108" s="31">
        <f t="shared" si="20"/>
        <v>607578.52928268653</v>
      </c>
      <c r="M108" s="31">
        <f t="shared" si="20"/>
        <v>607753.93239544379</v>
      </c>
      <c r="N108" s="31">
        <f t="shared" si="20"/>
        <v>602867.02138507902</v>
      </c>
      <c r="O108" s="31">
        <f t="shared" si="20"/>
        <v>599936.68516126939</v>
      </c>
      <c r="P108" s="31">
        <f t="shared" si="20"/>
        <v>600234.73026994616</v>
      </c>
      <c r="Q108" s="31">
        <f t="shared" si="20"/>
        <v>602368.64942131704</v>
      </c>
      <c r="R108" s="31">
        <f t="shared" si="20"/>
        <v>597342.06480577518</v>
      </c>
      <c r="S108" s="31">
        <f t="shared" si="20"/>
        <v>597363.43665404466</v>
      </c>
      <c r="T108" s="31">
        <f t="shared" si="20"/>
        <v>597384.80850231403</v>
      </c>
      <c r="U108" s="31">
        <f t="shared" si="20"/>
        <v>597406.18035058351</v>
      </c>
      <c r="V108" s="31">
        <f t="shared" si="20"/>
        <v>597427.55219885288</v>
      </c>
      <c r="W108" s="31">
        <f t="shared" si="20"/>
        <v>597448.92404712224</v>
      </c>
      <c r="X108" s="31">
        <f t="shared" si="20"/>
        <v>597470.29589539173</v>
      </c>
      <c r="Y108" s="31">
        <f t="shared" si="20"/>
        <v>597491.66774366098</v>
      </c>
      <c r="Z108" s="31">
        <f t="shared" si="20"/>
        <v>597513.03959193046</v>
      </c>
      <c r="AA108" s="31">
        <f t="shared" si="20"/>
        <v>597534.41144019994</v>
      </c>
      <c r="AB108" s="31">
        <f t="shared" si="20"/>
        <v>597555.78328846942</v>
      </c>
      <c r="AC108" s="31">
        <f t="shared" si="20"/>
        <v>597577.15513673867</v>
      </c>
      <c r="AD108" s="31">
        <f t="shared" si="20"/>
        <v>597598.52698500804</v>
      </c>
      <c r="AE108" s="31">
        <f t="shared" si="20"/>
        <v>597619.89883327764</v>
      </c>
      <c r="AF108" s="31">
        <f t="shared" si="20"/>
        <v>597641.27068154677</v>
      </c>
      <c r="AG108" s="31">
        <f t="shared" si="20"/>
        <v>597662.64252981625</v>
      </c>
    </row>
    <row r="109" spans="1:43" x14ac:dyDescent="0.2">
      <c r="D109" s="302" t="str">
        <f>Assumptions!G114</f>
        <v>Capex</v>
      </c>
      <c r="E109" s="302" t="str">
        <f>Assumptions!H114</f>
        <v>Total benefits</v>
      </c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</row>
    <row r="110" spans="1:43" x14ac:dyDescent="0.2">
      <c r="A110" s="1" t="str">
        <f>"sens"&amp;Assumptions!B115</f>
        <v>sens1</v>
      </c>
      <c r="C110" s="301" t="str">
        <f>Assumptions!C115</f>
        <v>Capex 10% higher</v>
      </c>
      <c r="D110" s="302">
        <f>Assumptions!G115</f>
        <v>0.1</v>
      </c>
      <c r="E110" s="302">
        <f>Assumptions!H115</f>
        <v>0</v>
      </c>
      <c r="G110" s="38" t="str">
        <f>PROPER($A$3)&amp;A110</f>
        <v>Option 3sens1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-69076.882692123268</v>
      </c>
      <c r="L110" s="31" cm="1">
        <f t="array" ref="L110">L$106+IF($C110&lt;&gt;0,SUMPRODUCT((L$107:L$108)*TRANSPOSE(($D110:$E110))),0)</f>
        <v>-67118.651456211344</v>
      </c>
      <c r="M110" s="31" cm="1">
        <f t="array" ref="M110">M$106+IF($C110&lt;&gt;0,SUMPRODUCT((M$107:M$108)*TRANSPOSE(($D110:$E110))),0)</f>
        <v>-66943.248343454092</v>
      </c>
      <c r="N110" s="31" cm="1">
        <f t="array" ref="N110">N$106+IF($C110&lt;&gt;0,SUMPRODUCT((N$107:N$108)*TRANSPOSE(($D110:$E110))),0)</f>
        <v>-71830.159353818919</v>
      </c>
      <c r="O110" s="31" cm="1">
        <f t="array" ref="O110">O$106+IF($C110&lt;&gt;0,SUMPRODUCT((O$107:O$108)*TRANSPOSE(($D110:$E110))),0)</f>
        <v>-74760.49557762855</v>
      </c>
      <c r="P110" s="31" cm="1">
        <f t="array" ref="P110">P$106+IF($C110&lt;&gt;0,SUMPRODUCT((P$107:P$108)*TRANSPOSE(($D110:$E110))),0)</f>
        <v>-74462.450468951836</v>
      </c>
      <c r="Q110" s="31" cm="1">
        <f t="array" ref="Q110">Q$106+IF($C110&lt;&gt;0,SUMPRODUCT((Q$107:Q$108)*TRANSPOSE(($D110:$E110))),0)</f>
        <v>-72328.53131758087</v>
      </c>
      <c r="R110" s="31" cm="1">
        <f t="array" ref="R110">R$106+IF($C110&lt;&gt;0,SUMPRODUCT((R$107:R$108)*TRANSPOSE(($D110:$E110))),0)</f>
        <v>-77355.115933122754</v>
      </c>
      <c r="S110" s="31" cm="1">
        <f t="array" ref="S110">S$106+IF($C110&lt;&gt;0,SUMPRODUCT((S$107:S$108)*TRANSPOSE(($D110:$E110))),0)</f>
        <v>-77333.744084853271</v>
      </c>
      <c r="T110" s="31" cm="1">
        <f t="array" ref="T110">T$106+IF($C110&lt;&gt;0,SUMPRODUCT((T$107:T$108)*TRANSPOSE(($D110:$E110))),0)</f>
        <v>-77312.372236583877</v>
      </c>
      <c r="U110" s="31" cm="1">
        <f t="array" ref="U110">U$106+IF($C110&lt;&gt;0,SUMPRODUCT((U$107:U$108)*TRANSPOSE(($D110:$E110))),0)</f>
        <v>-77291.000388314395</v>
      </c>
      <c r="V110" s="31" cm="1">
        <f t="array" ref="V110">V$106+IF($C110&lt;&gt;0,SUMPRODUCT((V$107:V$108)*TRANSPOSE(($D110:$E110))),0)</f>
        <v>-77269.628540045058</v>
      </c>
      <c r="W110" s="31" cm="1">
        <f t="array" ref="W110">W$106+IF($C110&lt;&gt;0,SUMPRODUCT((W$107:W$108)*TRANSPOSE(($D110:$E110))),0)</f>
        <v>-77248.256691775692</v>
      </c>
      <c r="X110" s="31" cm="1">
        <f t="array" ref="X110">X$106+IF($C110&lt;&gt;0,SUMPRODUCT((X$107:X$108)*TRANSPOSE(($D110:$E110))),0)</f>
        <v>-77226.884843506239</v>
      </c>
      <c r="Y110" s="31" cm="1">
        <f t="array" ref="Y110">Y$106+IF($C110&lt;&gt;0,SUMPRODUCT((Y$107:Y$108)*TRANSPOSE(($D110:$E110))),0)</f>
        <v>-77205.512995236961</v>
      </c>
      <c r="Z110" s="31" cm="1">
        <f t="array" ref="Z110">Z$106+IF($C110&lt;&gt;0,SUMPRODUCT((Z$107:Z$108)*TRANSPOSE(($D110:$E110))),0)</f>
        <v>-77184.141146967508</v>
      </c>
      <c r="AA110" s="31" cm="1">
        <f t="array" ref="AA110">AA$106+IF($C110&lt;&gt;0,SUMPRODUCT((AA$107:AA$108)*TRANSPOSE(($D110:$E110))),0)</f>
        <v>-77162.769298697967</v>
      </c>
      <c r="AB110" s="31" cm="1">
        <f t="array" ref="AB110">AB$106+IF($C110&lt;&gt;0,SUMPRODUCT((AB$107:AB$108)*TRANSPOSE(($D110:$E110))),0)</f>
        <v>-77141.397450428514</v>
      </c>
      <c r="AC110" s="31" cm="1">
        <f t="array" ref="AC110">AC$106+IF($C110&lt;&gt;0,SUMPRODUCT((AC$107:AC$108)*TRANSPOSE(($D110:$E110))),0)</f>
        <v>-77120.025602159323</v>
      </c>
      <c r="AD110" s="31" cm="1">
        <f t="array" ref="AD110">AD$106+IF($C110&lt;&gt;0,SUMPRODUCT((AD$107:AD$108)*TRANSPOSE(($D110:$E110))),0)</f>
        <v>-77098.653753889841</v>
      </c>
      <c r="AE110" s="31" cm="1">
        <f t="array" ref="AE110">AE$106+IF($C110&lt;&gt;0,SUMPRODUCT((AE$107:AE$108)*TRANSPOSE(($D110:$E110))),0)</f>
        <v>417619.89883327758</v>
      </c>
      <c r="AF110" s="31" cm="1">
        <f t="array" ref="AF110">AF$106+IF($C110&lt;&gt;0,SUMPRODUCT((AF$107:AF$108)*TRANSPOSE(($D110:$E110))),0)</f>
        <v>417641.27068154683</v>
      </c>
      <c r="AG110" s="31" cm="1">
        <f t="array" ref="AG110">AG$106+IF($C110&lt;&gt;0,SUMPRODUCT((AG$107:AG$108)*TRANSPOSE(($D110:$E110))),0)</f>
        <v>417662.64252981625</v>
      </c>
    </row>
    <row r="111" spans="1:43" x14ac:dyDescent="0.2">
      <c r="A111" s="1" t="str">
        <f>"sens"&amp;Assumptions!B116</f>
        <v>sens2</v>
      </c>
      <c r="C111" s="301" t="str">
        <f>Assumptions!C116</f>
        <v>Capex 10% lower</v>
      </c>
      <c r="D111" s="302">
        <f>Assumptions!G116</f>
        <v>-0.1</v>
      </c>
      <c r="E111" s="302">
        <f>Assumptions!H116</f>
        <v>0</v>
      </c>
      <c r="G111" s="38" t="str">
        <f t="shared" ref="G111:G117" si="21">PROPER($A$3)&amp;A111</f>
        <v>Option 3sens2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20868.059260403643</v>
      </c>
      <c r="L111" s="31" cm="1">
        <f t="array" ref="L111">L$106+IF($C111&lt;&gt;0,SUMPRODUCT((L$107:L$108)*TRANSPOSE(($D111:$E111))),0)</f>
        <v>22826.290496315567</v>
      </c>
      <c r="M111" s="31" cm="1">
        <f t="array" ref="M111">M$106+IF($C111&lt;&gt;0,SUMPRODUCT((M$107:M$108)*TRANSPOSE(($D111:$E111))),0)</f>
        <v>23001.69360907282</v>
      </c>
      <c r="N111" s="31" cm="1">
        <f t="array" ref="N111">N$106+IF($C111&lt;&gt;0,SUMPRODUCT((N$107:N$108)*TRANSPOSE(($D111:$E111))),0)</f>
        <v>18114.782598707992</v>
      </c>
      <c r="O111" s="31" cm="1">
        <f t="array" ref="O111">O$106+IF($C111&lt;&gt;0,SUMPRODUCT((O$107:O$108)*TRANSPOSE(($D111:$E111))),0)</f>
        <v>15184.446374898362</v>
      </c>
      <c r="P111" s="31" cm="1">
        <f t="array" ref="P111">P$106+IF($C111&lt;&gt;0,SUMPRODUCT((P$107:P$108)*TRANSPOSE(($D111:$E111))),0)</f>
        <v>15482.491483575075</v>
      </c>
      <c r="Q111" s="31" cm="1">
        <f t="array" ref="Q111">Q$106+IF($C111&lt;&gt;0,SUMPRODUCT((Q$107:Q$108)*TRANSPOSE(($D111:$E111))),0)</f>
        <v>17616.410634946042</v>
      </c>
      <c r="R111" s="31" cm="1">
        <f t="array" ref="R111">R$106+IF($C111&lt;&gt;0,SUMPRODUCT((R$107:R$108)*TRANSPOSE(($D111:$E111))),0)</f>
        <v>12589.826019404158</v>
      </c>
      <c r="S111" s="31" cm="1">
        <f t="array" ref="S111">S$106+IF($C111&lt;&gt;0,SUMPRODUCT((S$107:S$108)*TRANSPOSE(($D111:$E111))),0)</f>
        <v>12611.19786767364</v>
      </c>
      <c r="T111" s="31" cm="1">
        <f t="array" ref="T111">T$106+IF($C111&lt;&gt;0,SUMPRODUCT((T$107:T$108)*TRANSPOSE(($D111:$E111))),0)</f>
        <v>12632.569715943035</v>
      </c>
      <c r="U111" s="31" cm="1">
        <f t="array" ref="U111">U$106+IF($C111&lt;&gt;0,SUMPRODUCT((U$107:U$108)*TRANSPOSE(($D111:$E111))),0)</f>
        <v>12653.941564212517</v>
      </c>
      <c r="V111" s="31" cm="1">
        <f t="array" ref="V111">V$106+IF($C111&lt;&gt;0,SUMPRODUCT((V$107:V$108)*TRANSPOSE(($D111:$E111))),0)</f>
        <v>12675.313412481853</v>
      </c>
      <c r="W111" s="31" cm="1">
        <f t="array" ref="W111">W$106+IF($C111&lt;&gt;0,SUMPRODUCT((W$107:W$108)*TRANSPOSE(($D111:$E111))),0)</f>
        <v>12696.685260751219</v>
      </c>
      <c r="X111" s="31" cm="1">
        <f t="array" ref="X111">X$106+IF($C111&lt;&gt;0,SUMPRODUCT((X$107:X$108)*TRANSPOSE(($D111:$E111))),0)</f>
        <v>12718.057109020672</v>
      </c>
      <c r="Y111" s="31" cm="1">
        <f t="array" ref="Y111">Y$106+IF($C111&lt;&gt;0,SUMPRODUCT((Y$107:Y$108)*TRANSPOSE(($D111:$E111))),0)</f>
        <v>12739.428957289951</v>
      </c>
      <c r="Z111" s="31" cm="1">
        <f t="array" ref="Z111">Z$106+IF($C111&lt;&gt;0,SUMPRODUCT((Z$107:Z$108)*TRANSPOSE(($D111:$E111))),0)</f>
        <v>12760.800805559404</v>
      </c>
      <c r="AA111" s="31" cm="1">
        <f t="array" ref="AA111">AA$106+IF($C111&lt;&gt;0,SUMPRODUCT((AA$107:AA$108)*TRANSPOSE(($D111:$E111))),0)</f>
        <v>12782.172653828944</v>
      </c>
      <c r="AB111" s="31" cm="1">
        <f t="array" ref="AB111">AB$106+IF($C111&lt;&gt;0,SUMPRODUCT((AB$107:AB$108)*TRANSPOSE(($D111:$E111))),0)</f>
        <v>12803.544502098397</v>
      </c>
      <c r="AC111" s="31" cm="1">
        <f t="array" ref="AC111">AC$106+IF($C111&lt;&gt;0,SUMPRODUCT((AC$107:AC$108)*TRANSPOSE(($D111:$E111))),0)</f>
        <v>12824.916350367588</v>
      </c>
      <c r="AD111" s="31" cm="1">
        <f t="array" ref="AD111">AD$106+IF($C111&lt;&gt;0,SUMPRODUCT((AD$107:AD$108)*TRANSPOSE(($D111:$E111))),0)</f>
        <v>12846.28819863707</v>
      </c>
      <c r="AE111" s="31" cm="1">
        <f t="array" ref="AE111">AE$106+IF($C111&lt;&gt;0,SUMPRODUCT((AE$107:AE$108)*TRANSPOSE(($D111:$E111))),0)</f>
        <v>417619.89883327758</v>
      </c>
      <c r="AF111" s="31" cm="1">
        <f t="array" ref="AF111">AF$106+IF($C111&lt;&gt;0,SUMPRODUCT((AF$107:AF$108)*TRANSPOSE(($D111:$E111))),0)</f>
        <v>417641.27068154683</v>
      </c>
      <c r="AG111" s="31" cm="1">
        <f t="array" ref="AG111">AG$106+IF($C111&lt;&gt;0,SUMPRODUCT((AG$107:AG$108)*TRANSPOSE(($D111:$E111))),0)</f>
        <v>417662.64252981625</v>
      </c>
    </row>
    <row r="112" spans="1:43" x14ac:dyDescent="0.2">
      <c r="A112" s="1" t="str">
        <f>"sens"&amp;Assumptions!B117</f>
        <v>sens3</v>
      </c>
      <c r="C112" s="301" t="str">
        <f>Assumptions!C117</f>
        <v>Increasing wind escalation</v>
      </c>
      <c r="D112" s="302">
        <f>Assumptions!G117</f>
        <v>0</v>
      </c>
      <c r="E112" s="302">
        <f>Assumptions!H117/20</f>
        <v>7.4999999999999997E-3</v>
      </c>
      <c r="G112" s="38" t="str">
        <f t="shared" si="21"/>
        <v>Option 3sens3</v>
      </c>
      <c r="I112" s="335">
        <f>IF(I106&lt;&gt;0, I106+SUM(Workings_risks!$F$19*Workings_risks!I28,Workings_risks!I26*Workings_risks!$F$18)*Workings_risks!$F$13*Workings_risks!I8*$E$28,0)</f>
        <v>0</v>
      </c>
      <c r="J112" s="335">
        <f>IF(J106&lt;&gt;0, J106+SUM(Workings_risks!$F$19*Workings_risks!J28,Workings_risks!J26*Workings_risks!$F$18)*Workings_risks!$F$13*Workings_risks!J8*$E$28,0)</f>
        <v>0</v>
      </c>
      <c r="K112" s="335">
        <f>IF(K106&lt;&gt;0, K106+SUM(Workings_risks!$F$19*Workings_risks!K28,Workings_risks!K26*Workings_risks!$F$18)*Workings_risks!$F$13*Workings_risks!K8*$E$28,0)</f>
        <v>-20913.286659299738</v>
      </c>
      <c r="L112" s="335">
        <f>IF(L106&lt;&gt;0, L106+SUM(Workings_risks!$F$19*Workings_risks!L28,Workings_risks!L26*Workings_risks!$F$18)*Workings_risks!$F$13*Workings_risks!L8*$E$28,0)</f>
        <v>-19321.180375507949</v>
      </c>
      <c r="M112" s="335">
        <f>IF(M106&lt;&gt;0, M106+SUM(Workings_risks!$F$19*Workings_risks!M28,Workings_risks!M26*Workings_risks!$F$18)*Workings_risks!$F$13*Workings_risks!M8*$E$28,0)</f>
        <v>-19520.208283720458</v>
      </c>
      <c r="N112" s="335">
        <f>IF(N106&lt;&gt;0, N106+SUM(Workings_risks!$F$19*Workings_risks!N28,Workings_risks!N26*Workings_risks!$F$18)*Workings_risks!$F$13*Workings_risks!N8*$E$28,0)</f>
        <v>-24436.237025194012</v>
      </c>
      <c r="O112" s="335">
        <f>IF(O106&lt;&gt;0, O106+SUM(Workings_risks!$F$19*Workings_risks!O28,Workings_risks!O26*Workings_risks!$F$18)*Workings_risks!$F$13*Workings_risks!O8*$E$28,0)</f>
        <v>-27387.565454019172</v>
      </c>
      <c r="P112" s="335">
        <f>IF(P106&lt;&gt;0, P106+SUM(Workings_risks!$F$19*Workings_risks!P28,Workings_risks!P26*Workings_risks!$F$18)*Workings_risks!$F$13*Workings_risks!P8*$E$28,0)</f>
        <v>-27097.312436698277</v>
      </c>
      <c r="Q112" s="335">
        <f>IF(Q106&lt;&gt;0, Q106+SUM(Workings_risks!$F$19*Workings_risks!Q28,Workings_risks!Q26*Workings_risks!$F$18)*Workings_risks!$F$13*Workings_risks!Q8*$E$28,0)</f>
        <v>-24963.76648706898</v>
      </c>
      <c r="R112" s="335">
        <f>IF(R106&lt;&gt;0, R106+SUM(Workings_risks!$F$19*Workings_risks!R28,Workings_risks!R26*Workings_risks!$F$18)*Workings_risks!$F$13*Workings_risks!R8*$E$28,0)</f>
        <v>-30019.645606944639</v>
      </c>
      <c r="S112" s="335">
        <f>IF(S106&lt;&gt;0, S106+SUM(Workings_risks!$F$19*Workings_risks!S28,Workings_risks!S26*Workings_risks!$F$18)*Workings_risks!$F$13*Workings_risks!S8*$E$28,0)</f>
        <v>-30007.146920591338</v>
      </c>
      <c r="T112" s="335">
        <f>IF(T106&lt;&gt;0, T106+SUM(Workings_risks!$F$19*Workings_risks!T28,Workings_risks!T26*Workings_risks!$F$18)*Workings_risks!$F$13*Workings_risks!T8*$E$28,0)</f>
        <v>-29994.647648421316</v>
      </c>
      <c r="U112" s="335">
        <f>IF(U106&lt;&gt;0, U106+SUM(Workings_risks!$F$19*Workings_risks!U28,Workings_risks!U26*Workings_risks!$F$18)*Workings_risks!$F$13*Workings_risks!U8*$E$28,0)</f>
        <v>-29982.14779047883</v>
      </c>
      <c r="V112" s="335">
        <f>IF(V106&lt;&gt;0, V106+SUM(Workings_risks!$F$19*Workings_risks!V28,Workings_risks!V26*Workings_risks!$F$18)*Workings_risks!$F$13*Workings_risks!V8*$E$28,0)</f>
        <v>-29969.647346808539</v>
      </c>
      <c r="W112" s="335">
        <f>IF(W106&lt;&gt;0, W106+SUM(Workings_risks!$F$19*Workings_risks!W28,Workings_risks!W26*Workings_risks!$F$18)*Workings_risks!$F$13*Workings_risks!W8*$E$28,0)</f>
        <v>-29957.146317454957</v>
      </c>
      <c r="X112" s="335">
        <f>IF(X106&lt;&gt;0, X106+SUM(Workings_risks!$F$19*Workings_risks!X28,Workings_risks!X26*Workings_risks!$F$18)*Workings_risks!$F$13*Workings_risks!X8*$E$28,0)</f>
        <v>-29944.644702462407</v>
      </c>
      <c r="Y112" s="335">
        <f>IF(Y106&lt;&gt;0, Y106+SUM(Workings_risks!$F$19*Workings_risks!Y28,Workings_risks!Y26*Workings_risks!$F$18)*Workings_risks!$F$13*Workings_risks!Y8*$E$28,0)</f>
        <v>-29932.14250187558</v>
      </c>
      <c r="Z112" s="335">
        <f>IF(Z106&lt;&gt;0, Z106+SUM(Workings_risks!$F$19*Workings_risks!Z28,Workings_risks!Z26*Workings_risks!$F$18)*Workings_risks!$F$13*Workings_risks!Z8*$E$28,0)</f>
        <v>-29919.639715738715</v>
      </c>
      <c r="AA112" s="335">
        <f>IF(AA106&lt;&gt;0, AA106+SUM(Workings_risks!$F$19*Workings_risks!AA28,Workings_risks!AA26*Workings_risks!$F$18)*Workings_risks!$F$13*Workings_risks!AA8*$E$28,0)</f>
        <v>-29907.136344096329</v>
      </c>
      <c r="AB112" s="335">
        <f>IF(AB106&lt;&gt;0, AB106+SUM(Workings_risks!$F$19*Workings_risks!AB28,Workings_risks!AB26*Workings_risks!$F$18)*Workings_risks!$F$13*Workings_risks!AB8*$E$28,0)</f>
        <v>-29894.632386993075</v>
      </c>
      <c r="AC112" s="335">
        <f>IF(AC106&lt;&gt;0, AC106+SUM(Workings_risks!$F$19*Workings_risks!AC28,Workings_risks!AC26*Workings_risks!$F$18)*Workings_risks!$F$13*Workings_risks!AC8*$E$28,0)</f>
        <v>-29882.127844473463</v>
      </c>
      <c r="AD112" s="335">
        <f>IF(AD106&lt;&gt;0, AD106+SUM(Workings_risks!$F$19*Workings_risks!AD28,Workings_risks!AD26*Workings_risks!$F$18)*Workings_risks!$F$13*Workings_risks!AD8*$E$28,0)</f>
        <v>-29869.622716581624</v>
      </c>
      <c r="AE112" s="335">
        <f>IF(AE106&lt;&gt;0, AE106+SUM(Workings_risks!$F$19*Workings_risks!AE28,Workings_risks!AE26*Workings_risks!$F$18)*Workings_risks!$F$13*Workings_risks!AE8*$E$28,0)</f>
        <v>419867.59275927226</v>
      </c>
      <c r="AF112" s="335">
        <f>IF(AF106&lt;&gt;0, AF106+SUM(Workings_risks!$F$19*Workings_risks!AF28,Workings_risks!AF26*Workings_risks!$F$18)*Workings_risks!$F$13*Workings_risks!AF8*$E$28,0)</f>
        <v>419880.0990577747</v>
      </c>
      <c r="AG112" s="335">
        <f>IF(AG106&lt;&gt;0, AG106+SUM(Workings_risks!$F$19*Workings_risks!AG28,Workings_risks!AG26*Workings_risks!$F$18)*Workings_risks!$F$13*Workings_risks!AG8*$E$28,0)</f>
        <v>419892.60594151588</v>
      </c>
    </row>
    <row r="113" spans="1:33" x14ac:dyDescent="0.2">
      <c r="A113" s="1" t="str">
        <f>"sens"&amp;Assumptions!B118</f>
        <v>sens4</v>
      </c>
      <c r="C113" s="301" t="str">
        <f>Assumptions!C118</f>
        <v/>
      </c>
      <c r="D113" s="302">
        <f>Assumptions!G118</f>
        <v>0</v>
      </c>
      <c r="E113" s="302">
        <f>Assumptions!H118</f>
        <v>0</v>
      </c>
      <c r="G113" s="38" t="str">
        <f t="shared" si="21"/>
        <v>Option 3sens4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-24104.411715859809</v>
      </c>
      <c r="L113" s="31" cm="1">
        <f t="array" ref="L113">L$106+IF($C113&lt;&gt;0,SUMPRODUCT((L$107:L$108)*TRANSPOSE(($D113:$E113))),0)</f>
        <v>-22146.180479947885</v>
      </c>
      <c r="M113" s="31" cm="1">
        <f t="array" ref="M113">M$106+IF($C113&lt;&gt;0,SUMPRODUCT((M$107:M$108)*TRANSPOSE(($D113:$E113))),0)</f>
        <v>-21970.777367190633</v>
      </c>
      <c r="N113" s="31" cm="1">
        <f t="array" ref="N113">N$106+IF($C113&lt;&gt;0,SUMPRODUCT((N$107:N$108)*TRANSPOSE(($D113:$E113))),0)</f>
        <v>-26857.68837755546</v>
      </c>
      <c r="O113" s="31" cm="1">
        <f t="array" ref="O113">O$106+IF($C113&lt;&gt;0,SUMPRODUCT((O$107:O$108)*TRANSPOSE(($D113:$E113))),0)</f>
        <v>-29788.02460136509</v>
      </c>
      <c r="P113" s="31" cm="1">
        <f t="array" ref="P113">P$106+IF($C113&lt;&gt;0,SUMPRODUCT((P$107:P$108)*TRANSPOSE(($D113:$E113))),0)</f>
        <v>-29489.979492688377</v>
      </c>
      <c r="Q113" s="31" cm="1">
        <f t="array" ref="Q113">Q$106+IF($C113&lt;&gt;0,SUMPRODUCT((Q$107:Q$108)*TRANSPOSE(($D113:$E113))),0)</f>
        <v>-27356.06034131741</v>
      </c>
      <c r="R113" s="31" cm="1">
        <f t="array" ref="R113">R$106+IF($C113&lt;&gt;0,SUMPRODUCT((R$107:R$108)*TRANSPOSE(($D113:$E113))),0)</f>
        <v>-32382.644956859294</v>
      </c>
      <c r="S113" s="31" cm="1">
        <f t="array" ref="S113">S$106+IF($C113&lt;&gt;0,SUMPRODUCT((S$107:S$108)*TRANSPOSE(($D113:$E113))),0)</f>
        <v>-32361.273108589812</v>
      </c>
      <c r="T113" s="31" cm="1">
        <f t="array" ref="T113">T$106+IF($C113&lt;&gt;0,SUMPRODUCT((T$107:T$108)*TRANSPOSE(($D113:$E113))),0)</f>
        <v>-32339.901260320417</v>
      </c>
      <c r="U113" s="31" cm="1">
        <f t="array" ref="U113">U$106+IF($C113&lt;&gt;0,SUMPRODUCT((U$107:U$108)*TRANSPOSE(($D113:$E113))),0)</f>
        <v>-32318.529412050935</v>
      </c>
      <c r="V113" s="31" cm="1">
        <f t="array" ref="V113">V$106+IF($C113&lt;&gt;0,SUMPRODUCT((V$107:V$108)*TRANSPOSE(($D113:$E113))),0)</f>
        <v>-32297.157563781599</v>
      </c>
      <c r="W113" s="31" cm="1">
        <f t="array" ref="W113">W$106+IF($C113&lt;&gt;0,SUMPRODUCT((W$107:W$108)*TRANSPOSE(($D113:$E113))),0)</f>
        <v>-32275.785715512233</v>
      </c>
      <c r="X113" s="31" cm="1">
        <f t="array" ref="X113">X$106+IF($C113&lt;&gt;0,SUMPRODUCT((X$107:X$108)*TRANSPOSE(($D113:$E113))),0)</f>
        <v>-32254.41386724278</v>
      </c>
      <c r="Y113" s="31" cm="1">
        <f t="array" ref="Y113">Y$106+IF($C113&lt;&gt;0,SUMPRODUCT((Y$107:Y$108)*TRANSPOSE(($D113:$E113))),0)</f>
        <v>-32233.042018973501</v>
      </c>
      <c r="Z113" s="31" cm="1">
        <f t="array" ref="Z113">Z$106+IF($C113&lt;&gt;0,SUMPRODUCT((Z$107:Z$108)*TRANSPOSE(($D113:$E113))),0)</f>
        <v>-32211.670170704048</v>
      </c>
      <c r="AA113" s="31" cm="1">
        <f t="array" ref="AA113">AA$106+IF($C113&lt;&gt;0,SUMPRODUCT((AA$107:AA$108)*TRANSPOSE(($D113:$E113))),0)</f>
        <v>-32190.298322434508</v>
      </c>
      <c r="AB113" s="31" cm="1">
        <f t="array" ref="AB113">AB$106+IF($C113&lt;&gt;0,SUMPRODUCT((AB$107:AB$108)*TRANSPOSE(($D113:$E113))),0)</f>
        <v>-32168.926474165055</v>
      </c>
      <c r="AC113" s="31" cm="1">
        <f t="array" ref="AC113">AC$106+IF($C113&lt;&gt;0,SUMPRODUCT((AC$107:AC$108)*TRANSPOSE(($D113:$E113))),0)</f>
        <v>-32147.554625895864</v>
      </c>
      <c r="AD113" s="31" cm="1">
        <f t="array" ref="AD113">AD$106+IF($C113&lt;&gt;0,SUMPRODUCT((AD$107:AD$108)*TRANSPOSE(($D113:$E113))),0)</f>
        <v>-32126.182777626382</v>
      </c>
      <c r="AE113" s="31" cm="1">
        <f t="array" ref="AE113">AE$106+IF($C113&lt;&gt;0,SUMPRODUCT((AE$107:AE$108)*TRANSPOSE(($D113:$E113))),0)</f>
        <v>417619.89883327758</v>
      </c>
      <c r="AF113" s="31" cm="1">
        <f t="array" ref="AF113">AF$106+IF($C113&lt;&gt;0,SUMPRODUCT((AF$107:AF$108)*TRANSPOSE(($D113:$E113))),0)</f>
        <v>417641.27068154683</v>
      </c>
      <c r="AG113" s="31" cm="1">
        <f t="array" ref="AG113">AG$106+IF($C113&lt;&gt;0,SUMPRODUCT((AG$107:AG$108)*TRANSPOSE(($D113:$E113))),0)</f>
        <v>417662.64252981625</v>
      </c>
    </row>
    <row r="114" spans="1:33" x14ac:dyDescent="0.2">
      <c r="A114" s="1" t="str">
        <f>"sens"&amp;Assumptions!B119</f>
        <v>sens5</v>
      </c>
      <c r="C114" s="301" t="str">
        <f>Assumptions!C119</f>
        <v/>
      </c>
      <c r="D114" s="302">
        <f>Assumptions!G119</f>
        <v>0</v>
      </c>
      <c r="E114" s="302">
        <f>Assumptions!H119</f>
        <v>0</v>
      </c>
      <c r="G114" s="38" t="str">
        <f t="shared" si="21"/>
        <v>Option 3sens5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-24104.411715859809</v>
      </c>
      <c r="L114" s="31" cm="1">
        <f t="array" ref="L114">L$106+IF($C114&lt;&gt;0,SUMPRODUCT((L$107:L$108)*TRANSPOSE(($D114:$E114))),0)</f>
        <v>-22146.180479947885</v>
      </c>
      <c r="M114" s="31" cm="1">
        <f t="array" ref="M114">M$106+IF($C114&lt;&gt;0,SUMPRODUCT((M$107:M$108)*TRANSPOSE(($D114:$E114))),0)</f>
        <v>-21970.777367190633</v>
      </c>
      <c r="N114" s="31" cm="1">
        <f t="array" ref="N114">N$106+IF($C114&lt;&gt;0,SUMPRODUCT((N$107:N$108)*TRANSPOSE(($D114:$E114))),0)</f>
        <v>-26857.68837755546</v>
      </c>
      <c r="O114" s="31" cm="1">
        <f t="array" ref="O114">O$106+IF($C114&lt;&gt;0,SUMPRODUCT((O$107:O$108)*TRANSPOSE(($D114:$E114))),0)</f>
        <v>-29788.02460136509</v>
      </c>
      <c r="P114" s="31" cm="1">
        <f t="array" ref="P114">P$106+IF($C114&lt;&gt;0,SUMPRODUCT((P$107:P$108)*TRANSPOSE(($D114:$E114))),0)</f>
        <v>-29489.979492688377</v>
      </c>
      <c r="Q114" s="31" cm="1">
        <f t="array" ref="Q114">Q$106+IF($C114&lt;&gt;0,SUMPRODUCT((Q$107:Q$108)*TRANSPOSE(($D114:$E114))),0)</f>
        <v>-27356.06034131741</v>
      </c>
      <c r="R114" s="31" cm="1">
        <f t="array" ref="R114">R$106+IF($C114&lt;&gt;0,SUMPRODUCT((R$107:R$108)*TRANSPOSE(($D114:$E114))),0)</f>
        <v>-32382.644956859294</v>
      </c>
      <c r="S114" s="31" cm="1">
        <f t="array" ref="S114">S$106+IF($C114&lt;&gt;0,SUMPRODUCT((S$107:S$108)*TRANSPOSE(($D114:$E114))),0)</f>
        <v>-32361.273108589812</v>
      </c>
      <c r="T114" s="31" cm="1">
        <f t="array" ref="T114">T$106+IF($C114&lt;&gt;0,SUMPRODUCT((T$107:T$108)*TRANSPOSE(($D114:$E114))),0)</f>
        <v>-32339.901260320417</v>
      </c>
      <c r="U114" s="31" cm="1">
        <f t="array" ref="U114">U$106+IF($C114&lt;&gt;0,SUMPRODUCT((U$107:U$108)*TRANSPOSE(($D114:$E114))),0)</f>
        <v>-32318.529412050935</v>
      </c>
      <c r="V114" s="31" cm="1">
        <f t="array" ref="V114">V$106+IF($C114&lt;&gt;0,SUMPRODUCT((V$107:V$108)*TRANSPOSE(($D114:$E114))),0)</f>
        <v>-32297.157563781599</v>
      </c>
      <c r="W114" s="31" cm="1">
        <f t="array" ref="W114">W$106+IF($C114&lt;&gt;0,SUMPRODUCT((W$107:W$108)*TRANSPOSE(($D114:$E114))),0)</f>
        <v>-32275.785715512233</v>
      </c>
      <c r="X114" s="31" cm="1">
        <f t="array" ref="X114">X$106+IF($C114&lt;&gt;0,SUMPRODUCT((X$107:X$108)*TRANSPOSE(($D114:$E114))),0)</f>
        <v>-32254.41386724278</v>
      </c>
      <c r="Y114" s="31" cm="1">
        <f t="array" ref="Y114">Y$106+IF($C114&lt;&gt;0,SUMPRODUCT((Y$107:Y$108)*TRANSPOSE(($D114:$E114))),0)</f>
        <v>-32233.042018973501</v>
      </c>
      <c r="Z114" s="31" cm="1">
        <f t="array" ref="Z114">Z$106+IF($C114&lt;&gt;0,SUMPRODUCT((Z$107:Z$108)*TRANSPOSE(($D114:$E114))),0)</f>
        <v>-32211.670170704048</v>
      </c>
      <c r="AA114" s="31" cm="1">
        <f t="array" ref="AA114">AA$106+IF($C114&lt;&gt;0,SUMPRODUCT((AA$107:AA$108)*TRANSPOSE(($D114:$E114))),0)</f>
        <v>-32190.298322434508</v>
      </c>
      <c r="AB114" s="31" cm="1">
        <f t="array" ref="AB114">AB$106+IF($C114&lt;&gt;0,SUMPRODUCT((AB$107:AB$108)*TRANSPOSE(($D114:$E114))),0)</f>
        <v>-32168.926474165055</v>
      </c>
      <c r="AC114" s="31" cm="1">
        <f t="array" ref="AC114">AC$106+IF($C114&lt;&gt;0,SUMPRODUCT((AC$107:AC$108)*TRANSPOSE(($D114:$E114))),0)</f>
        <v>-32147.554625895864</v>
      </c>
      <c r="AD114" s="31" cm="1">
        <f t="array" ref="AD114">AD$106+IF($C114&lt;&gt;0,SUMPRODUCT((AD$107:AD$108)*TRANSPOSE(($D114:$E114))),0)</f>
        <v>-32126.182777626382</v>
      </c>
      <c r="AE114" s="31" cm="1">
        <f t="array" ref="AE114">AE$106+IF($C114&lt;&gt;0,SUMPRODUCT((AE$107:AE$108)*TRANSPOSE(($D114:$E114))),0)</f>
        <v>417619.89883327758</v>
      </c>
      <c r="AF114" s="31" cm="1">
        <f t="array" ref="AF114">AF$106+IF($C114&lt;&gt;0,SUMPRODUCT((AF$107:AF$108)*TRANSPOSE(($D114:$E114))),0)</f>
        <v>417641.27068154683</v>
      </c>
      <c r="AG114" s="31" cm="1">
        <f t="array" ref="AG114">AG$106+IF($C114&lt;&gt;0,SUMPRODUCT((AG$107:AG$108)*TRANSPOSE(($D114:$E114))),0)</f>
        <v>417662.64252981625</v>
      </c>
    </row>
    <row r="115" spans="1:33" x14ac:dyDescent="0.2">
      <c r="A115" s="1" t="str">
        <f>"sens"&amp;Assumptions!B120</f>
        <v>sens</v>
      </c>
      <c r="C115" s="301">
        <f>Assumptions!C120</f>
        <v>0</v>
      </c>
      <c r="D115" s="302">
        <f>Assumptions!G120</f>
        <v>0</v>
      </c>
      <c r="E115" s="302">
        <f>Assumptions!H120</f>
        <v>0</v>
      </c>
      <c r="G115" s="38" t="str">
        <f t="shared" si="21"/>
        <v>Option 3sens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-24104.411715859809</v>
      </c>
      <c r="L115" s="31" cm="1">
        <f t="array" ref="L115">L$106+IF($C115&lt;&gt;0,SUMPRODUCT((L$107:L$108)*TRANSPOSE(($D115:$E115))),0)</f>
        <v>-22146.180479947885</v>
      </c>
      <c r="M115" s="31" cm="1">
        <f t="array" ref="M115">M$106+IF($C115&lt;&gt;0,SUMPRODUCT((M$107:M$108)*TRANSPOSE(($D115:$E115))),0)</f>
        <v>-21970.777367190633</v>
      </c>
      <c r="N115" s="31" cm="1">
        <f t="array" ref="N115">N$106+IF($C115&lt;&gt;0,SUMPRODUCT((N$107:N$108)*TRANSPOSE(($D115:$E115))),0)</f>
        <v>-26857.68837755546</v>
      </c>
      <c r="O115" s="31" cm="1">
        <f t="array" ref="O115">O$106+IF($C115&lt;&gt;0,SUMPRODUCT((O$107:O$108)*TRANSPOSE(($D115:$E115))),0)</f>
        <v>-29788.02460136509</v>
      </c>
      <c r="P115" s="31" cm="1">
        <f t="array" ref="P115">P$106+IF($C115&lt;&gt;0,SUMPRODUCT((P$107:P$108)*TRANSPOSE(($D115:$E115))),0)</f>
        <v>-29489.979492688377</v>
      </c>
      <c r="Q115" s="31" cm="1">
        <f t="array" ref="Q115">Q$106+IF($C115&lt;&gt;0,SUMPRODUCT((Q$107:Q$108)*TRANSPOSE(($D115:$E115))),0)</f>
        <v>-27356.06034131741</v>
      </c>
      <c r="R115" s="31" cm="1">
        <f t="array" ref="R115">R$106+IF($C115&lt;&gt;0,SUMPRODUCT((R$107:R$108)*TRANSPOSE(($D115:$E115))),0)</f>
        <v>-32382.644956859294</v>
      </c>
      <c r="S115" s="31" cm="1">
        <f t="array" ref="S115">S$106+IF($C115&lt;&gt;0,SUMPRODUCT((S$107:S$108)*TRANSPOSE(($D115:$E115))),0)</f>
        <v>-32361.273108589812</v>
      </c>
      <c r="T115" s="31" cm="1">
        <f t="array" ref="T115">T$106+IF($C115&lt;&gt;0,SUMPRODUCT((T$107:T$108)*TRANSPOSE(($D115:$E115))),0)</f>
        <v>-32339.901260320417</v>
      </c>
      <c r="U115" s="31" cm="1">
        <f t="array" ref="U115">U$106+IF($C115&lt;&gt;0,SUMPRODUCT((U$107:U$108)*TRANSPOSE(($D115:$E115))),0)</f>
        <v>-32318.529412050935</v>
      </c>
      <c r="V115" s="31" cm="1">
        <f t="array" ref="V115">V$106+IF($C115&lt;&gt;0,SUMPRODUCT((V$107:V$108)*TRANSPOSE(($D115:$E115))),0)</f>
        <v>-32297.157563781599</v>
      </c>
      <c r="W115" s="31" cm="1">
        <f t="array" ref="W115">W$106+IF($C115&lt;&gt;0,SUMPRODUCT((W$107:W$108)*TRANSPOSE(($D115:$E115))),0)</f>
        <v>-32275.785715512233</v>
      </c>
      <c r="X115" s="31" cm="1">
        <f t="array" ref="X115">X$106+IF($C115&lt;&gt;0,SUMPRODUCT((X$107:X$108)*TRANSPOSE(($D115:$E115))),0)</f>
        <v>-32254.41386724278</v>
      </c>
      <c r="Y115" s="31" cm="1">
        <f t="array" ref="Y115">Y$106+IF($C115&lt;&gt;0,SUMPRODUCT((Y$107:Y$108)*TRANSPOSE(($D115:$E115))),0)</f>
        <v>-32233.042018973501</v>
      </c>
      <c r="Z115" s="31" cm="1">
        <f t="array" ref="Z115">Z$106+IF($C115&lt;&gt;0,SUMPRODUCT((Z$107:Z$108)*TRANSPOSE(($D115:$E115))),0)</f>
        <v>-32211.670170704048</v>
      </c>
      <c r="AA115" s="31" cm="1">
        <f t="array" ref="AA115">AA$106+IF($C115&lt;&gt;0,SUMPRODUCT((AA$107:AA$108)*TRANSPOSE(($D115:$E115))),0)</f>
        <v>-32190.298322434508</v>
      </c>
      <c r="AB115" s="31" cm="1">
        <f t="array" ref="AB115">AB$106+IF($C115&lt;&gt;0,SUMPRODUCT((AB$107:AB$108)*TRANSPOSE(($D115:$E115))),0)</f>
        <v>-32168.926474165055</v>
      </c>
      <c r="AC115" s="31" cm="1">
        <f t="array" ref="AC115">AC$106+IF($C115&lt;&gt;0,SUMPRODUCT((AC$107:AC$108)*TRANSPOSE(($D115:$E115))),0)</f>
        <v>-32147.554625895864</v>
      </c>
      <c r="AD115" s="31" cm="1">
        <f t="array" ref="AD115">AD$106+IF($C115&lt;&gt;0,SUMPRODUCT((AD$107:AD$108)*TRANSPOSE(($D115:$E115))),0)</f>
        <v>-32126.182777626382</v>
      </c>
      <c r="AE115" s="31" cm="1">
        <f t="array" ref="AE115">AE$106+IF($C115&lt;&gt;0,SUMPRODUCT((AE$107:AE$108)*TRANSPOSE(($D115:$E115))),0)</f>
        <v>417619.89883327758</v>
      </c>
      <c r="AF115" s="31" cm="1">
        <f t="array" ref="AF115">AF$106+IF($C115&lt;&gt;0,SUMPRODUCT((AF$107:AF$108)*TRANSPOSE(($D115:$E115))),0)</f>
        <v>417641.27068154683</v>
      </c>
      <c r="AG115" s="31" cm="1">
        <f t="array" ref="AG115">AG$106+IF($C115&lt;&gt;0,SUMPRODUCT((AG$107:AG$108)*TRANSPOSE(($D115:$E115))),0)</f>
        <v>417662.64252981625</v>
      </c>
    </row>
    <row r="116" spans="1:33" x14ac:dyDescent="0.2">
      <c r="A116" s="1" t="str">
        <f>"sens"&amp;Assumptions!B121</f>
        <v>sens</v>
      </c>
      <c r="C116" s="301">
        <f>Assumptions!C121</f>
        <v>0</v>
      </c>
      <c r="D116" s="302">
        <f>Assumptions!G121</f>
        <v>0</v>
      </c>
      <c r="E116" s="302">
        <f>Assumptions!H121</f>
        <v>0</v>
      </c>
      <c r="G116" s="38" t="str">
        <f t="shared" si="21"/>
        <v>Option 3sens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-24104.411715859809</v>
      </c>
      <c r="L116" s="31" cm="1">
        <f t="array" ref="L116">L$106+IF($C116&lt;&gt;0,SUMPRODUCT((L$107:L$108)*TRANSPOSE(($D116:$E116))),0)</f>
        <v>-22146.180479947885</v>
      </c>
      <c r="M116" s="31" cm="1">
        <f t="array" ref="M116">M$106+IF($C116&lt;&gt;0,SUMPRODUCT((M$107:M$108)*TRANSPOSE(($D116:$E116))),0)</f>
        <v>-21970.777367190633</v>
      </c>
      <c r="N116" s="31" cm="1">
        <f t="array" ref="N116">N$106+IF($C116&lt;&gt;0,SUMPRODUCT((N$107:N$108)*TRANSPOSE(($D116:$E116))),0)</f>
        <v>-26857.68837755546</v>
      </c>
      <c r="O116" s="31" cm="1">
        <f t="array" ref="O116">O$106+IF($C116&lt;&gt;0,SUMPRODUCT((O$107:O$108)*TRANSPOSE(($D116:$E116))),0)</f>
        <v>-29788.02460136509</v>
      </c>
      <c r="P116" s="31" cm="1">
        <f t="array" ref="P116">P$106+IF($C116&lt;&gt;0,SUMPRODUCT((P$107:P$108)*TRANSPOSE(($D116:$E116))),0)</f>
        <v>-29489.979492688377</v>
      </c>
      <c r="Q116" s="31" cm="1">
        <f t="array" ref="Q116">Q$106+IF($C116&lt;&gt;0,SUMPRODUCT((Q$107:Q$108)*TRANSPOSE(($D116:$E116))),0)</f>
        <v>-27356.06034131741</v>
      </c>
      <c r="R116" s="31" cm="1">
        <f t="array" ref="R116">R$106+IF($C116&lt;&gt;0,SUMPRODUCT((R$107:R$108)*TRANSPOSE(($D116:$E116))),0)</f>
        <v>-32382.644956859294</v>
      </c>
      <c r="S116" s="31" cm="1">
        <f t="array" ref="S116">S$106+IF($C116&lt;&gt;0,SUMPRODUCT((S$107:S$108)*TRANSPOSE(($D116:$E116))),0)</f>
        <v>-32361.273108589812</v>
      </c>
      <c r="T116" s="31" cm="1">
        <f t="array" ref="T116">T$106+IF($C116&lt;&gt;0,SUMPRODUCT((T$107:T$108)*TRANSPOSE(($D116:$E116))),0)</f>
        <v>-32339.901260320417</v>
      </c>
      <c r="U116" s="31" cm="1">
        <f t="array" ref="U116">U$106+IF($C116&lt;&gt;0,SUMPRODUCT((U$107:U$108)*TRANSPOSE(($D116:$E116))),0)</f>
        <v>-32318.529412050935</v>
      </c>
      <c r="V116" s="31" cm="1">
        <f t="array" ref="V116">V$106+IF($C116&lt;&gt;0,SUMPRODUCT((V$107:V$108)*TRANSPOSE(($D116:$E116))),0)</f>
        <v>-32297.157563781599</v>
      </c>
      <c r="W116" s="31" cm="1">
        <f t="array" ref="W116">W$106+IF($C116&lt;&gt;0,SUMPRODUCT((W$107:W$108)*TRANSPOSE(($D116:$E116))),0)</f>
        <v>-32275.785715512233</v>
      </c>
      <c r="X116" s="31" cm="1">
        <f t="array" ref="X116">X$106+IF($C116&lt;&gt;0,SUMPRODUCT((X$107:X$108)*TRANSPOSE(($D116:$E116))),0)</f>
        <v>-32254.41386724278</v>
      </c>
      <c r="Y116" s="31" cm="1">
        <f t="array" ref="Y116">Y$106+IF($C116&lt;&gt;0,SUMPRODUCT((Y$107:Y$108)*TRANSPOSE(($D116:$E116))),0)</f>
        <v>-32233.042018973501</v>
      </c>
      <c r="Z116" s="31" cm="1">
        <f t="array" ref="Z116">Z$106+IF($C116&lt;&gt;0,SUMPRODUCT((Z$107:Z$108)*TRANSPOSE(($D116:$E116))),0)</f>
        <v>-32211.670170704048</v>
      </c>
      <c r="AA116" s="31" cm="1">
        <f t="array" ref="AA116">AA$106+IF($C116&lt;&gt;0,SUMPRODUCT((AA$107:AA$108)*TRANSPOSE(($D116:$E116))),0)</f>
        <v>-32190.298322434508</v>
      </c>
      <c r="AB116" s="31" cm="1">
        <f t="array" ref="AB116">AB$106+IF($C116&lt;&gt;0,SUMPRODUCT((AB$107:AB$108)*TRANSPOSE(($D116:$E116))),0)</f>
        <v>-32168.926474165055</v>
      </c>
      <c r="AC116" s="31" cm="1">
        <f t="array" ref="AC116">AC$106+IF($C116&lt;&gt;0,SUMPRODUCT((AC$107:AC$108)*TRANSPOSE(($D116:$E116))),0)</f>
        <v>-32147.554625895864</v>
      </c>
      <c r="AD116" s="31" cm="1">
        <f t="array" ref="AD116">AD$106+IF($C116&lt;&gt;0,SUMPRODUCT((AD$107:AD$108)*TRANSPOSE(($D116:$E116))),0)</f>
        <v>-32126.182777626382</v>
      </c>
      <c r="AE116" s="31" cm="1">
        <f t="array" ref="AE116">AE$106+IF($C116&lt;&gt;0,SUMPRODUCT((AE$107:AE$108)*TRANSPOSE(($D116:$E116))),0)</f>
        <v>417619.89883327758</v>
      </c>
      <c r="AF116" s="31" cm="1">
        <f t="array" ref="AF116">AF$106+IF($C116&lt;&gt;0,SUMPRODUCT((AF$107:AF$108)*TRANSPOSE(($D116:$E116))),0)</f>
        <v>417641.27068154683</v>
      </c>
      <c r="AG116" s="31" cm="1">
        <f t="array" ref="AG116">AG$106+IF($C116&lt;&gt;0,SUMPRODUCT((AG$107:AG$108)*TRANSPOSE(($D116:$E116))),0)</f>
        <v>417662.64252981625</v>
      </c>
    </row>
    <row r="117" spans="1:33" x14ac:dyDescent="0.2">
      <c r="A117" s="1" t="str">
        <f>"sens"&amp;Assumptions!B122</f>
        <v>sens</v>
      </c>
      <c r="C117" s="301">
        <f>Assumptions!C122</f>
        <v>0</v>
      </c>
      <c r="D117" s="302">
        <f>Assumptions!G122</f>
        <v>0</v>
      </c>
      <c r="E117" s="302">
        <f>Assumptions!H122</f>
        <v>0</v>
      </c>
      <c r="G117" s="38" t="str">
        <f t="shared" si="21"/>
        <v>Option 3sens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-24104.411715859809</v>
      </c>
      <c r="L117" s="31" cm="1">
        <f t="array" ref="L117">L$106+IF($C117&lt;&gt;0,SUMPRODUCT((L$107:L$108)*TRANSPOSE(($D117:$E117))),0)</f>
        <v>-22146.180479947885</v>
      </c>
      <c r="M117" s="31" cm="1">
        <f t="array" ref="M117">M$106+IF($C117&lt;&gt;0,SUMPRODUCT((M$107:M$108)*TRANSPOSE(($D117:$E117))),0)</f>
        <v>-21970.777367190633</v>
      </c>
      <c r="N117" s="31" cm="1">
        <f t="array" ref="N117">N$106+IF($C117&lt;&gt;0,SUMPRODUCT((N$107:N$108)*TRANSPOSE(($D117:$E117))),0)</f>
        <v>-26857.68837755546</v>
      </c>
      <c r="O117" s="31" cm="1">
        <f t="array" ref="O117">O$106+IF($C117&lt;&gt;0,SUMPRODUCT((O$107:O$108)*TRANSPOSE(($D117:$E117))),0)</f>
        <v>-29788.02460136509</v>
      </c>
      <c r="P117" s="31" cm="1">
        <f t="array" ref="P117">P$106+IF($C117&lt;&gt;0,SUMPRODUCT((P$107:P$108)*TRANSPOSE(($D117:$E117))),0)</f>
        <v>-29489.979492688377</v>
      </c>
      <c r="Q117" s="31" cm="1">
        <f t="array" ref="Q117">Q$106+IF($C117&lt;&gt;0,SUMPRODUCT((Q$107:Q$108)*TRANSPOSE(($D117:$E117))),0)</f>
        <v>-27356.06034131741</v>
      </c>
      <c r="R117" s="31" cm="1">
        <f t="array" ref="R117">R$106+IF($C117&lt;&gt;0,SUMPRODUCT((R$107:R$108)*TRANSPOSE(($D117:$E117))),0)</f>
        <v>-32382.644956859294</v>
      </c>
      <c r="S117" s="31" cm="1">
        <f t="array" ref="S117">S$106+IF($C117&lt;&gt;0,SUMPRODUCT((S$107:S$108)*TRANSPOSE(($D117:$E117))),0)</f>
        <v>-32361.273108589812</v>
      </c>
      <c r="T117" s="31" cm="1">
        <f t="array" ref="T117">T$106+IF($C117&lt;&gt;0,SUMPRODUCT((T$107:T$108)*TRANSPOSE(($D117:$E117))),0)</f>
        <v>-32339.901260320417</v>
      </c>
      <c r="U117" s="31" cm="1">
        <f t="array" ref="U117">U$106+IF($C117&lt;&gt;0,SUMPRODUCT((U$107:U$108)*TRANSPOSE(($D117:$E117))),0)</f>
        <v>-32318.529412050935</v>
      </c>
      <c r="V117" s="31" cm="1">
        <f t="array" ref="V117">V$106+IF($C117&lt;&gt;0,SUMPRODUCT((V$107:V$108)*TRANSPOSE(($D117:$E117))),0)</f>
        <v>-32297.157563781599</v>
      </c>
      <c r="W117" s="31" cm="1">
        <f t="array" ref="W117">W$106+IF($C117&lt;&gt;0,SUMPRODUCT((W$107:W$108)*TRANSPOSE(($D117:$E117))),0)</f>
        <v>-32275.785715512233</v>
      </c>
      <c r="X117" s="31" cm="1">
        <f t="array" ref="X117">X$106+IF($C117&lt;&gt;0,SUMPRODUCT((X$107:X$108)*TRANSPOSE(($D117:$E117))),0)</f>
        <v>-32254.41386724278</v>
      </c>
      <c r="Y117" s="31" cm="1">
        <f t="array" ref="Y117">Y$106+IF($C117&lt;&gt;0,SUMPRODUCT((Y$107:Y$108)*TRANSPOSE(($D117:$E117))),0)</f>
        <v>-32233.042018973501</v>
      </c>
      <c r="Z117" s="31" cm="1">
        <f t="array" ref="Z117">Z$106+IF($C117&lt;&gt;0,SUMPRODUCT((Z$107:Z$108)*TRANSPOSE(($D117:$E117))),0)</f>
        <v>-32211.670170704048</v>
      </c>
      <c r="AA117" s="31" cm="1">
        <f t="array" ref="AA117">AA$106+IF($C117&lt;&gt;0,SUMPRODUCT((AA$107:AA$108)*TRANSPOSE(($D117:$E117))),0)</f>
        <v>-32190.298322434508</v>
      </c>
      <c r="AB117" s="31" cm="1">
        <f t="array" ref="AB117">AB$106+IF($C117&lt;&gt;0,SUMPRODUCT((AB$107:AB$108)*TRANSPOSE(($D117:$E117))),0)</f>
        <v>-32168.926474165055</v>
      </c>
      <c r="AC117" s="31" cm="1">
        <f t="array" ref="AC117">AC$106+IF($C117&lt;&gt;0,SUMPRODUCT((AC$107:AC$108)*TRANSPOSE(($D117:$E117))),0)</f>
        <v>-32147.554625895864</v>
      </c>
      <c r="AD117" s="31" cm="1">
        <f t="array" ref="AD117">AD$106+IF($C117&lt;&gt;0,SUMPRODUCT((AD$107:AD$108)*TRANSPOSE(($D117:$E117))),0)</f>
        <v>-32126.182777626382</v>
      </c>
      <c r="AE117" s="31" cm="1">
        <f t="array" ref="AE117">AE$106+IF($C117&lt;&gt;0,SUMPRODUCT((AE$107:AE$108)*TRANSPOSE(($D117:$E117))),0)</f>
        <v>417619.89883327758</v>
      </c>
      <c r="AF117" s="31" cm="1">
        <f t="array" ref="AF117">AF$106+IF($C117&lt;&gt;0,SUMPRODUCT((AF$107:AF$108)*TRANSPOSE(($D117:$E117))),0)</f>
        <v>417641.27068154683</v>
      </c>
      <c r="AG117" s="31" cm="1">
        <f t="array" ref="AG117">AG$106+IF($C117&lt;&gt;0,SUMPRODUCT((AG$107:AG$108)*TRANSPOSE(($D117:$E117))),0)</f>
        <v>417662.64252981625</v>
      </c>
    </row>
  </sheetData>
  <conditionalFormatting sqref="E28">
    <cfRule type="expression" dxfId="9" priority="5">
      <formula>AND(SUM($I$27:$AG$27)&gt;0, $E$28=0)</formula>
    </cfRule>
  </conditionalFormatting>
  <conditionalFormatting sqref="E14 E16">
    <cfRule type="expression" dxfId="8" priority="2">
      <formula>AND(SUM($I14:$AB14)&lt;&gt;0, E14=0)</formula>
    </cfRule>
  </conditionalFormatting>
  <conditionalFormatting sqref="E15">
    <cfRule type="expression" dxfId="7" priority="1">
      <formula>AND(SUM($I15:$AB15)&lt;&gt;0, E15=0)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4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G29" sqref="G29"/>
      <selection pane="topRight" activeCell="G29" sqref="G29"/>
      <selection pane="bottomLeft" activeCell="G29" sqref="G29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2.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Donald microgrid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4" t="s">
        <v>134</v>
      </c>
      <c r="B3" s="5"/>
      <c r="C3" s="201">
        <f>INDEX(Assumptions!$E$14:$E$18, MATCH(A3,_xlfn.ANCHORARRAY( Assumptions!$C$14),0))</f>
        <v>0</v>
      </c>
    </row>
    <row r="4" spans="1:43" x14ac:dyDescent="0.2">
      <c r="A4" s="202" t="str">
        <f>(INDEX(Data!$D$9:$D$13, MATCH(A3, options,0)))</f>
        <v>Not used</v>
      </c>
      <c r="B4" s="188"/>
      <c r="C4" s="239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1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3"/>
      <c r="G9" s="18" t="s">
        <v>25</v>
      </c>
      <c r="H9" s="221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5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206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26" t="s">
        <v>69</v>
      </c>
      <c r="G13" s="207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9">
        <v>0</v>
      </c>
      <c r="G14" s="208">
        <f>input_dollars</f>
        <v>45291</v>
      </c>
      <c r="H14" s="150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9">
        <v>0</v>
      </c>
      <c r="G15" s="208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9">
        <v>0</v>
      </c>
      <c r="G16" s="208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8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207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8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137">
        <v>0</v>
      </c>
      <c r="T19" s="137">
        <v>0</v>
      </c>
      <c r="U19" s="137">
        <v>0</v>
      </c>
      <c r="V19" s="137">
        <v>0</v>
      </c>
      <c r="W19" s="137">
        <v>0</v>
      </c>
      <c r="X19" s="137">
        <v>0</v>
      </c>
      <c r="Y19" s="137">
        <v>0</v>
      </c>
      <c r="Z19" s="137">
        <v>0</v>
      </c>
      <c r="AA19" s="137">
        <v>0</v>
      </c>
      <c r="AB19" s="137">
        <v>0</v>
      </c>
      <c r="AC19" s="137">
        <v>0</v>
      </c>
      <c r="AD19" s="137">
        <v>0</v>
      </c>
      <c r="AE19" s="137">
        <v>0</v>
      </c>
      <c r="AF19" s="137">
        <v>0</v>
      </c>
      <c r="AG19" s="137">
        <v>0</v>
      </c>
      <c r="AH19"/>
      <c r="AI19"/>
      <c r="AJ19"/>
      <c r="AK19"/>
      <c r="AL19"/>
      <c r="AM19"/>
    </row>
    <row r="20" spans="1:43" x14ac:dyDescent="0.2">
      <c r="G20" s="206"/>
      <c r="AH20"/>
      <c r="AI20"/>
      <c r="AJ20"/>
      <c r="AK20"/>
      <c r="AL20"/>
      <c r="AM20"/>
    </row>
    <row r="21" spans="1:43" x14ac:dyDescent="0.2">
      <c r="C21"/>
      <c r="D21"/>
      <c r="E21"/>
      <c r="G21" s="207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154</v>
      </c>
      <c r="B22" s="89"/>
      <c r="C22" s="89"/>
      <c r="D22" s="89"/>
      <c r="E22" s="89"/>
      <c r="F22" s="89"/>
      <c r="G22" s="205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9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155</v>
      </c>
      <c r="D24" s="111"/>
      <c r="E24" s="111"/>
      <c r="F24" s="111"/>
      <c r="G24" s="209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70">
        <v>0</v>
      </c>
      <c r="V24" s="170">
        <v>0</v>
      </c>
      <c r="W24" s="170">
        <v>0</v>
      </c>
      <c r="X24" s="170">
        <v>0</v>
      </c>
      <c r="Y24" s="170">
        <v>0</v>
      </c>
      <c r="Z24" s="170">
        <v>0</v>
      </c>
      <c r="AA24" s="170">
        <v>0</v>
      </c>
      <c r="AB24" s="170">
        <v>0</v>
      </c>
      <c r="AC24" s="170">
        <v>0</v>
      </c>
      <c r="AD24" s="170">
        <v>0</v>
      </c>
      <c r="AE24" s="170">
        <v>0</v>
      </c>
      <c r="AF24" s="170">
        <v>0</v>
      </c>
      <c r="AG24" s="170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156</v>
      </c>
      <c r="D25" s="209"/>
      <c r="E25" s="111"/>
      <c r="F25" s="111"/>
      <c r="G25" s="209"/>
      <c r="H25" s="111"/>
      <c r="I25" s="170">
        <v>0</v>
      </c>
      <c r="J25" s="170">
        <v>0</v>
      </c>
      <c r="K25" s="170">
        <v>0</v>
      </c>
      <c r="L25" s="170">
        <v>0</v>
      </c>
      <c r="M25" s="170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70">
        <v>0</v>
      </c>
      <c r="V25" s="170">
        <v>0</v>
      </c>
      <c r="W25" s="170">
        <v>0</v>
      </c>
      <c r="X25" s="170">
        <v>0</v>
      </c>
      <c r="Y25" s="170">
        <v>0</v>
      </c>
      <c r="Z25" s="170">
        <v>0</v>
      </c>
      <c r="AA25" s="170">
        <v>0</v>
      </c>
      <c r="AB25" s="170">
        <v>0</v>
      </c>
      <c r="AC25" s="170">
        <v>0</v>
      </c>
      <c r="AD25" s="170">
        <v>0</v>
      </c>
      <c r="AE25" s="170">
        <v>0</v>
      </c>
      <c r="AF25" s="170">
        <v>0</v>
      </c>
      <c r="AG25" s="170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9"/>
      <c r="E26" s="111"/>
      <c r="F26" s="111"/>
      <c r="G26" s="209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6"/>
      <c r="E27"/>
      <c r="G27" s="208" t="s">
        <v>40</v>
      </c>
      <c r="H27"/>
      <c r="I27" s="169">
        <v>0</v>
      </c>
      <c r="J27" s="169">
        <v>0</v>
      </c>
      <c r="K27" s="169">
        <v>0</v>
      </c>
      <c r="L27" s="169">
        <v>0</v>
      </c>
      <c r="M27" s="169">
        <v>0</v>
      </c>
      <c r="N27" s="169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169">
        <v>0</v>
      </c>
      <c r="V27" s="169">
        <v>0</v>
      </c>
      <c r="W27" s="169">
        <v>0</v>
      </c>
      <c r="X27" s="169">
        <v>0</v>
      </c>
      <c r="Y27" s="169">
        <v>0</v>
      </c>
      <c r="Z27" s="169">
        <v>0</v>
      </c>
      <c r="AA27" s="169">
        <v>0</v>
      </c>
      <c r="AB27" s="169">
        <v>0</v>
      </c>
      <c r="AC27" s="169">
        <v>0</v>
      </c>
      <c r="AD27" s="169">
        <v>0</v>
      </c>
      <c r="AE27" s="169">
        <v>0</v>
      </c>
      <c r="AF27" s="169">
        <v>0</v>
      </c>
      <c r="AG27" s="169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6" t="s">
        <v>63</v>
      </c>
      <c r="E28" s="113">
        <f>Assumptions!H41*vcr_esc</f>
        <v>45198.640474687112</v>
      </c>
      <c r="F28" s="239" t="str">
        <f>IF(AND(SUM(I27:AG27)&lt;&gt;0, E28=0), "!", "")</f>
        <v/>
      </c>
      <c r="G28" s="208">
        <f>input_dollars</f>
        <v>45291</v>
      </c>
      <c r="H28"/>
      <c r="I28" s="298">
        <f>I27*$E$28</f>
        <v>0</v>
      </c>
      <c r="J28" s="298">
        <f t="shared" ref="J28:AG28" si="2">J27*$E$28</f>
        <v>0</v>
      </c>
      <c r="K28" s="298">
        <f t="shared" si="2"/>
        <v>0</v>
      </c>
      <c r="L28" s="298">
        <f t="shared" si="2"/>
        <v>0</v>
      </c>
      <c r="M28" s="298">
        <f t="shared" si="2"/>
        <v>0</v>
      </c>
      <c r="N28" s="298">
        <f t="shared" si="2"/>
        <v>0</v>
      </c>
      <c r="O28" s="298">
        <f t="shared" si="2"/>
        <v>0</v>
      </c>
      <c r="P28" s="298">
        <f t="shared" si="2"/>
        <v>0</v>
      </c>
      <c r="Q28" s="298">
        <f t="shared" si="2"/>
        <v>0</v>
      </c>
      <c r="R28" s="298">
        <f t="shared" si="2"/>
        <v>0</v>
      </c>
      <c r="S28" s="298">
        <f t="shared" si="2"/>
        <v>0</v>
      </c>
      <c r="T28" s="298">
        <f t="shared" si="2"/>
        <v>0</v>
      </c>
      <c r="U28" s="298">
        <f t="shared" si="2"/>
        <v>0</v>
      </c>
      <c r="V28" s="298">
        <f t="shared" si="2"/>
        <v>0</v>
      </c>
      <c r="W28" s="298">
        <f t="shared" si="2"/>
        <v>0</v>
      </c>
      <c r="X28" s="298">
        <f t="shared" si="2"/>
        <v>0</v>
      </c>
      <c r="Y28" s="298">
        <f t="shared" si="2"/>
        <v>0</v>
      </c>
      <c r="Z28" s="298">
        <f t="shared" si="2"/>
        <v>0</v>
      </c>
      <c r="AA28" s="298">
        <f t="shared" si="2"/>
        <v>0</v>
      </c>
      <c r="AB28" s="298">
        <f t="shared" si="2"/>
        <v>0</v>
      </c>
      <c r="AC28" s="298">
        <f t="shared" si="2"/>
        <v>0</v>
      </c>
      <c r="AD28" s="298">
        <f t="shared" si="2"/>
        <v>0</v>
      </c>
      <c r="AE28" s="298">
        <f t="shared" si="2"/>
        <v>0</v>
      </c>
      <c r="AF28" s="298">
        <f t="shared" si="2"/>
        <v>0</v>
      </c>
      <c r="AG28" s="298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7"/>
      <c r="E29"/>
      <c r="G29" s="208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6" t="s">
        <v>210</v>
      </c>
      <c r="G30" s="208">
        <f>input_dollars</f>
        <v>45291</v>
      </c>
      <c r="H30" s="150"/>
      <c r="I30" s="171" cm="1">
        <f t="array" ref="I30">SUMPRODUCT((Assumptions!$H$74:$H$75)*(Assumptions!$G$74:$G$75)*(Assumptions!$I$74:$I$75)*(I$24:I$25))</f>
        <v>0</v>
      </c>
      <c r="J30" s="171" cm="1">
        <f t="array" ref="J30">SUMPRODUCT((Assumptions!$H$74:$H$75)*(Assumptions!$G$74:$G$75)*(Assumptions!$I$74:$I$75)*(J$24:J$25))</f>
        <v>0</v>
      </c>
      <c r="K30" s="171" cm="1">
        <f t="array" ref="K30">SUMPRODUCT((Assumptions!$H$74:$H$75)*(Assumptions!$G$74:$G$75)*(Assumptions!$I$74:$I$75)*(K$24:K$25))</f>
        <v>0</v>
      </c>
      <c r="L30" s="171" cm="1">
        <f t="array" ref="L30">SUMPRODUCT((Assumptions!$H$74:$H$75)*(Assumptions!$G$74:$G$75)*(Assumptions!$I$74:$I$75)*(L$24:L$25))</f>
        <v>0</v>
      </c>
      <c r="M30" s="171" cm="1">
        <f t="array" ref="M30">SUMPRODUCT((Assumptions!$H$74:$H$75)*(Assumptions!$G$74:$G$75)*(Assumptions!$I$74:$I$75)*(M$24:M$25))</f>
        <v>0</v>
      </c>
      <c r="N30" s="171" cm="1">
        <f t="array" ref="N30">SUMPRODUCT((Assumptions!$H$74:$H$75)*(Assumptions!$G$74:$G$75)*(Assumptions!$I$74:$I$75)*(N$24:N$25))</f>
        <v>0</v>
      </c>
      <c r="O30" s="171" cm="1">
        <f t="array" ref="O30">SUMPRODUCT((Assumptions!$H$74:$H$75)*(Assumptions!$G$74:$G$75)*(Assumptions!$I$74:$I$75)*(O$24:O$25))</f>
        <v>0</v>
      </c>
      <c r="P30" s="171" cm="1">
        <f t="array" ref="P30">SUMPRODUCT((Assumptions!$H$74:$H$75)*(Assumptions!$G$74:$G$75)*(Assumptions!$I$74:$I$75)*(P$24:P$25))</f>
        <v>0</v>
      </c>
      <c r="Q30" s="171" cm="1">
        <f t="array" ref="Q30">SUMPRODUCT((Assumptions!$H$74:$H$75)*(Assumptions!$G$74:$G$75)*(Assumptions!$I$74:$I$75)*(Q$24:Q$25))</f>
        <v>0</v>
      </c>
      <c r="R30" s="171" cm="1">
        <f t="array" ref="R30">SUMPRODUCT((Assumptions!$H$74:$H$75)*(Assumptions!$G$74:$G$75)*(Assumptions!$I$74:$I$75)*(R$24:R$25))</f>
        <v>0</v>
      </c>
      <c r="S30" s="171" cm="1">
        <f t="array" ref="S30">SUMPRODUCT((Assumptions!$H$74:$H$75)*(Assumptions!$G$74:$G$75)*(Assumptions!$I$74:$I$75)*(S$24:S$25))</f>
        <v>0</v>
      </c>
      <c r="T30" s="171" cm="1">
        <f t="array" ref="T30">SUMPRODUCT((Assumptions!$H$74:$H$75)*(Assumptions!$G$74:$G$75)*(Assumptions!$I$74:$I$75)*(T$24:T$25))</f>
        <v>0</v>
      </c>
      <c r="U30" s="171" cm="1">
        <f t="array" ref="U30">SUMPRODUCT((Assumptions!$H$74:$H$75)*(Assumptions!$G$74:$G$75)*(Assumptions!$I$74:$I$75)*(U$24:U$25))</f>
        <v>0</v>
      </c>
      <c r="V30" s="171" cm="1">
        <f t="array" ref="V30">SUMPRODUCT((Assumptions!$H$74:$H$75)*(Assumptions!$G$74:$G$75)*(Assumptions!$I$74:$I$75)*(V$24:V$25))</f>
        <v>0</v>
      </c>
      <c r="W30" s="171" cm="1">
        <f t="array" ref="W30">SUMPRODUCT((Assumptions!$H$74:$H$75)*(Assumptions!$G$74:$G$75)*(Assumptions!$I$74:$I$75)*(W$24:W$25))</f>
        <v>0</v>
      </c>
      <c r="X30" s="171" cm="1">
        <f t="array" ref="X30">SUMPRODUCT((Assumptions!$H$74:$H$75)*(Assumptions!$G$74:$G$75)*(Assumptions!$I$74:$I$75)*(X$24:X$25))</f>
        <v>0</v>
      </c>
      <c r="Y30" s="171" cm="1">
        <f t="array" ref="Y30">SUMPRODUCT((Assumptions!$H$74:$H$75)*(Assumptions!$G$74:$G$75)*(Assumptions!$I$74:$I$75)*(Y$24:Y$25))</f>
        <v>0</v>
      </c>
      <c r="Z30" s="171" cm="1">
        <f t="array" ref="Z30">SUMPRODUCT((Assumptions!$H$74:$H$75)*(Assumptions!$G$74:$G$75)*(Assumptions!$I$74:$I$75)*(Z$24:Z$25))</f>
        <v>0</v>
      </c>
      <c r="AA30" s="171" cm="1">
        <f t="array" ref="AA30">SUMPRODUCT((Assumptions!$H$74:$H$75)*(Assumptions!$G$74:$G$75)*(Assumptions!$I$74:$I$75)*(AA$24:AA$25))</f>
        <v>0</v>
      </c>
      <c r="AB30" s="171" cm="1">
        <f t="array" ref="AB30">SUMPRODUCT((Assumptions!$H$74:$H$75)*(Assumptions!$G$74:$G$75)*(Assumptions!$I$74:$I$75)*(AB$24:AB$25))</f>
        <v>0</v>
      </c>
      <c r="AC30" s="171" cm="1">
        <f t="array" ref="AC30">SUMPRODUCT((Assumptions!$H$74:$H$75)*(Assumptions!$G$74:$G$75)*(Assumptions!$I$74:$I$75)*(AC$24:AC$25))</f>
        <v>0</v>
      </c>
      <c r="AD30" s="171" cm="1">
        <f t="array" ref="AD30">SUMPRODUCT((Assumptions!$H$74:$H$75)*(Assumptions!$G$74:$G$75)*(Assumptions!$I$74:$I$75)*(AD$24:AD$25))</f>
        <v>0</v>
      </c>
      <c r="AE30" s="171" cm="1">
        <f t="array" ref="AE30">SUMPRODUCT((Assumptions!$H$74:$H$75)*(Assumptions!$G$74:$G$75)*(Assumptions!$I$74:$I$75)*(AE$24:AE$25))</f>
        <v>0</v>
      </c>
      <c r="AF30" s="171" cm="1">
        <f t="array" ref="AF30">SUMPRODUCT((Assumptions!$H$74:$H$75)*(Assumptions!$G$74:$G$75)*(Assumptions!$I$74:$I$75)*(AF$24:AF$25))</f>
        <v>0</v>
      </c>
      <c r="AG30" s="171" cm="1">
        <f t="array" ref="AG30">SUMPRODUCT((Assumptions!$H$74:$H$75)*(Assumptions!$G$74:$G$75)*(Assumptions!$I$74:$I$75)*(AG$24:AG$25))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7"/>
      <c r="E31"/>
      <c r="G31" s="208">
        <f>input_dollars</f>
        <v>45291</v>
      </c>
      <c r="H31" s="150"/>
      <c r="I31" s="171" cm="1">
        <f t="array" ref="I31">(1+Assumptions!$G$85)*SUMPRODUCT((Assumptions!$G$82:$G$83)*(I$24:I$25))</f>
        <v>0</v>
      </c>
      <c r="J31" s="171" cm="1">
        <f t="array" ref="J31">(1+Assumptions!$G$85)*SUMPRODUCT((Assumptions!$G$82:$G$83)*(J$24:J$25))</f>
        <v>0</v>
      </c>
      <c r="K31" s="171" cm="1">
        <f t="array" ref="K31">(1+Assumptions!$G$85)*SUMPRODUCT((Assumptions!$G$82:$G$83)*(K$24:K$25))</f>
        <v>0</v>
      </c>
      <c r="L31" s="171" cm="1">
        <f t="array" ref="L31">(1+Assumptions!$G$85)*SUMPRODUCT((Assumptions!$G$82:$G$83)*(L$24:L$25))</f>
        <v>0</v>
      </c>
      <c r="M31" s="171" cm="1">
        <f t="array" ref="M31">(1+Assumptions!$G$85)*SUMPRODUCT((Assumptions!$G$82:$G$83)*(M$24:M$25))</f>
        <v>0</v>
      </c>
      <c r="N31" s="171" cm="1">
        <f t="array" ref="N31">(1+Assumptions!$G$85)*SUMPRODUCT((Assumptions!$G$82:$G$83)*(N$24:N$25))</f>
        <v>0</v>
      </c>
      <c r="O31" s="171" cm="1">
        <f t="array" ref="O31">(1+Assumptions!$G$85)*SUMPRODUCT((Assumptions!$G$82:$G$83)*(O$24:O$25))</f>
        <v>0</v>
      </c>
      <c r="P31" s="171" cm="1">
        <f t="array" ref="P31">(1+Assumptions!$G$85)*SUMPRODUCT((Assumptions!$G$82:$G$83)*(P$24:P$25))</f>
        <v>0</v>
      </c>
      <c r="Q31" s="171" cm="1">
        <f t="array" ref="Q31">(1+Assumptions!$G$85)*SUMPRODUCT((Assumptions!$G$82:$G$83)*(Q$24:Q$25))</f>
        <v>0</v>
      </c>
      <c r="R31" s="171" cm="1">
        <f t="array" ref="R31">(1+Assumptions!$G$85)*SUMPRODUCT((Assumptions!$G$82:$G$83)*(R$24:R$25))</f>
        <v>0</v>
      </c>
      <c r="S31" s="171" cm="1">
        <f t="array" ref="S31">(1+Assumptions!$G$85)*SUMPRODUCT((Assumptions!$G$82:$G$83)*(S$24:S$25))</f>
        <v>0</v>
      </c>
      <c r="T31" s="171" cm="1">
        <f t="array" ref="T31">(1+Assumptions!$G$85)*SUMPRODUCT((Assumptions!$G$82:$G$83)*(T$24:T$25))</f>
        <v>0</v>
      </c>
      <c r="U31" s="171" cm="1">
        <f t="array" ref="U31">(1+Assumptions!$G$85)*SUMPRODUCT((Assumptions!$G$82:$G$83)*(U$24:U$25))</f>
        <v>0</v>
      </c>
      <c r="V31" s="171" cm="1">
        <f t="array" ref="V31">(1+Assumptions!$G$85)*SUMPRODUCT((Assumptions!$G$82:$G$83)*(V$24:V$25))</f>
        <v>0</v>
      </c>
      <c r="W31" s="171" cm="1">
        <f t="array" ref="W31">(1+Assumptions!$G$85)*SUMPRODUCT((Assumptions!$G$82:$G$83)*(W$24:W$25))</f>
        <v>0</v>
      </c>
      <c r="X31" s="171" cm="1">
        <f t="array" ref="X31">(1+Assumptions!$G$85)*SUMPRODUCT((Assumptions!$G$82:$G$83)*(X$24:X$25))</f>
        <v>0</v>
      </c>
      <c r="Y31" s="171" cm="1">
        <f t="array" ref="Y31">(1+Assumptions!$G$85)*SUMPRODUCT((Assumptions!$G$82:$G$83)*(Y$24:Y$25))</f>
        <v>0</v>
      </c>
      <c r="Z31" s="171" cm="1">
        <f t="array" ref="Z31">(1+Assumptions!$G$85)*SUMPRODUCT((Assumptions!$G$82:$G$83)*(Z$24:Z$25))</f>
        <v>0</v>
      </c>
      <c r="AA31" s="171" cm="1">
        <f t="array" ref="AA31">(1+Assumptions!$G$85)*SUMPRODUCT((Assumptions!$G$82:$G$83)*(AA$24:AA$25))</f>
        <v>0</v>
      </c>
      <c r="AB31" s="171" cm="1">
        <f t="array" ref="AB31">(1+Assumptions!$G$85)*SUMPRODUCT((Assumptions!$G$82:$G$83)*(AB$24:AB$25))</f>
        <v>0</v>
      </c>
      <c r="AC31" s="171" cm="1">
        <f t="array" ref="AC31">(1+Assumptions!$G$85)*SUMPRODUCT((Assumptions!$G$82:$G$83)*(AC$24:AC$25))</f>
        <v>0</v>
      </c>
      <c r="AD31" s="171" cm="1">
        <f t="array" ref="AD31">(1+Assumptions!$G$85)*SUMPRODUCT((Assumptions!$G$82:$G$83)*(AD$24:AD$25))</f>
        <v>0</v>
      </c>
      <c r="AE31" s="171" cm="1">
        <f t="array" ref="AE31">(1+Assumptions!$G$85)*SUMPRODUCT((Assumptions!$G$82:$G$83)*(AE$24:AE$25))</f>
        <v>0</v>
      </c>
      <c r="AF31" s="171" cm="1">
        <f t="array" ref="AF31">(1+Assumptions!$G$85)*SUMPRODUCT((Assumptions!$G$82:$G$83)*(AF$24:AF$25))</f>
        <v>0</v>
      </c>
      <c r="AG31" s="171" cm="1">
        <f t="array" ref="AG31">(1+Assumptions!$G$85)*SUMPRODUCT((Assumptions!$G$82:$G$83)*(AG$24:AG$25))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6" t="s">
        <v>210</v>
      </c>
      <c r="E32"/>
      <c r="G32" s="208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7">
        <v>0</v>
      </c>
      <c r="S32" s="137">
        <v>0</v>
      </c>
      <c r="T32" s="137">
        <v>0</v>
      </c>
      <c r="U32" s="137">
        <v>0</v>
      </c>
      <c r="V32" s="137">
        <v>0</v>
      </c>
      <c r="W32" s="137">
        <v>0</v>
      </c>
      <c r="X32" s="137">
        <v>0</v>
      </c>
      <c r="Y32" s="137">
        <v>0</v>
      </c>
      <c r="Z32" s="137">
        <v>0</v>
      </c>
      <c r="AA32" s="137">
        <v>0</v>
      </c>
      <c r="AB32" s="137">
        <v>0</v>
      </c>
      <c r="AC32" s="137">
        <v>0</v>
      </c>
      <c r="AD32" s="137">
        <v>0</v>
      </c>
      <c r="AE32" s="137">
        <v>0</v>
      </c>
      <c r="AF32" s="137">
        <v>0</v>
      </c>
      <c r="AG32" s="137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5" t="s">
        <v>177</v>
      </c>
      <c r="D33" s="220"/>
      <c r="E33"/>
      <c r="G33" s="208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7">
        <v>0</v>
      </c>
      <c r="S33" s="137">
        <v>0</v>
      </c>
      <c r="T33" s="137">
        <v>0</v>
      </c>
      <c r="U33" s="137">
        <v>0</v>
      </c>
      <c r="V33" s="137">
        <v>0</v>
      </c>
      <c r="W33" s="137">
        <v>0</v>
      </c>
      <c r="X33" s="137">
        <v>0</v>
      </c>
      <c r="Y33" s="137">
        <v>0</v>
      </c>
      <c r="Z33" s="137">
        <v>0</v>
      </c>
      <c r="AA33" s="137">
        <v>0</v>
      </c>
      <c r="AB33" s="137">
        <v>0</v>
      </c>
      <c r="AC33" s="137">
        <v>0</v>
      </c>
      <c r="AD33" s="137">
        <v>0</v>
      </c>
      <c r="AE33" s="137">
        <v>0</v>
      </c>
      <c r="AF33" s="137">
        <v>0</v>
      </c>
      <c r="AG33" s="137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5" t="s">
        <v>177</v>
      </c>
      <c r="D34" s="207"/>
      <c r="E34"/>
      <c r="G34" s="208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7"/>
      <c r="E35"/>
      <c r="G35" s="208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176</v>
      </c>
      <c r="D36" s="219"/>
      <c r="E36" s="107"/>
      <c r="F36" s="3"/>
      <c r="G36" s="210"/>
      <c r="H36" s="107"/>
      <c r="I36" s="171">
        <f>SUM(I28:I34)</f>
        <v>0</v>
      </c>
      <c r="J36" s="171">
        <f t="shared" ref="J36:AG36" si="3">SUM(J28:J34)</f>
        <v>0</v>
      </c>
      <c r="K36" s="171">
        <f t="shared" si="3"/>
        <v>0</v>
      </c>
      <c r="L36" s="171">
        <f t="shared" si="3"/>
        <v>0</v>
      </c>
      <c r="M36" s="171">
        <f t="shared" si="3"/>
        <v>0</v>
      </c>
      <c r="N36" s="171">
        <f t="shared" si="3"/>
        <v>0</v>
      </c>
      <c r="O36" s="171">
        <f t="shared" si="3"/>
        <v>0</v>
      </c>
      <c r="P36" s="171">
        <f t="shared" si="3"/>
        <v>0</v>
      </c>
      <c r="Q36" s="171">
        <f t="shared" si="3"/>
        <v>0</v>
      </c>
      <c r="R36" s="171">
        <f t="shared" si="3"/>
        <v>0</v>
      </c>
      <c r="S36" s="171">
        <f t="shared" si="3"/>
        <v>0</v>
      </c>
      <c r="T36" s="171">
        <f t="shared" si="3"/>
        <v>0</v>
      </c>
      <c r="U36" s="171">
        <f t="shared" si="3"/>
        <v>0</v>
      </c>
      <c r="V36" s="171">
        <f t="shared" si="3"/>
        <v>0</v>
      </c>
      <c r="W36" s="171">
        <f t="shared" si="3"/>
        <v>0</v>
      </c>
      <c r="X36" s="171">
        <f t="shared" si="3"/>
        <v>0</v>
      </c>
      <c r="Y36" s="171">
        <f t="shared" si="3"/>
        <v>0</v>
      </c>
      <c r="Z36" s="171">
        <f t="shared" si="3"/>
        <v>0</v>
      </c>
      <c r="AA36" s="171">
        <f t="shared" si="3"/>
        <v>0</v>
      </c>
      <c r="AB36" s="171">
        <f t="shared" si="3"/>
        <v>0</v>
      </c>
      <c r="AC36" s="171">
        <f t="shared" si="3"/>
        <v>0</v>
      </c>
      <c r="AD36" s="171">
        <f t="shared" si="3"/>
        <v>0</v>
      </c>
      <c r="AE36" s="171">
        <f t="shared" si="3"/>
        <v>0</v>
      </c>
      <c r="AF36" s="171">
        <f t="shared" si="3"/>
        <v>0</v>
      </c>
      <c r="AG36" s="171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8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5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8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8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6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6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8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7"/>
      <c r="E44"/>
      <c r="G44" s="208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tr">
        <f>'Option1 (base case)'!C45</f>
        <v>Incremental reliability in worst-served areas &gt; 500 mins</v>
      </c>
      <c r="D45" s="206" t="str">
        <f>'Option1 (base case)'!D45</f>
        <v>$/MWh</v>
      </c>
      <c r="E45" s="113">
        <f>'Option1 (base case)'!E45</f>
        <v>22301.359525312888</v>
      </c>
      <c r="G45" s="208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tr">
        <f>'Option1 (base case)'!C46</f>
        <v>Incremental network resilience (domestic)</v>
      </c>
      <c r="D46" s="206" t="str">
        <f>'Option1 (base case)'!D46</f>
        <v>$/MWh</v>
      </c>
      <c r="E46" s="113">
        <f>'Option1 (base case)'!E46</f>
        <v>31030</v>
      </c>
      <c r="G46" s="208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tr">
        <f>'Option1 (base case)'!C47</f>
        <v>Incremental network resilience (commercial)</v>
      </c>
      <c r="D47" s="206" t="str">
        <f>'Option1 (base case)'!D47</f>
        <v>$/MWh</v>
      </c>
      <c r="E47" s="113">
        <f>'Option1 (base case)'!E47</f>
        <v>52200</v>
      </c>
      <c r="G47" s="208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tr">
        <f>'Option1 (base case)'!C48</f>
        <v>Incremental network resilience (industrial)</v>
      </c>
      <c r="D48" s="206" t="str">
        <f>'Option1 (base case)'!D48</f>
        <v>$/customer</v>
      </c>
      <c r="E48" s="113">
        <f>'Option1 (base case)'!E48</f>
        <v>74790</v>
      </c>
      <c r="G48" s="208" t="s">
        <v>40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tr">
        <f>'Option1 (base case)'!C49</f>
        <v>Incremental network resilience (agricultural)</v>
      </c>
      <c r="D49" s="206" t="str">
        <f>'Option1 (base case)'!D49</f>
        <v>$/customer min</v>
      </c>
      <c r="E49" s="113">
        <f>'Option1 (base case)'!E49</f>
        <v>44400</v>
      </c>
      <c r="G49" s="208" t="s">
        <v>40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tr">
        <f>'Option1 (base case)'!C50</f>
        <v>Incremental network resilience (others)</v>
      </c>
      <c r="D50" s="206" t="str">
        <f>'Option1 (base case)'!D50</f>
        <v>$/customer min</v>
      </c>
      <c r="E50" s="113">
        <f>'Option1 (base case)'!E50</f>
        <v>52200</v>
      </c>
      <c r="G50" s="208" t="s">
        <v>40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D51" s="206"/>
      <c r="E51" s="113">
        <f>'Option1 (base case)'!E51</f>
        <v>0</v>
      </c>
      <c r="G51" s="208"/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D52" s="206"/>
      <c r="E52" s="113">
        <f>'Option1 (base case)'!E52</f>
        <v>0</v>
      </c>
      <c r="G52" s="208"/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6"/>
      <c r="G53" s="208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6"/>
      <c r="G54" s="208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6"/>
      <c r="G55" s="208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6"/>
      <c r="G56" s="206"/>
    </row>
    <row r="57" spans="1:43" x14ac:dyDescent="0.2">
      <c r="C57" s="3" t="s">
        <v>125</v>
      </c>
      <c r="D57" s="219"/>
      <c r="E57" s="107"/>
      <c r="F57" s="3"/>
      <c r="G57" s="208">
        <f>input_dollars</f>
        <v>45291</v>
      </c>
      <c r="H57" s="107"/>
      <c r="I57" s="171" cm="1">
        <f t="array" ref="I57">SUMPRODUCT((I$45:I$52)*($E$45:$E$52))+SUM(I54:I55)+I42</f>
        <v>0</v>
      </c>
      <c r="J57" s="171" cm="1">
        <f t="array" ref="J57">SUMPRODUCT((J$45:J$52)*($E$45:$E$52))+SUM(J54:J55)+J42</f>
        <v>0</v>
      </c>
      <c r="K57" s="171" cm="1">
        <f t="array" ref="K57">SUMPRODUCT((K$45:K$52)*($E$45:$E$52))+SUM(K54:K55)+K42</f>
        <v>0</v>
      </c>
      <c r="L57" s="171" cm="1">
        <f t="array" ref="L57">SUMPRODUCT((L$45:L$52)*($E$45:$E$52))+SUM(L54:L55)+L42</f>
        <v>0</v>
      </c>
      <c r="M57" s="171" cm="1">
        <f t="array" ref="M57">SUMPRODUCT((M$45:M$52)*($E$45:$E$52))+SUM(M54:M55)+M42</f>
        <v>0</v>
      </c>
      <c r="N57" s="171" cm="1">
        <f t="array" ref="N57">SUMPRODUCT((N$45:N$52)*($E$45:$E$52))+SUM(N54:N55)+N42</f>
        <v>0</v>
      </c>
      <c r="O57" s="171" cm="1">
        <f t="array" ref="O57">SUMPRODUCT((O$45:O$52)*($E$45:$E$52))+SUM(O54:O55)+O42</f>
        <v>0</v>
      </c>
      <c r="P57" s="171" cm="1">
        <f t="array" ref="P57">SUMPRODUCT((P$45:P$52)*($E$45:$E$52))+SUM(P54:P55)+P42</f>
        <v>0</v>
      </c>
      <c r="Q57" s="171" cm="1">
        <f t="array" ref="Q57">SUMPRODUCT((Q$45:Q$52)*($E$45:$E$52))+SUM(Q54:Q55)+Q42</f>
        <v>0</v>
      </c>
      <c r="R57" s="171" cm="1">
        <f t="array" ref="R57">SUMPRODUCT((R$45:R$52)*($E$45:$E$52))+SUM(R54:R55)+R42</f>
        <v>0</v>
      </c>
      <c r="S57" s="171" cm="1">
        <f t="array" ref="S57">SUMPRODUCT((S$45:S$52)*($E$45:$E$52))+SUM(S54:S55)+S42</f>
        <v>0</v>
      </c>
      <c r="T57" s="171" cm="1">
        <f t="array" ref="T57">SUMPRODUCT((T$45:T$52)*($E$45:$E$52))+SUM(T54:T55)+T42</f>
        <v>0</v>
      </c>
      <c r="U57" s="171" cm="1">
        <f t="array" ref="U57">SUMPRODUCT((U$45:U$52)*($E$45:$E$52))+SUM(U54:U55)+U42</f>
        <v>0</v>
      </c>
      <c r="V57" s="171" cm="1">
        <f t="array" ref="V57">SUMPRODUCT((V$45:V$52)*($E$45:$E$52))+SUM(V54:V55)+V42</f>
        <v>0</v>
      </c>
      <c r="W57" s="171" cm="1">
        <f t="array" ref="W57">SUMPRODUCT((W$45:W$52)*($E$45:$E$52))+SUM(W54:W55)+W42</f>
        <v>0</v>
      </c>
      <c r="X57" s="171" cm="1">
        <f t="array" ref="X57">SUMPRODUCT((X$45:X$52)*($E$45:$E$52))+SUM(X54:X55)+X42</f>
        <v>0</v>
      </c>
      <c r="Y57" s="171" cm="1">
        <f t="array" ref="Y57">SUMPRODUCT((Y$45:Y$52)*($E$45:$E$52))+SUM(Y54:Y55)+Y42</f>
        <v>0</v>
      </c>
      <c r="Z57" s="171" cm="1">
        <f t="array" ref="Z57">SUMPRODUCT((Z$45:Z$52)*($E$45:$E$52))+SUM(Z54:Z55)+Z42</f>
        <v>0</v>
      </c>
      <c r="AA57" s="171" cm="1">
        <f t="array" ref="AA57">SUMPRODUCT((AA$45:AA$52)*($E$45:$E$52))+SUM(AA54:AA55)+AA42</f>
        <v>0</v>
      </c>
      <c r="AB57" s="171" cm="1">
        <f t="array" ref="AB57">SUMPRODUCT((AB$45:AB$52)*($E$45:$E$52))+SUM(AB54:AB55)+AB42</f>
        <v>0</v>
      </c>
      <c r="AC57" s="171" cm="1">
        <f t="array" ref="AC57">SUMPRODUCT((AC$45:AC$52)*($E$45:$E$52))+SUM(AC54:AC55)+AC42</f>
        <v>0</v>
      </c>
      <c r="AD57" s="171" cm="1">
        <f t="array" ref="AD57">SUMPRODUCT((AD$45:AD$52)*($E$45:$E$52))+SUM(AD54:AD55)+AD42</f>
        <v>0</v>
      </c>
      <c r="AE57" s="171" cm="1">
        <f t="array" ref="AE57">SUMPRODUCT((AE$45:AE$52)*($E$45:$E$52))+SUM(AE54:AE55)+AE42</f>
        <v>0</v>
      </c>
      <c r="AF57" s="171" cm="1">
        <f t="array" ref="AF57">SUMPRODUCT((AF$45:AF$52)*($E$45:$E$52))+SUM(AF54:AF55)+AF42</f>
        <v>0</v>
      </c>
      <c r="AG57" s="171" cm="1">
        <f t="array" ref="AG57">SUMPRODUCT((AG$45:AG$52)*($E$45:$E$52))+SUM(AG54:AG55)+AG42</f>
        <v>0</v>
      </c>
    </row>
    <row r="58" spans="1:43" x14ac:dyDescent="0.2">
      <c r="D58" s="206"/>
      <c r="G58" s="206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6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5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9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2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3"/>
    </row>
    <row r="64" spans="1:43" x14ac:dyDescent="0.2">
      <c r="C64" s="4" t="str">
        <f>'Option1 (base case)'!C64</f>
        <v>Risks mitigated vs base case</v>
      </c>
      <c r="G64" s="211">
        <f>input_dollars</f>
        <v>45291</v>
      </c>
      <c r="I64" s="133">
        <f>(1-INDEX(Data!$C$9:$C$13, MATCH($A$3, options,0)))*('Option1 (base case)'!I36-I36)</f>
        <v>0</v>
      </c>
      <c r="J64" s="133">
        <f>(1-INDEX(Data!$C$9:$C$13, MATCH($A$3, options,0)))*('Option1 (base case)'!J36-J36)</f>
        <v>0</v>
      </c>
      <c r="K64" s="133">
        <f>(1-INDEX(Data!$C$9:$C$13, MATCH($A$3, options,0)))*('Option1 (base case)'!K36-K36)</f>
        <v>0</v>
      </c>
      <c r="L64" s="133">
        <f>(1-INDEX(Data!$C$9:$C$13, MATCH($A$3, options,0)))*('Option1 (base case)'!L36-L36)</f>
        <v>0</v>
      </c>
      <c r="M64" s="133">
        <f>(1-INDEX(Data!$C$9:$C$13, MATCH($A$3, options,0)))*('Option1 (base case)'!M36-M36)</f>
        <v>0</v>
      </c>
      <c r="N64" s="133">
        <f>(1-INDEX(Data!$C$9:$C$13, MATCH($A$3, options,0)))*('Option1 (base case)'!N36-N36)</f>
        <v>0</v>
      </c>
      <c r="O64" s="133">
        <f>(1-INDEX(Data!$C$9:$C$13, MATCH($A$3, options,0)))*('Option1 (base case)'!O36-O36)</f>
        <v>0</v>
      </c>
      <c r="P64" s="133">
        <f>(1-INDEX(Data!$C$9:$C$13, MATCH($A$3, options,0)))*('Option1 (base case)'!P36-P36)</f>
        <v>0</v>
      </c>
      <c r="Q64" s="133">
        <f>(1-INDEX(Data!$C$9:$C$13, MATCH($A$3, options,0)))*('Option1 (base case)'!Q36-Q36)</f>
        <v>0</v>
      </c>
      <c r="R64" s="133">
        <f>(1-INDEX(Data!$C$9:$C$13, MATCH($A$3, options,0)))*('Option1 (base case)'!R36-R36)</f>
        <v>0</v>
      </c>
      <c r="S64" s="133">
        <f>(1-INDEX(Data!$C$9:$C$13, MATCH($A$3, options,0)))*('Option1 (base case)'!S36-S36)</f>
        <v>0</v>
      </c>
      <c r="T64" s="133">
        <f>(1-INDEX(Data!$C$9:$C$13, MATCH($A$3, options,0)))*('Option1 (base case)'!T36-T36)</f>
        <v>0</v>
      </c>
      <c r="U64" s="133">
        <f>(1-INDEX(Data!$C$9:$C$13, MATCH($A$3, options,0)))*('Option1 (base case)'!U36-U36)</f>
        <v>0</v>
      </c>
      <c r="V64" s="133">
        <f>(1-INDEX(Data!$C$9:$C$13, MATCH($A$3, options,0)))*('Option1 (base case)'!V36-V36)</f>
        <v>0</v>
      </c>
      <c r="W64" s="133">
        <f>(1-INDEX(Data!$C$9:$C$13, MATCH($A$3, options,0)))*('Option1 (base case)'!W36-W36)</f>
        <v>0</v>
      </c>
      <c r="X64" s="133">
        <f>(1-INDEX(Data!$C$9:$C$13, MATCH($A$3, options,0)))*('Option1 (base case)'!X36-X36)</f>
        <v>0</v>
      </c>
      <c r="Y64" s="133">
        <f>(1-INDEX(Data!$C$9:$C$13, MATCH($A$3, options,0)))*('Option1 (base case)'!Y36-Y36)</f>
        <v>0</v>
      </c>
      <c r="Z64" s="133">
        <f>(1-INDEX(Data!$C$9:$C$13, MATCH($A$3, options,0)))*('Option1 (base case)'!Z36-Z36)</f>
        <v>0</v>
      </c>
      <c r="AA64" s="133">
        <f>(1-INDEX(Data!$C$9:$C$13, MATCH($A$3, options,0)))*('Option1 (base case)'!AA36-AA36)</f>
        <v>0</v>
      </c>
      <c r="AB64" s="133">
        <f>(1-INDEX(Data!$C$9:$C$13, MATCH($A$3, options,0)))*('Option1 (base case)'!AB36-AB36)</f>
        <v>0</v>
      </c>
      <c r="AC64" s="133">
        <f>(1-INDEX(Data!$C$9:$C$13, MATCH($A$3, options,0)))*('Option1 (base case)'!AC36-AC36)</f>
        <v>0</v>
      </c>
      <c r="AD64" s="133">
        <f>(1-INDEX(Data!$C$9:$C$13, MATCH($A$3, options,0)))*('Option1 (base case)'!AD36-AD36)</f>
        <v>0</v>
      </c>
      <c r="AE64" s="133">
        <f>(1-INDEX(Data!$C$9:$C$13, MATCH($A$3, options,0)))*('Option1 (base case)'!AE36-AE36)</f>
        <v>0</v>
      </c>
      <c r="AF64" s="133">
        <f>(1-INDEX(Data!$C$9:$C$13, MATCH($A$3, options,0)))*('Option1 (base case)'!AF36-AF36)</f>
        <v>0</v>
      </c>
      <c r="AG64" s="133">
        <f>(1-INDEX(Data!$C$9:$C$13, MATCH($A$3, options,0)))*('Option1 (base case)'!AG36-AG36)</f>
        <v>0</v>
      </c>
    </row>
    <row r="65" spans="1:33" x14ac:dyDescent="0.2">
      <c r="G65" s="213"/>
    </row>
    <row r="66" spans="1:33" x14ac:dyDescent="0.2">
      <c r="A66" s="8"/>
      <c r="B66" s="8"/>
      <c r="C66" s="148" t="s">
        <v>30</v>
      </c>
      <c r="D66" s="38"/>
      <c r="F66" s="97"/>
      <c r="G66" s="214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1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1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1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5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8" t="s">
        <v>160</v>
      </c>
      <c r="D71" s="38"/>
      <c r="F71" s="97"/>
      <c r="G71" s="214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1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1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1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5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8" t="s">
        <v>91</v>
      </c>
      <c r="D76" s="38"/>
      <c r="F76" s="97"/>
      <c r="G76" s="214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1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1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1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3" t="s">
        <v>161</v>
      </c>
      <c r="D80" s="173"/>
      <c r="E80" s="174"/>
      <c r="F80" s="175"/>
      <c r="G80" s="216">
        <f>input_dollars</f>
        <v>45291</v>
      </c>
      <c r="H80" s="176"/>
      <c r="I80" s="177">
        <f>SUM(I77:I79)</f>
        <v>0</v>
      </c>
      <c r="J80" s="177">
        <f t="shared" ref="J80:AB80" si="11">SUM(J77:J79)</f>
        <v>0</v>
      </c>
      <c r="K80" s="177">
        <f t="shared" si="11"/>
        <v>0</v>
      </c>
      <c r="L80" s="177">
        <f t="shared" si="11"/>
        <v>0</v>
      </c>
      <c r="M80" s="177">
        <f t="shared" si="11"/>
        <v>0</v>
      </c>
      <c r="N80" s="177">
        <f t="shared" si="11"/>
        <v>0</v>
      </c>
      <c r="O80" s="177">
        <f t="shared" si="11"/>
        <v>0</v>
      </c>
      <c r="P80" s="177">
        <f t="shared" si="11"/>
        <v>0</v>
      </c>
      <c r="Q80" s="177">
        <f t="shared" si="11"/>
        <v>0</v>
      </c>
      <c r="R80" s="177">
        <f t="shared" si="11"/>
        <v>0</v>
      </c>
      <c r="S80" s="177">
        <f t="shared" si="11"/>
        <v>0</v>
      </c>
      <c r="T80" s="177">
        <f t="shared" si="11"/>
        <v>0</v>
      </c>
      <c r="U80" s="177">
        <f t="shared" si="11"/>
        <v>0</v>
      </c>
      <c r="V80" s="177">
        <f t="shared" si="11"/>
        <v>0</v>
      </c>
      <c r="W80" s="177">
        <f t="shared" si="11"/>
        <v>0</v>
      </c>
      <c r="X80" s="177">
        <f t="shared" si="11"/>
        <v>0</v>
      </c>
      <c r="Y80" s="177">
        <f t="shared" si="11"/>
        <v>0</v>
      </c>
      <c r="Z80" s="177">
        <f t="shared" si="11"/>
        <v>0</v>
      </c>
      <c r="AA80" s="177">
        <f t="shared" si="11"/>
        <v>0</v>
      </c>
      <c r="AB80" s="177">
        <f t="shared" si="11"/>
        <v>0</v>
      </c>
      <c r="AC80" s="177">
        <f>SUM(AC77:AC79)</f>
        <v>0</v>
      </c>
      <c r="AD80" s="177">
        <f>SUM(AD77:AD79)</f>
        <v>0</v>
      </c>
      <c r="AE80" s="177">
        <f>SUM(AE77:AE79)</f>
        <v>0</v>
      </c>
      <c r="AF80" s="177">
        <f>SUM(AF77:AF79)</f>
        <v>0</v>
      </c>
      <c r="AG80" s="177">
        <f>SUM(AG77:AG79)</f>
        <v>0</v>
      </c>
    </row>
    <row r="81" spans="1:33" x14ac:dyDescent="0.2">
      <c r="A81" s="8"/>
      <c r="B81" s="8"/>
      <c r="C81" s="75"/>
      <c r="D81" s="38"/>
      <c r="F81"/>
      <c r="G81" s="217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1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1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142</v>
      </c>
      <c r="D84" s="38"/>
      <c r="F84" s="97"/>
      <c r="G84" s="211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1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8" t="s">
        <v>192</v>
      </c>
      <c r="D87" s="179"/>
      <c r="E87" s="174"/>
      <c r="F87" s="180"/>
      <c r="G87" s="216">
        <f t="shared" si="12"/>
        <v>45291</v>
      </c>
      <c r="H87" s="180"/>
      <c r="I87" s="180">
        <f t="shared" ref="I87:AB87" si="17">SUM(I82:I86)</f>
        <v>0</v>
      </c>
      <c r="J87" s="180">
        <f t="shared" si="17"/>
        <v>0</v>
      </c>
      <c r="K87" s="180">
        <f t="shared" si="17"/>
        <v>0</v>
      </c>
      <c r="L87" s="180">
        <f t="shared" si="17"/>
        <v>0</v>
      </c>
      <c r="M87" s="180">
        <f t="shared" si="17"/>
        <v>0</v>
      </c>
      <c r="N87" s="180">
        <f t="shared" si="17"/>
        <v>0</v>
      </c>
      <c r="O87" s="180">
        <f t="shared" si="17"/>
        <v>0</v>
      </c>
      <c r="P87" s="180">
        <f t="shared" si="17"/>
        <v>0</v>
      </c>
      <c r="Q87" s="180">
        <f t="shared" si="17"/>
        <v>0</v>
      </c>
      <c r="R87" s="180">
        <f t="shared" si="17"/>
        <v>0</v>
      </c>
      <c r="S87" s="180">
        <f t="shared" si="17"/>
        <v>0</v>
      </c>
      <c r="T87" s="180">
        <f t="shared" si="17"/>
        <v>0</v>
      </c>
      <c r="U87" s="180">
        <f t="shared" si="17"/>
        <v>0</v>
      </c>
      <c r="V87" s="180">
        <f t="shared" si="17"/>
        <v>0</v>
      </c>
      <c r="W87" s="180">
        <f t="shared" si="17"/>
        <v>0</v>
      </c>
      <c r="X87" s="180">
        <f t="shared" si="17"/>
        <v>0</v>
      </c>
      <c r="Y87" s="180">
        <f t="shared" si="17"/>
        <v>0</v>
      </c>
      <c r="Z87" s="180">
        <f t="shared" si="17"/>
        <v>0</v>
      </c>
      <c r="AA87" s="180">
        <f t="shared" si="17"/>
        <v>0</v>
      </c>
      <c r="AB87" s="180">
        <f t="shared" si="17"/>
        <v>0</v>
      </c>
      <c r="AC87" s="180">
        <f>SUM(AC82:AC86)</f>
        <v>0</v>
      </c>
      <c r="AD87" s="180">
        <f>SUM(AD82:AD86)</f>
        <v>0</v>
      </c>
      <c r="AE87" s="180">
        <f>SUM(AE82:AE86)</f>
        <v>0</v>
      </c>
      <c r="AF87" s="180">
        <f>SUM(AF82:AF86)</f>
        <v>0</v>
      </c>
      <c r="AG87" s="180">
        <f>SUM(AG82:AG86)</f>
        <v>0</v>
      </c>
    </row>
    <row r="88" spans="1:33" x14ac:dyDescent="0.2">
      <c r="A88" s="8"/>
      <c r="B88" s="8"/>
      <c r="C88" s="75"/>
      <c r="D88" s="139"/>
      <c r="E88" s="64"/>
      <c r="F88" s="142"/>
      <c r="G88" s="21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9"/>
      <c r="E89" s="64"/>
      <c r="F89" s="142"/>
      <c r="G89" s="21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1" t="s">
        <v>202</v>
      </c>
      <c r="D90" s="82"/>
      <c r="E90" s="232"/>
      <c r="F90" s="233"/>
      <c r="G90" s="234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5"/>
      <c r="E91" s="232"/>
      <c r="F91" s="232"/>
      <c r="G91" s="234"/>
    </row>
    <row r="92" spans="1:33" x14ac:dyDescent="0.2">
      <c r="C92" s="236" t="s">
        <v>197</v>
      </c>
      <c r="D92" s="237"/>
      <c r="E92" s="237"/>
      <c r="F92" s="237"/>
      <c r="G92" s="238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218</v>
      </c>
      <c r="B102" s="89"/>
      <c r="C102" s="89"/>
      <c r="D102" s="89"/>
      <c r="E102" s="89"/>
      <c r="F102" s="89"/>
      <c r="G102" s="205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3"/>
      <c r="J104" s="243"/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  <c r="X104" s="243"/>
      <c r="Y104" s="243"/>
      <c r="Z104" s="243"/>
    </row>
    <row r="105" spans="1:43" x14ac:dyDescent="0.2"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3"/>
      <c r="X105" s="243"/>
      <c r="Y105" s="243"/>
      <c r="Z105" s="243"/>
    </row>
    <row r="106" spans="1:43" x14ac:dyDescent="0.2">
      <c r="A106" s="1" t="s">
        <v>119</v>
      </c>
      <c r="C106" s="1" t="s">
        <v>192</v>
      </c>
      <c r="D106"/>
      <c r="E106"/>
      <c r="F106"/>
      <c r="G106" s="38" t="str">
        <f>PROPER($A$3)&amp;A106</f>
        <v>Option 4NPV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161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243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2" t="str">
        <f>Assumptions!G114</f>
        <v>Capex</v>
      </c>
      <c r="E109" s="302" t="str">
        <f>Assumptions!H114</f>
        <v>Total benefits</v>
      </c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</row>
    <row r="110" spans="1:43" x14ac:dyDescent="0.2">
      <c r="A110" s="1" t="str">
        <f>"sens"&amp;Assumptions!B115</f>
        <v>sens1</v>
      </c>
      <c r="C110" s="301" t="str">
        <f>Assumptions!C115</f>
        <v>Capex 10% higher</v>
      </c>
      <c r="D110" s="302">
        <f>Assumptions!G115</f>
        <v>0.1</v>
      </c>
      <c r="E110" s="302">
        <f>Assumptions!H115</f>
        <v>0</v>
      </c>
      <c r="G110" s="38" t="str">
        <f>PROPER($A$3)&amp;A110</f>
        <v>Option 4sens1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"sens"&amp;Assumptions!B116</f>
        <v>sens2</v>
      </c>
      <c r="C111" s="301" t="str">
        <f>Assumptions!C116</f>
        <v>Capex 10% lower</v>
      </c>
      <c r="D111" s="302">
        <f>Assumptions!G116</f>
        <v>-0.1</v>
      </c>
      <c r="E111" s="302">
        <f>Assumptions!H116</f>
        <v>0</v>
      </c>
      <c r="G111" s="38" t="str">
        <f t="shared" ref="G111:G117" si="21">PROPER($A$3)&amp;A111</f>
        <v>Option 4sens2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"sens"&amp;Assumptions!B117</f>
        <v>sens3</v>
      </c>
      <c r="C112" s="301" t="str">
        <f>Assumptions!C117</f>
        <v>Increasing wind escalation</v>
      </c>
      <c r="D112" s="302">
        <f>Assumptions!G117</f>
        <v>0</v>
      </c>
      <c r="E112" s="302">
        <f>Assumptions!H117</f>
        <v>0.15</v>
      </c>
      <c r="G112" s="38" t="str">
        <f t="shared" si="21"/>
        <v>Option 4sens3</v>
      </c>
      <c r="I112" s="335">
        <f>IF(I106&lt;&gt;0, I106+SUM(Workings_risks!$F$19*Workings_risks!I27*$E$112/20,Workings_risks!I26*Workings_risks!$F$18)*Workings_risks!$F$13*Workings_risks!I8*$E$28,0)</f>
        <v>0</v>
      </c>
      <c r="J112" s="335">
        <f>IF(J106&lt;&gt;0, J106+SUM(Workings_risks!$F$19*Workings_risks!J27*$E$112/20,Workings_risks!J26*Workings_risks!$F$18)*Workings_risks!$F$13*Workings_risks!J8*$E$28,0)</f>
        <v>0</v>
      </c>
      <c r="K112" s="335">
        <f>IF(K106&lt;&gt;0, K106+SUM(Workings_risks!$F$19*Workings_risks!K27*$E$112/20,Workings_risks!K26*Workings_risks!$F$18)*Workings_risks!$F$13*Workings_risks!K8*$E$28,0)</f>
        <v>0</v>
      </c>
      <c r="L112" s="335">
        <f>IF(L106&lt;&gt;0, L106+SUM(Workings_risks!$F$19*Workings_risks!L27*$E$112/20,Workings_risks!L26*Workings_risks!$F$18)*Workings_risks!$F$13*Workings_risks!L8*$E$28,0)</f>
        <v>0</v>
      </c>
      <c r="M112" s="335">
        <f>IF(M106&lt;&gt;0, M106+SUM(Workings_risks!$F$19*Workings_risks!M27*$E$112/20,Workings_risks!M26*Workings_risks!$F$18)*Workings_risks!$F$13*Workings_risks!M8*$E$28,0)</f>
        <v>0</v>
      </c>
      <c r="N112" s="335">
        <f>IF(N106&lt;&gt;0, N106+SUM(Workings_risks!$F$19*Workings_risks!N27*$E$112/20,Workings_risks!N26*Workings_risks!$F$18)*Workings_risks!$F$13*Workings_risks!N8*$E$28,0)</f>
        <v>0</v>
      </c>
      <c r="O112" s="335">
        <f>IF(O106&lt;&gt;0, O106+SUM(Workings_risks!$F$19*Workings_risks!O27*$E$112/20,Workings_risks!O26*Workings_risks!$F$18)*Workings_risks!$F$13*Workings_risks!O8*$E$28,0)</f>
        <v>0</v>
      </c>
      <c r="P112" s="335">
        <f>IF(P106&lt;&gt;0, P106+SUM(Workings_risks!$F$19*Workings_risks!P27*$E$112/20,Workings_risks!P26*Workings_risks!$F$18)*Workings_risks!$F$13*Workings_risks!P8*$E$28,0)</f>
        <v>0</v>
      </c>
      <c r="Q112" s="335">
        <f>IF(Q106&lt;&gt;0, Q106+SUM(Workings_risks!$F$19*Workings_risks!Q27*$E$112/20,Workings_risks!Q26*Workings_risks!$F$18)*Workings_risks!$F$13*Workings_risks!Q8*$E$28,0)</f>
        <v>0</v>
      </c>
      <c r="R112" s="335">
        <f>IF(R106&lt;&gt;0, R106+SUM(Workings_risks!$F$19*Workings_risks!R27*$E$112/20,Workings_risks!R26*Workings_risks!$F$18)*Workings_risks!$F$13*Workings_risks!R8*$E$28,0)</f>
        <v>0</v>
      </c>
      <c r="S112" s="335">
        <f>IF(S106&lt;&gt;0, S106+SUM(Workings_risks!$F$19*Workings_risks!S27*$E$112/20,Workings_risks!S26*Workings_risks!$F$18)*Workings_risks!$F$13*Workings_risks!S8*$E$28,0)</f>
        <v>0</v>
      </c>
      <c r="T112" s="335">
        <f>IF(T106&lt;&gt;0, T106+SUM(Workings_risks!$F$19*Workings_risks!T27*$E$112/20,Workings_risks!T26*Workings_risks!$F$18)*Workings_risks!$F$13*Workings_risks!T8*$E$28,0)</f>
        <v>0</v>
      </c>
      <c r="U112" s="335">
        <f>IF(U106&lt;&gt;0, U106+SUM(Workings_risks!$F$19*Workings_risks!U27*$E$112/20,Workings_risks!U26*Workings_risks!$F$18)*Workings_risks!$F$13*Workings_risks!U8*$E$28,0)</f>
        <v>0</v>
      </c>
      <c r="V112" s="335">
        <f>IF(V106&lt;&gt;0, V106+SUM(Workings_risks!$F$19*Workings_risks!V27*$E$112/20,Workings_risks!V26*Workings_risks!$F$18)*Workings_risks!$F$13*Workings_risks!V8*$E$28,0)</f>
        <v>0</v>
      </c>
      <c r="W112" s="335">
        <f>IF(W106&lt;&gt;0, W106+SUM(Workings_risks!$F$19*Workings_risks!W27*$E$112/20,Workings_risks!W26*Workings_risks!$F$18)*Workings_risks!$F$13*Workings_risks!W8*$E$28,0)</f>
        <v>0</v>
      </c>
      <c r="X112" s="335">
        <f>IF(X106&lt;&gt;0, X106+SUM(Workings_risks!$F$19*Workings_risks!X27*$E$112/20,Workings_risks!X26*Workings_risks!$F$18)*Workings_risks!$F$13*Workings_risks!X8*$E$28,0)</f>
        <v>0</v>
      </c>
      <c r="Y112" s="335">
        <f>IF(Y106&lt;&gt;0, Y106+SUM(Workings_risks!$F$19*Workings_risks!Y27*$E$112/20,Workings_risks!Y26*Workings_risks!$F$18)*Workings_risks!$F$13*Workings_risks!Y8*$E$28,0)</f>
        <v>0</v>
      </c>
      <c r="Z112" s="335">
        <f>IF(Z106&lt;&gt;0, Z106+SUM(Workings_risks!$F$19*Workings_risks!Z27*$E$112/20,Workings_risks!Z26*Workings_risks!$F$18)*Workings_risks!$F$13*Workings_risks!Z8*$E$28,0)</f>
        <v>0</v>
      </c>
      <c r="AA112" s="335">
        <f>IF(AA106&lt;&gt;0, AA106+SUM(Workings_risks!$F$19*Workings_risks!AA27*$E$112/20,Workings_risks!AA26*Workings_risks!$F$18)*Workings_risks!$F$13*Workings_risks!AA8*$E$28,0)</f>
        <v>0</v>
      </c>
      <c r="AB112" s="335">
        <f>IF(AB106&lt;&gt;0, AB106+SUM(Workings_risks!$F$19*Workings_risks!AB27*$E$112/20,Workings_risks!AB26*Workings_risks!$F$18)*Workings_risks!$F$13*Workings_risks!AB8*$E$28,0)</f>
        <v>0</v>
      </c>
      <c r="AC112" s="335">
        <f>IF(AC106&lt;&gt;0, AC106+SUM(Workings_risks!$F$19*Workings_risks!AC27*$E$112/20,Workings_risks!AC26*Workings_risks!$F$18)*Workings_risks!$F$13*Workings_risks!AC8*$E$28,0)</f>
        <v>0</v>
      </c>
      <c r="AD112" s="335">
        <f>IF(AD106&lt;&gt;0, AD106+SUM(Workings_risks!$F$19*Workings_risks!AD27*$E$112/20,Workings_risks!AD26*Workings_risks!$F$18)*Workings_risks!$F$13*Workings_risks!AD8*$E$28,0)</f>
        <v>0</v>
      </c>
      <c r="AE112" s="335">
        <f>IF(AE106&lt;&gt;0, AE106+SUM(Workings_risks!$F$19*Workings_risks!AE27*$E$112/20,Workings_risks!AE26*Workings_risks!$F$18)*Workings_risks!$F$13*Workings_risks!AE8*$E$28,0)</f>
        <v>0</v>
      </c>
      <c r="AF112" s="335">
        <f>IF(AF106&lt;&gt;0, AF106+SUM(Workings_risks!$F$19*Workings_risks!AF27*$E$112/20,Workings_risks!AF26*Workings_risks!$F$18)*Workings_risks!$F$13*Workings_risks!AF8*$E$28,0)</f>
        <v>0</v>
      </c>
      <c r="AG112" s="335">
        <f>IF(AG106&lt;&gt;0, AG106+SUM(Workings_risks!$F$19*Workings_risks!AG27*$E$112/20,Workings_risks!AG26*Workings_risks!$F$18)*Workings_risks!$F$13*Workings_risks!AG8*$E$28,0)</f>
        <v>0</v>
      </c>
    </row>
    <row r="113" spans="1:33" x14ac:dyDescent="0.2">
      <c r="A113" s="1" t="str">
        <f>"sens"&amp;Assumptions!B118</f>
        <v>sens4</v>
      </c>
      <c r="C113" s="301" t="str">
        <f>Assumptions!C118</f>
        <v/>
      </c>
      <c r="D113" s="302">
        <f>Assumptions!G118</f>
        <v>0</v>
      </c>
      <c r="E113" s="302">
        <f>Assumptions!H118</f>
        <v>0</v>
      </c>
      <c r="G113" s="38" t="str">
        <f t="shared" si="21"/>
        <v>Option 4sens4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"sens"&amp;Assumptions!B119</f>
        <v>sens5</v>
      </c>
      <c r="C114" s="301" t="str">
        <f>Assumptions!C119</f>
        <v/>
      </c>
      <c r="D114" s="302">
        <f>Assumptions!G119</f>
        <v>0</v>
      </c>
      <c r="E114" s="302">
        <f>Assumptions!H119</f>
        <v>0</v>
      </c>
      <c r="G114" s="38" t="str">
        <f t="shared" si="21"/>
        <v>Option 4sens5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"sens"&amp;Assumptions!B120</f>
        <v>sens</v>
      </c>
      <c r="C115" s="301">
        <f>Assumptions!C120</f>
        <v>0</v>
      </c>
      <c r="D115" s="302">
        <f>Assumptions!G120</f>
        <v>0</v>
      </c>
      <c r="E115" s="302">
        <f>Assumptions!H120</f>
        <v>0</v>
      </c>
      <c r="G115" s="38" t="str">
        <f t="shared" si="21"/>
        <v>Option 4sens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"sens"&amp;Assumptions!B121</f>
        <v>sens</v>
      </c>
      <c r="C116" s="301">
        <f>Assumptions!C121</f>
        <v>0</v>
      </c>
      <c r="D116" s="302">
        <f>Assumptions!G121</f>
        <v>0</v>
      </c>
      <c r="E116" s="302">
        <f>Assumptions!H121</f>
        <v>0</v>
      </c>
      <c r="G116" s="38" t="str">
        <f t="shared" si="21"/>
        <v>Option 4sens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"sens"&amp;Assumptions!B122</f>
        <v>sens</v>
      </c>
      <c r="C117" s="301">
        <f>Assumptions!C122</f>
        <v>0</v>
      </c>
      <c r="D117" s="302">
        <f>Assumptions!G122</f>
        <v>0</v>
      </c>
      <c r="E117" s="302">
        <f>Assumptions!H122</f>
        <v>0</v>
      </c>
      <c r="G117" s="38" t="str">
        <f t="shared" si="21"/>
        <v>Option 4sens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5" priority="53">
      <formula>AND(SUM($I14:$AB14)&lt;&gt;0, E14=0)</formula>
    </cfRule>
  </conditionalFormatting>
  <conditionalFormatting sqref="E28">
    <cfRule type="expression" dxfId="4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ignoredErrors>
    <ignoredError sqref="I112:AG112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G29" sqref="G29"/>
      <selection pane="topRight" activeCell="G29" sqref="G29"/>
      <selection pane="bottomLeft" activeCell="G29" sqref="G29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Donald microgrid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4" t="s">
        <v>189</v>
      </c>
      <c r="B3" s="5"/>
      <c r="C3" s="201">
        <f>INDEX(Assumptions!$E$14:$E$18, MATCH(A3,_xlfn.ANCHORARRAY( Assumptions!$C$14),0))</f>
        <v>0</v>
      </c>
    </row>
    <row r="4" spans="1:43" x14ac:dyDescent="0.2">
      <c r="A4" s="202" t="str">
        <f>(INDEX(Data!$D$9:$D$13, MATCH(A3, options,0)))</f>
        <v>Not used</v>
      </c>
      <c r="B4" s="188"/>
      <c r="C4" s="239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1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3"/>
      <c r="G9" s="18" t="s">
        <v>25</v>
      </c>
      <c r="H9" s="221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5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</row>
    <row r="12" spans="1:43" x14ac:dyDescent="0.2">
      <c r="A12" s="3"/>
      <c r="B12" s="3"/>
      <c r="C12" s="3"/>
      <c r="D12" s="3"/>
      <c r="G12" s="206"/>
      <c r="AH12"/>
      <c r="AI12"/>
      <c r="AJ12"/>
      <c r="AK12"/>
    </row>
    <row r="13" spans="1:43" x14ac:dyDescent="0.2">
      <c r="C13" s="3" t="s">
        <v>17</v>
      </c>
      <c r="D13"/>
      <c r="E13" s="126" t="s">
        <v>69</v>
      </c>
      <c r="G13" s="207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9">
        <v>0</v>
      </c>
      <c r="G14" s="208">
        <f>input_dollars</f>
        <v>45291</v>
      </c>
      <c r="H14" s="150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9">
        <v>0</v>
      </c>
      <c r="G15" s="208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9">
        <v>0</v>
      </c>
      <c r="G16" s="208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8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>SUM(K14:K16)</f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</row>
    <row r="18" spans="1:43" x14ac:dyDescent="0.2">
      <c r="C18"/>
      <c r="D18"/>
      <c r="E18"/>
      <c r="G18" s="207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8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37">
        <v>0</v>
      </c>
      <c r="S19" s="137">
        <v>0</v>
      </c>
      <c r="T19" s="137">
        <v>0</v>
      </c>
      <c r="U19" s="137">
        <v>0</v>
      </c>
      <c r="V19" s="137">
        <v>0</v>
      </c>
      <c r="W19" s="137">
        <v>0</v>
      </c>
      <c r="X19" s="137">
        <v>0</v>
      </c>
      <c r="Y19" s="137">
        <v>0</v>
      </c>
      <c r="Z19" s="137">
        <v>0</v>
      </c>
      <c r="AA19" s="137">
        <v>0</v>
      </c>
      <c r="AB19" s="137">
        <v>0</v>
      </c>
      <c r="AC19" s="137">
        <v>0</v>
      </c>
      <c r="AD19" s="137">
        <v>0</v>
      </c>
      <c r="AE19" s="137">
        <v>0</v>
      </c>
      <c r="AF19" s="137">
        <v>0</v>
      </c>
      <c r="AG19" s="137">
        <v>0</v>
      </c>
      <c r="AH19"/>
      <c r="AI19"/>
      <c r="AJ19"/>
      <c r="AK19"/>
    </row>
    <row r="20" spans="1:43" x14ac:dyDescent="0.2">
      <c r="G20" s="206"/>
      <c r="AH20"/>
      <c r="AI20"/>
      <c r="AJ20"/>
      <c r="AK20"/>
    </row>
    <row r="21" spans="1:43" x14ac:dyDescent="0.2">
      <c r="C21"/>
      <c r="D21"/>
      <c r="E21"/>
      <c r="G21" s="207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154</v>
      </c>
      <c r="B22" s="89"/>
      <c r="C22" s="89"/>
      <c r="D22" s="89"/>
      <c r="E22" s="89"/>
      <c r="F22" s="89"/>
      <c r="G22" s="205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9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155</v>
      </c>
      <c r="D24" s="111"/>
      <c r="E24" s="111"/>
      <c r="F24" s="111"/>
      <c r="G24" s="209"/>
      <c r="H24" s="111"/>
      <c r="I24" s="170">
        <v>0</v>
      </c>
      <c r="J24" s="170">
        <v>0</v>
      </c>
      <c r="K24" s="170">
        <v>0</v>
      </c>
      <c r="L24" s="170">
        <v>0</v>
      </c>
      <c r="M24" s="170">
        <v>0</v>
      </c>
      <c r="N24" s="170">
        <v>0</v>
      </c>
      <c r="O24" s="170">
        <v>0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170">
        <v>0</v>
      </c>
      <c r="V24" s="170">
        <v>0</v>
      </c>
      <c r="W24" s="170">
        <v>0</v>
      </c>
      <c r="X24" s="170">
        <v>0</v>
      </c>
      <c r="Y24" s="170">
        <v>0</v>
      </c>
      <c r="Z24" s="170">
        <v>0</v>
      </c>
      <c r="AA24" s="170">
        <v>0</v>
      </c>
      <c r="AB24" s="170">
        <v>0</v>
      </c>
      <c r="AC24" s="170">
        <v>0</v>
      </c>
      <c r="AD24" s="170">
        <v>0</v>
      </c>
      <c r="AE24" s="170">
        <v>0</v>
      </c>
      <c r="AF24" s="170">
        <v>0</v>
      </c>
      <c r="AG24" s="170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156</v>
      </c>
      <c r="D25" s="209"/>
      <c r="E25" s="111"/>
      <c r="F25" s="111"/>
      <c r="G25" s="209"/>
      <c r="H25" s="111"/>
      <c r="I25" s="170">
        <v>0</v>
      </c>
      <c r="J25" s="170">
        <v>0</v>
      </c>
      <c r="K25" s="170">
        <v>0</v>
      </c>
      <c r="L25" s="170">
        <v>0</v>
      </c>
      <c r="M25" s="170">
        <v>0</v>
      </c>
      <c r="N25" s="170">
        <v>0</v>
      </c>
      <c r="O25" s="170">
        <v>0</v>
      </c>
      <c r="P25" s="170">
        <v>0</v>
      </c>
      <c r="Q25" s="170">
        <v>0</v>
      </c>
      <c r="R25" s="170">
        <v>0</v>
      </c>
      <c r="S25" s="170">
        <v>0</v>
      </c>
      <c r="T25" s="170">
        <v>0</v>
      </c>
      <c r="U25" s="170">
        <v>0</v>
      </c>
      <c r="V25" s="170">
        <v>0</v>
      </c>
      <c r="W25" s="170">
        <v>0</v>
      </c>
      <c r="X25" s="170">
        <v>0</v>
      </c>
      <c r="Y25" s="170">
        <v>0</v>
      </c>
      <c r="Z25" s="170">
        <v>0</v>
      </c>
      <c r="AA25" s="170">
        <v>0</v>
      </c>
      <c r="AB25" s="170">
        <v>0</v>
      </c>
      <c r="AC25" s="170">
        <v>0</v>
      </c>
      <c r="AD25" s="170">
        <v>0</v>
      </c>
      <c r="AE25" s="170">
        <v>0</v>
      </c>
      <c r="AF25" s="170">
        <v>0</v>
      </c>
      <c r="AG25" s="170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9"/>
      <c r="E26" s="111"/>
      <c r="F26" s="111"/>
      <c r="G26" s="209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6"/>
      <c r="E27"/>
      <c r="G27" s="208" t="s">
        <v>40</v>
      </c>
      <c r="H27"/>
      <c r="I27" s="169">
        <v>0</v>
      </c>
      <c r="J27" s="169">
        <v>0</v>
      </c>
      <c r="K27" s="169">
        <v>0</v>
      </c>
      <c r="L27" s="169">
        <v>0</v>
      </c>
      <c r="M27" s="169">
        <v>0</v>
      </c>
      <c r="N27" s="169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169">
        <v>0</v>
      </c>
      <c r="V27" s="169">
        <v>0</v>
      </c>
      <c r="W27" s="169">
        <v>0</v>
      </c>
      <c r="X27" s="169">
        <v>0</v>
      </c>
      <c r="Y27" s="169">
        <v>0</v>
      </c>
      <c r="Z27" s="169">
        <v>0</v>
      </c>
      <c r="AA27" s="169">
        <v>0</v>
      </c>
      <c r="AB27" s="169">
        <v>0</v>
      </c>
      <c r="AC27" s="169">
        <v>0</v>
      </c>
      <c r="AD27" s="169">
        <v>0</v>
      </c>
      <c r="AE27" s="169">
        <v>0</v>
      </c>
      <c r="AF27" s="169">
        <v>0</v>
      </c>
      <c r="AG27" s="169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6" t="s">
        <v>63</v>
      </c>
      <c r="E28" s="113">
        <f>Assumptions!H41*vcr_esc</f>
        <v>45198.640474687112</v>
      </c>
      <c r="F28" s="239" t="str">
        <f>IF(AND(SUM(I27:AG27)&lt;&gt;0, E28=0), "!", "")</f>
        <v/>
      </c>
      <c r="G28" s="208">
        <f>input_dollars</f>
        <v>45291</v>
      </c>
      <c r="H28"/>
      <c r="I28" s="298">
        <f>I27*$E$28</f>
        <v>0</v>
      </c>
      <c r="J28" s="298">
        <f t="shared" ref="J28:AG28" si="2">J27*$E$28</f>
        <v>0</v>
      </c>
      <c r="K28" s="298">
        <f t="shared" si="2"/>
        <v>0</v>
      </c>
      <c r="L28" s="298">
        <f t="shared" si="2"/>
        <v>0</v>
      </c>
      <c r="M28" s="298">
        <f t="shared" si="2"/>
        <v>0</v>
      </c>
      <c r="N28" s="298">
        <f t="shared" si="2"/>
        <v>0</v>
      </c>
      <c r="O28" s="298">
        <f t="shared" si="2"/>
        <v>0</v>
      </c>
      <c r="P28" s="298">
        <f t="shared" si="2"/>
        <v>0</v>
      </c>
      <c r="Q28" s="298">
        <f t="shared" si="2"/>
        <v>0</v>
      </c>
      <c r="R28" s="298">
        <f t="shared" si="2"/>
        <v>0</v>
      </c>
      <c r="S28" s="298">
        <f t="shared" si="2"/>
        <v>0</v>
      </c>
      <c r="T28" s="298">
        <f t="shared" si="2"/>
        <v>0</v>
      </c>
      <c r="U28" s="298">
        <f t="shared" si="2"/>
        <v>0</v>
      </c>
      <c r="V28" s="298">
        <f t="shared" si="2"/>
        <v>0</v>
      </c>
      <c r="W28" s="298">
        <f t="shared" si="2"/>
        <v>0</v>
      </c>
      <c r="X28" s="298">
        <f t="shared" si="2"/>
        <v>0</v>
      </c>
      <c r="Y28" s="298">
        <f t="shared" si="2"/>
        <v>0</v>
      </c>
      <c r="Z28" s="298">
        <f t="shared" si="2"/>
        <v>0</v>
      </c>
      <c r="AA28" s="298">
        <f t="shared" si="2"/>
        <v>0</v>
      </c>
      <c r="AB28" s="298">
        <f t="shared" si="2"/>
        <v>0</v>
      </c>
      <c r="AC28" s="298">
        <f t="shared" si="2"/>
        <v>0</v>
      </c>
      <c r="AD28" s="298">
        <f t="shared" si="2"/>
        <v>0</v>
      </c>
      <c r="AE28" s="298">
        <f t="shared" si="2"/>
        <v>0</v>
      </c>
      <c r="AF28" s="298">
        <f t="shared" si="2"/>
        <v>0</v>
      </c>
      <c r="AG28" s="298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7"/>
      <c r="E29"/>
      <c r="G29" s="208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6" t="s">
        <v>210</v>
      </c>
      <c r="G30" s="208">
        <f>input_dollars</f>
        <v>45291</v>
      </c>
      <c r="H30" s="150"/>
      <c r="I30" s="171" cm="1">
        <f t="array" ref="I30">SUMPRODUCT((Assumptions!$H$74:$H$75)*(Assumptions!$G$74:$G$75)*(Assumptions!$I$74:$I$75)*(I$24:I$25))</f>
        <v>0</v>
      </c>
      <c r="J30" s="171" cm="1">
        <f t="array" ref="J30">SUMPRODUCT((Assumptions!$H$74:$H$75)*(Assumptions!$G$74:$G$75)*(Assumptions!$I$74:$I$75)*(J$24:J$25))</f>
        <v>0</v>
      </c>
      <c r="K30" s="171" cm="1">
        <f t="array" ref="K30">SUMPRODUCT((Assumptions!$H$74:$H$75)*(Assumptions!$G$74:$G$75)*(Assumptions!$I$74:$I$75)*(K$24:K$25))</f>
        <v>0</v>
      </c>
      <c r="L30" s="171" cm="1">
        <f t="array" ref="L30">SUMPRODUCT((Assumptions!$H$74:$H$75)*(Assumptions!$G$74:$G$75)*(Assumptions!$I$74:$I$75)*(L$24:L$25))</f>
        <v>0</v>
      </c>
      <c r="M30" s="171" cm="1">
        <f t="array" ref="M30">SUMPRODUCT((Assumptions!$H$74:$H$75)*(Assumptions!$G$74:$G$75)*(Assumptions!$I$74:$I$75)*(M$24:M$25))</f>
        <v>0</v>
      </c>
      <c r="N30" s="171" cm="1">
        <f t="array" ref="N30">SUMPRODUCT((Assumptions!$H$74:$H$75)*(Assumptions!$G$74:$G$75)*(Assumptions!$I$74:$I$75)*(N$24:N$25))</f>
        <v>0</v>
      </c>
      <c r="O30" s="171" cm="1">
        <f t="array" ref="O30">SUMPRODUCT((Assumptions!$H$74:$H$75)*(Assumptions!$G$74:$G$75)*(Assumptions!$I$74:$I$75)*(O$24:O$25))</f>
        <v>0</v>
      </c>
      <c r="P30" s="171" cm="1">
        <f t="array" ref="P30">SUMPRODUCT((Assumptions!$H$74:$H$75)*(Assumptions!$G$74:$G$75)*(Assumptions!$I$74:$I$75)*(P$24:P$25))</f>
        <v>0</v>
      </c>
      <c r="Q30" s="171" cm="1">
        <f t="array" ref="Q30">SUMPRODUCT((Assumptions!$H$74:$H$75)*(Assumptions!$G$74:$G$75)*(Assumptions!$I$74:$I$75)*(Q$24:Q$25))</f>
        <v>0</v>
      </c>
      <c r="R30" s="171" cm="1">
        <f t="array" ref="R30">SUMPRODUCT((Assumptions!$H$74:$H$75)*(Assumptions!$G$74:$G$75)*(Assumptions!$I$74:$I$75)*(R$24:R$25))</f>
        <v>0</v>
      </c>
      <c r="S30" s="171" cm="1">
        <f t="array" ref="S30">SUMPRODUCT((Assumptions!$H$74:$H$75)*(Assumptions!$G$74:$G$75)*(Assumptions!$I$74:$I$75)*(S$24:S$25))</f>
        <v>0</v>
      </c>
      <c r="T30" s="171" cm="1">
        <f t="array" ref="T30">SUMPRODUCT((Assumptions!$H$74:$H$75)*(Assumptions!$G$74:$G$75)*(Assumptions!$I$74:$I$75)*(T$24:T$25))</f>
        <v>0</v>
      </c>
      <c r="U30" s="171" cm="1">
        <f t="array" ref="U30">SUMPRODUCT((Assumptions!$H$74:$H$75)*(Assumptions!$G$74:$G$75)*(Assumptions!$I$74:$I$75)*(U$24:U$25))</f>
        <v>0</v>
      </c>
      <c r="V30" s="171" cm="1">
        <f t="array" ref="V30">SUMPRODUCT((Assumptions!$H$74:$H$75)*(Assumptions!$G$74:$G$75)*(Assumptions!$I$74:$I$75)*(V$24:V$25))</f>
        <v>0</v>
      </c>
      <c r="W30" s="171" cm="1">
        <f t="array" ref="W30">SUMPRODUCT((Assumptions!$H$74:$H$75)*(Assumptions!$G$74:$G$75)*(Assumptions!$I$74:$I$75)*(W$24:W$25))</f>
        <v>0</v>
      </c>
      <c r="X30" s="171" cm="1">
        <f t="array" ref="X30">SUMPRODUCT((Assumptions!$H$74:$H$75)*(Assumptions!$G$74:$G$75)*(Assumptions!$I$74:$I$75)*(X$24:X$25))</f>
        <v>0</v>
      </c>
      <c r="Y30" s="171" cm="1">
        <f t="array" ref="Y30">SUMPRODUCT((Assumptions!$H$74:$H$75)*(Assumptions!$G$74:$G$75)*(Assumptions!$I$74:$I$75)*(Y$24:Y$25))</f>
        <v>0</v>
      </c>
      <c r="Z30" s="171" cm="1">
        <f t="array" ref="Z30">SUMPRODUCT((Assumptions!$H$74:$H$75)*(Assumptions!$G$74:$G$75)*(Assumptions!$I$74:$I$75)*(Z$24:Z$25))</f>
        <v>0</v>
      </c>
      <c r="AA30" s="171" cm="1">
        <f t="array" ref="AA30">SUMPRODUCT((Assumptions!$H$74:$H$75)*(Assumptions!$G$74:$G$75)*(Assumptions!$I$74:$I$75)*(AA$24:AA$25))</f>
        <v>0</v>
      </c>
      <c r="AB30" s="171" cm="1">
        <f t="array" ref="AB30">SUMPRODUCT((Assumptions!$H$74:$H$75)*(Assumptions!$G$74:$G$75)*(Assumptions!$I$74:$I$75)*(AB$24:AB$25))</f>
        <v>0</v>
      </c>
      <c r="AC30" s="171" cm="1">
        <f t="array" ref="AC30">SUMPRODUCT((Assumptions!$H$74:$H$75)*(Assumptions!$G$74:$G$75)*(Assumptions!$I$74:$I$75)*(AC$24:AC$25))</f>
        <v>0</v>
      </c>
      <c r="AD30" s="171" cm="1">
        <f t="array" ref="AD30">SUMPRODUCT((Assumptions!$H$74:$H$75)*(Assumptions!$G$74:$G$75)*(Assumptions!$I$74:$I$75)*(AD$24:AD$25))</f>
        <v>0</v>
      </c>
      <c r="AE30" s="171" cm="1">
        <f t="array" ref="AE30">SUMPRODUCT((Assumptions!$H$74:$H$75)*(Assumptions!$G$74:$G$75)*(Assumptions!$I$74:$I$75)*(AE$24:AE$25))</f>
        <v>0</v>
      </c>
      <c r="AF30" s="171" cm="1">
        <f t="array" ref="AF30">SUMPRODUCT((Assumptions!$H$74:$H$75)*(Assumptions!$G$74:$G$75)*(Assumptions!$I$74:$I$75)*(AF$24:AF$25))</f>
        <v>0</v>
      </c>
      <c r="AG30" s="171" cm="1">
        <f t="array" ref="AG30">SUMPRODUCT((Assumptions!$H$74:$H$75)*(Assumptions!$G$74:$G$75)*(Assumptions!$I$74:$I$75)*(AG$24:AG$25))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7"/>
      <c r="E31"/>
      <c r="G31" s="208">
        <f>input_dollars</f>
        <v>45291</v>
      </c>
      <c r="H31" s="150"/>
      <c r="I31" s="171" cm="1">
        <f t="array" ref="I31">(1+Assumptions!$G$85)*SUMPRODUCT((Assumptions!$G$82:$G$83)*(I$24:I$25))</f>
        <v>0</v>
      </c>
      <c r="J31" s="171" cm="1">
        <f t="array" ref="J31">(1+Assumptions!$G$85)*SUMPRODUCT((Assumptions!$G$82:$G$83)*(J$24:J$25))</f>
        <v>0</v>
      </c>
      <c r="K31" s="171" cm="1">
        <f t="array" ref="K31">(1+Assumptions!$G$85)*SUMPRODUCT((Assumptions!$G$82:$G$83)*(K$24:K$25))</f>
        <v>0</v>
      </c>
      <c r="L31" s="171" cm="1">
        <f t="array" ref="L31">(1+Assumptions!$G$85)*SUMPRODUCT((Assumptions!$G$82:$G$83)*(L$24:L$25))</f>
        <v>0</v>
      </c>
      <c r="M31" s="171" cm="1">
        <f t="array" ref="M31">(1+Assumptions!$G$85)*SUMPRODUCT((Assumptions!$G$82:$G$83)*(M$24:M$25))</f>
        <v>0</v>
      </c>
      <c r="N31" s="171" cm="1">
        <f t="array" ref="N31">(1+Assumptions!$G$85)*SUMPRODUCT((Assumptions!$G$82:$G$83)*(N$24:N$25))</f>
        <v>0</v>
      </c>
      <c r="O31" s="171" cm="1">
        <f t="array" ref="O31">(1+Assumptions!$G$85)*SUMPRODUCT((Assumptions!$G$82:$G$83)*(O$24:O$25))</f>
        <v>0</v>
      </c>
      <c r="P31" s="171" cm="1">
        <f t="array" ref="P31">(1+Assumptions!$G$85)*SUMPRODUCT((Assumptions!$G$82:$G$83)*(P$24:P$25))</f>
        <v>0</v>
      </c>
      <c r="Q31" s="171" cm="1">
        <f t="array" ref="Q31">(1+Assumptions!$G$85)*SUMPRODUCT((Assumptions!$G$82:$G$83)*(Q$24:Q$25))</f>
        <v>0</v>
      </c>
      <c r="R31" s="171" cm="1">
        <f t="array" ref="R31">(1+Assumptions!$G$85)*SUMPRODUCT((Assumptions!$G$82:$G$83)*(R$24:R$25))</f>
        <v>0</v>
      </c>
      <c r="S31" s="171" cm="1">
        <f t="array" ref="S31">(1+Assumptions!$G$85)*SUMPRODUCT((Assumptions!$G$82:$G$83)*(S$24:S$25))</f>
        <v>0</v>
      </c>
      <c r="T31" s="171" cm="1">
        <f t="array" ref="T31">(1+Assumptions!$G$85)*SUMPRODUCT((Assumptions!$G$82:$G$83)*(T$24:T$25))</f>
        <v>0</v>
      </c>
      <c r="U31" s="171" cm="1">
        <f t="array" ref="U31">(1+Assumptions!$G$85)*SUMPRODUCT((Assumptions!$G$82:$G$83)*(U$24:U$25))</f>
        <v>0</v>
      </c>
      <c r="V31" s="171" cm="1">
        <f t="array" ref="V31">(1+Assumptions!$G$85)*SUMPRODUCT((Assumptions!$G$82:$G$83)*(V$24:V$25))</f>
        <v>0</v>
      </c>
      <c r="W31" s="171" cm="1">
        <f t="array" ref="W31">(1+Assumptions!$G$85)*SUMPRODUCT((Assumptions!$G$82:$G$83)*(W$24:W$25))</f>
        <v>0</v>
      </c>
      <c r="X31" s="171" cm="1">
        <f t="array" ref="X31">(1+Assumptions!$G$85)*SUMPRODUCT((Assumptions!$G$82:$G$83)*(X$24:X$25))</f>
        <v>0</v>
      </c>
      <c r="Y31" s="171" cm="1">
        <f t="array" ref="Y31">(1+Assumptions!$G$85)*SUMPRODUCT((Assumptions!$G$82:$G$83)*(Y$24:Y$25))</f>
        <v>0</v>
      </c>
      <c r="Z31" s="171" cm="1">
        <f t="array" ref="Z31">(1+Assumptions!$G$85)*SUMPRODUCT((Assumptions!$G$82:$G$83)*(Z$24:Z$25))</f>
        <v>0</v>
      </c>
      <c r="AA31" s="171" cm="1">
        <f t="array" ref="AA31">(1+Assumptions!$G$85)*SUMPRODUCT((Assumptions!$G$82:$G$83)*(AA$24:AA$25))</f>
        <v>0</v>
      </c>
      <c r="AB31" s="171" cm="1">
        <f t="array" ref="AB31">(1+Assumptions!$G$85)*SUMPRODUCT((Assumptions!$G$82:$G$83)*(AB$24:AB$25))</f>
        <v>0</v>
      </c>
      <c r="AC31" s="171" cm="1">
        <f t="array" ref="AC31">(1+Assumptions!$G$85)*SUMPRODUCT((Assumptions!$G$82:$G$83)*(AC$24:AC$25))</f>
        <v>0</v>
      </c>
      <c r="AD31" s="171" cm="1">
        <f t="array" ref="AD31">(1+Assumptions!$G$85)*SUMPRODUCT((Assumptions!$G$82:$G$83)*(AD$24:AD$25))</f>
        <v>0</v>
      </c>
      <c r="AE31" s="171" cm="1">
        <f t="array" ref="AE31">(1+Assumptions!$G$85)*SUMPRODUCT((Assumptions!$G$82:$G$83)*(AE$24:AE$25))</f>
        <v>0</v>
      </c>
      <c r="AF31" s="171" cm="1">
        <f t="array" ref="AF31">(1+Assumptions!$G$85)*SUMPRODUCT((Assumptions!$G$82:$G$83)*(AF$24:AF$25))</f>
        <v>0</v>
      </c>
      <c r="AG31" s="171" cm="1">
        <f t="array" ref="AG31">(1+Assumptions!$G$85)*SUMPRODUCT((Assumptions!$G$82:$G$83)*(AG$24:AG$25))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6" t="s">
        <v>210</v>
      </c>
      <c r="E32"/>
      <c r="G32" s="208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7">
        <v>0</v>
      </c>
      <c r="S32" s="137">
        <v>0</v>
      </c>
      <c r="T32" s="137">
        <v>0</v>
      </c>
      <c r="U32" s="137">
        <v>0</v>
      </c>
      <c r="V32" s="137">
        <v>0</v>
      </c>
      <c r="W32" s="137">
        <v>0</v>
      </c>
      <c r="X32" s="137">
        <v>0</v>
      </c>
      <c r="Y32" s="137">
        <v>0</v>
      </c>
      <c r="Z32" s="137">
        <v>0</v>
      </c>
      <c r="AA32" s="137">
        <v>0</v>
      </c>
      <c r="AB32" s="137">
        <v>0</v>
      </c>
      <c r="AC32" s="137">
        <v>0</v>
      </c>
      <c r="AD32" s="137">
        <v>0</v>
      </c>
      <c r="AE32" s="137">
        <v>0</v>
      </c>
      <c r="AF32" s="137">
        <v>0</v>
      </c>
      <c r="AG32" s="137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5" t="s">
        <v>177</v>
      </c>
      <c r="D33" s="220"/>
      <c r="E33"/>
      <c r="G33" s="208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7">
        <v>0</v>
      </c>
      <c r="S33" s="137">
        <v>0</v>
      </c>
      <c r="T33" s="137">
        <v>0</v>
      </c>
      <c r="U33" s="137">
        <v>0</v>
      </c>
      <c r="V33" s="137">
        <v>0</v>
      </c>
      <c r="W33" s="137">
        <v>0</v>
      </c>
      <c r="X33" s="137">
        <v>0</v>
      </c>
      <c r="Y33" s="137">
        <v>0</v>
      </c>
      <c r="Z33" s="137">
        <v>0</v>
      </c>
      <c r="AA33" s="137">
        <v>0</v>
      </c>
      <c r="AB33" s="137">
        <v>0</v>
      </c>
      <c r="AC33" s="137">
        <v>0</v>
      </c>
      <c r="AD33" s="137">
        <v>0</v>
      </c>
      <c r="AE33" s="137">
        <v>0</v>
      </c>
      <c r="AF33" s="137">
        <v>0</v>
      </c>
      <c r="AG33" s="137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5" t="s">
        <v>177</v>
      </c>
      <c r="D34" s="207"/>
      <c r="E34"/>
      <c r="G34" s="208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7"/>
      <c r="E35"/>
      <c r="G35" s="208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176</v>
      </c>
      <c r="D36" s="219"/>
      <c r="E36" s="107"/>
      <c r="F36" s="3"/>
      <c r="G36" s="210"/>
      <c r="H36" s="107"/>
      <c r="I36" s="171">
        <f>SUM(I28:I34)</f>
        <v>0</v>
      </c>
      <c r="J36" s="171">
        <f t="shared" ref="J36:AG36" si="3">SUM(J28:J34)</f>
        <v>0</v>
      </c>
      <c r="K36" s="171">
        <f t="shared" si="3"/>
        <v>0</v>
      </c>
      <c r="L36" s="171">
        <f t="shared" si="3"/>
        <v>0</v>
      </c>
      <c r="M36" s="171">
        <f t="shared" si="3"/>
        <v>0</v>
      </c>
      <c r="N36" s="171">
        <f t="shared" si="3"/>
        <v>0</v>
      </c>
      <c r="O36" s="171">
        <f t="shared" si="3"/>
        <v>0</v>
      </c>
      <c r="P36" s="171">
        <f t="shared" si="3"/>
        <v>0</v>
      </c>
      <c r="Q36" s="171">
        <f t="shared" si="3"/>
        <v>0</v>
      </c>
      <c r="R36" s="171">
        <f t="shared" si="3"/>
        <v>0</v>
      </c>
      <c r="S36" s="171">
        <f t="shared" si="3"/>
        <v>0</v>
      </c>
      <c r="T36" s="171">
        <f t="shared" si="3"/>
        <v>0</v>
      </c>
      <c r="U36" s="171">
        <f t="shared" si="3"/>
        <v>0</v>
      </c>
      <c r="V36" s="171">
        <f t="shared" si="3"/>
        <v>0</v>
      </c>
      <c r="W36" s="171">
        <f t="shared" si="3"/>
        <v>0</v>
      </c>
      <c r="X36" s="171">
        <f t="shared" si="3"/>
        <v>0</v>
      </c>
      <c r="Y36" s="171">
        <f t="shared" si="3"/>
        <v>0</v>
      </c>
      <c r="Z36" s="171">
        <f t="shared" si="3"/>
        <v>0</v>
      </c>
      <c r="AA36" s="171">
        <f t="shared" si="3"/>
        <v>0</v>
      </c>
      <c r="AB36" s="171">
        <f t="shared" si="3"/>
        <v>0</v>
      </c>
      <c r="AC36" s="171">
        <f t="shared" si="3"/>
        <v>0</v>
      </c>
      <c r="AD36" s="171">
        <f t="shared" si="3"/>
        <v>0</v>
      </c>
      <c r="AE36" s="171">
        <f t="shared" si="3"/>
        <v>0</v>
      </c>
      <c r="AF36" s="171">
        <f t="shared" si="3"/>
        <v>0</v>
      </c>
      <c r="AG36" s="171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8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5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8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8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6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  <c r="AI41"/>
      <c r="AJ41"/>
      <c r="AK41"/>
    </row>
    <row r="42" spans="1:16372" ht="13.5" x14ac:dyDescent="0.25">
      <c r="C42" s="1" t="s">
        <v>129</v>
      </c>
      <c r="G42" s="206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  <c r="AI42"/>
      <c r="AJ42"/>
      <c r="AK42"/>
    </row>
    <row r="43" spans="1:16372" x14ac:dyDescent="0.2">
      <c r="D43"/>
      <c r="E43"/>
      <c r="G43" s="208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7"/>
      <c r="E44"/>
      <c r="G44" s="208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tr">
        <f>'Option1 (base case)'!C45</f>
        <v>Incremental reliability in worst-served areas &gt; 500 mins</v>
      </c>
      <c r="D45" s="206" t="str">
        <f>'Option1 (base case)'!D45</f>
        <v>$/MWh</v>
      </c>
      <c r="E45" s="113">
        <f>'Option1 (base case)'!E45</f>
        <v>22301.359525312888</v>
      </c>
      <c r="G45" s="208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tr">
        <f>'Option1 (base case)'!C46</f>
        <v>Incremental network resilience (domestic)</v>
      </c>
      <c r="D46" s="206" t="str">
        <f>'Option1 (base case)'!D46</f>
        <v>$/MWh</v>
      </c>
      <c r="E46" s="113">
        <f>'Option1 (base case)'!E46</f>
        <v>31030</v>
      </c>
      <c r="G46" s="208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tr">
        <f>'Option1 (base case)'!C47</f>
        <v>Incremental network resilience (commercial)</v>
      </c>
      <c r="D47" s="206" t="str">
        <f>'Option1 (base case)'!D47</f>
        <v>$/MWh</v>
      </c>
      <c r="E47" s="113">
        <f>'Option1 (base case)'!E47</f>
        <v>52200</v>
      </c>
      <c r="G47" s="208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tr">
        <f>'Option1 (base case)'!C48</f>
        <v>Incremental network resilience (industrial)</v>
      </c>
      <c r="D48" s="206" t="str">
        <f>'Option1 (base case)'!D48</f>
        <v>$/customer</v>
      </c>
      <c r="E48" s="113">
        <f>'Option1 (base case)'!E48</f>
        <v>74790</v>
      </c>
      <c r="G48" s="208" t="s">
        <v>40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tr">
        <f>'Option1 (base case)'!C49</f>
        <v>Incremental network resilience (agricultural)</v>
      </c>
      <c r="D49" s="206" t="str">
        <f>'Option1 (base case)'!D49</f>
        <v>$/customer min</v>
      </c>
      <c r="E49" s="113">
        <f>'Option1 (base case)'!E49</f>
        <v>44400</v>
      </c>
      <c r="G49" s="208" t="s">
        <v>40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tr">
        <f>'Option1 (base case)'!C50</f>
        <v>Incremental network resilience (others)</v>
      </c>
      <c r="D50" s="206" t="str">
        <f>'Option1 (base case)'!D50</f>
        <v>$/customer min</v>
      </c>
      <c r="E50" s="113">
        <f>'Option1 (base case)'!E50</f>
        <v>52200</v>
      </c>
      <c r="G50" s="208" t="s">
        <v>40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D51" s="206"/>
      <c r="E51" s="112"/>
      <c r="G51" s="208"/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D52" s="206"/>
      <c r="E52" s="112"/>
      <c r="G52" s="208"/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6"/>
      <c r="G53" s="208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6"/>
      <c r="G54" s="208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6"/>
      <c r="G55" s="208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6"/>
      <c r="G56" s="206"/>
    </row>
    <row r="57" spans="1:43" x14ac:dyDescent="0.2">
      <c r="C57" s="3" t="s">
        <v>125</v>
      </c>
      <c r="D57" s="219"/>
      <c r="E57" s="107"/>
      <c r="F57" s="3"/>
      <c r="G57" s="211">
        <f>input_dollars</f>
        <v>45291</v>
      </c>
      <c r="H57" s="107"/>
      <c r="I57" s="171" cm="1">
        <f t="array" ref="I57">SUMPRODUCT((I$45:I$52)*($E$45:$E$52))+SUM(I54:I55)+I42</f>
        <v>0</v>
      </c>
      <c r="J57" s="171" cm="1">
        <f t="array" ref="J57">SUMPRODUCT((J$45:J$52)*($E$45:$E$52))+SUM(J54:J55)+J42</f>
        <v>0</v>
      </c>
      <c r="K57" s="171" cm="1">
        <f t="array" ref="K57">SUMPRODUCT((K$45:K$52)*($E$45:$E$52))+SUM(K54:K55)+K42</f>
        <v>0</v>
      </c>
      <c r="L57" s="171" cm="1">
        <f t="array" ref="L57">SUMPRODUCT((L$45:L$52)*($E$45:$E$52))+SUM(L54:L55)+L42</f>
        <v>0</v>
      </c>
      <c r="M57" s="171" cm="1">
        <f t="array" ref="M57">SUMPRODUCT((M$45:M$52)*($E$45:$E$52))+SUM(M54:M55)+M42</f>
        <v>0</v>
      </c>
      <c r="N57" s="171" cm="1">
        <f t="array" ref="N57">SUMPRODUCT((N$45:N$52)*($E$45:$E$52))+SUM(N54:N55)+N42</f>
        <v>0</v>
      </c>
      <c r="O57" s="171" cm="1">
        <f t="array" ref="O57">SUMPRODUCT((O$45:O$52)*($E$45:$E$52))+SUM(O54:O55)+O42</f>
        <v>0</v>
      </c>
      <c r="P57" s="171" cm="1">
        <f t="array" ref="P57">SUMPRODUCT((P$45:P$52)*($E$45:$E$52))+SUM(P54:P55)+P42</f>
        <v>0</v>
      </c>
      <c r="Q57" s="171" cm="1">
        <f t="array" ref="Q57">SUMPRODUCT((Q$45:Q$52)*($E$45:$E$52))+SUM(Q54:Q55)+Q42</f>
        <v>0</v>
      </c>
      <c r="R57" s="171" cm="1">
        <f t="array" ref="R57">SUMPRODUCT((R$45:R$52)*($E$45:$E$52))+SUM(R54:R55)+R42</f>
        <v>0</v>
      </c>
      <c r="S57" s="171" cm="1">
        <f t="array" ref="S57">SUMPRODUCT((S$45:S$52)*($E$45:$E$52))+SUM(S54:S55)+S42</f>
        <v>0</v>
      </c>
      <c r="T57" s="171" cm="1">
        <f t="array" ref="T57">SUMPRODUCT((T$45:T$52)*($E$45:$E$52))+SUM(T54:T55)+T42</f>
        <v>0</v>
      </c>
      <c r="U57" s="171" cm="1">
        <f t="array" ref="U57">SUMPRODUCT((U$45:U$52)*($E$45:$E$52))+SUM(U54:U55)+U42</f>
        <v>0</v>
      </c>
      <c r="V57" s="171" cm="1">
        <f t="array" ref="V57">SUMPRODUCT((V$45:V$52)*($E$45:$E$52))+SUM(V54:V55)+V42</f>
        <v>0</v>
      </c>
      <c r="W57" s="171" cm="1">
        <f t="array" ref="W57">SUMPRODUCT((W$45:W$52)*($E$45:$E$52))+SUM(W54:W55)+W42</f>
        <v>0</v>
      </c>
      <c r="X57" s="171" cm="1">
        <f t="array" ref="X57">SUMPRODUCT((X$45:X$52)*($E$45:$E$52))+SUM(X54:X55)+X42</f>
        <v>0</v>
      </c>
      <c r="Y57" s="171" cm="1">
        <f t="array" ref="Y57">SUMPRODUCT((Y$45:Y$52)*($E$45:$E$52))+SUM(Y54:Y55)+Y42</f>
        <v>0</v>
      </c>
      <c r="Z57" s="171" cm="1">
        <f t="array" ref="Z57">SUMPRODUCT((Z$45:Z$52)*($E$45:$E$52))+SUM(Z54:Z55)+Z42</f>
        <v>0</v>
      </c>
      <c r="AA57" s="171" cm="1">
        <f t="array" ref="AA57">SUMPRODUCT((AA$45:AA$52)*($E$45:$E$52))+SUM(AA54:AA55)+AA42</f>
        <v>0</v>
      </c>
      <c r="AB57" s="171" cm="1">
        <f t="array" ref="AB57">SUMPRODUCT((AB$45:AB$52)*($E$45:$E$52))+SUM(AB54:AB55)+AB42</f>
        <v>0</v>
      </c>
      <c r="AC57" s="171" cm="1">
        <f t="array" ref="AC57">SUMPRODUCT((AC$45:AC$52)*($E$45:$E$52))+SUM(AC54:AC55)+AC42</f>
        <v>0</v>
      </c>
      <c r="AD57" s="171" cm="1">
        <f t="array" ref="AD57">SUMPRODUCT((AD$45:AD$52)*($E$45:$E$52))+SUM(AD54:AD55)+AD42</f>
        <v>0</v>
      </c>
      <c r="AE57" s="171" cm="1">
        <f t="array" ref="AE57">SUMPRODUCT((AE$45:AE$52)*($E$45:$E$52))+SUM(AE54:AE55)+AE42</f>
        <v>0</v>
      </c>
      <c r="AF57" s="171" cm="1">
        <f t="array" ref="AF57">SUMPRODUCT((AF$45:AF$52)*($E$45:$E$52))+SUM(AF54:AF55)+AF42</f>
        <v>0</v>
      </c>
      <c r="AG57" s="171" cm="1">
        <f t="array" ref="AG57">SUMPRODUCT((AG$45:AG$52)*($E$45:$E$52))+SUM(AG54:AG55)+AG42</f>
        <v>0</v>
      </c>
    </row>
    <row r="58" spans="1:43" x14ac:dyDescent="0.2">
      <c r="D58" s="206"/>
      <c r="G58" s="206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6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5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9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2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3"/>
    </row>
    <row r="64" spans="1:43" x14ac:dyDescent="0.2">
      <c r="C64" s="4" t="str">
        <f>'Option1 (base case)'!C64</f>
        <v>Risks mitigated vs base case</v>
      </c>
      <c r="G64" s="211">
        <f>input_dollars</f>
        <v>45291</v>
      </c>
      <c r="I64" s="133">
        <f>(1-INDEX(Data!$C$9:$C$13, MATCH($A$3, options,0)))*('Option1 (base case)'!I36-I36)</f>
        <v>0</v>
      </c>
      <c r="J64" s="133">
        <f>(1-INDEX(Data!$C$9:$C$13, MATCH($A$3, options,0)))*('Option1 (base case)'!J36-J36)</f>
        <v>0</v>
      </c>
      <c r="K64" s="133">
        <f>(1-INDEX(Data!$C$9:$C$13, MATCH($A$3, options,0)))*('Option1 (base case)'!K36-K36)</f>
        <v>0</v>
      </c>
      <c r="L64" s="133">
        <f>(1-INDEX(Data!$C$9:$C$13, MATCH($A$3, options,0)))*('Option1 (base case)'!L36-L36)</f>
        <v>0</v>
      </c>
      <c r="M64" s="133">
        <f>(1-INDEX(Data!$C$9:$C$13, MATCH($A$3, options,0)))*('Option1 (base case)'!M36-M36)</f>
        <v>0</v>
      </c>
      <c r="N64" s="133">
        <f>(1-INDEX(Data!$C$9:$C$13, MATCH($A$3, options,0)))*('Option1 (base case)'!N36-N36)</f>
        <v>0</v>
      </c>
      <c r="O64" s="133">
        <f>(1-INDEX(Data!$C$9:$C$13, MATCH($A$3, options,0)))*('Option1 (base case)'!O36-O36)</f>
        <v>0</v>
      </c>
      <c r="P64" s="133">
        <f>(1-INDEX(Data!$C$9:$C$13, MATCH($A$3, options,0)))*('Option1 (base case)'!P36-P36)</f>
        <v>0</v>
      </c>
      <c r="Q64" s="133">
        <f>(1-INDEX(Data!$C$9:$C$13, MATCH($A$3, options,0)))*('Option1 (base case)'!Q36-Q36)</f>
        <v>0</v>
      </c>
      <c r="R64" s="133">
        <f>(1-INDEX(Data!$C$9:$C$13, MATCH($A$3, options,0)))*('Option1 (base case)'!R36-R36)</f>
        <v>0</v>
      </c>
      <c r="S64" s="133">
        <f>(1-INDEX(Data!$C$9:$C$13, MATCH($A$3, options,0)))*('Option1 (base case)'!S36-S36)</f>
        <v>0</v>
      </c>
      <c r="T64" s="133">
        <f>(1-INDEX(Data!$C$9:$C$13, MATCH($A$3, options,0)))*('Option1 (base case)'!T36-T36)</f>
        <v>0</v>
      </c>
      <c r="U64" s="133">
        <f>(1-INDEX(Data!$C$9:$C$13, MATCH($A$3, options,0)))*('Option1 (base case)'!U36-U36)</f>
        <v>0</v>
      </c>
      <c r="V64" s="133">
        <f>(1-INDEX(Data!$C$9:$C$13, MATCH($A$3, options,0)))*('Option1 (base case)'!V36-V36)</f>
        <v>0</v>
      </c>
      <c r="W64" s="133">
        <f>(1-INDEX(Data!$C$9:$C$13, MATCH($A$3, options,0)))*('Option1 (base case)'!W36-W36)</f>
        <v>0</v>
      </c>
      <c r="X64" s="133">
        <f>(1-INDEX(Data!$C$9:$C$13, MATCH($A$3, options,0)))*('Option1 (base case)'!X36-X36)</f>
        <v>0</v>
      </c>
      <c r="Y64" s="133">
        <f>(1-INDEX(Data!$C$9:$C$13, MATCH($A$3, options,0)))*('Option1 (base case)'!Y36-Y36)</f>
        <v>0</v>
      </c>
      <c r="Z64" s="133">
        <f>(1-INDEX(Data!$C$9:$C$13, MATCH($A$3, options,0)))*('Option1 (base case)'!Z36-Z36)</f>
        <v>0</v>
      </c>
      <c r="AA64" s="133">
        <f>(1-INDEX(Data!$C$9:$C$13, MATCH($A$3, options,0)))*('Option1 (base case)'!AA36-AA36)</f>
        <v>0</v>
      </c>
      <c r="AB64" s="133">
        <f>(1-INDEX(Data!$C$9:$C$13, MATCH($A$3, options,0)))*('Option1 (base case)'!AB36-AB36)</f>
        <v>0</v>
      </c>
      <c r="AC64" s="133">
        <f>(1-INDEX(Data!$C$9:$C$13, MATCH($A$3, options,0)))*('Option1 (base case)'!AC36-AC36)</f>
        <v>0</v>
      </c>
      <c r="AD64" s="133">
        <f>(1-INDEX(Data!$C$9:$C$13, MATCH($A$3, options,0)))*('Option1 (base case)'!AD36-AD36)</f>
        <v>0</v>
      </c>
      <c r="AE64" s="133">
        <f>(1-INDEX(Data!$C$9:$C$13, MATCH($A$3, options,0)))*('Option1 (base case)'!AE36-AE36)</f>
        <v>0</v>
      </c>
      <c r="AF64" s="133">
        <f>(1-INDEX(Data!$C$9:$C$13, MATCH($A$3, options,0)))*('Option1 (base case)'!AF36-AF36)</f>
        <v>0</v>
      </c>
      <c r="AG64" s="133">
        <f>(1-INDEX(Data!$C$9:$C$13, MATCH($A$3, options,0)))*('Option1 (base case)'!AG36-AG36)</f>
        <v>0</v>
      </c>
    </row>
    <row r="65" spans="1:33" x14ac:dyDescent="0.2">
      <c r="G65" s="213"/>
    </row>
    <row r="66" spans="1:33" x14ac:dyDescent="0.2">
      <c r="A66" s="8"/>
      <c r="B66" s="8"/>
      <c r="C66" s="148" t="s">
        <v>30</v>
      </c>
      <c r="D66" s="38"/>
      <c r="F66" s="97"/>
      <c r="G66" s="214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1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1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1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5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8" t="s">
        <v>160</v>
      </c>
      <c r="D71" s="38"/>
      <c r="F71" s="97"/>
      <c r="G71" s="214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1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1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1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5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8" t="s">
        <v>91</v>
      </c>
      <c r="D76" s="38"/>
      <c r="F76" s="97"/>
      <c r="G76" s="214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1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1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1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3" t="s">
        <v>161</v>
      </c>
      <c r="D80" s="173"/>
      <c r="E80" s="174"/>
      <c r="F80" s="175"/>
      <c r="G80" s="216">
        <f>input_dollars</f>
        <v>45291</v>
      </c>
      <c r="H80" s="176"/>
      <c r="I80" s="177">
        <f>SUM(I77:I79)</f>
        <v>0</v>
      </c>
      <c r="J80" s="177">
        <f t="shared" ref="J80:AB80" si="11">SUM(J77:J79)</f>
        <v>0</v>
      </c>
      <c r="K80" s="177">
        <f t="shared" si="11"/>
        <v>0</v>
      </c>
      <c r="L80" s="177">
        <f t="shared" si="11"/>
        <v>0</v>
      </c>
      <c r="M80" s="177">
        <f t="shared" si="11"/>
        <v>0</v>
      </c>
      <c r="N80" s="177">
        <f t="shared" si="11"/>
        <v>0</v>
      </c>
      <c r="O80" s="177">
        <f t="shared" si="11"/>
        <v>0</v>
      </c>
      <c r="P80" s="177">
        <f t="shared" si="11"/>
        <v>0</v>
      </c>
      <c r="Q80" s="177">
        <f t="shared" si="11"/>
        <v>0</v>
      </c>
      <c r="R80" s="177">
        <f t="shared" si="11"/>
        <v>0</v>
      </c>
      <c r="S80" s="177">
        <f t="shared" si="11"/>
        <v>0</v>
      </c>
      <c r="T80" s="177">
        <f t="shared" si="11"/>
        <v>0</v>
      </c>
      <c r="U80" s="177">
        <f t="shared" si="11"/>
        <v>0</v>
      </c>
      <c r="V80" s="177">
        <f t="shared" si="11"/>
        <v>0</v>
      </c>
      <c r="W80" s="177">
        <f t="shared" si="11"/>
        <v>0</v>
      </c>
      <c r="X80" s="177">
        <f t="shared" si="11"/>
        <v>0</v>
      </c>
      <c r="Y80" s="177">
        <f t="shared" si="11"/>
        <v>0</v>
      </c>
      <c r="Z80" s="177">
        <f t="shared" si="11"/>
        <v>0</v>
      </c>
      <c r="AA80" s="177">
        <f t="shared" si="11"/>
        <v>0</v>
      </c>
      <c r="AB80" s="177">
        <f t="shared" si="11"/>
        <v>0</v>
      </c>
      <c r="AC80" s="177">
        <f>SUM(AC77:AC79)</f>
        <v>0</v>
      </c>
      <c r="AD80" s="177">
        <f>SUM(AD77:AD79)</f>
        <v>0</v>
      </c>
      <c r="AE80" s="177">
        <f>SUM(AE77:AE79)</f>
        <v>0</v>
      </c>
      <c r="AF80" s="177">
        <f>SUM(AF77:AF79)</f>
        <v>0</v>
      </c>
      <c r="AG80" s="177">
        <f>SUM(AG77:AG79)</f>
        <v>0</v>
      </c>
    </row>
    <row r="81" spans="1:33" x14ac:dyDescent="0.2">
      <c r="A81" s="8"/>
      <c r="B81" s="8"/>
      <c r="C81" s="75"/>
      <c r="D81" s="38"/>
      <c r="F81"/>
      <c r="G81" s="217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1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1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142</v>
      </c>
      <c r="D84" s="38"/>
      <c r="F84" s="97"/>
      <c r="G84" s="211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1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8" t="s">
        <v>192</v>
      </c>
      <c r="D87" s="179"/>
      <c r="E87" s="174"/>
      <c r="F87" s="180"/>
      <c r="G87" s="216">
        <f t="shared" si="12"/>
        <v>45291</v>
      </c>
      <c r="H87" s="180"/>
      <c r="I87" s="180">
        <f t="shared" ref="I87:AB87" si="17">SUM(I82:I86)</f>
        <v>0</v>
      </c>
      <c r="J87" s="180">
        <f t="shared" si="17"/>
        <v>0</v>
      </c>
      <c r="K87" s="180">
        <f t="shared" si="17"/>
        <v>0</v>
      </c>
      <c r="L87" s="180">
        <f t="shared" si="17"/>
        <v>0</v>
      </c>
      <c r="M87" s="180">
        <f t="shared" si="17"/>
        <v>0</v>
      </c>
      <c r="N87" s="180">
        <f t="shared" si="17"/>
        <v>0</v>
      </c>
      <c r="O87" s="180">
        <f t="shared" si="17"/>
        <v>0</v>
      </c>
      <c r="P87" s="180">
        <f t="shared" si="17"/>
        <v>0</v>
      </c>
      <c r="Q87" s="180">
        <f t="shared" si="17"/>
        <v>0</v>
      </c>
      <c r="R87" s="180">
        <f t="shared" si="17"/>
        <v>0</v>
      </c>
      <c r="S87" s="180">
        <f t="shared" si="17"/>
        <v>0</v>
      </c>
      <c r="T87" s="180">
        <f t="shared" si="17"/>
        <v>0</v>
      </c>
      <c r="U87" s="180">
        <f t="shared" si="17"/>
        <v>0</v>
      </c>
      <c r="V87" s="180">
        <f t="shared" si="17"/>
        <v>0</v>
      </c>
      <c r="W87" s="180">
        <f t="shared" si="17"/>
        <v>0</v>
      </c>
      <c r="X87" s="180">
        <f t="shared" si="17"/>
        <v>0</v>
      </c>
      <c r="Y87" s="180">
        <f t="shared" si="17"/>
        <v>0</v>
      </c>
      <c r="Z87" s="180">
        <f t="shared" si="17"/>
        <v>0</v>
      </c>
      <c r="AA87" s="180">
        <f t="shared" si="17"/>
        <v>0</v>
      </c>
      <c r="AB87" s="180">
        <f t="shared" si="17"/>
        <v>0</v>
      </c>
      <c r="AC87" s="180">
        <f>SUM(AC82:AC86)</f>
        <v>0</v>
      </c>
      <c r="AD87" s="180">
        <f>SUM(AD82:AD86)</f>
        <v>0</v>
      </c>
      <c r="AE87" s="180">
        <f>SUM(AE82:AE86)</f>
        <v>0</v>
      </c>
      <c r="AF87" s="180">
        <f>SUM(AF82:AF86)</f>
        <v>0</v>
      </c>
      <c r="AG87" s="180">
        <f>SUM(AG82:AG86)</f>
        <v>0</v>
      </c>
    </row>
    <row r="88" spans="1:33" x14ac:dyDescent="0.2">
      <c r="A88" s="8"/>
      <c r="B88" s="8"/>
      <c r="C88" s="75"/>
      <c r="D88" s="139"/>
      <c r="E88" s="64"/>
      <c r="F88" s="142"/>
      <c r="G88" s="21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9"/>
      <c r="E89" s="64"/>
      <c r="F89" s="142"/>
      <c r="G89" s="21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1" t="s">
        <v>202</v>
      </c>
      <c r="D90" s="82"/>
      <c r="E90" s="232"/>
      <c r="F90" s="233"/>
      <c r="G90" s="234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5"/>
      <c r="E91" s="232"/>
      <c r="F91" s="232"/>
      <c r="G91" s="234"/>
    </row>
    <row r="92" spans="1:33" x14ac:dyDescent="0.2">
      <c r="C92" s="236" t="s">
        <v>197</v>
      </c>
      <c r="D92" s="237"/>
      <c r="E92" s="237"/>
      <c r="F92" s="237"/>
      <c r="G92" s="238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218</v>
      </c>
      <c r="B102" s="89"/>
      <c r="C102" s="89"/>
      <c r="D102" s="89"/>
      <c r="E102" s="89"/>
      <c r="F102" s="89"/>
      <c r="G102" s="205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3"/>
      <c r="J104" s="243"/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  <c r="X104" s="243"/>
      <c r="Y104" s="243"/>
      <c r="Z104" s="243"/>
    </row>
    <row r="105" spans="1:43" x14ac:dyDescent="0.2"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3"/>
      <c r="X105" s="243"/>
      <c r="Y105" s="243"/>
      <c r="Z105" s="243"/>
    </row>
    <row r="106" spans="1:43" x14ac:dyDescent="0.2">
      <c r="A106" s="1" t="s">
        <v>119</v>
      </c>
      <c r="C106" s="1" t="s">
        <v>192</v>
      </c>
      <c r="D106"/>
      <c r="E106"/>
      <c r="F106"/>
      <c r="G106" s="38" t="str">
        <f>PROPER($A$3)&amp;A106</f>
        <v>Option 5NPV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161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243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2" t="str">
        <f>Assumptions!G114</f>
        <v>Capex</v>
      </c>
      <c r="E109" s="302" t="str">
        <f>Assumptions!H114</f>
        <v>Total benefits</v>
      </c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</row>
    <row r="110" spans="1:43" x14ac:dyDescent="0.2">
      <c r="A110" s="1" t="str">
        <f>"sens"&amp;Assumptions!B115</f>
        <v>sens1</v>
      </c>
      <c r="C110" s="301" t="str">
        <f>Assumptions!C115</f>
        <v>Capex 10% higher</v>
      </c>
      <c r="D110" s="302">
        <f>Assumptions!G115</f>
        <v>0.1</v>
      </c>
      <c r="E110" s="302">
        <f>Assumptions!H115</f>
        <v>0</v>
      </c>
      <c r="G110" s="38" t="str">
        <f>PROPER($A$3)&amp;A110</f>
        <v>Option 5sens1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"sens"&amp;Assumptions!B116</f>
        <v>sens2</v>
      </c>
      <c r="C111" s="301" t="str">
        <f>Assumptions!C116</f>
        <v>Capex 10% lower</v>
      </c>
      <c r="D111" s="302">
        <f>Assumptions!G116</f>
        <v>-0.1</v>
      </c>
      <c r="E111" s="302">
        <f>Assumptions!H116</f>
        <v>0</v>
      </c>
      <c r="G111" s="38" t="str">
        <f t="shared" ref="G111:G117" si="21">PROPER($A$3)&amp;A111</f>
        <v>Option 5sens2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"sens"&amp;Assumptions!B117</f>
        <v>sens3</v>
      </c>
      <c r="C112" s="301" t="str">
        <f>Assumptions!C117</f>
        <v>Increasing wind escalation</v>
      </c>
      <c r="D112" s="302">
        <f>Assumptions!G117</f>
        <v>0</v>
      </c>
      <c r="E112" s="302">
        <f>Assumptions!H117</f>
        <v>0.15</v>
      </c>
      <c r="G112" s="38" t="str">
        <f t="shared" si="21"/>
        <v>Option 5sens3</v>
      </c>
      <c r="I112" s="335">
        <f>IF(I106&lt;&gt;0, I106+SUM(Workings_risks!$F$19*Workings_risks!I27*$E$112/20,Workings_risks!I26*Workings_risks!$F$18)*Workings_risks!$F$13*Workings_risks!I8*$E$28,0)</f>
        <v>0</v>
      </c>
      <c r="J112" s="335">
        <f>IF(J106&lt;&gt;0, J106+SUM(Workings_risks!$F$19*Workings_risks!J27*$E$112/20,Workings_risks!J26*Workings_risks!$F$18)*Workings_risks!$F$13*Workings_risks!J8*$E$28,0)</f>
        <v>0</v>
      </c>
      <c r="K112" s="335">
        <f>IF(K106&lt;&gt;0, K106+SUM(Workings_risks!$F$19*Workings_risks!K27*$E$112/20,Workings_risks!K26*Workings_risks!$F$18)*Workings_risks!$F$13*Workings_risks!K8*$E$28,0)</f>
        <v>0</v>
      </c>
      <c r="L112" s="335">
        <f>IF(L106&lt;&gt;0, L106+SUM(Workings_risks!$F$19*Workings_risks!L27*$E$112/20,Workings_risks!L26*Workings_risks!$F$18)*Workings_risks!$F$13*Workings_risks!L8*$E$28,0)</f>
        <v>0</v>
      </c>
      <c r="M112" s="335">
        <f>IF(M106&lt;&gt;0, M106+SUM(Workings_risks!$F$19*Workings_risks!M27*$E$112/20,Workings_risks!M26*Workings_risks!$F$18)*Workings_risks!$F$13*Workings_risks!M8*$E$28,0)</f>
        <v>0</v>
      </c>
      <c r="N112" s="335">
        <f>IF(N106&lt;&gt;0, N106+SUM(Workings_risks!$F$19*Workings_risks!N27*$E$112/20,Workings_risks!N26*Workings_risks!$F$18)*Workings_risks!$F$13*Workings_risks!N8*$E$28,0)</f>
        <v>0</v>
      </c>
      <c r="O112" s="335">
        <f>IF(O106&lt;&gt;0, O106+SUM(Workings_risks!$F$19*Workings_risks!O27*$E$112/20,Workings_risks!O26*Workings_risks!$F$18)*Workings_risks!$F$13*Workings_risks!O8*$E$28,0)</f>
        <v>0</v>
      </c>
      <c r="P112" s="335">
        <f>IF(P106&lt;&gt;0, P106+SUM(Workings_risks!$F$19*Workings_risks!P27*$E$112/20,Workings_risks!P26*Workings_risks!$F$18)*Workings_risks!$F$13*Workings_risks!P8*$E$28,0)</f>
        <v>0</v>
      </c>
      <c r="Q112" s="335">
        <f>IF(Q106&lt;&gt;0, Q106+SUM(Workings_risks!$F$19*Workings_risks!Q27*$E$112/20,Workings_risks!Q26*Workings_risks!$F$18)*Workings_risks!$F$13*Workings_risks!Q8*$E$28,0)</f>
        <v>0</v>
      </c>
      <c r="R112" s="335">
        <f>IF(R106&lt;&gt;0, R106+SUM(Workings_risks!$F$19*Workings_risks!R27*$E$112/20,Workings_risks!R26*Workings_risks!$F$18)*Workings_risks!$F$13*Workings_risks!R8*$E$28,0)</f>
        <v>0</v>
      </c>
      <c r="S112" s="335">
        <f>IF(S106&lt;&gt;0, S106+SUM(Workings_risks!$F$19*Workings_risks!S27*$E$112/20,Workings_risks!S26*Workings_risks!$F$18)*Workings_risks!$F$13*Workings_risks!S8*$E$28,0)</f>
        <v>0</v>
      </c>
      <c r="T112" s="335">
        <f>IF(T106&lt;&gt;0, T106+SUM(Workings_risks!$F$19*Workings_risks!T27*$E$112/20,Workings_risks!T26*Workings_risks!$F$18)*Workings_risks!$F$13*Workings_risks!T8*$E$28,0)</f>
        <v>0</v>
      </c>
      <c r="U112" s="335">
        <f>IF(U106&lt;&gt;0, U106+SUM(Workings_risks!$F$19*Workings_risks!U27*$E$112/20,Workings_risks!U26*Workings_risks!$F$18)*Workings_risks!$F$13*Workings_risks!U8*$E$28,0)</f>
        <v>0</v>
      </c>
      <c r="V112" s="335">
        <f>IF(V106&lt;&gt;0, V106+SUM(Workings_risks!$F$19*Workings_risks!V27*$E$112/20,Workings_risks!V26*Workings_risks!$F$18)*Workings_risks!$F$13*Workings_risks!V8*$E$28,0)</f>
        <v>0</v>
      </c>
      <c r="W112" s="335">
        <f>IF(W106&lt;&gt;0, W106+SUM(Workings_risks!$F$19*Workings_risks!W27*$E$112/20,Workings_risks!W26*Workings_risks!$F$18)*Workings_risks!$F$13*Workings_risks!W8*$E$28,0)</f>
        <v>0</v>
      </c>
      <c r="X112" s="335">
        <f>IF(X106&lt;&gt;0, X106+SUM(Workings_risks!$F$19*Workings_risks!X27*$E$112/20,Workings_risks!X26*Workings_risks!$F$18)*Workings_risks!$F$13*Workings_risks!X8*$E$28,0)</f>
        <v>0</v>
      </c>
      <c r="Y112" s="335">
        <f>IF(Y106&lt;&gt;0, Y106+SUM(Workings_risks!$F$19*Workings_risks!Y27*$E$112/20,Workings_risks!Y26*Workings_risks!$F$18)*Workings_risks!$F$13*Workings_risks!Y8*$E$28,0)</f>
        <v>0</v>
      </c>
      <c r="Z112" s="335">
        <f>IF(Z106&lt;&gt;0, Z106+SUM(Workings_risks!$F$19*Workings_risks!Z27*$E$112/20,Workings_risks!Z26*Workings_risks!$F$18)*Workings_risks!$F$13*Workings_risks!Z8*$E$28,0)</f>
        <v>0</v>
      </c>
      <c r="AA112" s="335">
        <f>IF(AA106&lt;&gt;0, AA106+SUM(Workings_risks!$F$19*Workings_risks!AA27*$E$112/20,Workings_risks!AA26*Workings_risks!$F$18)*Workings_risks!$F$13*Workings_risks!AA8*$E$28,0)</f>
        <v>0</v>
      </c>
      <c r="AB112" s="335">
        <f>IF(AB106&lt;&gt;0, AB106+SUM(Workings_risks!$F$19*Workings_risks!AB27*$E$112/20,Workings_risks!AB26*Workings_risks!$F$18)*Workings_risks!$F$13*Workings_risks!AB8*$E$28,0)</f>
        <v>0</v>
      </c>
      <c r="AC112" s="335">
        <f>IF(AC106&lt;&gt;0, AC106+SUM(Workings_risks!$F$19*Workings_risks!AC27*$E$112/20,Workings_risks!AC26*Workings_risks!$F$18)*Workings_risks!$F$13*Workings_risks!AC8*$E$28,0)</f>
        <v>0</v>
      </c>
      <c r="AD112" s="335">
        <f>IF(AD106&lt;&gt;0, AD106+SUM(Workings_risks!$F$19*Workings_risks!AD27*$E$112/20,Workings_risks!AD26*Workings_risks!$F$18)*Workings_risks!$F$13*Workings_risks!AD8*$E$28,0)</f>
        <v>0</v>
      </c>
      <c r="AE112" s="335">
        <f>IF(AE106&lt;&gt;0, AE106+SUM(Workings_risks!$F$19*Workings_risks!AE27*$E$112/20,Workings_risks!AE26*Workings_risks!$F$18)*Workings_risks!$F$13*Workings_risks!AE8*$E$28,0)</f>
        <v>0</v>
      </c>
      <c r="AF112" s="335">
        <f>IF(AF106&lt;&gt;0, AF106+SUM(Workings_risks!$F$19*Workings_risks!AF27*$E$112/20,Workings_risks!AF26*Workings_risks!$F$18)*Workings_risks!$F$13*Workings_risks!AF8*$E$28,0)</f>
        <v>0</v>
      </c>
      <c r="AG112" s="335">
        <f>IF(AG106&lt;&gt;0, AG106+SUM(Workings_risks!$F$19*Workings_risks!AG27*$E$112/20,Workings_risks!AG26*Workings_risks!$F$18)*Workings_risks!$F$13*Workings_risks!AG8*$E$28,0)</f>
        <v>0</v>
      </c>
    </row>
    <row r="113" spans="1:33" x14ac:dyDescent="0.2">
      <c r="A113" s="1" t="str">
        <f>"sens"&amp;Assumptions!B118</f>
        <v>sens4</v>
      </c>
      <c r="C113" s="301" t="str">
        <f>Assumptions!C118</f>
        <v/>
      </c>
      <c r="D113" s="302">
        <f>Assumptions!G118</f>
        <v>0</v>
      </c>
      <c r="E113" s="302">
        <f>Assumptions!H118</f>
        <v>0</v>
      </c>
      <c r="G113" s="38" t="str">
        <f t="shared" si="21"/>
        <v>Option 5sens4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"sens"&amp;Assumptions!B119</f>
        <v>sens5</v>
      </c>
      <c r="C114" s="301" t="str">
        <f>Assumptions!C119</f>
        <v/>
      </c>
      <c r="D114" s="302">
        <f>Assumptions!G119</f>
        <v>0</v>
      </c>
      <c r="E114" s="302">
        <f>Assumptions!H119</f>
        <v>0</v>
      </c>
      <c r="G114" s="38" t="str">
        <f t="shared" si="21"/>
        <v>Option 5sens5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"sens"&amp;Assumptions!B120</f>
        <v>sens</v>
      </c>
      <c r="C115" s="301">
        <f>Assumptions!C120</f>
        <v>0</v>
      </c>
      <c r="D115" s="302">
        <f>Assumptions!G120</f>
        <v>0</v>
      </c>
      <c r="E115" s="302">
        <f>Assumptions!H120</f>
        <v>0</v>
      </c>
      <c r="G115" s="38" t="str">
        <f t="shared" si="21"/>
        <v>Option 5sens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"sens"&amp;Assumptions!B121</f>
        <v>sens</v>
      </c>
      <c r="C116" s="301">
        <f>Assumptions!C121</f>
        <v>0</v>
      </c>
      <c r="D116" s="302">
        <f>Assumptions!G121</f>
        <v>0</v>
      </c>
      <c r="E116" s="302">
        <f>Assumptions!H121</f>
        <v>0</v>
      </c>
      <c r="G116" s="38" t="str">
        <f t="shared" si="21"/>
        <v>Option 5sens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"sens"&amp;Assumptions!B122</f>
        <v>sens</v>
      </c>
      <c r="C117" s="301">
        <f>Assumptions!C122</f>
        <v>0</v>
      </c>
      <c r="D117" s="302">
        <f>Assumptions!G122</f>
        <v>0</v>
      </c>
      <c r="E117" s="302">
        <f>Assumptions!H122</f>
        <v>0</v>
      </c>
      <c r="G117" s="38" t="str">
        <f t="shared" si="21"/>
        <v>Option 5sens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2" priority="38">
      <formula>AND(SUM($I14:$AB14)&lt;&gt;0, E14=0)</formula>
    </cfRule>
  </conditionalFormatting>
  <conditionalFormatting sqref="E28">
    <cfRule type="expression" dxfId="1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ignoredErrors>
    <ignoredError sqref="I112:AG112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L11" activePane="bottomRight" state="frozen"/>
      <selection activeCell="D33" sqref="D33"/>
      <selection pane="topRight" activeCell="D33" sqref="D33"/>
      <selection pane="bottomLeft" activeCell="D33" sqref="D33"/>
      <selection pane="bottomRight" activeCell="N14" sqref="N14"/>
    </sheetView>
  </sheetViews>
  <sheetFormatPr defaultColWidth="0" defaultRowHeight="12.75" zeroHeight="1" outlineLevelRow="1" x14ac:dyDescent="0.2"/>
  <cols>
    <col min="1" max="1" width="8.125" style="10" customWidth="1"/>
    <col min="2" max="2" width="5.5" style="10" customWidth="1"/>
    <col min="3" max="3" width="16.875" style="10" bestFit="1" customWidth="1"/>
    <col min="4" max="4" width="12.375" style="10" customWidth="1"/>
    <col min="5" max="5" width="14.25" customWidth="1"/>
    <col min="6" max="6" width="12.375" style="10" customWidth="1"/>
    <col min="7" max="7" width="11.625" style="10" customWidth="1"/>
    <col min="8" max="8" width="8.6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.75" x14ac:dyDescent="0.3">
      <c r="A2" s="56" t="str">
        <f>proj</f>
        <v>Donald microgrid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.75" x14ac:dyDescent="0.3">
      <c r="A3" s="204" t="s">
        <v>90</v>
      </c>
      <c r="B3" s="5"/>
      <c r="C3" s="34"/>
      <c r="D3" s="34"/>
      <c r="E3" s="3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4" s="2" customFormat="1" ht="10.5" customHeight="1" x14ac:dyDescent="0.2">
      <c r="A4" s="115"/>
      <c r="B4" s="115"/>
      <c r="C4" s="116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4" s="2" customFormat="1" hidden="1" outlineLevel="1" x14ac:dyDescent="0.2">
      <c r="A5" s="116" t="s">
        <v>198</v>
      </c>
      <c r="B5" s="116"/>
      <c r="C5" s="117"/>
      <c r="D5" s="116"/>
      <c r="E5" s="116"/>
      <c r="F5" s="116"/>
      <c r="G5" s="101"/>
      <c r="H5" s="189">
        <f t="shared" ref="H5:AG5" si="0">IF(H9=start,1/((1+real_disc)^(1/2)),G5/(1+real_disc))</f>
        <v>0</v>
      </c>
      <c r="I5" s="189">
        <f t="shared" si="0"/>
        <v>0.98294637436598087</v>
      </c>
      <c r="J5" s="189">
        <f t="shared" si="0"/>
        <v>0.94970664189949849</v>
      </c>
      <c r="K5" s="189">
        <f t="shared" si="0"/>
        <v>0.91759095835700344</v>
      </c>
      <c r="L5" s="189">
        <f t="shared" si="0"/>
        <v>0.88656131242222558</v>
      </c>
      <c r="M5" s="189">
        <f t="shared" si="0"/>
        <v>0.85658097818572532</v>
      </c>
      <c r="N5" s="189">
        <f t="shared" si="0"/>
        <v>0.8276144716770294</v>
      </c>
      <c r="O5" s="189">
        <f t="shared" si="0"/>
        <v>0.79962750886669509</v>
      </c>
      <c r="P5" s="189">
        <f t="shared" si="0"/>
        <v>0.77258696508859437</v>
      </c>
      <c r="Q5" s="189">
        <f t="shared" si="0"/>
        <v>0.74646083583439071</v>
      </c>
      <c r="R5" s="189">
        <f t="shared" si="0"/>
        <v>0.72121819887380756</v>
      </c>
      <c r="S5" s="189">
        <f t="shared" si="0"/>
        <v>0.69682917765585273</v>
      </c>
      <c r="T5" s="189">
        <f t="shared" si="0"/>
        <v>0.67326490594768384</v>
      </c>
      <c r="U5" s="189">
        <f t="shared" si="0"/>
        <v>0.6504974936692598</v>
      </c>
      <c r="V5" s="189">
        <f t="shared" si="0"/>
        <v>0.62849999388334288</v>
      </c>
      <c r="W5" s="189">
        <f t="shared" si="0"/>
        <v>0.60724637090178057</v>
      </c>
      <c r="X5" s="189">
        <f t="shared" si="0"/>
        <v>0.58671146947031949</v>
      </c>
      <c r="Y5" s="189">
        <f t="shared" si="0"/>
        <v>0.56687098499547783</v>
      </c>
      <c r="Z5" s="189">
        <f t="shared" si="0"/>
        <v>0.54770143477823952</v>
      </c>
      <c r="AA5" s="189">
        <f t="shared" si="0"/>
        <v>0.52918013022052135</v>
      </c>
      <c r="AB5" s="189">
        <f t="shared" si="0"/>
        <v>0.5112851499715183</v>
      </c>
      <c r="AC5" s="189">
        <f t="shared" si="0"/>
        <v>0.4939953139821433</v>
      </c>
      <c r="AD5" s="189">
        <f t="shared" si="0"/>
        <v>0.47729015843685346</v>
      </c>
      <c r="AE5" s="189">
        <f t="shared" si="0"/>
        <v>0.46114991153319179</v>
      </c>
      <c r="AF5" s="189">
        <f t="shared" si="0"/>
        <v>0.4455554700803786</v>
      </c>
      <c r="AG5" s="189">
        <f t="shared" si="0"/>
        <v>0.43048837688925473</v>
      </c>
    </row>
    <row r="6" spans="1:34" s="2" customFormat="1" hidden="1" outlineLevel="1" x14ac:dyDescent="0.2">
      <c r="A6" s="190" t="str">
        <f>'Option1 (base case)'!A6</f>
        <v>Count</v>
      </c>
      <c r="B6" s="116"/>
      <c r="C6" s="117"/>
      <c r="D6" s="116"/>
      <c r="E6" s="116"/>
      <c r="F6" s="116"/>
      <c r="G6" s="101"/>
      <c r="H6" s="190">
        <f>'Option1 (base case)'!H6</f>
        <v>0</v>
      </c>
      <c r="I6" s="190">
        <f>'Option1 (base case)'!I6</f>
        <v>1</v>
      </c>
      <c r="J6" s="190">
        <f>'Option1 (base case)'!J6</f>
        <v>2</v>
      </c>
      <c r="K6" s="190">
        <f>'Option1 (base case)'!K6</f>
        <v>3</v>
      </c>
      <c r="L6" s="190">
        <f>'Option1 (base case)'!L6</f>
        <v>4</v>
      </c>
      <c r="M6" s="190">
        <f>'Option1 (base case)'!M6</f>
        <v>5</v>
      </c>
      <c r="N6" s="190">
        <f>'Option1 (base case)'!N6</f>
        <v>6</v>
      </c>
      <c r="O6" s="190">
        <f>'Option1 (base case)'!O6</f>
        <v>7</v>
      </c>
      <c r="P6" s="190">
        <f>'Option1 (base case)'!P6</f>
        <v>8</v>
      </c>
      <c r="Q6" s="190">
        <f>'Option1 (base case)'!Q6</f>
        <v>9</v>
      </c>
      <c r="R6" s="190">
        <f>'Option1 (base case)'!R6</f>
        <v>10</v>
      </c>
      <c r="S6" s="190">
        <f>'Option1 (base case)'!S6</f>
        <v>11</v>
      </c>
      <c r="T6" s="190">
        <f>'Option1 (base case)'!T6</f>
        <v>12</v>
      </c>
      <c r="U6" s="190">
        <f>'Option1 (base case)'!U6</f>
        <v>13</v>
      </c>
      <c r="V6" s="190">
        <f>'Option1 (base case)'!V6</f>
        <v>14</v>
      </c>
      <c r="W6" s="190">
        <f>'Option1 (base case)'!W6</f>
        <v>15</v>
      </c>
      <c r="X6" s="190">
        <f>'Option1 (base case)'!X6</f>
        <v>16</v>
      </c>
      <c r="Y6" s="190">
        <f>'Option1 (base case)'!Y6</f>
        <v>17</v>
      </c>
      <c r="Z6" s="190">
        <f>'Option1 (base case)'!Z6</f>
        <v>18</v>
      </c>
      <c r="AA6" s="190">
        <f>'Option1 (base case)'!AA6</f>
        <v>19</v>
      </c>
      <c r="AB6" s="190">
        <f>'Option1 (base case)'!AB6</f>
        <v>20</v>
      </c>
      <c r="AC6" s="190">
        <f>'Option1 (base case)'!AC6</f>
        <v>21</v>
      </c>
      <c r="AD6" s="190">
        <f>'Option1 (base case)'!AD6</f>
        <v>22</v>
      </c>
      <c r="AE6" s="190">
        <f>'Option1 (base case)'!AE6</f>
        <v>23</v>
      </c>
      <c r="AF6" s="190">
        <f>'Option1 (base case)'!AF6</f>
        <v>24</v>
      </c>
      <c r="AG6" s="190">
        <f>'Option1 (base case)'!AG6</f>
        <v>25</v>
      </c>
    </row>
    <row r="7" spans="1:34" s="2" customFormat="1" hidden="1" outlineLevel="1" x14ac:dyDescent="0.2">
      <c r="A7" s="116" t="s">
        <v>199</v>
      </c>
      <c r="B7" s="116"/>
      <c r="C7" s="117"/>
      <c r="D7" s="116"/>
      <c r="E7" s="116"/>
      <c r="F7" s="116"/>
      <c r="G7" s="101"/>
      <c r="H7" s="101" t="b">
        <f t="shared" ref="H7:AG7" si="1">H$6&lt;(first_year+years)</f>
        <v>1</v>
      </c>
      <c r="I7" s="101" t="b">
        <f t="shared" si="1"/>
        <v>1</v>
      </c>
      <c r="J7" s="101" t="b">
        <f t="shared" si="1"/>
        <v>1</v>
      </c>
      <c r="K7" s="101" t="b">
        <f t="shared" si="1"/>
        <v>1</v>
      </c>
      <c r="L7" s="101" t="b">
        <f t="shared" si="1"/>
        <v>1</v>
      </c>
      <c r="M7" s="101" t="b">
        <f t="shared" si="1"/>
        <v>1</v>
      </c>
      <c r="N7" s="101" t="b">
        <f t="shared" si="1"/>
        <v>1</v>
      </c>
      <c r="O7" s="101" t="b">
        <f t="shared" si="1"/>
        <v>1</v>
      </c>
      <c r="P7" s="101" t="b">
        <f t="shared" si="1"/>
        <v>1</v>
      </c>
      <c r="Q7" s="101" t="b">
        <f t="shared" si="1"/>
        <v>1</v>
      </c>
      <c r="R7" s="101" t="b">
        <f t="shared" si="1"/>
        <v>1</v>
      </c>
      <c r="S7" s="101" t="b">
        <f t="shared" si="1"/>
        <v>1</v>
      </c>
      <c r="T7" s="101" t="b">
        <f t="shared" si="1"/>
        <v>1</v>
      </c>
      <c r="U7" s="101" t="b">
        <f t="shared" si="1"/>
        <v>1</v>
      </c>
      <c r="V7" s="101" t="b">
        <f t="shared" si="1"/>
        <v>1</v>
      </c>
      <c r="W7" s="101" t="b">
        <f t="shared" si="1"/>
        <v>1</v>
      </c>
      <c r="X7" s="101" t="b">
        <f t="shared" si="1"/>
        <v>1</v>
      </c>
      <c r="Y7" s="101" t="b">
        <f t="shared" si="1"/>
        <v>1</v>
      </c>
      <c r="Z7" s="101" t="b">
        <f t="shared" si="1"/>
        <v>1</v>
      </c>
      <c r="AA7" s="101" t="b">
        <f t="shared" si="1"/>
        <v>1</v>
      </c>
      <c r="AB7" s="101" t="b">
        <f t="shared" si="1"/>
        <v>1</v>
      </c>
      <c r="AC7" s="101" t="b">
        <f t="shared" si="1"/>
        <v>1</v>
      </c>
      <c r="AD7" s="101" t="b">
        <f t="shared" si="1"/>
        <v>0</v>
      </c>
      <c r="AE7" s="101" t="b">
        <f t="shared" si="1"/>
        <v>0</v>
      </c>
      <c r="AF7" s="101" t="b">
        <f t="shared" si="1"/>
        <v>0</v>
      </c>
      <c r="AG7" s="101" t="b">
        <f t="shared" si="1"/>
        <v>0</v>
      </c>
    </row>
    <row r="8" spans="1:34" s="2" customFormat="1" ht="11.25" customHeight="1" collapsed="1" x14ac:dyDescent="0.2"/>
    <row r="9" spans="1:34" s="2" customFormat="1" ht="15" x14ac:dyDescent="0.25">
      <c r="A9" s="19"/>
      <c r="B9" s="19"/>
      <c r="C9" s="19"/>
      <c r="D9" s="19"/>
      <c r="E9" s="83"/>
      <c r="F9" s="19"/>
      <c r="G9" s="20"/>
      <c r="H9" s="320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4" s="2" customFormat="1" x14ac:dyDescent="0.2">
      <c r="C10" s="118"/>
      <c r="D10" s="118"/>
      <c r="F10" s="118"/>
      <c r="G10" s="222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4" s="2" customFormat="1" ht="15" x14ac:dyDescent="0.2">
      <c r="A11" s="120" t="s">
        <v>39</v>
      </c>
      <c r="B11" s="120"/>
      <c r="C11" s="121"/>
      <c r="D11" s="121"/>
      <c r="E11" s="121"/>
      <c r="F11" s="70" t="s">
        <v>157</v>
      </c>
      <c r="G11" s="223"/>
      <c r="H11" s="122" t="str" cm="1">
        <f t="array" ref="H11">IF(H6=$C$4,UPPER($A$4),IF(H6=end,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4" s="2" customFormat="1" x14ac:dyDescent="0.2">
      <c r="A12" s="118"/>
      <c r="B12" s="118"/>
      <c r="C12" s="118"/>
      <c r="D12" s="118"/>
      <c r="F12" s="118"/>
      <c r="G12" s="225"/>
      <c r="H12" s="118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</row>
    <row r="13" spans="1:34" s="2" customFormat="1" x14ac:dyDescent="0.2">
      <c r="A13" s="123"/>
      <c r="B13" s="123"/>
      <c r="C13" s="123"/>
      <c r="D13" s="118"/>
      <c r="F13" s="118"/>
      <c r="G13" s="222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</row>
    <row r="14" spans="1:34" s="271" customFormat="1" x14ac:dyDescent="0.2">
      <c r="A14" s="269" t="str">
        <f>A15</f>
        <v>Option 1 (base case)</v>
      </c>
      <c r="B14" s="269"/>
      <c r="C14" s="269" t="s">
        <v>124</v>
      </c>
      <c r="D14" s="270" t="str">
        <f t="shared" ref="D14:D25" si="2">A14&amp;C14</f>
        <v>Option 1 (base case)Energy at risk value</v>
      </c>
      <c r="F14" s="97">
        <f>SUMPRODUCT($H14:$AG14, $H$5:$AG$5)</f>
        <v>8722204.4923743792</v>
      </c>
      <c r="G14" s="272">
        <f>output_dollars</f>
        <v>46203</v>
      </c>
      <c r="H14" s="273"/>
      <c r="I14" s="31">
        <f>'Option1 (base case)'!I$28*conv_2026</f>
        <v>535932.19998257514</v>
      </c>
      <c r="J14" s="31">
        <f>'Option1 (base case)'!J$28*conv_2026</f>
        <v>525903.80988681607</v>
      </c>
      <c r="K14" s="31">
        <f>'Option1 (base case)'!K$28*conv_2026</f>
        <v>523914.71824469726</v>
      </c>
      <c r="L14" s="31">
        <f>'Option1 (base case)'!L$28*conv_2026</f>
        <v>525545.28544504475</v>
      </c>
      <c r="M14" s="31">
        <f>'Option1 (base case)'!M$28*conv_2026</f>
        <v>525605.16627296747</v>
      </c>
      <c r="N14" s="31">
        <f>'Option1 (base case)'!N$28*conv_2026</f>
        <v>521298.01614456653</v>
      </c>
      <c r="O14" s="31">
        <f>'Option1 (base case)'!O$28*conv_2026</f>
        <v>518714.1944223374</v>
      </c>
      <c r="P14" s="31">
        <f>'Option1 (base case)'!P$28*conv_2026</f>
        <v>518973.82760829688</v>
      </c>
      <c r="Q14" s="31">
        <f>'Option1 (base case)'!Q$28*conv_2026</f>
        <v>520850.41183933878</v>
      </c>
      <c r="R14" s="31">
        <f>'Option1 (base case)'!R$28*conv_2026</f>
        <v>516420.36674070731</v>
      </c>
      <c r="S14" s="31">
        <f>'Option1 (base case)'!S$28*conv_2026</f>
        <v>516436.3304146005</v>
      </c>
      <c r="T14" s="31">
        <f>'Option1 (base case)'!T$28*conv_2026</f>
        <v>516452.29408849351</v>
      </c>
      <c r="U14" s="31">
        <f>'Option1 (base case)'!U$28*conv_2026</f>
        <v>516468.2577623867</v>
      </c>
      <c r="V14" s="31">
        <f>'Option1 (base case)'!V$28*conv_2026</f>
        <v>516484.22143627977</v>
      </c>
      <c r="W14" s="31">
        <f>'Option1 (base case)'!W$28*conv_2026</f>
        <v>516500.18511017278</v>
      </c>
      <c r="X14" s="31">
        <f>'Option1 (base case)'!X$28*conv_2026</f>
        <v>516516.14878406591</v>
      </c>
      <c r="Y14" s="31">
        <f>'Option1 (base case)'!Y$28*conv_2026</f>
        <v>516532.11245795886</v>
      </c>
      <c r="Z14" s="31">
        <f>'Option1 (base case)'!Z$28*conv_2026</f>
        <v>516548.07613185194</v>
      </c>
      <c r="AA14" s="31">
        <f>'Option1 (base case)'!AA$28*conv_2026</f>
        <v>516564.03980574518</v>
      </c>
      <c r="AB14" s="31">
        <f>'Option1 (base case)'!AB$28*conv_2026</f>
        <v>516580.00347963831</v>
      </c>
      <c r="AC14" s="31">
        <f>'Option1 (base case)'!AC$28*conv_2026</f>
        <v>516595.96715353121</v>
      </c>
      <c r="AD14" s="31">
        <f>'Option1 (base case)'!AD$28*conv_2026</f>
        <v>516611.9308274244</v>
      </c>
      <c r="AE14" s="31">
        <f>'Option1 (base case)'!AE$28*conv_2026</f>
        <v>516627.89450131747</v>
      </c>
      <c r="AF14" s="31">
        <f>'Option1 (base case)'!AF$28*conv_2026</f>
        <v>516643.85817521048</v>
      </c>
      <c r="AG14" s="31">
        <f>'Option1 (base case)'!AG$28*conv_2026</f>
        <v>516659.82184910349</v>
      </c>
    </row>
    <row r="15" spans="1:34" s="1" customFormat="1" x14ac:dyDescent="0.2">
      <c r="A15" s="136" t="str">
        <f>Data!B9</f>
        <v>Option 1 (base case)</v>
      </c>
      <c r="B15" s="136"/>
      <c r="C15" s="58" t="str">
        <f>'Option1 (base case)'!C$66</f>
        <v>Capital expenditure</v>
      </c>
      <c r="D15" s="38" t="str">
        <f t="shared" si="2"/>
        <v>Option 1 (base case)Capital expenditure</v>
      </c>
      <c r="F15" s="97">
        <f>SUMPRODUCT($H15:$AG15, $H$5:$AG$5)</f>
        <v>0</v>
      </c>
      <c r="G15" s="226">
        <f>output_dollars</f>
        <v>46203</v>
      </c>
      <c r="H15" s="31"/>
      <c r="I15" s="31">
        <f>SUM('Option1 (base case)'!I$67:I$69)*conv_2026</f>
        <v>0</v>
      </c>
      <c r="J15" s="31">
        <f>SUM('Option1 (base case)'!J$67:J$69)</f>
        <v>0</v>
      </c>
      <c r="K15" s="31">
        <f>SUM('Option1 (base case)'!K$67:K$69)</f>
        <v>0</v>
      </c>
      <c r="L15" s="31">
        <f>SUM('Option1 (base case)'!L$67:L$69)</f>
        <v>0</v>
      </c>
      <c r="M15" s="31">
        <f>SUM('Option1 (base case)'!M$67:M$69)</f>
        <v>0</v>
      </c>
      <c r="N15" s="31">
        <f>SUM('Option1 (base case)'!N$67:N$69)</f>
        <v>0</v>
      </c>
      <c r="O15" s="31">
        <f>SUM('Option1 (base case)'!O$67:O$69)</f>
        <v>0</v>
      </c>
      <c r="P15" s="31">
        <f>SUM('Option1 (base case)'!P$67:P$69)</f>
        <v>0</v>
      </c>
      <c r="Q15" s="31">
        <f>SUM('Option1 (base case)'!Q$67:Q$69)</f>
        <v>0</v>
      </c>
      <c r="R15" s="31">
        <f>SUM('Option1 (base case)'!R$67:R$69)</f>
        <v>0</v>
      </c>
      <c r="S15" s="31">
        <f>SUM('Option1 (base case)'!S$67:S$69)</f>
        <v>0</v>
      </c>
      <c r="T15" s="31">
        <f>SUM('Option1 (base case)'!T$67:T$69)</f>
        <v>0</v>
      </c>
      <c r="U15" s="31">
        <f>SUM('Option1 (base case)'!U$67:U$69)</f>
        <v>0</v>
      </c>
      <c r="V15" s="31">
        <f>SUM('Option1 (base case)'!V$67:V$69)</f>
        <v>0</v>
      </c>
      <c r="W15" s="31">
        <f>SUM('Option1 (base case)'!W$67:W$69)</f>
        <v>0</v>
      </c>
      <c r="X15" s="31">
        <f>SUM('Option1 (base case)'!X$67:X$69)</f>
        <v>0</v>
      </c>
      <c r="Y15" s="31">
        <f>SUM('Option1 (base case)'!Y$67:Y$69)</f>
        <v>0</v>
      </c>
      <c r="Z15" s="31">
        <f>SUM('Option1 (base case)'!Z$67:Z$69)</f>
        <v>0</v>
      </c>
      <c r="AA15" s="31">
        <f>SUM('Option1 (base case)'!AA$67:AA$69)</f>
        <v>0</v>
      </c>
      <c r="AB15" s="31">
        <f>SUM('Option1 (base case)'!AB$67:AB$69)</f>
        <v>0</v>
      </c>
      <c r="AC15" s="31">
        <f>SUM('Option1 (base case)'!AC$67:AC$69)</f>
        <v>0</v>
      </c>
      <c r="AD15" s="31">
        <f>SUM('Option1 (base case)'!AD$67:AD$69)</f>
        <v>0</v>
      </c>
      <c r="AE15" s="31">
        <f>SUM('Option1 (base case)'!AE$67:AE$69)</f>
        <v>0</v>
      </c>
      <c r="AF15" s="31">
        <f>SUM('Option1 (base case)'!AF$67:AF$69)</f>
        <v>0</v>
      </c>
      <c r="AG15" s="31">
        <f>SUM('Option1 (base case)'!AG$67:AG$69)</f>
        <v>0</v>
      </c>
    </row>
    <row r="16" spans="1:34" s="1" customFormat="1" x14ac:dyDescent="0.2">
      <c r="A16" s="136" t="str">
        <f t="shared" ref="A16:A25" si="3">A15</f>
        <v>Option 1 (base case)</v>
      </c>
      <c r="B16" s="136"/>
      <c r="C16" s="58" t="str">
        <f>'Option1 (base case)'!C$36</f>
        <v>Total risk cost</v>
      </c>
      <c r="D16" s="38" t="str">
        <f t="shared" si="2"/>
        <v>Option 1 (base case)Total risk cost</v>
      </c>
      <c r="F16" s="108" cm="1">
        <f t="array" ref="F16">SUMPRODUCT(($H16:$AG16)*($H$5:$AG$5)*($H$7:$AG$7))</f>
        <v>7784778.2490094174</v>
      </c>
      <c r="G16" s="226">
        <f>output_dollars</f>
        <v>46203</v>
      </c>
      <c r="H16" s="31"/>
      <c r="I16" s="31">
        <f>'Option1 (base case)'!I$36*conv_2026</f>
        <v>535932.19998257514</v>
      </c>
      <c r="J16" s="31">
        <f>'Option1 (base case)'!J$36*conv_2026</f>
        <v>525903.80988681607</v>
      </c>
      <c r="K16" s="31">
        <f>'Option1 (base case)'!K$36*conv_2026</f>
        <v>523914.71824469726</v>
      </c>
      <c r="L16" s="31">
        <f>'Option1 (base case)'!L$36*conv_2026</f>
        <v>525545.28544504475</v>
      </c>
      <c r="M16" s="31">
        <f>'Option1 (base case)'!M$36*conv_2026</f>
        <v>525605.16627296747</v>
      </c>
      <c r="N16" s="31">
        <f>'Option1 (base case)'!N$36*conv_2026</f>
        <v>521298.01614456653</v>
      </c>
      <c r="O16" s="31">
        <f>'Option1 (base case)'!O$36*conv_2026</f>
        <v>518714.1944223374</v>
      </c>
      <c r="P16" s="31">
        <f>'Option1 (base case)'!P$36*conv_2026</f>
        <v>518973.82760829688</v>
      </c>
      <c r="Q16" s="31">
        <f>'Option1 (base case)'!Q$36*conv_2026</f>
        <v>520850.41183933878</v>
      </c>
      <c r="R16" s="31">
        <f>'Option1 (base case)'!R$36*conv_2026</f>
        <v>516420.36674070731</v>
      </c>
      <c r="S16" s="31">
        <f>'Option1 (base case)'!S$36*conv_2026</f>
        <v>516436.3304146005</v>
      </c>
      <c r="T16" s="31">
        <f>'Option1 (base case)'!T$36*conv_2026</f>
        <v>516452.29408849351</v>
      </c>
      <c r="U16" s="31">
        <f>'Option1 (base case)'!U$36*conv_2026</f>
        <v>516468.2577623867</v>
      </c>
      <c r="V16" s="31">
        <f>'Option1 (base case)'!V$36*conv_2026</f>
        <v>516484.22143627977</v>
      </c>
      <c r="W16" s="31">
        <f>'Option1 (base case)'!W$36*conv_2026</f>
        <v>516500.18511017278</v>
      </c>
      <c r="X16" s="31">
        <f>'Option1 (base case)'!X$36*conv_2026</f>
        <v>516516.14878406591</v>
      </c>
      <c r="Y16" s="31">
        <f>'Option1 (base case)'!Y$36*conv_2026</f>
        <v>516532.11245795886</v>
      </c>
      <c r="Z16" s="31">
        <f>'Option1 (base case)'!Z$36*conv_2026</f>
        <v>516548.07613185194</v>
      </c>
      <c r="AA16" s="31">
        <f>'Option1 (base case)'!AA$36*conv_2026</f>
        <v>516564.03980574518</v>
      </c>
      <c r="AB16" s="31">
        <f>'Option1 (base case)'!AB$36*conv_2026</f>
        <v>516580.00347963831</v>
      </c>
      <c r="AC16" s="31">
        <f>'Option1 (base case)'!AC$36*conv_2026</f>
        <v>516595.96715353121</v>
      </c>
      <c r="AD16" s="31">
        <f>'Option1 (base case)'!AD$36*conv_2026</f>
        <v>516611.9308274244</v>
      </c>
      <c r="AE16" s="31">
        <f>'Option1 (base case)'!AE$36*conv_2026</f>
        <v>516627.89450131747</v>
      </c>
      <c r="AF16" s="31">
        <f>'Option1 (base case)'!AF$36*conv_2026</f>
        <v>516643.85817521048</v>
      </c>
      <c r="AG16" s="31">
        <f>'Option1 (base case)'!AG$36*conv_2026</f>
        <v>516659.82184910349</v>
      </c>
    </row>
    <row r="17" spans="1:33" s="1" customFormat="1" x14ac:dyDescent="0.2">
      <c r="A17" s="136" t="str">
        <f t="shared" si="3"/>
        <v>Option 1 (base case)</v>
      </c>
      <c r="B17" s="136"/>
      <c r="C17" s="75"/>
      <c r="D17" s="38" t="str">
        <f t="shared" si="2"/>
        <v>Option 1 (base case)</v>
      </c>
      <c r="F17"/>
      <c r="G17" s="22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36" t="str">
        <f t="shared" si="3"/>
        <v>Option 1 (base case)</v>
      </c>
      <c r="B18" s="136"/>
      <c r="C18" s="58" t="str">
        <f>'Option1 (base case)'!C$82</f>
        <v>Annualised capex</v>
      </c>
      <c r="D18" s="38" t="str">
        <f t="shared" si="2"/>
        <v>Option 1 (base case)Annualised capex</v>
      </c>
      <c r="F18" s="97">
        <f>SUMPRODUCT($H18:$AG18, $H$5:$AG$5)</f>
        <v>0</v>
      </c>
      <c r="G18" s="226">
        <f t="shared" ref="G18:G25" si="4">output_dollars</f>
        <v>46203</v>
      </c>
      <c r="H18" s="31"/>
      <c r="I18" s="31">
        <f>'Option1 (base case)'!I$82*conv_2026</f>
        <v>0</v>
      </c>
      <c r="J18" s="31">
        <f>'Option1 (base case)'!J$82*conv_2026</f>
        <v>0</v>
      </c>
      <c r="K18" s="31">
        <f>'Option1 (base case)'!K$82*conv_2026</f>
        <v>0</v>
      </c>
      <c r="L18" s="31">
        <f>'Option1 (base case)'!L$82*conv_2026</f>
        <v>0</v>
      </c>
      <c r="M18" s="31">
        <f>'Option1 (base case)'!M$82*conv_2026</f>
        <v>0</v>
      </c>
      <c r="N18" s="31">
        <f>'Option1 (base case)'!N$82*conv_2026</f>
        <v>0</v>
      </c>
      <c r="O18" s="31">
        <f>'Option1 (base case)'!O$82*conv_2026</f>
        <v>0</v>
      </c>
      <c r="P18" s="31">
        <f>'Option1 (base case)'!P$82*conv_2026</f>
        <v>0</v>
      </c>
      <c r="Q18" s="31">
        <f>'Option1 (base case)'!Q$82*conv_2026</f>
        <v>0</v>
      </c>
      <c r="R18" s="31">
        <f>'Option1 (base case)'!R$82*conv_2026</f>
        <v>0</v>
      </c>
      <c r="S18" s="31">
        <f>'Option1 (base case)'!S$82*conv_2026</f>
        <v>0</v>
      </c>
      <c r="T18" s="31">
        <f>'Option1 (base case)'!T$82*conv_2026</f>
        <v>0</v>
      </c>
      <c r="U18" s="31">
        <f>'Option1 (base case)'!U$82*conv_2026</f>
        <v>0</v>
      </c>
      <c r="V18" s="31">
        <f>'Option1 (base case)'!V$82*conv_2026</f>
        <v>0</v>
      </c>
      <c r="W18" s="31">
        <f>'Option1 (base case)'!W$82*conv_2026</f>
        <v>0</v>
      </c>
      <c r="X18" s="31">
        <f>'Option1 (base case)'!X$82*conv_2026</f>
        <v>0</v>
      </c>
      <c r="Y18" s="31">
        <f>'Option1 (base case)'!Y$82*conv_2026</f>
        <v>0</v>
      </c>
      <c r="Z18" s="31">
        <f>'Option1 (base case)'!Z$82*conv_2026</f>
        <v>0</v>
      </c>
      <c r="AA18" s="31">
        <f>'Option1 (base case)'!AA$82*conv_2026</f>
        <v>0</v>
      </c>
      <c r="AB18" s="31">
        <f>'Option1 (base case)'!AB$82*conv_2026</f>
        <v>0</v>
      </c>
      <c r="AC18" s="31">
        <f>'Option1 (base case)'!AC$82*conv_2026</f>
        <v>0</v>
      </c>
      <c r="AD18" s="31">
        <f>'Option1 (base case)'!AD$82*conv_2026</f>
        <v>0</v>
      </c>
      <c r="AE18" s="31">
        <f>'Option1 (base case)'!AE$82*conv_2026</f>
        <v>0</v>
      </c>
      <c r="AF18" s="31">
        <f>'Option1 (base case)'!AF$82*conv_2026</f>
        <v>0</v>
      </c>
      <c r="AG18" s="31">
        <f>'Option1 (base case)'!AG$82*conv_2026</f>
        <v>0</v>
      </c>
    </row>
    <row r="19" spans="1:33" s="1" customFormat="1" x14ac:dyDescent="0.2">
      <c r="A19" s="136" t="str">
        <f t="shared" si="3"/>
        <v>Option 1 (base case)</v>
      </c>
      <c r="B19" s="136"/>
      <c r="C19" s="58" t="str">
        <f>'Option1 (base case)'!C$83</f>
        <v>Operating expenditure</v>
      </c>
      <c r="D19" s="38" t="str">
        <f t="shared" si="2"/>
        <v>Option 1 (base case)Operating expenditure</v>
      </c>
      <c r="F19" s="97">
        <f>SUMPRODUCT($H19:$AG19, $H$5:$AG$5)</f>
        <v>0</v>
      </c>
      <c r="G19" s="226">
        <f t="shared" si="4"/>
        <v>46203</v>
      </c>
      <c r="H19" s="31"/>
      <c r="I19" s="31">
        <f>'Option1 (base case)'!I$83*conv_2026</f>
        <v>0</v>
      </c>
      <c r="J19" s="31">
        <f>'Option1 (base case)'!J$83*conv_2026</f>
        <v>0</v>
      </c>
      <c r="K19" s="31">
        <f>'Option1 (base case)'!K$83*conv_2026</f>
        <v>0</v>
      </c>
      <c r="L19" s="31">
        <f>'Option1 (base case)'!L$83*conv_2026</f>
        <v>0</v>
      </c>
      <c r="M19" s="31">
        <f>'Option1 (base case)'!M$83*conv_2026</f>
        <v>0</v>
      </c>
      <c r="N19" s="31">
        <f>'Option1 (base case)'!N$83*conv_2026</f>
        <v>0</v>
      </c>
      <c r="O19" s="31">
        <f>'Option1 (base case)'!O$83*conv_2026</f>
        <v>0</v>
      </c>
      <c r="P19" s="31">
        <f>'Option1 (base case)'!P$83*conv_2026</f>
        <v>0</v>
      </c>
      <c r="Q19" s="31">
        <f>'Option1 (base case)'!Q$83*conv_2026</f>
        <v>0</v>
      </c>
      <c r="R19" s="31">
        <f>'Option1 (base case)'!R$83*conv_2026</f>
        <v>0</v>
      </c>
      <c r="S19" s="31">
        <f>'Option1 (base case)'!S$83*conv_2026</f>
        <v>0</v>
      </c>
      <c r="T19" s="31">
        <f>'Option1 (base case)'!T$83*conv_2026</f>
        <v>0</v>
      </c>
      <c r="U19" s="31">
        <f>'Option1 (base case)'!U$83*conv_2026</f>
        <v>0</v>
      </c>
      <c r="V19" s="31">
        <f>'Option1 (base case)'!V$83*conv_2026</f>
        <v>0</v>
      </c>
      <c r="W19" s="31">
        <f>'Option1 (base case)'!W$83*conv_2026</f>
        <v>0</v>
      </c>
      <c r="X19" s="31">
        <f>'Option1 (base case)'!X$83*conv_2026</f>
        <v>0</v>
      </c>
      <c r="Y19" s="31">
        <f>'Option1 (base case)'!Y$83*conv_2026</f>
        <v>0</v>
      </c>
      <c r="Z19" s="31">
        <f>'Option1 (base case)'!Z$83*conv_2026</f>
        <v>0</v>
      </c>
      <c r="AA19" s="31">
        <f>'Option1 (base case)'!AA$83*conv_2026</f>
        <v>0</v>
      </c>
      <c r="AB19" s="31">
        <f>'Option1 (base case)'!AB$83*conv_2026</f>
        <v>0</v>
      </c>
      <c r="AC19" s="31">
        <f>'Option1 (base case)'!AC$83*conv_2026</f>
        <v>0</v>
      </c>
      <c r="AD19" s="31">
        <f>'Option1 (base case)'!AD$83*conv_2026</f>
        <v>0</v>
      </c>
      <c r="AE19" s="31">
        <f>'Option1 (base case)'!AE$83*conv_2026</f>
        <v>0</v>
      </c>
      <c r="AF19" s="31">
        <f>'Option1 (base case)'!AF$83*conv_2026</f>
        <v>0</v>
      </c>
      <c r="AG19" s="31">
        <f>'Option1 (base case)'!AG$83*conv_2026</f>
        <v>0</v>
      </c>
    </row>
    <row r="20" spans="1:33" s="1" customFormat="1" x14ac:dyDescent="0.2">
      <c r="A20" s="136" t="str">
        <f t="shared" si="3"/>
        <v>Option 1 (base case)</v>
      </c>
      <c r="B20" s="136"/>
      <c r="C20" s="58" t="str">
        <f>'Option1 (base case)'!C$84</f>
        <v>Risk mitigated</v>
      </c>
      <c r="D20" s="38" t="str">
        <f t="shared" si="2"/>
        <v>Option 1 (base case)Risk mitigated</v>
      </c>
      <c r="F20" s="97">
        <f>SUMPRODUCT($H20:$AG20, $H$5:$AG$5)</f>
        <v>0</v>
      </c>
      <c r="G20" s="226">
        <f t="shared" si="4"/>
        <v>46203</v>
      </c>
      <c r="H20" s="31"/>
      <c r="I20" s="31">
        <f>'Option1 (base case)'!I$84*conv_2026</f>
        <v>0</v>
      </c>
      <c r="J20" s="31">
        <f>'Option1 (base case)'!J$84*conv_2026</f>
        <v>0</v>
      </c>
      <c r="K20" s="31">
        <f>'Option1 (base case)'!K$84*conv_2026</f>
        <v>0</v>
      </c>
      <c r="L20" s="31">
        <f>'Option1 (base case)'!L$84*conv_2026</f>
        <v>0</v>
      </c>
      <c r="M20" s="31">
        <f>'Option1 (base case)'!M$84*conv_2026</f>
        <v>0</v>
      </c>
      <c r="N20" s="31">
        <f>'Option1 (base case)'!N$84*conv_2026</f>
        <v>0</v>
      </c>
      <c r="O20" s="31">
        <f>'Option1 (base case)'!O$84*conv_2026</f>
        <v>0</v>
      </c>
      <c r="P20" s="31">
        <f>'Option1 (base case)'!P$84*conv_2026</f>
        <v>0</v>
      </c>
      <c r="Q20" s="31">
        <f>'Option1 (base case)'!Q$84*conv_2026</f>
        <v>0</v>
      </c>
      <c r="R20" s="31">
        <f>'Option1 (base case)'!R$84*conv_2026</f>
        <v>0</v>
      </c>
      <c r="S20" s="31">
        <f>'Option1 (base case)'!S$84*conv_2026</f>
        <v>0</v>
      </c>
      <c r="T20" s="31">
        <f>'Option1 (base case)'!T$84*conv_2026</f>
        <v>0</v>
      </c>
      <c r="U20" s="31">
        <f>'Option1 (base case)'!U$84*conv_2026</f>
        <v>0</v>
      </c>
      <c r="V20" s="31">
        <f>'Option1 (base case)'!V$84*conv_2026</f>
        <v>0</v>
      </c>
      <c r="W20" s="31">
        <f>'Option1 (base case)'!W$84*conv_2026</f>
        <v>0</v>
      </c>
      <c r="X20" s="31">
        <f>'Option1 (base case)'!X$84*conv_2026</f>
        <v>0</v>
      </c>
      <c r="Y20" s="31">
        <f>'Option1 (base case)'!Y$84*conv_2026</f>
        <v>0</v>
      </c>
      <c r="Z20" s="31">
        <f>'Option1 (base case)'!Z$84*conv_2026</f>
        <v>0</v>
      </c>
      <c r="AA20" s="31">
        <f>'Option1 (base case)'!AA$84*conv_2026</f>
        <v>0</v>
      </c>
      <c r="AB20" s="31">
        <f>'Option1 (base case)'!AB$84*conv_2026</f>
        <v>0</v>
      </c>
      <c r="AC20" s="31">
        <f>'Option1 (base case)'!AC$84*conv_2026</f>
        <v>0</v>
      </c>
      <c r="AD20" s="31">
        <f>'Option1 (base case)'!AD$84*conv_2026</f>
        <v>0</v>
      </c>
      <c r="AE20" s="31">
        <f>'Option1 (base case)'!AE$84*conv_2026</f>
        <v>0</v>
      </c>
      <c r="AF20" s="31">
        <f>'Option1 (base case)'!AF$84*conv_2026</f>
        <v>0</v>
      </c>
      <c r="AG20" s="31">
        <f>'Option1 (base case)'!AG$84*conv_2026</f>
        <v>0</v>
      </c>
    </row>
    <row r="21" spans="1:33" s="1" customFormat="1" x14ac:dyDescent="0.2">
      <c r="A21" s="136" t="str">
        <f t="shared" si="3"/>
        <v>Option 1 (base case)</v>
      </c>
      <c r="B21" s="136"/>
      <c r="C21" s="58" t="str">
        <f>'Option1 (base case)'!C$85</f>
        <v>Other benefits value</v>
      </c>
      <c r="D21" s="38" t="str">
        <f t="shared" si="2"/>
        <v>Option 1 (base case)Other benefits value</v>
      </c>
      <c r="F21" s="97">
        <f>SUMPRODUCT($H21:$AG21, $H$5:$AG$5)</f>
        <v>0</v>
      </c>
      <c r="G21" s="226">
        <f t="shared" si="4"/>
        <v>46203</v>
      </c>
      <c r="H21" s="31"/>
      <c r="I21" s="31">
        <f>'Option1 (base case)'!I$85*conv_2026</f>
        <v>0</v>
      </c>
      <c r="J21" s="31">
        <f>'Option1 (base case)'!J$85*conv_2026</f>
        <v>0</v>
      </c>
      <c r="K21" s="31">
        <f>'Option1 (base case)'!K$85*conv_2026</f>
        <v>0</v>
      </c>
      <c r="L21" s="31">
        <f>'Option1 (base case)'!L$85*conv_2026</f>
        <v>0</v>
      </c>
      <c r="M21" s="31">
        <f>'Option1 (base case)'!M$85*conv_2026</f>
        <v>0</v>
      </c>
      <c r="N21" s="31">
        <f>'Option1 (base case)'!N$85*conv_2026</f>
        <v>0</v>
      </c>
      <c r="O21" s="31">
        <f>'Option1 (base case)'!O$85*conv_2026</f>
        <v>0</v>
      </c>
      <c r="P21" s="31">
        <f>'Option1 (base case)'!P$85*conv_2026</f>
        <v>0</v>
      </c>
      <c r="Q21" s="31">
        <f>'Option1 (base case)'!Q$85*conv_2026</f>
        <v>0</v>
      </c>
      <c r="R21" s="31">
        <f>'Option1 (base case)'!R$85*conv_2026</f>
        <v>0</v>
      </c>
      <c r="S21" s="31">
        <f>'Option1 (base case)'!S$85*conv_2026</f>
        <v>0</v>
      </c>
      <c r="T21" s="31">
        <f>'Option1 (base case)'!T$85*conv_2026</f>
        <v>0</v>
      </c>
      <c r="U21" s="31">
        <f>'Option1 (base case)'!U$85*conv_2026</f>
        <v>0</v>
      </c>
      <c r="V21" s="31">
        <f>'Option1 (base case)'!V$85*conv_2026</f>
        <v>0</v>
      </c>
      <c r="W21" s="31">
        <f>'Option1 (base case)'!W$85*conv_2026</f>
        <v>0</v>
      </c>
      <c r="X21" s="31">
        <f>'Option1 (base case)'!X$85*conv_2026</f>
        <v>0</v>
      </c>
      <c r="Y21" s="31">
        <f>'Option1 (base case)'!Y$85*conv_2026</f>
        <v>0</v>
      </c>
      <c r="Z21" s="31">
        <f>'Option1 (base case)'!Z$85*conv_2026</f>
        <v>0</v>
      </c>
      <c r="AA21" s="31">
        <f>'Option1 (base case)'!AA$85*conv_2026</f>
        <v>0</v>
      </c>
      <c r="AB21" s="31">
        <f>'Option1 (base case)'!AB$85*conv_2026</f>
        <v>0</v>
      </c>
      <c r="AC21" s="31">
        <f>'Option1 (base case)'!AC$85*conv_2026</f>
        <v>0</v>
      </c>
      <c r="AD21" s="31">
        <f>'Option1 (base case)'!AD$85*conv_2026</f>
        <v>0</v>
      </c>
      <c r="AE21" s="31">
        <f>'Option1 (base case)'!AE$85*conv_2026</f>
        <v>0</v>
      </c>
      <c r="AF21" s="31">
        <f>'Option1 (base case)'!AF$85*conv_2026</f>
        <v>0</v>
      </c>
      <c r="AG21" s="31">
        <f>'Option1 (base case)'!AG$85*conv_2026</f>
        <v>0</v>
      </c>
    </row>
    <row r="22" spans="1:33" s="1" customFormat="1" x14ac:dyDescent="0.2">
      <c r="A22" s="136" t="str">
        <f t="shared" si="3"/>
        <v>Option 1 (base case)</v>
      </c>
      <c r="B22" s="136"/>
      <c r="C22" s="145" t="str">
        <f>'Option1 (base case)'!C$87</f>
        <v>Net benefits</v>
      </c>
      <c r="D22" s="109" t="str">
        <f t="shared" si="2"/>
        <v>Option 1 (base case)Net benefits</v>
      </c>
      <c r="E22" s="110"/>
      <c r="F22" s="144"/>
      <c r="G22" s="228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x14ac:dyDescent="0.2">
      <c r="A23" s="136" t="str">
        <f t="shared" si="3"/>
        <v>Option 1 (base case)</v>
      </c>
      <c r="B23" s="136"/>
      <c r="C23" s="8" t="s">
        <v>119</v>
      </c>
      <c r="D23" s="38" t="str">
        <f t="shared" si="2"/>
        <v>Option 1 (base case)NPV</v>
      </c>
      <c r="F23" s="108" cm="1">
        <f t="array" ref="F23">SUMPRODUCT(($H22:$AG22)*($H$5:$AG$5)*($H$7:$AG$7))</f>
        <v>0</v>
      </c>
      <c r="G23" s="226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x14ac:dyDescent="0.2">
      <c r="A24" s="136" t="str">
        <f t="shared" si="3"/>
        <v>Option 1 (base case)</v>
      </c>
      <c r="B24" s="136"/>
      <c r="C24" s="8" t="s">
        <v>193</v>
      </c>
      <c r="D24" s="38" t="str">
        <f t="shared" si="2"/>
        <v>Option 1 (base case)PV of costs</v>
      </c>
      <c r="F24" s="108">
        <f>SUM(F18:F19)</f>
        <v>0</v>
      </c>
      <c r="G24" s="226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x14ac:dyDescent="0.2">
      <c r="A25" s="136" t="str">
        <f t="shared" si="3"/>
        <v>Option 1 (base case)</v>
      </c>
      <c r="B25" s="136"/>
      <c r="C25" s="8" t="s">
        <v>194</v>
      </c>
      <c r="D25" s="38" t="str">
        <f t="shared" si="2"/>
        <v>Option 1 (base case)PV of benefits</v>
      </c>
      <c r="F25" s="108">
        <f>SUM(F20:F21)</f>
        <v>0</v>
      </c>
      <c r="G25" s="226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x14ac:dyDescent="0.2">
      <c r="D26" s="38" t="str">
        <f t="shared" ref="D26:D39" si="6">A26&amp;C26</f>
        <v/>
      </c>
      <c r="G26" s="229"/>
    </row>
    <row r="27" spans="1:33" s="2" customFormat="1" x14ac:dyDescent="0.2">
      <c r="A27" s="123"/>
      <c r="B27" s="123"/>
      <c r="C27" s="123"/>
      <c r="D27" s="38" t="str">
        <f t="shared" si="6"/>
        <v/>
      </c>
      <c r="F27" s="118"/>
      <c r="G27" s="222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</row>
    <row r="28" spans="1:33" s="271" customFormat="1" x14ac:dyDescent="0.2">
      <c r="A28" s="269" t="str">
        <f>A29</f>
        <v>Option 2</v>
      </c>
      <c r="B28" s="269"/>
      <c r="C28" s="269" t="s">
        <v>124</v>
      </c>
      <c r="D28" s="270" t="str">
        <f t="shared" si="6"/>
        <v>Option 2Energy at risk value</v>
      </c>
      <c r="F28" s="97">
        <f>SUMPRODUCT($H28:$AG28, $H$5:$AG$5)</f>
        <v>1026246.9541286164</v>
      </c>
      <c r="G28" s="272">
        <f>output_dollars</f>
        <v>46203</v>
      </c>
      <c r="H28" s="273"/>
      <c r="I28" s="31">
        <f>Option2!I$28*conv_2026</f>
        <v>535932.19998257514</v>
      </c>
      <c r="J28" s="31">
        <f>Option2!J$28*conv_2026</f>
        <v>525903.80988681607</v>
      </c>
      <c r="K28" s="31">
        <f>Option2!K$28*conv_2026</f>
        <v>0</v>
      </c>
      <c r="L28" s="31">
        <f>Option2!L$28*conv_2026</f>
        <v>0</v>
      </c>
      <c r="M28" s="31">
        <f>Option2!M$28*conv_2026</f>
        <v>0</v>
      </c>
      <c r="N28" s="31">
        <f>Option2!N$28*conv_2026</f>
        <v>0</v>
      </c>
      <c r="O28" s="31">
        <f>Option2!O$28*conv_2026</f>
        <v>0</v>
      </c>
      <c r="P28" s="31">
        <f>Option2!P$28*conv_2026</f>
        <v>0</v>
      </c>
      <c r="Q28" s="31">
        <f>Option2!Q$28*conv_2026</f>
        <v>0</v>
      </c>
      <c r="R28" s="31">
        <f>Option2!R$28*conv_2026</f>
        <v>0</v>
      </c>
      <c r="S28" s="31">
        <f>Option2!S$28*conv_2026</f>
        <v>0</v>
      </c>
      <c r="T28" s="31">
        <f>Option2!T$28*conv_2026</f>
        <v>0</v>
      </c>
      <c r="U28" s="31">
        <f>Option2!U$28*conv_2026</f>
        <v>0</v>
      </c>
      <c r="V28" s="31">
        <f>Option2!V$28*conv_2026</f>
        <v>0</v>
      </c>
      <c r="W28" s="31">
        <f>Option2!W$28*conv_2026</f>
        <v>0</v>
      </c>
      <c r="X28" s="31">
        <f>Option2!X$28*conv_2026</f>
        <v>0</v>
      </c>
      <c r="Y28" s="31">
        <f>Option2!Y$28*conv_2026</f>
        <v>0</v>
      </c>
      <c r="Z28" s="31">
        <f>Option2!Z$28*conv_2026</f>
        <v>0</v>
      </c>
      <c r="AA28" s="31">
        <f>Option2!AA$28*conv_2026</f>
        <v>0</v>
      </c>
      <c r="AB28" s="31">
        <f>Option2!AB$28*conv_2026</f>
        <v>0</v>
      </c>
      <c r="AC28" s="31">
        <f>Option2!AC$28*conv_2026</f>
        <v>0</v>
      </c>
      <c r="AD28" s="31">
        <f>Option2!AD$28*conv_2026</f>
        <v>0</v>
      </c>
      <c r="AE28" s="31">
        <f>Option2!AE$28*conv_2026</f>
        <v>0</v>
      </c>
      <c r="AF28" s="31">
        <f>Option2!AF$28*conv_2026</f>
        <v>0</v>
      </c>
      <c r="AG28" s="31">
        <f>Option2!AG$28*conv_2026</f>
        <v>0</v>
      </c>
    </row>
    <row r="29" spans="1:33" s="2" customFormat="1" x14ac:dyDescent="0.2">
      <c r="A29" s="136" t="str">
        <f>Data!B10</f>
        <v>Option 2</v>
      </c>
      <c r="B29" s="136"/>
      <c r="C29" s="58" t="str">
        <f>Option2!C$66</f>
        <v>Capital expenditure</v>
      </c>
      <c r="D29" s="38" t="str">
        <f t="shared" si="6"/>
        <v>Option 2Capital expenditure</v>
      </c>
      <c r="E29" s="1"/>
      <c r="F29" s="97" cm="1">
        <f t="array" ref="F29">SUMPRODUCT(($H29:$AG29)*($H$5:$AG$5)*($H$7:$AG$7))</f>
        <v>-3039207.0147353923</v>
      </c>
      <c r="G29" s="226">
        <f>output_dollars</f>
        <v>46203</v>
      </c>
      <c r="H29" s="31"/>
      <c r="I29" s="31">
        <f>SUM(Option2!I$67:I$69)*conv_2026*I$7</f>
        <v>0</v>
      </c>
      <c r="J29" s="31">
        <f>SUM(Option2!J$67:J$69)*conv_2026*J$7</f>
        <v>-3200153.4796647369</v>
      </c>
      <c r="K29" s="31">
        <f>SUM(Option2!K$67:K$69)*conv_2026*K$7</f>
        <v>0</v>
      </c>
      <c r="L29" s="31">
        <f>SUM(Option2!L$67:L$69)*conv_2026*L$7</f>
        <v>0</v>
      </c>
      <c r="M29" s="31">
        <f>SUM(Option2!M$67:M$69)*conv_2026*M$7</f>
        <v>0</v>
      </c>
      <c r="N29" s="31">
        <f>SUM(Option2!N$67:N$69)*conv_2026*N$7</f>
        <v>0</v>
      </c>
      <c r="O29" s="31">
        <f>SUM(Option2!O$67:O$69)*conv_2026*O$7</f>
        <v>0</v>
      </c>
      <c r="P29" s="31">
        <f>SUM(Option2!P$67:P$69)*conv_2026*P$7</f>
        <v>0</v>
      </c>
      <c r="Q29" s="31">
        <f>SUM(Option2!Q$67:Q$69)*conv_2026*Q$7</f>
        <v>0</v>
      </c>
      <c r="R29" s="31">
        <f>SUM(Option2!R$67:R$69)*conv_2026*R$7</f>
        <v>0</v>
      </c>
      <c r="S29" s="31">
        <f>SUM(Option2!S$67:S$69)*conv_2026*S$7</f>
        <v>0</v>
      </c>
      <c r="T29" s="31">
        <f>SUM(Option2!T$67:T$69)*conv_2026*T$7</f>
        <v>0</v>
      </c>
      <c r="U29" s="31">
        <f>SUM(Option2!U$67:U$69)*conv_2026*U$7</f>
        <v>0</v>
      </c>
      <c r="V29" s="31">
        <f>SUM(Option2!V$67:V$69)*conv_2026*V$7</f>
        <v>0</v>
      </c>
      <c r="W29" s="31">
        <f>SUM(Option2!W$67:W$69)*conv_2026*W$7</f>
        <v>0</v>
      </c>
      <c r="X29" s="31">
        <f>SUM(Option2!X$67:X$69)*conv_2026*X$7</f>
        <v>0</v>
      </c>
      <c r="Y29" s="31">
        <f>SUM(Option2!Y$67:Y$69)*conv_2026*Y$7</f>
        <v>0</v>
      </c>
      <c r="Z29" s="31">
        <f>SUM(Option2!Z$67:Z$69)*conv_2026*Z$7</f>
        <v>0</v>
      </c>
      <c r="AA29" s="31">
        <f>SUM(Option2!AA$67:AA$69)*conv_2026*AA$7</f>
        <v>0</v>
      </c>
      <c r="AB29" s="31">
        <f>SUM(Option2!AB$67:AB$69)*conv_2026*AB$7</f>
        <v>0</v>
      </c>
      <c r="AC29" s="31">
        <f>SUM(Option2!AC$67:AC$69)*conv_2026*AC$7</f>
        <v>0</v>
      </c>
      <c r="AD29" s="31">
        <f>SUM(Option2!AD$67:AD$69)*conv_2026*AD$7</f>
        <v>0</v>
      </c>
      <c r="AE29" s="31">
        <f>SUM(Option2!AE$67:AE$69)*conv_2026*AE$7</f>
        <v>0</v>
      </c>
      <c r="AF29" s="31">
        <f>SUM(Option2!AF$67:AF$69)*conv_2026*AF$7</f>
        <v>0</v>
      </c>
      <c r="AG29" s="31">
        <f>SUM(Option2!AG$67:AG$69)*conv_2026*AG$7</f>
        <v>0</v>
      </c>
    </row>
    <row r="30" spans="1:33" s="2" customFormat="1" x14ac:dyDescent="0.2">
      <c r="A30" s="136" t="str">
        <f t="shared" ref="A30:A39" si="7">A29</f>
        <v>Option 2</v>
      </c>
      <c r="B30" s="136"/>
      <c r="C30" s="58" t="str">
        <f>'Option1 (base case)'!C$36</f>
        <v>Total risk cost</v>
      </c>
      <c r="D30" s="38" t="str">
        <f t="shared" si="6"/>
        <v>Option 2Total risk cost</v>
      </c>
      <c r="E30" s="1"/>
      <c r="F30" s="97" cm="1">
        <f t="array" ref="F30">SUMPRODUCT(($H30:$AG30)*($H$5:$AG$5)*($H$7:$AG$7))</f>
        <v>1026246.9541286164</v>
      </c>
      <c r="G30" s="226">
        <f>output_dollars</f>
        <v>46203</v>
      </c>
      <c r="H30" s="31"/>
      <c r="I30" s="31">
        <f>Option2!I$36*conv_2026*I$7</f>
        <v>535932.19998257514</v>
      </c>
      <c r="J30" s="31">
        <f>Option2!J$36*conv_2026*J$7</f>
        <v>525903.80988681607</v>
      </c>
      <c r="K30" s="31">
        <f>Option2!K$36*conv_2026*K$7</f>
        <v>0</v>
      </c>
      <c r="L30" s="31">
        <f>Option2!L$36*conv_2026*L$7</f>
        <v>0</v>
      </c>
      <c r="M30" s="31">
        <f>Option2!M$36*conv_2026*M$7</f>
        <v>0</v>
      </c>
      <c r="N30" s="31">
        <f>Option2!N$36*conv_2026*N$7</f>
        <v>0</v>
      </c>
      <c r="O30" s="31">
        <f>Option2!O$36*conv_2026*O$7</f>
        <v>0</v>
      </c>
      <c r="P30" s="31">
        <f>Option2!P$36*conv_2026*P$7</f>
        <v>0</v>
      </c>
      <c r="Q30" s="31">
        <f>Option2!Q$36*conv_2026*Q$7</f>
        <v>0</v>
      </c>
      <c r="R30" s="31">
        <f>Option2!R$36*conv_2026*R$7</f>
        <v>0</v>
      </c>
      <c r="S30" s="31">
        <f>Option2!S$36*conv_2026*S$7</f>
        <v>0</v>
      </c>
      <c r="T30" s="31">
        <f>Option2!T$36*conv_2026*T$7</f>
        <v>0</v>
      </c>
      <c r="U30" s="31">
        <f>Option2!U$36*conv_2026*U$7</f>
        <v>0</v>
      </c>
      <c r="V30" s="31">
        <f>Option2!V$36*conv_2026*V$7</f>
        <v>0</v>
      </c>
      <c r="W30" s="31">
        <f>Option2!W$36*conv_2026*W$7</f>
        <v>0</v>
      </c>
      <c r="X30" s="31">
        <f>Option2!X$36*conv_2026*X$7</f>
        <v>0</v>
      </c>
      <c r="Y30" s="31">
        <f>Option2!Y$36*conv_2026*Y$7</f>
        <v>0</v>
      </c>
      <c r="Z30" s="31">
        <f>Option2!Z$36*conv_2026*Z$7</f>
        <v>0</v>
      </c>
      <c r="AA30" s="31">
        <f>Option2!AA$36*conv_2026*AA$7</f>
        <v>0</v>
      </c>
      <c r="AB30" s="31">
        <f>Option2!AB$36*conv_2026*AB$7</f>
        <v>0</v>
      </c>
      <c r="AC30" s="31">
        <f>Option2!AC$36*conv_2026*AC$7</f>
        <v>0</v>
      </c>
      <c r="AD30" s="31">
        <f>Option2!AD$36*conv_2026*AD$7</f>
        <v>0</v>
      </c>
      <c r="AE30" s="31">
        <f>Option2!AE$36*conv_2026*AE$7</f>
        <v>0</v>
      </c>
      <c r="AF30" s="31">
        <f>Option2!AF$36*conv_2026*AF$7</f>
        <v>0</v>
      </c>
      <c r="AG30" s="31">
        <f>Option2!AG$36*conv_2026*AG$7</f>
        <v>0</v>
      </c>
    </row>
    <row r="31" spans="1:33" s="2" customFormat="1" x14ac:dyDescent="0.2">
      <c r="A31" s="136" t="str">
        <f t="shared" si="7"/>
        <v>Option 2</v>
      </c>
      <c r="B31" s="136"/>
      <c r="C31" s="75"/>
      <c r="D31" s="38" t="str">
        <f t="shared" si="6"/>
        <v>Option 2</v>
      </c>
      <c r="E31" s="1"/>
      <c r="F31" s="97"/>
      <c r="G31" s="227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36" t="str">
        <f t="shared" si="7"/>
        <v>Option 2</v>
      </c>
      <c r="B32" s="136"/>
      <c r="C32" s="58" t="str">
        <f>Option2!C$82</f>
        <v>Annualised capex</v>
      </c>
      <c r="D32" s="38" t="str">
        <f t="shared" si="6"/>
        <v>Option 2Annualised capex</v>
      </c>
      <c r="E32" s="1"/>
      <c r="F32" s="97" cm="1">
        <f t="array" ref="F32">SUMPRODUCT(($H32:$AG32)*($H$5:$AG$5)*($H$7:$AG$7))</f>
        <v>-2931737.3821278247</v>
      </c>
      <c r="G32" s="226">
        <f t="shared" ref="G32:G39" si="8">output_dollars</f>
        <v>46203</v>
      </c>
      <c r="H32" s="31"/>
      <c r="I32" s="31">
        <f>Option2!I$82*conv_2026*I$7</f>
        <v>0</v>
      </c>
      <c r="J32" s="31">
        <f>Option2!J$82*conv_2026*J$7</f>
        <v>0</v>
      </c>
      <c r="K32" s="31">
        <f>Option2!K$82*conv_2026*K$7</f>
        <v>-225166.24470015903</v>
      </c>
      <c r="L32" s="31">
        <f>Option2!L$82*conv_2026*L$7</f>
        <v>-225166.24470015903</v>
      </c>
      <c r="M32" s="31">
        <f>Option2!M$82*conv_2026*M$7</f>
        <v>-225166.24470015903</v>
      </c>
      <c r="N32" s="31">
        <f>Option2!N$82*conv_2026*N$7</f>
        <v>-225166.24470015903</v>
      </c>
      <c r="O32" s="31">
        <f>Option2!O$82*conv_2026*O$7</f>
        <v>-225166.24470015903</v>
      </c>
      <c r="P32" s="31">
        <f>Option2!P$82*conv_2026*P$7</f>
        <v>-225166.24470015903</v>
      </c>
      <c r="Q32" s="31">
        <f>Option2!Q$82*conv_2026*Q$7</f>
        <v>-225166.24470015903</v>
      </c>
      <c r="R32" s="31">
        <f>Option2!R$82*conv_2026*R$7</f>
        <v>-225166.24470015903</v>
      </c>
      <c r="S32" s="31">
        <f>Option2!S$82*conv_2026*S$7</f>
        <v>-225166.24470015903</v>
      </c>
      <c r="T32" s="31">
        <f>Option2!T$82*conv_2026*T$7</f>
        <v>-225166.24470015903</v>
      </c>
      <c r="U32" s="31">
        <f>Option2!U$82*conv_2026*U$7</f>
        <v>-225166.24470015903</v>
      </c>
      <c r="V32" s="31">
        <f>Option2!V$82*conv_2026*V$7</f>
        <v>-225166.24470015903</v>
      </c>
      <c r="W32" s="31">
        <f>Option2!W$82*conv_2026*W$7</f>
        <v>-225166.24470015903</v>
      </c>
      <c r="X32" s="31">
        <f>Option2!X$82*conv_2026*X$7</f>
        <v>-225166.24470015903</v>
      </c>
      <c r="Y32" s="31">
        <f>Option2!Y$82*conv_2026*Y$7</f>
        <v>-225166.24470015903</v>
      </c>
      <c r="Z32" s="31">
        <f>Option2!Z$82*conv_2026*Z$7</f>
        <v>-225166.24470015903</v>
      </c>
      <c r="AA32" s="31">
        <f>Option2!AA$82*conv_2026*AA$7</f>
        <v>-225166.24470015903</v>
      </c>
      <c r="AB32" s="31">
        <f>Option2!AB$82*conv_2026*AB$7</f>
        <v>-225166.24470015903</v>
      </c>
      <c r="AC32" s="31">
        <f>Option2!AC$82*conv_2026*AC$7</f>
        <v>-225166.24470015903</v>
      </c>
      <c r="AD32" s="31">
        <f>Option2!AD$82*conv_2026*AD$7</f>
        <v>0</v>
      </c>
      <c r="AE32" s="31">
        <f>Option2!AE$82*conv_2026*AE$7</f>
        <v>0</v>
      </c>
      <c r="AF32" s="31">
        <f>Option2!AF$82*conv_2026*AF$7</f>
        <v>0</v>
      </c>
      <c r="AG32" s="31">
        <f>Option2!AG$82*conv_2026*AG$7</f>
        <v>0</v>
      </c>
    </row>
    <row r="33" spans="1:33" s="2" customFormat="1" x14ac:dyDescent="0.2">
      <c r="A33" s="136" t="str">
        <f t="shared" si="7"/>
        <v>Option 2</v>
      </c>
      <c r="B33" s="136"/>
      <c r="C33" s="58" t="str">
        <f>Option2!C$83</f>
        <v>Operating expenditure</v>
      </c>
      <c r="D33" s="38" t="str">
        <f t="shared" si="6"/>
        <v>Option 2Operating expenditure</v>
      </c>
      <c r="E33" s="1"/>
      <c r="F33" s="97" cm="1">
        <f t="array" ref="F33">SUMPRODUCT(($H33:$AG33)*($H$5:$AG$5)*($H$7:$AG$7))</f>
        <v>-1159238.6284674895</v>
      </c>
      <c r="G33" s="226">
        <f t="shared" si="8"/>
        <v>46203</v>
      </c>
      <c r="H33" s="31"/>
      <c r="I33" s="31">
        <f>Option2!I$83*conv_2026*I$7</f>
        <v>0</v>
      </c>
      <c r="J33" s="31">
        <f>Option2!J$83*conv_2026*J$7</f>
        <v>0</v>
      </c>
      <c r="K33" s="31">
        <f>Option2!K$83*conv_2026*K$7</f>
        <v>-89033.011713327753</v>
      </c>
      <c r="L33" s="31">
        <f>Option2!L$83*conv_2026*L$7</f>
        <v>-89033.011713327753</v>
      </c>
      <c r="M33" s="31">
        <f>Option2!M$83*conv_2026*M$7</f>
        <v>-89033.011713327753</v>
      </c>
      <c r="N33" s="31">
        <f>Option2!N$83*conv_2026*N$7</f>
        <v>-89033.011713327753</v>
      </c>
      <c r="O33" s="31">
        <f>Option2!O$83*conv_2026*O$7</f>
        <v>-89033.011713327753</v>
      </c>
      <c r="P33" s="31">
        <f>Option2!P$83*conv_2026*P$7</f>
        <v>-89033.011713327753</v>
      </c>
      <c r="Q33" s="31">
        <f>Option2!Q$83*conv_2026*Q$7</f>
        <v>-89033.011713327753</v>
      </c>
      <c r="R33" s="31">
        <f>Option2!R$83*conv_2026*R$7</f>
        <v>-89033.011713327753</v>
      </c>
      <c r="S33" s="31">
        <f>Option2!S$83*conv_2026*S$7</f>
        <v>-89033.011713327753</v>
      </c>
      <c r="T33" s="31">
        <f>Option2!T$83*conv_2026*T$7</f>
        <v>-89033.011713327753</v>
      </c>
      <c r="U33" s="31">
        <f>Option2!U$83*conv_2026*U$7</f>
        <v>-89033.011713327753</v>
      </c>
      <c r="V33" s="31">
        <f>Option2!V$83*conv_2026*V$7</f>
        <v>-89033.011713327753</v>
      </c>
      <c r="W33" s="31">
        <f>Option2!W$83*conv_2026*W$7</f>
        <v>-89033.011713327753</v>
      </c>
      <c r="X33" s="31">
        <f>Option2!X$83*conv_2026*X$7</f>
        <v>-89033.011713327753</v>
      </c>
      <c r="Y33" s="31">
        <f>Option2!Y$83*conv_2026*Y$7</f>
        <v>-89033.011713327753</v>
      </c>
      <c r="Z33" s="31">
        <f>Option2!Z$83*conv_2026*Z$7</f>
        <v>-89033.011713327753</v>
      </c>
      <c r="AA33" s="31">
        <f>Option2!AA$83*conv_2026*AA$7</f>
        <v>-89033.011713327753</v>
      </c>
      <c r="AB33" s="31">
        <f>Option2!AB$83*conv_2026*AB$7</f>
        <v>-89033.011713327753</v>
      </c>
      <c r="AC33" s="31">
        <f>Option2!AC$83*conv_2026*AC$7</f>
        <v>-89033.011713327753</v>
      </c>
      <c r="AD33" s="31">
        <f>Option2!AD$83*conv_2026*AD$7</f>
        <v>0</v>
      </c>
      <c r="AE33" s="31">
        <f>Option2!AE$83*conv_2026*AE$7</f>
        <v>0</v>
      </c>
      <c r="AF33" s="31">
        <f>Option2!AF$83*conv_2026*AF$7</f>
        <v>0</v>
      </c>
      <c r="AG33" s="31">
        <f>Option2!AG$83*conv_2026*AG$7</f>
        <v>0</v>
      </c>
    </row>
    <row r="34" spans="1:33" s="2" customFormat="1" x14ac:dyDescent="0.2">
      <c r="A34" s="136" t="str">
        <f t="shared" si="7"/>
        <v>Option 2</v>
      </c>
      <c r="B34" s="136"/>
      <c r="C34" s="58" t="str">
        <f>Option2!C$84</f>
        <v>Risk mitigated</v>
      </c>
      <c r="D34" s="38" t="str">
        <f t="shared" si="6"/>
        <v>Option 2Risk mitigated</v>
      </c>
      <c r="E34" s="1"/>
      <c r="F34" s="97" cm="1">
        <f t="array" ref="F34">SUMPRODUCT(($H34:$AG34)*($H$5:$AG$5)*($H$7:$AG$7))</f>
        <v>6758531.2948808018</v>
      </c>
      <c r="G34" s="226">
        <f t="shared" si="8"/>
        <v>46203</v>
      </c>
      <c r="H34" s="31"/>
      <c r="I34" s="31">
        <f>Option2!I$84*conv_2026*I$7</f>
        <v>0</v>
      </c>
      <c r="J34" s="31">
        <f>Option2!J$84*conv_2026*J$7</f>
        <v>0</v>
      </c>
      <c r="K34" s="31">
        <f>Option2!K$84*conv_2026*K$7</f>
        <v>523914.71824469726</v>
      </c>
      <c r="L34" s="31">
        <f>Option2!L$84*conv_2026*L$7</f>
        <v>525545.28544504475</v>
      </c>
      <c r="M34" s="31">
        <f>Option2!M$84*conv_2026*M$7</f>
        <v>525605.16627296747</v>
      </c>
      <c r="N34" s="31">
        <f>Option2!N$84*conv_2026*N$7</f>
        <v>521298.01614456653</v>
      </c>
      <c r="O34" s="31">
        <f>Option2!O$84*conv_2026*O$7</f>
        <v>518714.1944223374</v>
      </c>
      <c r="P34" s="31">
        <f>Option2!P$84*conv_2026*P$7</f>
        <v>518973.82760829688</v>
      </c>
      <c r="Q34" s="31">
        <f>Option2!Q$84*conv_2026*Q$7</f>
        <v>520850.41183933878</v>
      </c>
      <c r="R34" s="31">
        <f>Option2!R$84*conv_2026*R$7</f>
        <v>516420.36674070731</v>
      </c>
      <c r="S34" s="31">
        <f>Option2!S$84*conv_2026*S$7</f>
        <v>516436.3304146005</v>
      </c>
      <c r="T34" s="31">
        <f>Option2!T$84*conv_2026*T$7</f>
        <v>516452.29408849351</v>
      </c>
      <c r="U34" s="31">
        <f>Option2!U$84*conv_2026*U$7</f>
        <v>516468.2577623867</v>
      </c>
      <c r="V34" s="31">
        <f>Option2!V$84*conv_2026*V$7</f>
        <v>516484.22143627977</v>
      </c>
      <c r="W34" s="31">
        <f>Option2!W$84*conv_2026*W$7</f>
        <v>516500.18511017278</v>
      </c>
      <c r="X34" s="31">
        <f>Option2!X$84*conv_2026*X$7</f>
        <v>516516.14878406591</v>
      </c>
      <c r="Y34" s="31">
        <f>Option2!Y$84*conv_2026*Y$7</f>
        <v>516532.11245795886</v>
      </c>
      <c r="Z34" s="31">
        <f>Option2!Z$84*conv_2026*Z$7</f>
        <v>516548.07613185194</v>
      </c>
      <c r="AA34" s="31">
        <f>Option2!AA$84*conv_2026*AA$7</f>
        <v>516564.03980574518</v>
      </c>
      <c r="AB34" s="31">
        <f>Option2!AB$84*conv_2026*AB$7</f>
        <v>516580.00347963831</v>
      </c>
      <c r="AC34" s="31">
        <f>Option2!AC$84*conv_2026*AC$7</f>
        <v>516595.96715353121</v>
      </c>
      <c r="AD34" s="31">
        <f>Option2!AD$84*conv_2026*AD$7</f>
        <v>0</v>
      </c>
      <c r="AE34" s="31">
        <f>Option2!AE$84*conv_2026*AE$7</f>
        <v>0</v>
      </c>
      <c r="AF34" s="31">
        <f>Option2!AF$84*conv_2026*AF$7</f>
        <v>0</v>
      </c>
      <c r="AG34" s="31">
        <f>Option2!AG$84*conv_2026*AG$7</f>
        <v>0</v>
      </c>
    </row>
    <row r="35" spans="1:33" s="2" customFormat="1" x14ac:dyDescent="0.2">
      <c r="A35" s="136" t="str">
        <f t="shared" si="7"/>
        <v>Option 2</v>
      </c>
      <c r="B35" s="136"/>
      <c r="C35" s="58" t="str">
        <f>Option2!C$85</f>
        <v>Other benefits value</v>
      </c>
      <c r="D35" s="38" t="str">
        <f t="shared" si="6"/>
        <v>Option 2Other benefits value</v>
      </c>
      <c r="E35" s="1"/>
      <c r="F35" s="97" cm="1">
        <f t="array" ref="F35">SUMPRODUCT(($H35:$AG35)*($H$5:$AG$5)*($H$7:$AG$7))</f>
        <v>1781261.9646748488</v>
      </c>
      <c r="G35" s="226">
        <f t="shared" si="8"/>
        <v>46203</v>
      </c>
      <c r="H35" s="31"/>
      <c r="I35" s="31">
        <f>Option2!I$85*conv_2026*I$7</f>
        <v>0</v>
      </c>
      <c r="J35" s="31">
        <f>Option2!J$85*conv_2026*J$7</f>
        <v>0</v>
      </c>
      <c r="K35" s="31">
        <f>Option2!K$85*conv_2026*K$7</f>
        <v>137845.73126756429</v>
      </c>
      <c r="L35" s="31">
        <f>Option2!L$85*conv_2026*L$7</f>
        <v>138394.50437427117</v>
      </c>
      <c r="M35" s="31">
        <f>Option2!M$85*conv_2026*M$7</f>
        <v>138529.83188875689</v>
      </c>
      <c r="N35" s="31">
        <f>Option2!N$85*conv_2026*N$7</f>
        <v>137398.27695181026</v>
      </c>
      <c r="O35" s="31">
        <f>Option2!O$85*conv_2026*O$7</f>
        <v>136720.89043230901</v>
      </c>
      <c r="P35" s="31">
        <f>Option2!P$85*conv_2026*P$7</f>
        <v>136792.95541699848</v>
      </c>
      <c r="Q35" s="31">
        <f>Option2!Q$85*conv_2026*Q$7</f>
        <v>137291.23679594786</v>
      </c>
      <c r="R35" s="31">
        <f>Option2!R$85*conv_2026*R$7</f>
        <v>136127.13230765963</v>
      </c>
      <c r="S35" s="31">
        <f>Option2!S$85*conv_2026*S$7</f>
        <v>136134.95363398289</v>
      </c>
      <c r="T35" s="31">
        <f>Option2!T$85*conv_2026*T$7</f>
        <v>136142.77496030615</v>
      </c>
      <c r="U35" s="31">
        <f>Option2!U$85*conv_2026*U$7</f>
        <v>136150.59628662938</v>
      </c>
      <c r="V35" s="31">
        <f>Option2!V$85*conv_2026*V$7</f>
        <v>136158.41761295256</v>
      </c>
      <c r="W35" s="31">
        <f>Option2!W$85*conv_2026*W$7</f>
        <v>136166.23893927582</v>
      </c>
      <c r="X35" s="31">
        <f>Option2!X$85*conv_2026*X$7</f>
        <v>136174.06026559908</v>
      </c>
      <c r="Y35" s="31">
        <f>Option2!Y$85*conv_2026*Y$7</f>
        <v>136181.88159192228</v>
      </c>
      <c r="Z35" s="31">
        <f>Option2!Z$85*conv_2026*Z$7</f>
        <v>136189.70291824554</v>
      </c>
      <c r="AA35" s="31">
        <f>Option2!AA$85*conv_2026*AA$7</f>
        <v>136197.52424456881</v>
      </c>
      <c r="AB35" s="31">
        <f>Option2!AB$85*conv_2026*AB$7</f>
        <v>136205.34557089207</v>
      </c>
      <c r="AC35" s="31">
        <f>Option2!AC$85*conv_2026*AC$7</f>
        <v>136213.16689721524</v>
      </c>
      <c r="AD35" s="31">
        <f>Option2!AD$85*conv_2026*AD$7</f>
        <v>0</v>
      </c>
      <c r="AE35" s="31">
        <f>Option2!AE$85*conv_2026*AE$7</f>
        <v>0</v>
      </c>
      <c r="AF35" s="31">
        <f>Option2!AF$85*conv_2026*AF$7</f>
        <v>0</v>
      </c>
      <c r="AG35" s="31">
        <f>Option2!AG$85*conv_2026*AG$7</f>
        <v>0</v>
      </c>
    </row>
    <row r="36" spans="1:33" s="2" customFormat="1" x14ac:dyDescent="0.2">
      <c r="A36" s="136" t="str">
        <f t="shared" si="7"/>
        <v>Option 2</v>
      </c>
      <c r="B36" s="136"/>
      <c r="C36" s="125" t="str">
        <f>Option2!C87</f>
        <v>Net benefits</v>
      </c>
      <c r="D36" s="109" t="str">
        <f t="shared" si="6"/>
        <v>Option 2Net benefits</v>
      </c>
      <c r="E36" s="110"/>
      <c r="F36" s="144"/>
      <c r="G36" s="228">
        <f t="shared" si="8"/>
        <v>46203</v>
      </c>
      <c r="H36" s="52"/>
      <c r="I36" s="52">
        <f>SUM(I32:I35)</f>
        <v>0</v>
      </c>
      <c r="J36" s="52">
        <f t="shared" ref="J36:AG36" si="9">SUM(J32:J35)</f>
        <v>0</v>
      </c>
      <c r="K36" s="52">
        <f t="shared" si="9"/>
        <v>347561.19309877476</v>
      </c>
      <c r="L36" s="52">
        <f t="shared" si="9"/>
        <v>349740.5334058291</v>
      </c>
      <c r="M36" s="52">
        <f t="shared" si="9"/>
        <v>349935.74174823757</v>
      </c>
      <c r="N36" s="52">
        <f t="shared" si="9"/>
        <v>344497.03668289003</v>
      </c>
      <c r="O36" s="52">
        <f t="shared" si="9"/>
        <v>341235.82844115963</v>
      </c>
      <c r="P36" s="52">
        <f t="shared" si="9"/>
        <v>341567.52661180857</v>
      </c>
      <c r="Q36" s="52">
        <f t="shared" si="9"/>
        <v>343942.39222179982</v>
      </c>
      <c r="R36" s="52">
        <f t="shared" si="9"/>
        <v>338348.24263488012</v>
      </c>
      <c r="S36" s="52">
        <f t="shared" si="9"/>
        <v>338372.02763509657</v>
      </c>
      <c r="T36" s="52">
        <f t="shared" si="9"/>
        <v>338395.8126353129</v>
      </c>
      <c r="U36" s="52">
        <f t="shared" si="9"/>
        <v>338419.5976355293</v>
      </c>
      <c r="V36" s="52">
        <f t="shared" si="9"/>
        <v>338443.38263574557</v>
      </c>
      <c r="W36" s="52">
        <f t="shared" si="9"/>
        <v>338467.16763596178</v>
      </c>
      <c r="X36" s="52">
        <f t="shared" si="9"/>
        <v>338490.95263617823</v>
      </c>
      <c r="Y36" s="52">
        <f t="shared" si="9"/>
        <v>338514.73763639433</v>
      </c>
      <c r="Z36" s="52">
        <f t="shared" si="9"/>
        <v>338538.52263661067</v>
      </c>
      <c r="AA36" s="52">
        <f t="shared" si="9"/>
        <v>338562.30763682723</v>
      </c>
      <c r="AB36" s="52">
        <f t="shared" si="9"/>
        <v>338586.09263704356</v>
      </c>
      <c r="AC36" s="52">
        <f t="shared" si="9"/>
        <v>338609.87763725966</v>
      </c>
      <c r="AD36" s="52">
        <f t="shared" si="9"/>
        <v>0</v>
      </c>
      <c r="AE36" s="52">
        <f t="shared" si="9"/>
        <v>0</v>
      </c>
      <c r="AF36" s="52">
        <f t="shared" si="9"/>
        <v>0</v>
      </c>
      <c r="AG36" s="52">
        <f t="shared" si="9"/>
        <v>0</v>
      </c>
    </row>
    <row r="37" spans="1:33" s="2" customFormat="1" x14ac:dyDescent="0.2">
      <c r="A37" s="136" t="str">
        <f t="shared" si="7"/>
        <v>Option 2</v>
      </c>
      <c r="B37" s="136"/>
      <c r="C37" s="8" t="s">
        <v>119</v>
      </c>
      <c r="D37" s="38" t="str">
        <f t="shared" si="6"/>
        <v>Option 2NPV</v>
      </c>
      <c r="E37" s="1"/>
      <c r="F37" s="108" cm="1">
        <f t="array" ref="F37">SUMPRODUCT(($H36:$AG36)*($H$5:$AG$5)*($H$7:$AG$7))</f>
        <v>4448817.2489603329</v>
      </c>
      <c r="G37" s="226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x14ac:dyDescent="0.2">
      <c r="A38" s="136" t="str">
        <f t="shared" si="7"/>
        <v>Option 2</v>
      </c>
      <c r="B38" s="136"/>
      <c r="C38" s="8" t="s">
        <v>193</v>
      </c>
      <c r="D38" s="38" t="str">
        <f t="shared" si="6"/>
        <v>Option 2PV of costs</v>
      </c>
      <c r="E38" s="1"/>
      <c r="F38" s="108">
        <f>SUM(F32:F33)</f>
        <v>-4090976.0105953142</v>
      </c>
      <c r="G38" s="226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x14ac:dyDescent="0.2">
      <c r="A39" s="136" t="str">
        <f t="shared" si="7"/>
        <v>Option 2</v>
      </c>
      <c r="B39" s="136"/>
      <c r="C39" s="8" t="s">
        <v>194</v>
      </c>
      <c r="D39" s="38" t="str">
        <f t="shared" si="6"/>
        <v>Option 2PV of benefits</v>
      </c>
      <c r="E39" s="1"/>
      <c r="F39" s="108">
        <f>SUM(F34:F35)</f>
        <v>8539793.2595556509</v>
      </c>
      <c r="G39" s="226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x14ac:dyDescent="0.2">
      <c r="A40" s="136"/>
      <c r="B40" s="136"/>
      <c r="C40" s="1"/>
      <c r="D40" s="38"/>
      <c r="E40" s="1"/>
      <c r="F40" s="108"/>
      <c r="G40" s="229"/>
      <c r="H40" s="1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s="2" customFormat="1" x14ac:dyDescent="0.2">
      <c r="A41" s="123"/>
      <c r="B41" s="123"/>
      <c r="C41" s="123"/>
      <c r="D41" s="38" t="str">
        <f>A41&amp;C41</f>
        <v/>
      </c>
      <c r="F41" s="118"/>
      <c r="G41" s="222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</row>
    <row r="42" spans="1:33" s="271" customFormat="1" x14ac:dyDescent="0.2">
      <c r="A42" s="269" t="str">
        <f>A43</f>
        <v>Option 3</v>
      </c>
      <c r="B42" s="269"/>
      <c r="C42" s="269" t="s">
        <v>124</v>
      </c>
      <c r="D42" s="270" t="str">
        <f>A42&amp;C42</f>
        <v>Option 3Energy at risk value</v>
      </c>
      <c r="F42" s="97">
        <f>SUMPRODUCT($H42:$AG42, $H$5:$AG$5)</f>
        <v>1026246.9541286164</v>
      </c>
      <c r="G42" s="272">
        <f>output_dollars</f>
        <v>46203</v>
      </c>
      <c r="H42" s="273"/>
      <c r="I42" s="31">
        <f>Option3!I$28*conv_2026</f>
        <v>535932.19998257514</v>
      </c>
      <c r="J42" s="31">
        <f>Option3!J$28*conv_2026</f>
        <v>525903.80988681607</v>
      </c>
      <c r="K42" s="31">
        <f>Option3!K$28*conv_2026</f>
        <v>0</v>
      </c>
      <c r="L42" s="31">
        <f>Option3!L$28*conv_2026</f>
        <v>0</v>
      </c>
      <c r="M42" s="31">
        <f>Option3!M$28*conv_2026</f>
        <v>0</v>
      </c>
      <c r="N42" s="31">
        <f>Option3!N$28*conv_2026</f>
        <v>0</v>
      </c>
      <c r="O42" s="31">
        <f>Option3!O$28*conv_2026</f>
        <v>0</v>
      </c>
      <c r="P42" s="31">
        <f>Option3!P$28*conv_2026</f>
        <v>0</v>
      </c>
      <c r="Q42" s="31">
        <f>Option3!Q$28*conv_2026</f>
        <v>0</v>
      </c>
      <c r="R42" s="31">
        <f>Option3!R$28*conv_2026</f>
        <v>0</v>
      </c>
      <c r="S42" s="31">
        <f>Option3!S$28*conv_2026</f>
        <v>0</v>
      </c>
      <c r="T42" s="31">
        <f>Option3!T$28*conv_2026</f>
        <v>0</v>
      </c>
      <c r="U42" s="31">
        <f>Option3!U$28*conv_2026</f>
        <v>0</v>
      </c>
      <c r="V42" s="31">
        <f>Option3!V$28*conv_2026</f>
        <v>0</v>
      </c>
      <c r="W42" s="31">
        <f>Option3!W$28*conv_2026</f>
        <v>0</v>
      </c>
      <c r="X42" s="31">
        <f>Option3!X$28*conv_2026</f>
        <v>0</v>
      </c>
      <c r="Y42" s="31">
        <f>Option3!Y$28*conv_2026</f>
        <v>0</v>
      </c>
      <c r="Z42" s="31">
        <f>Option3!Z$28*conv_2026</f>
        <v>0</v>
      </c>
      <c r="AA42" s="31">
        <f>Option3!AA$28*conv_2026</f>
        <v>0</v>
      </c>
      <c r="AB42" s="31">
        <f>Option3!AB$28*conv_2026</f>
        <v>0</v>
      </c>
      <c r="AC42" s="31">
        <f>Option3!AC$28*conv_2026</f>
        <v>0</v>
      </c>
      <c r="AD42" s="31">
        <f>Option3!AD$28*conv_2026</f>
        <v>0</v>
      </c>
      <c r="AE42" s="31">
        <f>Option3!AE$28*conv_2026</f>
        <v>0</v>
      </c>
      <c r="AF42" s="31">
        <f>Option3!AF$28*conv_2026</f>
        <v>0</v>
      </c>
      <c r="AG42" s="31">
        <f>Option3!AG$28*conv_2026</f>
        <v>0</v>
      </c>
    </row>
    <row r="43" spans="1:33" s="2" customFormat="1" x14ac:dyDescent="0.2">
      <c r="A43" s="136" t="str">
        <f>Data!B11</f>
        <v>Option 3</v>
      </c>
      <c r="B43" s="136"/>
      <c r="C43" s="58" t="str">
        <f>Option3!C$66</f>
        <v>Capital expenditure</v>
      </c>
      <c r="D43" s="38" t="str">
        <f>A43&amp;C43</f>
        <v>Option 3Capital expenditure</v>
      </c>
      <c r="E43" s="1"/>
      <c r="F43" s="97">
        <f>SUMPRODUCT($H43:$AG43, $H$5:$AG$5)</f>
        <v>-6755613.9813766405</v>
      </c>
      <c r="G43" s="226">
        <f>output_dollars</f>
        <v>46203</v>
      </c>
      <c r="H43" s="31"/>
      <c r="I43" s="31">
        <f>SUM(Option3!I$67:I$69)*conv_2026*I$7</f>
        <v>0</v>
      </c>
      <c r="J43" s="31">
        <f>SUM(Option3!J$67:J$69)*conv_2026*J$7</f>
        <v>-7113369.2061632909</v>
      </c>
      <c r="K43" s="31">
        <f>SUM(Option3!K$67:K$69)*conv_2026*K$7</f>
        <v>0</v>
      </c>
      <c r="L43" s="31">
        <f>SUM(Option3!L$67:L$69)*conv_2026*L$7</f>
        <v>0</v>
      </c>
      <c r="M43" s="31">
        <f>SUM(Option3!M$67:M$69)*conv_2026*M$7</f>
        <v>0</v>
      </c>
      <c r="N43" s="31">
        <f>SUM(Option3!N$67:N$69)*conv_2026*N$7</f>
        <v>0</v>
      </c>
      <c r="O43" s="31">
        <f>SUM(Option3!O$67:O$69)*conv_2026*O$7</f>
        <v>0</v>
      </c>
      <c r="P43" s="31">
        <f>SUM(Option3!P$67:P$69)*conv_2026*P$7</f>
        <v>0</v>
      </c>
      <c r="Q43" s="31">
        <f>SUM(Option3!Q$67:Q$69)*conv_2026*Q$7</f>
        <v>0</v>
      </c>
      <c r="R43" s="31">
        <f>SUM(Option3!R$67:R$69)*conv_2026*R$7</f>
        <v>0</v>
      </c>
      <c r="S43" s="31">
        <f>SUM(Option3!S$67:S$69)*conv_2026*S$7</f>
        <v>0</v>
      </c>
      <c r="T43" s="31">
        <f>SUM(Option3!T$67:T$69)*conv_2026*T$7</f>
        <v>0</v>
      </c>
      <c r="U43" s="31">
        <f>SUM(Option3!U$67:U$69)*conv_2026*U$7</f>
        <v>0</v>
      </c>
      <c r="V43" s="31">
        <f>SUM(Option3!V$67:V$69)*conv_2026*V$7</f>
        <v>0</v>
      </c>
      <c r="W43" s="31">
        <f>SUM(Option3!W$67:W$69)*conv_2026*W$7</f>
        <v>0</v>
      </c>
      <c r="X43" s="31">
        <f>SUM(Option3!X$67:X$69)*conv_2026*X$7</f>
        <v>0</v>
      </c>
      <c r="Y43" s="31">
        <f>SUM(Option3!Y$67:Y$69)*conv_2026*Y$7</f>
        <v>0</v>
      </c>
      <c r="Z43" s="31">
        <f>SUM(Option3!Z$67:Z$69)*conv_2026*Z$7</f>
        <v>0</v>
      </c>
      <c r="AA43" s="31">
        <f>SUM(Option3!AA$67:AA$69)*conv_2026*AA$7</f>
        <v>0</v>
      </c>
      <c r="AB43" s="31">
        <f>SUM(Option3!AB$67:AB$69)*conv_2026*AB$7</f>
        <v>0</v>
      </c>
      <c r="AC43" s="31">
        <f>SUM(Option3!AC$67:AC$69)*conv_2026*AC$7</f>
        <v>0</v>
      </c>
      <c r="AD43" s="31">
        <f>SUM(Option3!AD$67:AD$69)*conv_2026*AD$7</f>
        <v>0</v>
      </c>
      <c r="AE43" s="31">
        <f>SUM(Option3!AE$67:AE$69)*conv_2026*AE$7</f>
        <v>0</v>
      </c>
      <c r="AF43" s="31">
        <f>SUM(Option3!AF$67:AF$69)*conv_2026*AF$7</f>
        <v>0</v>
      </c>
      <c r="AG43" s="31">
        <f>SUM(Option3!AG$67:AG$69)*conv_2026*AG$7</f>
        <v>0</v>
      </c>
    </row>
    <row r="44" spans="1:33" s="2" customFormat="1" x14ac:dyDescent="0.2">
      <c r="A44" s="136" t="str">
        <f t="shared" ref="A44:A53" si="10">A43</f>
        <v>Option 3</v>
      </c>
      <c r="B44" s="136"/>
      <c r="C44" s="58" t="str">
        <f>'Option1 (base case)'!C$36</f>
        <v>Total risk cost</v>
      </c>
      <c r="D44" s="38" t="str">
        <f>A44&amp;C44</f>
        <v>Option 3Total risk cost</v>
      </c>
      <c r="E44" s="1"/>
      <c r="F44" s="97">
        <f>SUMPRODUCT($H44:$AG44, $H$5:$AG$5)</f>
        <v>1026246.9541286164</v>
      </c>
      <c r="G44" s="226">
        <f>output_dollars</f>
        <v>46203</v>
      </c>
      <c r="H44" s="31"/>
      <c r="I44" s="31">
        <f>Option3!I$36*conv_2026*I$7</f>
        <v>535932.19998257514</v>
      </c>
      <c r="J44" s="31">
        <f>Option3!J$36*conv_2026*J$7</f>
        <v>525903.80988681607</v>
      </c>
      <c r="K44" s="31">
        <f>Option3!K$36*conv_2026*K$7</f>
        <v>0</v>
      </c>
      <c r="L44" s="31">
        <f>Option3!L$36*conv_2026*L$7</f>
        <v>0</v>
      </c>
      <c r="M44" s="31">
        <f>Option3!M$36*conv_2026*M$7</f>
        <v>0</v>
      </c>
      <c r="N44" s="31">
        <f>Option3!N$36*conv_2026*N$7</f>
        <v>0</v>
      </c>
      <c r="O44" s="31">
        <f>Option3!O$36*conv_2026*O$7</f>
        <v>0</v>
      </c>
      <c r="P44" s="31">
        <f>Option3!P$36*conv_2026*P$7</f>
        <v>0</v>
      </c>
      <c r="Q44" s="31">
        <f>Option3!Q$36*conv_2026*Q$7</f>
        <v>0</v>
      </c>
      <c r="R44" s="31">
        <f>Option3!R$36*conv_2026*R$7</f>
        <v>0</v>
      </c>
      <c r="S44" s="31">
        <f>Option3!S$36*conv_2026*S$7</f>
        <v>0</v>
      </c>
      <c r="T44" s="31">
        <f>Option3!T$36*conv_2026*T$7</f>
        <v>0</v>
      </c>
      <c r="U44" s="31">
        <f>Option3!U$36*conv_2026*U$7</f>
        <v>0</v>
      </c>
      <c r="V44" s="31">
        <f>Option3!V$36*conv_2026*V$7</f>
        <v>0</v>
      </c>
      <c r="W44" s="31">
        <f>Option3!W$36*conv_2026*W$7</f>
        <v>0</v>
      </c>
      <c r="X44" s="31">
        <f>Option3!X$36*conv_2026*X$7</f>
        <v>0</v>
      </c>
      <c r="Y44" s="31">
        <f>Option3!Y$36*conv_2026*Y$7</f>
        <v>0</v>
      </c>
      <c r="Z44" s="31">
        <f>Option3!Z$36*conv_2026*Z$7</f>
        <v>0</v>
      </c>
      <c r="AA44" s="31">
        <f>Option3!AA$36*conv_2026*AA$7</f>
        <v>0</v>
      </c>
      <c r="AB44" s="31">
        <f>Option3!AB$36*conv_2026*AB$7</f>
        <v>0</v>
      </c>
      <c r="AC44" s="31">
        <f>Option3!AC$36*conv_2026*AC$7</f>
        <v>0</v>
      </c>
      <c r="AD44" s="31">
        <f>Option3!AD$36*conv_2026*AD$7</f>
        <v>0</v>
      </c>
      <c r="AE44" s="31">
        <f>Option3!AE$36*conv_2026*AE$7</f>
        <v>0</v>
      </c>
      <c r="AF44" s="31">
        <f>Option3!AF$36*conv_2026*AF$7</f>
        <v>0</v>
      </c>
      <c r="AG44" s="31">
        <f>Option3!AG$36*conv_2026*AG$7</f>
        <v>0</v>
      </c>
    </row>
    <row r="45" spans="1:33" s="2" customFormat="1" x14ac:dyDescent="0.2">
      <c r="A45" s="136" t="str">
        <f t="shared" si="10"/>
        <v>Option 3</v>
      </c>
      <c r="B45" s="136"/>
      <c r="C45" s="58"/>
      <c r="D45" s="38"/>
      <c r="E45" s="1"/>
      <c r="F45" s="97"/>
      <c r="G45" s="226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x14ac:dyDescent="0.2">
      <c r="A46" s="136" t="str">
        <f t="shared" si="10"/>
        <v>Option 3</v>
      </c>
      <c r="B46" s="136"/>
      <c r="C46" s="58" t="str">
        <f>Option3!C$82</f>
        <v>Annualised capex</v>
      </c>
      <c r="D46" s="38" t="str">
        <f t="shared" ref="D46:D53" si="11">A46&amp;C46</f>
        <v>Option 3Annualised capex</v>
      </c>
      <c r="E46" s="1"/>
      <c r="F46" s="97">
        <f>SUMPRODUCT($H46:$AG46, $H$5:$AG$5)</f>
        <v>-6516728.1966647021</v>
      </c>
      <c r="G46" s="226">
        <f t="shared" ref="G46:G53" si="12">output_dollars</f>
        <v>46203</v>
      </c>
      <c r="H46" s="31"/>
      <c r="I46" s="31">
        <f>Option3!I$82*conv_2026*I$7</f>
        <v>0</v>
      </c>
      <c r="J46" s="31">
        <f>Option3!J$82*conv_2026*J$7</f>
        <v>0</v>
      </c>
      <c r="K46" s="31">
        <f>Option3!K$82*conv_2026*K$7</f>
        <v>-500504.31690086942</v>
      </c>
      <c r="L46" s="31">
        <f>Option3!L$82*conv_2026*L$7</f>
        <v>-500504.31690086942</v>
      </c>
      <c r="M46" s="31">
        <f>Option3!M$82*conv_2026*M$7</f>
        <v>-500504.31690086942</v>
      </c>
      <c r="N46" s="31">
        <f>Option3!N$82*conv_2026*N$7</f>
        <v>-500504.31690086942</v>
      </c>
      <c r="O46" s="31">
        <f>Option3!O$82*conv_2026*O$7</f>
        <v>-500504.31690086942</v>
      </c>
      <c r="P46" s="31">
        <f>Option3!P$82*conv_2026*P$7</f>
        <v>-500504.31690086942</v>
      </c>
      <c r="Q46" s="31">
        <f>Option3!Q$82*conv_2026*Q$7</f>
        <v>-500504.31690086942</v>
      </c>
      <c r="R46" s="31">
        <f>Option3!R$82*conv_2026*R$7</f>
        <v>-500504.31690086942</v>
      </c>
      <c r="S46" s="31">
        <f>Option3!S$82*conv_2026*S$7</f>
        <v>-500504.31690086942</v>
      </c>
      <c r="T46" s="31">
        <f>Option3!T$82*conv_2026*T$7</f>
        <v>-500504.31690086942</v>
      </c>
      <c r="U46" s="31">
        <f>Option3!U$82*conv_2026*U$7</f>
        <v>-500504.31690086942</v>
      </c>
      <c r="V46" s="31">
        <f>Option3!V$82*conv_2026*V$7</f>
        <v>-500504.31690086942</v>
      </c>
      <c r="W46" s="31">
        <f>Option3!W$82*conv_2026*W$7</f>
        <v>-500504.31690086942</v>
      </c>
      <c r="X46" s="31">
        <f>Option3!X$82*conv_2026*X$7</f>
        <v>-500504.31690086942</v>
      </c>
      <c r="Y46" s="31">
        <f>Option3!Y$82*conv_2026*Y$7</f>
        <v>-500504.31690086942</v>
      </c>
      <c r="Z46" s="31">
        <f>Option3!Z$82*conv_2026*Z$7</f>
        <v>-500504.31690086942</v>
      </c>
      <c r="AA46" s="31">
        <f>Option3!AA$82*conv_2026*AA$7</f>
        <v>-500504.31690086942</v>
      </c>
      <c r="AB46" s="31">
        <f>Option3!AB$82*conv_2026*AB$7</f>
        <v>-500504.31690086942</v>
      </c>
      <c r="AC46" s="31">
        <f>Option3!AC$82*conv_2026*AC$7</f>
        <v>-500504.31690086942</v>
      </c>
      <c r="AD46" s="31">
        <f>Option3!AD$82*conv_2026*AD$7</f>
        <v>0</v>
      </c>
      <c r="AE46" s="31">
        <f>Option3!AE$82*conv_2026*AE$7</f>
        <v>0</v>
      </c>
      <c r="AF46" s="31">
        <f>Option3!AF$82*conv_2026*AF$7</f>
        <v>0</v>
      </c>
      <c r="AG46" s="31">
        <f>Option3!AG$82*conv_2026*AG$7</f>
        <v>0</v>
      </c>
    </row>
    <row r="47" spans="1:33" s="2" customFormat="1" x14ac:dyDescent="0.2">
      <c r="A47" s="136" t="str">
        <f t="shared" si="10"/>
        <v>Option 3</v>
      </c>
      <c r="B47" s="136"/>
      <c r="C47" s="58" t="str">
        <f>Option3!C$83</f>
        <v>Operating expenditure</v>
      </c>
      <c r="D47" s="38" t="str">
        <f t="shared" si="11"/>
        <v>Option 3Operating expenditure</v>
      </c>
      <c r="E47" s="1"/>
      <c r="F47" s="97">
        <f>SUMPRODUCT($H47:$AG47, $H$5:$AG$5)</f>
        <v>-2608286.9140518517</v>
      </c>
      <c r="G47" s="226">
        <f t="shared" si="12"/>
        <v>46203</v>
      </c>
      <c r="H47" s="31"/>
      <c r="I47" s="31">
        <f>Option3!I$83*conv_2026*I$7</f>
        <v>0</v>
      </c>
      <c r="J47" s="31">
        <f>Option3!J$83*conv_2026*J$7</f>
        <v>0</v>
      </c>
      <c r="K47" s="31">
        <f>Option3!K$83*conv_2026*K$7</f>
        <v>-200324.27635498744</v>
      </c>
      <c r="L47" s="31">
        <f>Option3!L$83*conv_2026*L$7</f>
        <v>-200324.27635498744</v>
      </c>
      <c r="M47" s="31">
        <f>Option3!M$83*conv_2026*M$7</f>
        <v>-200324.27635498744</v>
      </c>
      <c r="N47" s="31">
        <f>Option3!N$83*conv_2026*N$7</f>
        <v>-200324.27635498744</v>
      </c>
      <c r="O47" s="31">
        <f>Option3!O$83*conv_2026*O$7</f>
        <v>-200324.27635498744</v>
      </c>
      <c r="P47" s="31">
        <f>Option3!P$83*conv_2026*P$7</f>
        <v>-200324.27635498744</v>
      </c>
      <c r="Q47" s="31">
        <f>Option3!Q$83*conv_2026*Q$7</f>
        <v>-200324.27635498744</v>
      </c>
      <c r="R47" s="31">
        <f>Option3!R$83*conv_2026*R$7</f>
        <v>-200324.27635498744</v>
      </c>
      <c r="S47" s="31">
        <f>Option3!S$83*conv_2026*S$7</f>
        <v>-200324.27635498744</v>
      </c>
      <c r="T47" s="31">
        <f>Option3!T$83*conv_2026*T$7</f>
        <v>-200324.27635498744</v>
      </c>
      <c r="U47" s="31">
        <f>Option3!U$83*conv_2026*U$7</f>
        <v>-200324.27635498744</v>
      </c>
      <c r="V47" s="31">
        <f>Option3!V$83*conv_2026*V$7</f>
        <v>-200324.27635498744</v>
      </c>
      <c r="W47" s="31">
        <f>Option3!W$83*conv_2026*W$7</f>
        <v>-200324.27635498744</v>
      </c>
      <c r="X47" s="31">
        <f>Option3!X$83*conv_2026*X$7</f>
        <v>-200324.27635498744</v>
      </c>
      <c r="Y47" s="31">
        <f>Option3!Y$83*conv_2026*Y$7</f>
        <v>-200324.27635498744</v>
      </c>
      <c r="Z47" s="31">
        <f>Option3!Z$83*conv_2026*Z$7</f>
        <v>-200324.27635498744</v>
      </c>
      <c r="AA47" s="31">
        <f>Option3!AA$83*conv_2026*AA$7</f>
        <v>-200324.27635498744</v>
      </c>
      <c r="AB47" s="31">
        <f>Option3!AB$83*conv_2026*AB$7</f>
        <v>-200324.27635498744</v>
      </c>
      <c r="AC47" s="31">
        <f>Option3!AC$83*conv_2026*AC$7</f>
        <v>-200324.27635498744</v>
      </c>
      <c r="AD47" s="31">
        <f>Option3!AD$83*conv_2026*AD$7</f>
        <v>0</v>
      </c>
      <c r="AE47" s="31">
        <f>Option3!AE$83*conv_2026*AE$7</f>
        <v>0</v>
      </c>
      <c r="AF47" s="31">
        <f>Option3!AF$83*conv_2026*AF$7</f>
        <v>0</v>
      </c>
      <c r="AG47" s="31">
        <f>Option3!AG$83*conv_2026*AG$7</f>
        <v>0</v>
      </c>
    </row>
    <row r="48" spans="1:33" s="2" customFormat="1" x14ac:dyDescent="0.2">
      <c r="A48" s="136" t="str">
        <f t="shared" si="10"/>
        <v>Option 3</v>
      </c>
      <c r="B48" s="136"/>
      <c r="C48" s="58" t="str">
        <f>Option3!C$84</f>
        <v>Risk mitigated</v>
      </c>
      <c r="D48" s="38" t="str">
        <f t="shared" si="11"/>
        <v>Option 3Risk mitigated</v>
      </c>
      <c r="E48" s="1"/>
      <c r="F48" s="97">
        <f>SUMPRODUCT($H48:$AG48, $H$5:$AG$5)</f>
        <v>6758531.2948808018</v>
      </c>
      <c r="G48" s="226">
        <f t="shared" si="12"/>
        <v>46203</v>
      </c>
      <c r="H48" s="31"/>
      <c r="I48" s="31">
        <f>Option3!I$84*conv_2026*I$7</f>
        <v>0</v>
      </c>
      <c r="J48" s="31">
        <f>Option3!J$84*conv_2026*J$7</f>
        <v>0</v>
      </c>
      <c r="K48" s="31">
        <f>Option3!K$84*conv_2026*K$7</f>
        <v>523914.71824469726</v>
      </c>
      <c r="L48" s="31">
        <f>Option3!L$84*conv_2026*L$7</f>
        <v>525545.28544504475</v>
      </c>
      <c r="M48" s="31">
        <f>Option3!M$84*conv_2026*M$7</f>
        <v>525605.16627296747</v>
      </c>
      <c r="N48" s="31">
        <f>Option3!N$84*conv_2026*N$7</f>
        <v>521298.01614456653</v>
      </c>
      <c r="O48" s="31">
        <f>Option3!O$84*conv_2026*O$7</f>
        <v>518714.1944223374</v>
      </c>
      <c r="P48" s="31">
        <f>Option3!P$84*conv_2026*P$7</f>
        <v>518973.82760829688</v>
      </c>
      <c r="Q48" s="31">
        <f>Option3!Q$84*conv_2026*Q$7</f>
        <v>520850.41183933878</v>
      </c>
      <c r="R48" s="31">
        <f>Option3!R$84*conv_2026*R$7</f>
        <v>516420.36674070731</v>
      </c>
      <c r="S48" s="31">
        <f>Option3!S$84*conv_2026*S$7</f>
        <v>516436.3304146005</v>
      </c>
      <c r="T48" s="31">
        <f>Option3!T$84*conv_2026*T$7</f>
        <v>516452.29408849351</v>
      </c>
      <c r="U48" s="31">
        <f>Option3!U$84*conv_2026*U$7</f>
        <v>516468.2577623867</v>
      </c>
      <c r="V48" s="31">
        <f>Option3!V$84*conv_2026*V$7</f>
        <v>516484.22143627977</v>
      </c>
      <c r="W48" s="31">
        <f>Option3!W$84*conv_2026*W$7</f>
        <v>516500.18511017278</v>
      </c>
      <c r="X48" s="31">
        <f>Option3!X$84*conv_2026*X$7</f>
        <v>516516.14878406591</v>
      </c>
      <c r="Y48" s="31">
        <f>Option3!Y$84*conv_2026*Y$7</f>
        <v>516532.11245795886</v>
      </c>
      <c r="Z48" s="31">
        <f>Option3!Z$84*conv_2026*Z$7</f>
        <v>516548.07613185194</v>
      </c>
      <c r="AA48" s="31">
        <f>Option3!AA$84*conv_2026*AA$7</f>
        <v>516564.03980574518</v>
      </c>
      <c r="AB48" s="31">
        <f>Option3!AB$84*conv_2026*AB$7</f>
        <v>516580.00347963831</v>
      </c>
      <c r="AC48" s="31">
        <f>Option3!AC$84*conv_2026*AC$7</f>
        <v>516595.96715353121</v>
      </c>
      <c r="AD48" s="31">
        <f>Option3!AD$84*conv_2026*AD$7</f>
        <v>0</v>
      </c>
      <c r="AE48" s="31">
        <f>Option3!AE$84*conv_2026*AE$7</f>
        <v>0</v>
      </c>
      <c r="AF48" s="31">
        <f>Option3!AF$84*conv_2026*AF$7</f>
        <v>0</v>
      </c>
      <c r="AG48" s="31">
        <f>Option3!AG$84*conv_2026*AG$7</f>
        <v>0</v>
      </c>
    </row>
    <row r="49" spans="1:33" s="2" customFormat="1" x14ac:dyDescent="0.2">
      <c r="A49" s="136" t="str">
        <f t="shared" si="10"/>
        <v>Option 3</v>
      </c>
      <c r="B49" s="136"/>
      <c r="C49" s="58" t="str">
        <f>Option3!C$85</f>
        <v>Other benefits value</v>
      </c>
      <c r="D49" s="38" t="str">
        <f t="shared" si="11"/>
        <v>Option 3Other benefits value</v>
      </c>
      <c r="E49" s="1"/>
      <c r="F49" s="97">
        <f>SUMPRODUCT($H49:$AG49, $H$5:$AG$5)</f>
        <v>1940657.2760891283</v>
      </c>
      <c r="G49" s="226">
        <f t="shared" si="12"/>
        <v>46203</v>
      </c>
      <c r="H49" s="31"/>
      <c r="I49" s="31">
        <f>Option3!I$85*conv_2026*I$7</f>
        <v>0</v>
      </c>
      <c r="J49" s="31">
        <f>Option3!J$85*conv_2026*J$7</f>
        <v>0</v>
      </c>
      <c r="K49" s="31">
        <f>Option3!K$85*conv_2026*K$7</f>
        <v>150087.77037814684</v>
      </c>
      <c r="L49" s="31">
        <f>Option3!L$85*conv_2026*L$7</f>
        <v>150636.54348485373</v>
      </c>
      <c r="M49" s="31">
        <f>Option3!M$85*conv_2026*M$7</f>
        <v>150771.87099933944</v>
      </c>
      <c r="N49" s="31">
        <f>Option3!N$85*conv_2026*N$7</f>
        <v>149640.31606239281</v>
      </c>
      <c r="O49" s="31">
        <f>Option3!O$85*conv_2026*O$7</f>
        <v>148962.92954289156</v>
      </c>
      <c r="P49" s="31">
        <f>Option3!P$85*conv_2026*P$7</f>
        <v>149034.994527581</v>
      </c>
      <c r="Q49" s="31">
        <f>Option3!Q$85*conv_2026*Q$7</f>
        <v>149533.27590653041</v>
      </c>
      <c r="R49" s="31">
        <f>Option3!R$85*conv_2026*R$7</f>
        <v>148369.17141824221</v>
      </c>
      <c r="S49" s="31">
        <f>Option3!S$85*conv_2026*S$7</f>
        <v>148376.99274456545</v>
      </c>
      <c r="T49" s="31">
        <f>Option3!T$85*conv_2026*T$7</f>
        <v>148384.81407088871</v>
      </c>
      <c r="U49" s="31">
        <f>Option3!U$85*conv_2026*U$7</f>
        <v>148392.63539721194</v>
      </c>
      <c r="V49" s="31">
        <f>Option3!V$85*conv_2026*V$7</f>
        <v>148400.45672353514</v>
      </c>
      <c r="W49" s="31">
        <f>Option3!W$85*conv_2026*W$7</f>
        <v>148408.27804985837</v>
      </c>
      <c r="X49" s="31">
        <f>Option3!X$85*conv_2026*X$7</f>
        <v>148416.09937618166</v>
      </c>
      <c r="Y49" s="31">
        <f>Option3!Y$85*conv_2026*Y$7</f>
        <v>148423.92070250487</v>
      </c>
      <c r="Z49" s="31">
        <f>Option3!Z$85*conv_2026*Z$7</f>
        <v>148431.74202882813</v>
      </c>
      <c r="AA49" s="31">
        <f>Option3!AA$85*conv_2026*AA$7</f>
        <v>148439.56335515136</v>
      </c>
      <c r="AB49" s="31">
        <f>Option3!AB$85*conv_2026*AB$7</f>
        <v>148447.38468147462</v>
      </c>
      <c r="AC49" s="31">
        <f>Option3!AC$85*conv_2026*AC$7</f>
        <v>148455.20600779779</v>
      </c>
      <c r="AD49" s="31">
        <f>Option3!AD$85*conv_2026*AD$7</f>
        <v>0</v>
      </c>
      <c r="AE49" s="31">
        <f>Option3!AE$85*conv_2026*AE$7</f>
        <v>0</v>
      </c>
      <c r="AF49" s="31">
        <f>Option3!AF$85*conv_2026*AF$7</f>
        <v>0</v>
      </c>
      <c r="AG49" s="31">
        <f>Option3!AG$85*conv_2026*AG$7</f>
        <v>0</v>
      </c>
    </row>
    <row r="50" spans="1:33" s="2" customFormat="1" x14ac:dyDescent="0.2">
      <c r="A50" s="136" t="str">
        <f t="shared" si="10"/>
        <v>Option 3</v>
      </c>
      <c r="B50" s="136"/>
      <c r="C50" s="125" t="str">
        <f>Option3!C87</f>
        <v>Net benefits</v>
      </c>
      <c r="D50" s="109" t="str">
        <f t="shared" si="11"/>
        <v>Option 3Net benefits</v>
      </c>
      <c r="E50" s="110"/>
      <c r="F50" s="144"/>
      <c r="G50" s="228">
        <f t="shared" si="12"/>
        <v>46203</v>
      </c>
      <c r="H50" s="52"/>
      <c r="I50" s="52">
        <f t="shared" ref="I50:AB50" si="13">SUM(I46:I49)</f>
        <v>0</v>
      </c>
      <c r="J50" s="52">
        <f t="shared" si="13"/>
        <v>0</v>
      </c>
      <c r="K50" s="52">
        <f t="shared" si="13"/>
        <v>-26826.104633012787</v>
      </c>
      <c r="L50" s="52">
        <f t="shared" si="13"/>
        <v>-24646.764325958415</v>
      </c>
      <c r="M50" s="52">
        <f t="shared" si="13"/>
        <v>-24451.555983549973</v>
      </c>
      <c r="N50" s="52">
        <f t="shared" si="13"/>
        <v>-29890.261048897548</v>
      </c>
      <c r="O50" s="52">
        <f t="shared" si="13"/>
        <v>-33151.469290627923</v>
      </c>
      <c r="P50" s="52">
        <f t="shared" si="13"/>
        <v>-32819.771119979006</v>
      </c>
      <c r="Q50" s="52">
        <f t="shared" si="13"/>
        <v>-30444.9055099877</v>
      </c>
      <c r="R50" s="52">
        <f t="shared" si="13"/>
        <v>-36039.055096907367</v>
      </c>
      <c r="S50" s="52">
        <f t="shared" si="13"/>
        <v>-36015.270096690947</v>
      </c>
      <c r="T50" s="52">
        <f t="shared" si="13"/>
        <v>-35991.485096474673</v>
      </c>
      <c r="U50" s="52">
        <f t="shared" si="13"/>
        <v>-35967.700096258253</v>
      </c>
      <c r="V50" s="52">
        <f t="shared" si="13"/>
        <v>-35943.915096041979</v>
      </c>
      <c r="W50" s="52">
        <f t="shared" si="13"/>
        <v>-35920.130095825734</v>
      </c>
      <c r="X50" s="52">
        <f t="shared" si="13"/>
        <v>-35896.345095609315</v>
      </c>
      <c r="Y50" s="52">
        <f t="shared" si="13"/>
        <v>-35872.560095393157</v>
      </c>
      <c r="Z50" s="52">
        <f t="shared" si="13"/>
        <v>-35848.775095176825</v>
      </c>
      <c r="AA50" s="52">
        <f t="shared" si="13"/>
        <v>-35824.990094960347</v>
      </c>
      <c r="AB50" s="52">
        <f t="shared" si="13"/>
        <v>-35801.205094743957</v>
      </c>
      <c r="AC50" s="52">
        <f>SUM(AC46:AC49)</f>
        <v>-35777.420094527886</v>
      </c>
      <c r="AD50" s="52">
        <f>SUM(AD46:AD49)</f>
        <v>0</v>
      </c>
      <c r="AE50" s="52">
        <f>SUM(AE46:AE49)</f>
        <v>0</v>
      </c>
      <c r="AF50" s="52">
        <f>SUM(AF46:AF49)</f>
        <v>0</v>
      </c>
      <c r="AG50" s="52">
        <f>SUM(AG46:AG49)</f>
        <v>0</v>
      </c>
    </row>
    <row r="51" spans="1:33" s="2" customFormat="1" x14ac:dyDescent="0.2">
      <c r="A51" s="136" t="str">
        <f t="shared" si="10"/>
        <v>Option 3</v>
      </c>
      <c r="B51" s="136"/>
      <c r="C51" s="8" t="s">
        <v>119</v>
      </c>
      <c r="D51" s="38" t="str">
        <f t="shared" si="11"/>
        <v>Option 3NPV</v>
      </c>
      <c r="E51" s="1"/>
      <c r="F51" s="108" cm="1">
        <f t="array" ref="F51">SUMPRODUCT(($H50:$AG50)*($H$5:$AG$5)*($H$7:$AG$7))</f>
        <v>-425826.53974662529</v>
      </c>
      <c r="G51" s="226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x14ac:dyDescent="0.2">
      <c r="A52" s="136" t="str">
        <f t="shared" si="10"/>
        <v>Option 3</v>
      </c>
      <c r="B52" s="136"/>
      <c r="C52" s="8" t="s">
        <v>193</v>
      </c>
      <c r="D52" s="38" t="str">
        <f t="shared" si="11"/>
        <v>Option 3PV of costs</v>
      </c>
      <c r="E52" s="1"/>
      <c r="F52" s="108">
        <f>SUM(F46:F47)</f>
        <v>-9125015.1107165534</v>
      </c>
      <c r="G52" s="226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x14ac:dyDescent="0.2">
      <c r="A53" s="136" t="str">
        <f t="shared" si="10"/>
        <v>Option 3</v>
      </c>
      <c r="B53" s="136"/>
      <c r="C53" s="8" t="s">
        <v>194</v>
      </c>
      <c r="D53" s="38" t="str">
        <f t="shared" si="11"/>
        <v>Option 3PV of benefits</v>
      </c>
      <c r="E53" s="1"/>
      <c r="F53" s="108">
        <f>SUM(F48:F49)</f>
        <v>8699188.5709699299</v>
      </c>
      <c r="G53" s="226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x14ac:dyDescent="0.2">
      <c r="A54" s="136"/>
      <c r="B54" s="136"/>
      <c r="C54" s="1"/>
      <c r="D54" s="38"/>
      <c r="E54" s="1"/>
      <c r="F54" s="108"/>
      <c r="G54" s="229"/>
      <c r="H54" s="1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2" customFormat="1" x14ac:dyDescent="0.2">
      <c r="A55" s="123"/>
      <c r="B55" s="123"/>
      <c r="C55" s="123"/>
      <c r="D55" s="38"/>
      <c r="F55" s="118"/>
      <c r="G55" s="222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1:33" s="271" customFormat="1" x14ac:dyDescent="0.2">
      <c r="A56" s="269" t="str">
        <f>A57</f>
        <v>Option 4</v>
      </c>
      <c r="B56" s="269"/>
      <c r="C56" s="269" t="s">
        <v>124</v>
      </c>
      <c r="D56" s="270" t="str">
        <f>A56&amp;C56</f>
        <v>Option 4Energy at risk value</v>
      </c>
      <c r="F56" s="97">
        <f>SUMPRODUCT($H56:$AG56, $H$5:$AG$5)</f>
        <v>0</v>
      </c>
      <c r="G56" s="272">
        <f>output_dollars</f>
        <v>46203</v>
      </c>
      <c r="H56" s="273"/>
      <c r="I56" s="31">
        <f>Option4!I$28*conv_2026</f>
        <v>0</v>
      </c>
      <c r="J56" s="31">
        <f>Option4!J$28*conv_2026</f>
        <v>0</v>
      </c>
      <c r="K56" s="31">
        <f>Option4!K$28*conv_2026</f>
        <v>0</v>
      </c>
      <c r="L56" s="31">
        <f>Option4!L$28*conv_2026</f>
        <v>0</v>
      </c>
      <c r="M56" s="31">
        <f>Option4!M$28*conv_2026</f>
        <v>0</v>
      </c>
      <c r="N56" s="31">
        <f>Option4!N$28*conv_2026</f>
        <v>0</v>
      </c>
      <c r="O56" s="31">
        <f>Option4!O$28*conv_2026</f>
        <v>0</v>
      </c>
      <c r="P56" s="31">
        <f>Option4!P$28*conv_2026</f>
        <v>0</v>
      </c>
      <c r="Q56" s="31">
        <f>Option4!Q$28*conv_2026</f>
        <v>0</v>
      </c>
      <c r="R56" s="31">
        <f>Option4!R$28*conv_2026</f>
        <v>0</v>
      </c>
      <c r="S56" s="31">
        <f>Option4!S$28*conv_2026</f>
        <v>0</v>
      </c>
      <c r="T56" s="31">
        <f>Option4!T$28*conv_2026</f>
        <v>0</v>
      </c>
      <c r="U56" s="31">
        <f>Option4!U$28*conv_2026</f>
        <v>0</v>
      </c>
      <c r="V56" s="31">
        <f>Option4!V$28*conv_2026</f>
        <v>0</v>
      </c>
      <c r="W56" s="31">
        <f>Option4!W$28*conv_2026</f>
        <v>0</v>
      </c>
      <c r="X56" s="31">
        <f>Option4!X$28*conv_2026</f>
        <v>0</v>
      </c>
      <c r="Y56" s="31">
        <f>Option4!Y$28*conv_2026</f>
        <v>0</v>
      </c>
      <c r="Z56" s="31">
        <f>Option4!Z$28*conv_2026</f>
        <v>0</v>
      </c>
      <c r="AA56" s="31">
        <f>Option4!AA$28*conv_2026</f>
        <v>0</v>
      </c>
      <c r="AB56" s="31">
        <f>Option4!AB$28*conv_2026</f>
        <v>0</v>
      </c>
      <c r="AC56" s="31">
        <f>Option4!AC$28*conv_2026</f>
        <v>0</v>
      </c>
      <c r="AD56" s="31">
        <f>Option4!AD$28*conv_2026</f>
        <v>0</v>
      </c>
      <c r="AE56" s="31">
        <f>Option4!AE$28*conv_2026</f>
        <v>0</v>
      </c>
      <c r="AF56" s="31">
        <f>Option4!AF$28*conv_2026</f>
        <v>0</v>
      </c>
      <c r="AG56" s="31">
        <f>Option4!AG$28*conv_2026</f>
        <v>0</v>
      </c>
    </row>
    <row r="57" spans="1:33" s="2" customFormat="1" x14ac:dyDescent="0.2">
      <c r="A57" s="136" t="str">
        <f>Data!B12</f>
        <v>Option 4</v>
      </c>
      <c r="B57" s="136"/>
      <c r="C57" s="58" t="str">
        <f>Option4!C$66</f>
        <v>Capital expenditure</v>
      </c>
      <c r="D57" s="38" t="str">
        <f t="shared" ref="D57:D67" si="14">A57&amp;C57</f>
        <v>Option 4Capital expenditure</v>
      </c>
      <c r="E57" s="1"/>
      <c r="F57" s="97">
        <f>SUMPRODUCT($H57:$AG57, $H$5:$AG$5)</f>
        <v>0</v>
      </c>
      <c r="G57" s="226">
        <f>output_dollars</f>
        <v>46203</v>
      </c>
      <c r="H57" s="31"/>
      <c r="I57" s="31">
        <f>SUM(Option4!I$67:I$69)*conv_2026*I$7</f>
        <v>0</v>
      </c>
      <c r="J57" s="31">
        <f>SUM(Option4!J$67:J$69)*conv_2026*J$7</f>
        <v>0</v>
      </c>
      <c r="K57" s="31">
        <f>SUM(Option4!K$67:K$69)*conv_2026*K$7</f>
        <v>0</v>
      </c>
      <c r="L57" s="31">
        <f>SUM(Option4!L$67:L$69)*conv_2026*L$7</f>
        <v>0</v>
      </c>
      <c r="M57" s="31">
        <f>SUM(Option4!M$67:M$69)*conv_2026*M$7</f>
        <v>0</v>
      </c>
      <c r="N57" s="31">
        <f>SUM(Option4!N$67:N$69)*conv_2026*N$7</f>
        <v>0</v>
      </c>
      <c r="O57" s="31">
        <f>SUM(Option4!O$67:O$69)*conv_2026*O$7</f>
        <v>0</v>
      </c>
      <c r="P57" s="31">
        <f>SUM(Option4!P$67:P$69)*conv_2026*P$7</f>
        <v>0</v>
      </c>
      <c r="Q57" s="31">
        <f>SUM(Option4!Q$67:Q$69)*conv_2026*Q$7</f>
        <v>0</v>
      </c>
      <c r="R57" s="31">
        <f>SUM(Option4!R$67:R$69)*conv_2026*R$7</f>
        <v>0</v>
      </c>
      <c r="S57" s="31">
        <f>SUM(Option4!S$67:S$69)*conv_2026*S$7</f>
        <v>0</v>
      </c>
      <c r="T57" s="31">
        <f>SUM(Option4!T$67:T$69)*conv_2026*T$7</f>
        <v>0</v>
      </c>
      <c r="U57" s="31">
        <f>SUM(Option4!U$67:U$69)*conv_2026*U$7</f>
        <v>0</v>
      </c>
      <c r="V57" s="31">
        <f>SUM(Option4!V$67:V$69)*conv_2026*V$7</f>
        <v>0</v>
      </c>
      <c r="W57" s="31">
        <f>SUM(Option4!W$67:W$69)*conv_2026*W$7</f>
        <v>0</v>
      </c>
      <c r="X57" s="31">
        <f>SUM(Option4!X$67:X$69)*conv_2026*X$7</f>
        <v>0</v>
      </c>
      <c r="Y57" s="31">
        <f>SUM(Option4!Y$67:Y$69)*conv_2026*Y$7</f>
        <v>0</v>
      </c>
      <c r="Z57" s="31">
        <f>SUM(Option4!Z$67:Z$69)*conv_2026*Z$7</f>
        <v>0</v>
      </c>
      <c r="AA57" s="31">
        <f>SUM(Option4!AA$67:AA$69)*conv_2026*AA$7</f>
        <v>0</v>
      </c>
      <c r="AB57" s="31">
        <f>SUM(Option4!AB$67:AB$69)*conv_2026*AB$7</f>
        <v>0</v>
      </c>
      <c r="AC57" s="31">
        <f>SUM(Option4!AC$67:AC$69)*conv_2026*AC$7</f>
        <v>0</v>
      </c>
      <c r="AD57" s="31">
        <f>SUM(Option4!AD$67:AD$69)*conv_2026*AD$7</f>
        <v>0</v>
      </c>
      <c r="AE57" s="31">
        <f>SUM(Option4!AE$67:AE$69)*conv_2026*AE$7</f>
        <v>0</v>
      </c>
      <c r="AF57" s="31">
        <f>SUM(Option4!AF$67:AF$69)*conv_2026*AF$7</f>
        <v>0</v>
      </c>
      <c r="AG57" s="31">
        <f>SUM(Option4!AG$67:AG$69)*conv_2026*AG$7</f>
        <v>0</v>
      </c>
    </row>
    <row r="58" spans="1:33" s="2" customFormat="1" x14ac:dyDescent="0.2">
      <c r="A58" s="136" t="str">
        <f t="shared" ref="A58:A67" si="15">A57</f>
        <v>Option 4</v>
      </c>
      <c r="B58" s="136"/>
      <c r="C58" s="58" t="str">
        <f>'Option1 (base case)'!C$36</f>
        <v>Total risk cost</v>
      </c>
      <c r="D58" s="38" t="str">
        <f t="shared" si="14"/>
        <v>Option 4Total risk cost</v>
      </c>
      <c r="E58" s="1"/>
      <c r="F58" s="97">
        <f>SUMPRODUCT($H58:$AG58, $H$5:$AG$5)</f>
        <v>0</v>
      </c>
      <c r="G58" s="226">
        <f>output_dollars</f>
        <v>46203</v>
      </c>
      <c r="H58" s="31"/>
      <c r="I58" s="31">
        <f>Option4!I$36*conv_2026*I$7</f>
        <v>0</v>
      </c>
      <c r="J58" s="31">
        <f>Option4!J$36*conv_2026*J$7</f>
        <v>0</v>
      </c>
      <c r="K58" s="31">
        <f>Option4!K$36*conv_2026*K$7</f>
        <v>0</v>
      </c>
      <c r="L58" s="31">
        <f>Option4!L$36*conv_2026*L$7</f>
        <v>0</v>
      </c>
      <c r="M58" s="31">
        <f>Option4!M$36*conv_2026*M$7</f>
        <v>0</v>
      </c>
      <c r="N58" s="31">
        <f>Option4!N$36*conv_2026*N$7</f>
        <v>0</v>
      </c>
      <c r="O58" s="31">
        <f>Option4!O$36*conv_2026*O$7</f>
        <v>0</v>
      </c>
      <c r="P58" s="31">
        <f>Option4!P$36*conv_2026*P$7</f>
        <v>0</v>
      </c>
      <c r="Q58" s="31">
        <f>Option4!Q$36*conv_2026*Q$7</f>
        <v>0</v>
      </c>
      <c r="R58" s="31">
        <f>Option4!R$36*conv_2026*R$7</f>
        <v>0</v>
      </c>
      <c r="S58" s="31">
        <f>Option4!S$36*conv_2026*S$7</f>
        <v>0</v>
      </c>
      <c r="T58" s="31">
        <f>Option4!T$36*conv_2026*T$7</f>
        <v>0</v>
      </c>
      <c r="U58" s="31">
        <f>Option4!U$36*conv_2026*U$7</f>
        <v>0</v>
      </c>
      <c r="V58" s="31">
        <f>Option4!V$36*conv_2026*V$7</f>
        <v>0</v>
      </c>
      <c r="W58" s="31">
        <f>Option4!W$36*conv_2026*W$7</f>
        <v>0</v>
      </c>
      <c r="X58" s="31">
        <f>Option4!X$36*conv_2026*X$7</f>
        <v>0</v>
      </c>
      <c r="Y58" s="31">
        <f>Option4!Y$36*conv_2026*Y$7</f>
        <v>0</v>
      </c>
      <c r="Z58" s="31">
        <f>Option4!Z$36*conv_2026*Z$7</f>
        <v>0</v>
      </c>
      <c r="AA58" s="31">
        <f>Option4!AA$36*conv_2026*AA$7</f>
        <v>0</v>
      </c>
      <c r="AB58" s="31">
        <f>Option4!AB$36*conv_2026*AB$7</f>
        <v>0</v>
      </c>
      <c r="AC58" s="31">
        <f>Option4!AC$36*conv_2026*AC$7</f>
        <v>0</v>
      </c>
      <c r="AD58" s="31">
        <f>Option4!AD$36*conv_2026*AD$7</f>
        <v>0</v>
      </c>
      <c r="AE58" s="31">
        <f>Option4!AE$36*conv_2026*AE$7</f>
        <v>0</v>
      </c>
      <c r="AF58" s="31">
        <f>Option4!AF$36*conv_2026*AF$7</f>
        <v>0</v>
      </c>
      <c r="AG58" s="31">
        <f>Option4!AG$36*conv_2026*AG$7</f>
        <v>0</v>
      </c>
    </row>
    <row r="59" spans="1:33" s="2" customFormat="1" x14ac:dyDescent="0.2">
      <c r="A59" s="136" t="str">
        <f t="shared" si="15"/>
        <v>Option 4</v>
      </c>
      <c r="B59" s="136"/>
      <c r="C59" s="75"/>
      <c r="D59" s="38" t="str">
        <f t="shared" si="14"/>
        <v>Option 4</v>
      </c>
      <c r="E59" s="1"/>
      <c r="F59"/>
      <c r="G59" s="227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36" t="str">
        <f t="shared" si="15"/>
        <v>Option 4</v>
      </c>
      <c r="B60" s="136"/>
      <c r="C60" s="58" t="str">
        <f>Option4!C$82</f>
        <v>Annualised capex</v>
      </c>
      <c r="D60" s="38" t="str">
        <f t="shared" si="14"/>
        <v>Option 4Annualised capex</v>
      </c>
      <c r="E60" s="1"/>
      <c r="F60" s="97">
        <f>SUMPRODUCT($H60:$AG60, $H$5:$AG$5)</f>
        <v>0</v>
      </c>
      <c r="G60" s="226">
        <f t="shared" ref="G60:G67" si="16">output_dollars</f>
        <v>46203</v>
      </c>
      <c r="H60" s="31"/>
      <c r="I60" s="31">
        <f>Option4!I$82*conv_2026*I$7</f>
        <v>0</v>
      </c>
      <c r="J60" s="31">
        <f>Option4!J$82*conv_2026*J$7</f>
        <v>0</v>
      </c>
      <c r="K60" s="31">
        <f>Option4!K$82*conv_2026*K$7</f>
        <v>0</v>
      </c>
      <c r="L60" s="31">
        <f>Option4!L$82*conv_2026*L$7</f>
        <v>0</v>
      </c>
      <c r="M60" s="31">
        <f>Option4!M$82*conv_2026*M$7</f>
        <v>0</v>
      </c>
      <c r="N60" s="31">
        <f>Option4!N$82*conv_2026*N$7</f>
        <v>0</v>
      </c>
      <c r="O60" s="31">
        <f>Option4!O$82*conv_2026*O$7</f>
        <v>0</v>
      </c>
      <c r="P60" s="31">
        <f>Option4!P$82*conv_2026*P$7</f>
        <v>0</v>
      </c>
      <c r="Q60" s="31">
        <f>Option4!Q$82*conv_2026*Q$7</f>
        <v>0</v>
      </c>
      <c r="R60" s="31">
        <f>Option4!R$82*conv_2026*R$7</f>
        <v>0</v>
      </c>
      <c r="S60" s="31">
        <f>Option4!S$82*conv_2026*S$7</f>
        <v>0</v>
      </c>
      <c r="T60" s="31">
        <f>Option4!T$82*conv_2026*T$7</f>
        <v>0</v>
      </c>
      <c r="U60" s="31">
        <f>Option4!U$82*conv_2026*U$7</f>
        <v>0</v>
      </c>
      <c r="V60" s="31">
        <f>Option4!V$82*conv_2026*V$7</f>
        <v>0</v>
      </c>
      <c r="W60" s="31">
        <f>Option4!W$82*conv_2026*W$7</f>
        <v>0</v>
      </c>
      <c r="X60" s="31">
        <f>Option4!X$82*conv_2026*X$7</f>
        <v>0</v>
      </c>
      <c r="Y60" s="31">
        <f>Option4!Y$82*conv_2026*Y$7</f>
        <v>0</v>
      </c>
      <c r="Z60" s="31">
        <f>Option4!Z$82*conv_2026*Z$7</f>
        <v>0</v>
      </c>
      <c r="AA60" s="31">
        <f>Option4!AA$82*conv_2026*AA$7</f>
        <v>0</v>
      </c>
      <c r="AB60" s="31">
        <f>Option4!AB$82*conv_2026*AB$7</f>
        <v>0</v>
      </c>
      <c r="AC60" s="31">
        <f>Option4!AC$82*conv_2026*AC$7</f>
        <v>0</v>
      </c>
      <c r="AD60" s="31">
        <f>Option4!AD$82*conv_2026*AD$7</f>
        <v>0</v>
      </c>
      <c r="AE60" s="31">
        <f>Option4!AE$82*conv_2026*AE$7</f>
        <v>0</v>
      </c>
      <c r="AF60" s="31">
        <f>Option4!AF$82*conv_2026*AF$7</f>
        <v>0</v>
      </c>
      <c r="AG60" s="31">
        <f>Option4!AG$82*conv_2026*AG$7</f>
        <v>0</v>
      </c>
    </row>
    <row r="61" spans="1:33" s="2" customFormat="1" x14ac:dyDescent="0.2">
      <c r="A61" s="136" t="str">
        <f t="shared" si="15"/>
        <v>Option 4</v>
      </c>
      <c r="B61" s="136"/>
      <c r="C61" s="58" t="str">
        <f>Option4!C$83</f>
        <v>Operating expenditure</v>
      </c>
      <c r="D61" s="38" t="str">
        <f t="shared" si="14"/>
        <v>Option 4Operating expenditure</v>
      </c>
      <c r="E61" s="1"/>
      <c r="F61" s="97">
        <f>SUMPRODUCT($H61:$AG61, $H$5:$AG$5)</f>
        <v>0</v>
      </c>
      <c r="G61" s="226">
        <f t="shared" si="16"/>
        <v>46203</v>
      </c>
      <c r="H61" s="31"/>
      <c r="I61" s="31">
        <f>Option4!I$83*conv_2026*I$7</f>
        <v>0</v>
      </c>
      <c r="J61" s="31">
        <f>Option4!J$83*conv_2026*J$7</f>
        <v>0</v>
      </c>
      <c r="K61" s="31">
        <f>Option4!K$83*conv_2026*K$7</f>
        <v>0</v>
      </c>
      <c r="L61" s="31">
        <f>Option4!L$83*conv_2026*L$7</f>
        <v>0</v>
      </c>
      <c r="M61" s="31">
        <f>Option4!M$83*conv_2026*M$7</f>
        <v>0</v>
      </c>
      <c r="N61" s="31">
        <f>Option4!N$83*conv_2026*N$7</f>
        <v>0</v>
      </c>
      <c r="O61" s="31">
        <f>Option4!O$83*conv_2026*O$7</f>
        <v>0</v>
      </c>
      <c r="P61" s="31">
        <f>Option4!P$83*conv_2026*P$7</f>
        <v>0</v>
      </c>
      <c r="Q61" s="31">
        <f>Option4!Q$83*conv_2026*Q$7</f>
        <v>0</v>
      </c>
      <c r="R61" s="31">
        <f>Option4!R$83*conv_2026*R$7</f>
        <v>0</v>
      </c>
      <c r="S61" s="31">
        <f>Option4!S$83*conv_2026*S$7</f>
        <v>0</v>
      </c>
      <c r="T61" s="31">
        <f>Option4!T$83*conv_2026*T$7</f>
        <v>0</v>
      </c>
      <c r="U61" s="31">
        <f>Option4!U$83*conv_2026*U$7</f>
        <v>0</v>
      </c>
      <c r="V61" s="31">
        <f>Option4!V$83*conv_2026*V$7</f>
        <v>0</v>
      </c>
      <c r="W61" s="31">
        <f>Option4!W$83*conv_2026*W$7</f>
        <v>0</v>
      </c>
      <c r="X61" s="31">
        <f>Option4!X$83*conv_2026*X$7</f>
        <v>0</v>
      </c>
      <c r="Y61" s="31">
        <f>Option4!Y$83*conv_2026*Y$7</f>
        <v>0</v>
      </c>
      <c r="Z61" s="31">
        <f>Option4!Z$83*conv_2026*Z$7</f>
        <v>0</v>
      </c>
      <c r="AA61" s="31">
        <f>Option4!AA$83*conv_2026*AA$7</f>
        <v>0</v>
      </c>
      <c r="AB61" s="31">
        <f>Option4!AB$83*conv_2026*AB$7</f>
        <v>0</v>
      </c>
      <c r="AC61" s="31">
        <f>Option4!AC$83*conv_2026*AC$7</f>
        <v>0</v>
      </c>
      <c r="AD61" s="31">
        <f>Option4!AD$83*conv_2026*AD$7</f>
        <v>0</v>
      </c>
      <c r="AE61" s="31">
        <f>Option4!AE$83*conv_2026*AE$7</f>
        <v>0</v>
      </c>
      <c r="AF61" s="31">
        <f>Option4!AF$83*conv_2026*AF$7</f>
        <v>0</v>
      </c>
      <c r="AG61" s="31">
        <f>Option4!AG$83*conv_2026*AG$7</f>
        <v>0</v>
      </c>
    </row>
    <row r="62" spans="1:33" s="2" customFormat="1" x14ac:dyDescent="0.2">
      <c r="A62" s="136" t="str">
        <f t="shared" si="15"/>
        <v>Option 4</v>
      </c>
      <c r="B62" s="136"/>
      <c r="C62" s="58" t="str">
        <f>Option4!C$84</f>
        <v>Risk mitigated</v>
      </c>
      <c r="D62" s="38" t="str">
        <f t="shared" si="14"/>
        <v>Option 4Risk mitigated</v>
      </c>
      <c r="E62" s="1"/>
      <c r="F62" s="97">
        <f>SUMPRODUCT($H62:$AG62, $H$5:$AG$5)</f>
        <v>0</v>
      </c>
      <c r="G62" s="226">
        <f t="shared" si="16"/>
        <v>46203</v>
      </c>
      <c r="H62" s="31"/>
      <c r="I62" s="31">
        <f>Option4!I$84*conv_2026*I$7</f>
        <v>0</v>
      </c>
      <c r="J62" s="31">
        <f>Option4!J$84*conv_2026*J$7</f>
        <v>0</v>
      </c>
      <c r="K62" s="31">
        <f>Option4!K$84*conv_2026*K$7</f>
        <v>0</v>
      </c>
      <c r="L62" s="31">
        <f>Option4!L$84*conv_2026*L$7</f>
        <v>0</v>
      </c>
      <c r="M62" s="31">
        <f>Option4!M$84*conv_2026*M$7</f>
        <v>0</v>
      </c>
      <c r="N62" s="31">
        <f>Option4!N$84*conv_2026*N$7</f>
        <v>0</v>
      </c>
      <c r="O62" s="31">
        <f>Option4!O$84*conv_2026*O$7</f>
        <v>0</v>
      </c>
      <c r="P62" s="31">
        <f>Option4!P$84*conv_2026*P$7</f>
        <v>0</v>
      </c>
      <c r="Q62" s="31">
        <f>Option4!Q$84*conv_2026*Q$7</f>
        <v>0</v>
      </c>
      <c r="R62" s="31">
        <f>Option4!R$84*conv_2026*R$7</f>
        <v>0</v>
      </c>
      <c r="S62" s="31">
        <f>Option4!S$84*conv_2026*S$7</f>
        <v>0</v>
      </c>
      <c r="T62" s="31">
        <f>Option4!T$84*conv_2026*T$7</f>
        <v>0</v>
      </c>
      <c r="U62" s="31">
        <f>Option4!U$84*conv_2026*U$7</f>
        <v>0</v>
      </c>
      <c r="V62" s="31">
        <f>Option4!V$84*conv_2026*V$7</f>
        <v>0</v>
      </c>
      <c r="W62" s="31">
        <f>Option4!W$84*conv_2026*W$7</f>
        <v>0</v>
      </c>
      <c r="X62" s="31">
        <f>Option4!X$84*conv_2026*X$7</f>
        <v>0</v>
      </c>
      <c r="Y62" s="31">
        <f>Option4!Y$84*conv_2026*Y$7</f>
        <v>0</v>
      </c>
      <c r="Z62" s="31">
        <f>Option4!Z$84*conv_2026*Z$7</f>
        <v>0</v>
      </c>
      <c r="AA62" s="31">
        <f>Option4!AA$84*conv_2026*AA$7</f>
        <v>0</v>
      </c>
      <c r="AB62" s="31">
        <f>Option4!AB$84*conv_2026*AB$7</f>
        <v>0</v>
      </c>
      <c r="AC62" s="31">
        <f>Option4!AC$84*conv_2026*AC$7</f>
        <v>0</v>
      </c>
      <c r="AD62" s="31">
        <f>Option4!AD$84*conv_2026*AD$7</f>
        <v>0</v>
      </c>
      <c r="AE62" s="31">
        <f>Option4!AE$84*conv_2026*AE$7</f>
        <v>0</v>
      </c>
      <c r="AF62" s="31">
        <f>Option4!AF$84*conv_2026*AF$7</f>
        <v>0</v>
      </c>
      <c r="AG62" s="31">
        <f>Option4!AG$84*conv_2026*AG$7</f>
        <v>0</v>
      </c>
    </row>
    <row r="63" spans="1:33" s="2" customFormat="1" x14ac:dyDescent="0.2">
      <c r="A63" s="136" t="str">
        <f t="shared" si="15"/>
        <v>Option 4</v>
      </c>
      <c r="B63" s="136"/>
      <c r="C63" s="58" t="str">
        <f>Option4!C$85</f>
        <v>Other benefits value</v>
      </c>
      <c r="D63" s="38" t="str">
        <f t="shared" si="14"/>
        <v>Option 4Other benefits value</v>
      </c>
      <c r="E63" s="1"/>
      <c r="F63" s="97">
        <f>SUMPRODUCT($H63:$AG63, $H$5:$AG$5)</f>
        <v>0</v>
      </c>
      <c r="G63" s="226">
        <f t="shared" si="16"/>
        <v>46203</v>
      </c>
      <c r="H63" s="31"/>
      <c r="I63" s="31">
        <f>Option4!I$85*conv_2026*I$7</f>
        <v>0</v>
      </c>
      <c r="J63" s="31">
        <f>Option4!J$85*conv_2026*J$7</f>
        <v>0</v>
      </c>
      <c r="K63" s="31">
        <f>Option4!K$85*conv_2026*K$7</f>
        <v>0</v>
      </c>
      <c r="L63" s="31">
        <f>Option4!L$85*conv_2026*L$7</f>
        <v>0</v>
      </c>
      <c r="M63" s="31">
        <f>Option4!M$85*conv_2026*M$7</f>
        <v>0</v>
      </c>
      <c r="N63" s="31">
        <f>Option4!N$85*conv_2026*N$7</f>
        <v>0</v>
      </c>
      <c r="O63" s="31">
        <f>Option4!O$85*conv_2026*O$7</f>
        <v>0</v>
      </c>
      <c r="P63" s="31">
        <f>Option4!P$85*conv_2026*P$7</f>
        <v>0</v>
      </c>
      <c r="Q63" s="31">
        <f>Option4!Q$85*conv_2026*Q$7</f>
        <v>0</v>
      </c>
      <c r="R63" s="31">
        <f>Option4!R$85*conv_2026*R$7</f>
        <v>0</v>
      </c>
      <c r="S63" s="31">
        <f>Option4!S$85*conv_2026*S$7</f>
        <v>0</v>
      </c>
      <c r="T63" s="31">
        <f>Option4!T$85*conv_2026*T$7</f>
        <v>0</v>
      </c>
      <c r="U63" s="31">
        <f>Option4!U$85*conv_2026*U$7</f>
        <v>0</v>
      </c>
      <c r="V63" s="31">
        <f>Option4!V$85*conv_2026*V$7</f>
        <v>0</v>
      </c>
      <c r="W63" s="31">
        <f>Option4!W$85*conv_2026*W$7</f>
        <v>0</v>
      </c>
      <c r="X63" s="31">
        <f>Option4!X$85*conv_2026*X$7</f>
        <v>0</v>
      </c>
      <c r="Y63" s="31">
        <f>Option4!Y$85*conv_2026*Y$7</f>
        <v>0</v>
      </c>
      <c r="Z63" s="31">
        <f>Option4!Z$85*conv_2026*Z$7</f>
        <v>0</v>
      </c>
      <c r="AA63" s="31">
        <f>Option4!AA$85*conv_2026*AA$7</f>
        <v>0</v>
      </c>
      <c r="AB63" s="31">
        <f>Option4!AB$85*conv_2026*AB$7</f>
        <v>0</v>
      </c>
      <c r="AC63" s="31">
        <f>Option4!AC$85*conv_2026*AC$7</f>
        <v>0</v>
      </c>
      <c r="AD63" s="31">
        <f>Option4!AD$85*conv_2026*AD$7</f>
        <v>0</v>
      </c>
      <c r="AE63" s="31">
        <f>Option4!AE$85*conv_2026*AE$7</f>
        <v>0</v>
      </c>
      <c r="AF63" s="31">
        <f>Option4!AF$85*conv_2026*AF$7</f>
        <v>0</v>
      </c>
      <c r="AG63" s="31">
        <f>Option4!AG$85*conv_2026*AG$7</f>
        <v>0</v>
      </c>
    </row>
    <row r="64" spans="1:33" s="2" customFormat="1" x14ac:dyDescent="0.2">
      <c r="A64" s="136" t="str">
        <f t="shared" si="15"/>
        <v>Option 4</v>
      </c>
      <c r="B64" s="136"/>
      <c r="C64" s="125" t="str">
        <f>Option4!C87</f>
        <v>Net benefits</v>
      </c>
      <c r="D64" s="109" t="str">
        <f t="shared" si="14"/>
        <v>Option 4Net benefits</v>
      </c>
      <c r="E64" s="110"/>
      <c r="F64" s="144"/>
      <c r="G64" s="228">
        <f t="shared" si="16"/>
        <v>46203</v>
      </c>
      <c r="H64" s="52"/>
      <c r="I64" s="52">
        <f t="shared" ref="I64:AB64" si="17">SUM(I60:I63)</f>
        <v>0</v>
      </c>
      <c r="J64" s="52">
        <f t="shared" si="17"/>
        <v>0</v>
      </c>
      <c r="K64" s="52">
        <f t="shared" si="17"/>
        <v>0</v>
      </c>
      <c r="L64" s="52">
        <f t="shared" si="17"/>
        <v>0</v>
      </c>
      <c r="M64" s="52">
        <f t="shared" si="17"/>
        <v>0</v>
      </c>
      <c r="N64" s="52">
        <f t="shared" si="17"/>
        <v>0</v>
      </c>
      <c r="O64" s="52">
        <f t="shared" si="17"/>
        <v>0</v>
      </c>
      <c r="P64" s="52">
        <f t="shared" si="17"/>
        <v>0</v>
      </c>
      <c r="Q64" s="52">
        <f t="shared" si="17"/>
        <v>0</v>
      </c>
      <c r="R64" s="52">
        <f t="shared" si="17"/>
        <v>0</v>
      </c>
      <c r="S64" s="52">
        <f t="shared" si="17"/>
        <v>0</v>
      </c>
      <c r="T64" s="52">
        <f t="shared" si="17"/>
        <v>0</v>
      </c>
      <c r="U64" s="52">
        <f t="shared" si="17"/>
        <v>0</v>
      </c>
      <c r="V64" s="52">
        <f t="shared" si="17"/>
        <v>0</v>
      </c>
      <c r="W64" s="52">
        <f t="shared" si="17"/>
        <v>0</v>
      </c>
      <c r="X64" s="52">
        <f t="shared" si="17"/>
        <v>0</v>
      </c>
      <c r="Y64" s="52">
        <f t="shared" si="17"/>
        <v>0</v>
      </c>
      <c r="Z64" s="52">
        <f t="shared" si="17"/>
        <v>0</v>
      </c>
      <c r="AA64" s="52">
        <f t="shared" si="17"/>
        <v>0</v>
      </c>
      <c r="AB64" s="52">
        <f t="shared" si="17"/>
        <v>0</v>
      </c>
      <c r="AC64" s="52">
        <f>SUM(AC60:AC63)</f>
        <v>0</v>
      </c>
      <c r="AD64" s="52">
        <f>SUM(AD60:AD63)</f>
        <v>0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x14ac:dyDescent="0.2">
      <c r="A65" s="136" t="str">
        <f t="shared" si="15"/>
        <v>Option 4</v>
      </c>
      <c r="B65" s="136"/>
      <c r="C65" s="8" t="s">
        <v>119</v>
      </c>
      <c r="D65" s="38" t="str">
        <f t="shared" si="14"/>
        <v>Option 4NPV</v>
      </c>
      <c r="E65" s="1"/>
      <c r="F65" s="108" cm="1">
        <f t="array" ref="F65">SUMPRODUCT(($H64:$AG64)*($H$5:$AG$5)*($H$7:$AG$7))</f>
        <v>0</v>
      </c>
      <c r="G65" s="226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x14ac:dyDescent="0.2">
      <c r="A66" s="136" t="str">
        <f t="shared" si="15"/>
        <v>Option 4</v>
      </c>
      <c r="B66" s="136"/>
      <c r="C66" s="8" t="s">
        <v>193</v>
      </c>
      <c r="D66" s="38" t="str">
        <f t="shared" si="14"/>
        <v>Option 4PV of costs</v>
      </c>
      <c r="E66" s="1"/>
      <c r="F66" s="108">
        <f>SUM(F60:F61)</f>
        <v>0</v>
      </c>
      <c r="G66" s="226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x14ac:dyDescent="0.2">
      <c r="A67" s="136" t="str">
        <f t="shared" si="15"/>
        <v>Option 4</v>
      </c>
      <c r="B67" s="136"/>
      <c r="C67" s="8" t="s">
        <v>194</v>
      </c>
      <c r="D67" s="38" t="str">
        <f t="shared" si="14"/>
        <v>Option 4PV of benefits</v>
      </c>
      <c r="E67" s="1"/>
      <c r="F67" s="108">
        <f>SUM(F62:F63)</f>
        <v>0</v>
      </c>
      <c r="G67" s="226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x14ac:dyDescent="0.2">
      <c r="A68" s="136"/>
      <c r="B68" s="136"/>
      <c r="C68" s="1"/>
      <c r="D68" s="38"/>
      <c r="E68" s="1"/>
      <c r="F68" s="108"/>
      <c r="G68" s="229"/>
      <c r="H68" s="1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2" customFormat="1" x14ac:dyDescent="0.2">
      <c r="A69" s="123"/>
      <c r="B69" s="123"/>
      <c r="C69" s="123"/>
      <c r="D69" s="38" t="str">
        <f t="shared" ref="D69:D81" si="18">A69&amp;C69</f>
        <v/>
      </c>
      <c r="F69" s="118"/>
      <c r="G69" s="222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s="271" customFormat="1" x14ac:dyDescent="0.2">
      <c r="A70" s="269" t="str">
        <f>A71</f>
        <v>Option 5</v>
      </c>
      <c r="B70" s="269"/>
      <c r="C70" s="269" t="s">
        <v>124</v>
      </c>
      <c r="D70" s="270" t="str">
        <f t="shared" si="18"/>
        <v>Option 5Energy at risk value</v>
      </c>
      <c r="F70" s="97">
        <f>SUMPRODUCT($H70:$AG70, $H$5:$AG$5)</f>
        <v>0</v>
      </c>
      <c r="G70" s="272">
        <f>output_dollars</f>
        <v>46203</v>
      </c>
      <c r="H70" s="273"/>
      <c r="I70" s="31">
        <f>Option5!I$28*conv_2026</f>
        <v>0</v>
      </c>
      <c r="J70" s="31">
        <f>Option5!J$28*conv_2026</f>
        <v>0</v>
      </c>
      <c r="K70" s="31">
        <f>Option5!K$28*conv_2026</f>
        <v>0</v>
      </c>
      <c r="L70" s="31">
        <f>Option5!L$28*conv_2026</f>
        <v>0</v>
      </c>
      <c r="M70" s="31">
        <f>Option5!M$28*conv_2026</f>
        <v>0</v>
      </c>
      <c r="N70" s="31">
        <f>Option5!N$28*conv_2026</f>
        <v>0</v>
      </c>
      <c r="O70" s="31">
        <f>Option5!O$28*conv_2026</f>
        <v>0</v>
      </c>
      <c r="P70" s="31">
        <f>Option5!P$28*conv_2026</f>
        <v>0</v>
      </c>
      <c r="Q70" s="31">
        <f>Option5!Q$28*conv_2026</f>
        <v>0</v>
      </c>
      <c r="R70" s="31">
        <f>Option5!R$28*conv_2026</f>
        <v>0</v>
      </c>
      <c r="S70" s="31">
        <f>Option5!S$28*conv_2026</f>
        <v>0</v>
      </c>
      <c r="T70" s="31">
        <f>Option5!T$28*conv_2026</f>
        <v>0</v>
      </c>
      <c r="U70" s="31">
        <f>Option5!U$28*conv_2026</f>
        <v>0</v>
      </c>
      <c r="V70" s="31">
        <f>Option5!V$28*conv_2026</f>
        <v>0</v>
      </c>
      <c r="W70" s="31">
        <f>Option5!W$28*conv_2026</f>
        <v>0</v>
      </c>
      <c r="X70" s="31">
        <f>Option5!X$28*conv_2026</f>
        <v>0</v>
      </c>
      <c r="Y70" s="31">
        <f>Option5!Y$28*conv_2026</f>
        <v>0</v>
      </c>
      <c r="Z70" s="31">
        <f>Option5!Z$28*conv_2026</f>
        <v>0</v>
      </c>
      <c r="AA70" s="31">
        <f>Option5!AA$28*conv_2026</f>
        <v>0</v>
      </c>
      <c r="AB70" s="31">
        <f>Option5!AB$28*conv_2026</f>
        <v>0</v>
      </c>
      <c r="AC70" s="31">
        <f>Option5!AC$28*conv_2026</f>
        <v>0</v>
      </c>
      <c r="AD70" s="31">
        <f>Option5!AD$28*conv_2026</f>
        <v>0</v>
      </c>
      <c r="AE70" s="31">
        <f>Option5!AE$28*conv_2026</f>
        <v>0</v>
      </c>
      <c r="AF70" s="31">
        <f>Option5!AF$28*conv_2026</f>
        <v>0</v>
      </c>
      <c r="AG70" s="31">
        <f>Option5!AG$28*conv_2026</f>
        <v>0</v>
      </c>
    </row>
    <row r="71" spans="1:33" s="2" customFormat="1" x14ac:dyDescent="0.2">
      <c r="A71" s="136" t="str">
        <f>Data!B13</f>
        <v>Option 5</v>
      </c>
      <c r="B71" s="136"/>
      <c r="C71" s="58" t="str">
        <f>Option5!C$66</f>
        <v>Capital expenditure</v>
      </c>
      <c r="D71" s="38" t="str">
        <f t="shared" si="18"/>
        <v>Option 5Capital expenditure</v>
      </c>
      <c r="E71" s="1"/>
      <c r="F71" s="97">
        <f>SUMPRODUCT($H71:$AG71, $H$5:$AG$5)</f>
        <v>0</v>
      </c>
      <c r="G71" s="226">
        <f>output_dollars</f>
        <v>46203</v>
      </c>
      <c r="H71" s="31"/>
      <c r="I71" s="31">
        <f>SUM(Option5!I$67:I$69)*conv_2026*I$7</f>
        <v>0</v>
      </c>
      <c r="J71" s="31">
        <f>SUM(Option5!J$67:J$69)*conv_2026*J$7</f>
        <v>0</v>
      </c>
      <c r="K71" s="31">
        <f>SUM(Option5!K$67:K$69)*conv_2026*K$7</f>
        <v>0</v>
      </c>
      <c r="L71" s="31">
        <f>SUM(Option5!L$67:L$69)*conv_2026*L$7</f>
        <v>0</v>
      </c>
      <c r="M71" s="31">
        <f>SUM(Option5!M$67:M$69)*conv_2026*M$7</f>
        <v>0</v>
      </c>
      <c r="N71" s="31">
        <f>SUM(Option5!N$67:N$69)*conv_2026*N$7</f>
        <v>0</v>
      </c>
      <c r="O71" s="31">
        <f>SUM(Option5!O$67:O$69)*conv_2026*O$7</f>
        <v>0</v>
      </c>
      <c r="P71" s="31">
        <f>SUM(Option5!P$67:P$69)*conv_2026*P$7</f>
        <v>0</v>
      </c>
      <c r="Q71" s="31">
        <f>SUM(Option5!Q$67:Q$69)*conv_2026*Q$7</f>
        <v>0</v>
      </c>
      <c r="R71" s="31">
        <f>SUM(Option5!R$67:R$69)*conv_2026*R$7</f>
        <v>0</v>
      </c>
      <c r="S71" s="31">
        <f>SUM(Option5!S$67:S$69)*conv_2026*S$7</f>
        <v>0</v>
      </c>
      <c r="T71" s="31">
        <f>SUM(Option5!T$67:T$69)*conv_2026*T$7</f>
        <v>0</v>
      </c>
      <c r="U71" s="31">
        <f>SUM(Option5!U$67:U$69)*conv_2026*U$7</f>
        <v>0</v>
      </c>
      <c r="V71" s="31">
        <f>SUM(Option5!V$67:V$69)*conv_2026*V$7</f>
        <v>0</v>
      </c>
      <c r="W71" s="31">
        <f>SUM(Option5!W$67:W$69)*conv_2026*W$7</f>
        <v>0</v>
      </c>
      <c r="X71" s="31">
        <f>SUM(Option5!X$67:X$69)*conv_2026*X$7</f>
        <v>0</v>
      </c>
      <c r="Y71" s="31">
        <f>SUM(Option5!Y$67:Y$69)*conv_2026*Y$7</f>
        <v>0</v>
      </c>
      <c r="Z71" s="31">
        <f>SUM(Option5!Z$67:Z$69)*conv_2026*Z$7</f>
        <v>0</v>
      </c>
      <c r="AA71" s="31">
        <f>SUM(Option5!AA$67:AA$69)*conv_2026*AA$7</f>
        <v>0</v>
      </c>
      <c r="AB71" s="31">
        <f>SUM(Option5!AB$67:AB$69)*conv_2026*AB$7</f>
        <v>0</v>
      </c>
      <c r="AC71" s="31">
        <f>SUM(Option5!AC$67:AC$69)*conv_2026*AC$7</f>
        <v>0</v>
      </c>
      <c r="AD71" s="31">
        <f>SUM(Option5!AD$67:AD$69)*conv_2026*AD$7</f>
        <v>0</v>
      </c>
      <c r="AE71" s="31">
        <f>SUM(Option5!AE$67:AE$69)*conv_2026*AE$7</f>
        <v>0</v>
      </c>
      <c r="AF71" s="31">
        <f>SUM(Option5!AF$67:AF$69)*conv_2026*AF$7</f>
        <v>0</v>
      </c>
      <c r="AG71" s="31">
        <f>SUM(Option5!AG$67:AG$69)*conv_2026*AG$7</f>
        <v>0</v>
      </c>
    </row>
    <row r="72" spans="1:33" s="2" customFormat="1" x14ac:dyDescent="0.2">
      <c r="A72" s="136" t="str">
        <f t="shared" ref="A72:A81" si="19">A71</f>
        <v>Option 5</v>
      </c>
      <c r="B72" s="136"/>
      <c r="C72" s="58" t="str">
        <f>'Option1 (base case)'!C$36</f>
        <v>Total risk cost</v>
      </c>
      <c r="D72" s="38" t="str">
        <f t="shared" si="18"/>
        <v>Option 5Total risk cost</v>
      </c>
      <c r="E72" s="1"/>
      <c r="F72" s="97">
        <f>SUMPRODUCT($H72:$AG72, $H$5:$AG$5)</f>
        <v>0</v>
      </c>
      <c r="G72" s="226">
        <f>output_dollars</f>
        <v>46203</v>
      </c>
      <c r="H72" s="31"/>
      <c r="I72" s="31">
        <f>Option5!I$36*conv_2026*I$7</f>
        <v>0</v>
      </c>
      <c r="J72" s="31">
        <f>Option5!J$36*conv_2026*J$7</f>
        <v>0</v>
      </c>
      <c r="K72" s="31">
        <f>Option5!K$36*conv_2026*K$7</f>
        <v>0</v>
      </c>
      <c r="L72" s="31">
        <f>Option5!L$36*conv_2026*L$7</f>
        <v>0</v>
      </c>
      <c r="M72" s="31">
        <f>Option5!M$36*conv_2026*M$7</f>
        <v>0</v>
      </c>
      <c r="N72" s="31">
        <f>Option5!N$36*conv_2026*N$7</f>
        <v>0</v>
      </c>
      <c r="O72" s="31">
        <f>Option5!O$36*conv_2026*O$7</f>
        <v>0</v>
      </c>
      <c r="P72" s="31">
        <f>Option5!P$36*conv_2026*P$7</f>
        <v>0</v>
      </c>
      <c r="Q72" s="31">
        <f>Option5!Q$36*conv_2026*Q$7</f>
        <v>0</v>
      </c>
      <c r="R72" s="31">
        <f>Option5!R$36*conv_2026*R$7</f>
        <v>0</v>
      </c>
      <c r="S72" s="31">
        <f>Option5!S$36*conv_2026*S$7</f>
        <v>0</v>
      </c>
      <c r="T72" s="31">
        <f>Option5!T$36*conv_2026*T$7</f>
        <v>0</v>
      </c>
      <c r="U72" s="31">
        <f>Option5!U$36*conv_2026*U$7</f>
        <v>0</v>
      </c>
      <c r="V72" s="31">
        <f>Option5!V$36*conv_2026*V$7</f>
        <v>0</v>
      </c>
      <c r="W72" s="31">
        <f>Option5!W$36*conv_2026*W$7</f>
        <v>0</v>
      </c>
      <c r="X72" s="31">
        <f>Option5!X$36*conv_2026*X$7</f>
        <v>0</v>
      </c>
      <c r="Y72" s="31">
        <f>Option5!Y$36*conv_2026*Y$7</f>
        <v>0</v>
      </c>
      <c r="Z72" s="31">
        <f>Option5!Z$36*conv_2026*Z$7</f>
        <v>0</v>
      </c>
      <c r="AA72" s="31">
        <f>Option5!AA$36*conv_2026*AA$7</f>
        <v>0</v>
      </c>
      <c r="AB72" s="31">
        <f>Option5!AB$36*conv_2026*AB$7</f>
        <v>0</v>
      </c>
      <c r="AC72" s="31">
        <f>Option5!AC$36*conv_2026*AC$7</f>
        <v>0</v>
      </c>
      <c r="AD72" s="31">
        <f>Option5!AD$36*conv_2026*AD$7</f>
        <v>0</v>
      </c>
      <c r="AE72" s="31">
        <f>Option5!AE$36*conv_2026*AE$7</f>
        <v>0</v>
      </c>
      <c r="AF72" s="31">
        <f>Option5!AF$36*conv_2026*AF$7</f>
        <v>0</v>
      </c>
      <c r="AG72" s="31">
        <f>Option5!AG$36*conv_2026*AG$7</f>
        <v>0</v>
      </c>
    </row>
    <row r="73" spans="1:33" s="2" customFormat="1" x14ac:dyDescent="0.2">
      <c r="A73" s="136" t="str">
        <f t="shared" si="19"/>
        <v>Option 5</v>
      </c>
      <c r="B73" s="136"/>
      <c r="C73" s="75"/>
      <c r="D73" s="38" t="str">
        <f t="shared" si="18"/>
        <v>Option 5</v>
      </c>
      <c r="E73" s="1"/>
      <c r="F73"/>
      <c r="G73" s="227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36" t="str">
        <f t="shared" si="19"/>
        <v>Option 5</v>
      </c>
      <c r="B74" s="136"/>
      <c r="C74" s="58" t="str">
        <f>Option5!C$82</f>
        <v>Annualised capex</v>
      </c>
      <c r="D74" s="38" t="str">
        <f t="shared" si="18"/>
        <v>Option 5Annualised capex</v>
      </c>
      <c r="E74" s="1"/>
      <c r="F74" s="108" cm="1">
        <f t="array" ref="F74">SUMPRODUCT(($H74:$AG74)*($H$5:$AG$5)*($H$7:$AG$7))</f>
        <v>0</v>
      </c>
      <c r="G74" s="226">
        <f t="shared" ref="G74:G81" si="20">output_dollars</f>
        <v>46203</v>
      </c>
      <c r="H74" s="31"/>
      <c r="I74" s="31">
        <f>Option5!I$82*conv_2026*I$7</f>
        <v>0</v>
      </c>
      <c r="J74" s="31">
        <f>Option5!J$82*conv_2026*J$7</f>
        <v>0</v>
      </c>
      <c r="K74" s="31">
        <f>Option5!K$82*conv_2026*K$7</f>
        <v>0</v>
      </c>
      <c r="L74" s="31">
        <f>Option5!L$82*conv_2026*L$7</f>
        <v>0</v>
      </c>
      <c r="M74" s="31">
        <f>Option5!M$82*conv_2026*M$7</f>
        <v>0</v>
      </c>
      <c r="N74" s="31">
        <f>Option5!N$82*conv_2026*N$7</f>
        <v>0</v>
      </c>
      <c r="O74" s="31">
        <f>Option5!O$82*conv_2026*O$7</f>
        <v>0</v>
      </c>
      <c r="P74" s="31">
        <f>Option5!P$82*conv_2026*P$7</f>
        <v>0</v>
      </c>
      <c r="Q74" s="31">
        <f>Option5!Q$82*conv_2026*Q$7</f>
        <v>0</v>
      </c>
      <c r="R74" s="31">
        <f>Option5!R$82*conv_2026*R$7</f>
        <v>0</v>
      </c>
      <c r="S74" s="31">
        <f>Option5!S$82*conv_2026*S$7</f>
        <v>0</v>
      </c>
      <c r="T74" s="31">
        <f>Option5!T$82*conv_2026*T$7</f>
        <v>0</v>
      </c>
      <c r="U74" s="31">
        <f>Option5!U$82*conv_2026*U$7</f>
        <v>0</v>
      </c>
      <c r="V74" s="31">
        <f>Option5!V$82*conv_2026*V$7</f>
        <v>0</v>
      </c>
      <c r="W74" s="31">
        <f>Option5!W$82*conv_2026*W$7</f>
        <v>0</v>
      </c>
      <c r="X74" s="31">
        <f>Option5!X$82*conv_2026*X$7</f>
        <v>0</v>
      </c>
      <c r="Y74" s="31">
        <f>Option5!Y$82*conv_2026*Y$7</f>
        <v>0</v>
      </c>
      <c r="Z74" s="31">
        <f>Option5!Z$82*conv_2026*Z$7</f>
        <v>0</v>
      </c>
      <c r="AA74" s="31">
        <f>Option5!AA$82*conv_2026*AA$7</f>
        <v>0</v>
      </c>
      <c r="AB74" s="31">
        <f>Option5!AB$82*conv_2026*AB$7</f>
        <v>0</v>
      </c>
      <c r="AC74" s="31">
        <f>Option5!AC$82*conv_2026*AC$7</f>
        <v>0</v>
      </c>
      <c r="AD74" s="31">
        <f>Option5!AD$82*conv_2026*AD$7</f>
        <v>0</v>
      </c>
      <c r="AE74" s="31">
        <f>Option5!AE$82*conv_2026*AE$7</f>
        <v>0</v>
      </c>
      <c r="AF74" s="31">
        <f>Option5!AF$82*conv_2026*AF$7</f>
        <v>0</v>
      </c>
      <c r="AG74" s="31">
        <f>Option5!AG$82*conv_2026*AG$7</f>
        <v>0</v>
      </c>
    </row>
    <row r="75" spans="1:33" s="2" customFormat="1" x14ac:dyDescent="0.2">
      <c r="A75" s="136" t="str">
        <f t="shared" si="19"/>
        <v>Option 5</v>
      </c>
      <c r="B75" s="136"/>
      <c r="C75" s="58" t="str">
        <f>Option5!C$83</f>
        <v>Operating expenditure</v>
      </c>
      <c r="D75" s="38" t="str">
        <f t="shared" si="18"/>
        <v>Option 5Operating expenditure</v>
      </c>
      <c r="E75" s="1"/>
      <c r="F75" s="108" cm="1">
        <f t="array" ref="F75">SUMPRODUCT(($H75:$AG75)*($H$5:$AG$5)*($H$7:$AG$7))</f>
        <v>0</v>
      </c>
      <c r="G75" s="226">
        <f t="shared" si="20"/>
        <v>46203</v>
      </c>
      <c r="H75" s="31"/>
      <c r="I75" s="31">
        <f>Option5!I$83*conv_2026*I$7</f>
        <v>0</v>
      </c>
      <c r="J75" s="31">
        <f>Option5!J$83*conv_2026*J$7</f>
        <v>0</v>
      </c>
      <c r="K75" s="31">
        <f>Option5!K$83*conv_2026*K$7</f>
        <v>0</v>
      </c>
      <c r="L75" s="31">
        <f>Option5!L$83*conv_2026*L$7</f>
        <v>0</v>
      </c>
      <c r="M75" s="31">
        <f>Option5!M$83*conv_2026*M$7</f>
        <v>0</v>
      </c>
      <c r="N75" s="31">
        <f>Option5!N$83*conv_2026*N$7</f>
        <v>0</v>
      </c>
      <c r="O75" s="31">
        <f>Option5!O$83*conv_2026*O$7</f>
        <v>0</v>
      </c>
      <c r="P75" s="31">
        <f>Option5!P$83*conv_2026*P$7</f>
        <v>0</v>
      </c>
      <c r="Q75" s="31">
        <f>Option5!Q$83*conv_2026*Q$7</f>
        <v>0</v>
      </c>
      <c r="R75" s="31">
        <f>Option5!R$83*conv_2026*R$7</f>
        <v>0</v>
      </c>
      <c r="S75" s="31">
        <f>Option5!S$83*conv_2026*S$7</f>
        <v>0</v>
      </c>
      <c r="T75" s="31">
        <f>Option5!T$83*conv_2026*T$7</f>
        <v>0</v>
      </c>
      <c r="U75" s="31">
        <f>Option5!U$83*conv_2026*U$7</f>
        <v>0</v>
      </c>
      <c r="V75" s="31">
        <f>Option5!V$83*conv_2026*V$7</f>
        <v>0</v>
      </c>
      <c r="W75" s="31">
        <f>Option5!W$83*conv_2026*W$7</f>
        <v>0</v>
      </c>
      <c r="X75" s="31">
        <f>Option5!X$83*conv_2026*X$7</f>
        <v>0</v>
      </c>
      <c r="Y75" s="31">
        <f>Option5!Y$83*conv_2026*Y$7</f>
        <v>0</v>
      </c>
      <c r="Z75" s="31">
        <f>Option5!Z$83*conv_2026*Z$7</f>
        <v>0</v>
      </c>
      <c r="AA75" s="31">
        <f>Option5!AA$83*conv_2026*AA$7</f>
        <v>0</v>
      </c>
      <c r="AB75" s="31">
        <f>Option5!AB$83*conv_2026*AB$7</f>
        <v>0</v>
      </c>
      <c r="AC75" s="31">
        <f>Option5!AC$83*conv_2026*AC$7</f>
        <v>0</v>
      </c>
      <c r="AD75" s="31">
        <f>Option5!AD$83*conv_2026*AD$7</f>
        <v>0</v>
      </c>
      <c r="AE75" s="31">
        <f>Option5!AE$83*conv_2026*AE$7</f>
        <v>0</v>
      </c>
      <c r="AF75" s="31">
        <f>Option5!AF$83*conv_2026*AF$7</f>
        <v>0</v>
      </c>
      <c r="AG75" s="31">
        <f>Option5!AG$83*conv_2026*AG$7</f>
        <v>0</v>
      </c>
    </row>
    <row r="76" spans="1:33" s="2" customFormat="1" x14ac:dyDescent="0.2">
      <c r="A76" s="136" t="str">
        <f t="shared" si="19"/>
        <v>Option 5</v>
      </c>
      <c r="B76" s="136"/>
      <c r="C76" s="58" t="str">
        <f>Option5!C$84</f>
        <v>Risk mitigated</v>
      </c>
      <c r="D76" s="38" t="str">
        <f t="shared" si="18"/>
        <v>Option 5Risk mitigated</v>
      </c>
      <c r="E76" s="1"/>
      <c r="F76" s="97">
        <f>SUMPRODUCT($H76:$AG76, $H$5:$AG$5)</f>
        <v>0</v>
      </c>
      <c r="G76" s="226">
        <f t="shared" si="20"/>
        <v>46203</v>
      </c>
      <c r="H76" s="31"/>
      <c r="I76" s="31">
        <f>Option5!I$84*conv_2026*I$7</f>
        <v>0</v>
      </c>
      <c r="J76" s="31">
        <f>Option5!J$84*conv_2026*J$7</f>
        <v>0</v>
      </c>
      <c r="K76" s="31">
        <f>Option5!K$84*conv_2026*K$7</f>
        <v>0</v>
      </c>
      <c r="L76" s="31">
        <f>Option5!L$84*conv_2026*L$7</f>
        <v>0</v>
      </c>
      <c r="M76" s="31">
        <f>Option5!M$84*conv_2026*M$7</f>
        <v>0</v>
      </c>
      <c r="N76" s="31">
        <f>Option5!N$84*conv_2026*N$7</f>
        <v>0</v>
      </c>
      <c r="O76" s="31">
        <f>Option5!O$84*conv_2026*O$7</f>
        <v>0</v>
      </c>
      <c r="P76" s="31">
        <f>Option5!P$84*conv_2026*P$7</f>
        <v>0</v>
      </c>
      <c r="Q76" s="31">
        <f>Option5!Q$84*conv_2026*Q$7</f>
        <v>0</v>
      </c>
      <c r="R76" s="31">
        <f>Option5!R$84*conv_2026*R$7</f>
        <v>0</v>
      </c>
      <c r="S76" s="31">
        <f>Option5!S$84*conv_2026*S$7</f>
        <v>0</v>
      </c>
      <c r="T76" s="31">
        <f>Option5!T$84*conv_2026*T$7</f>
        <v>0</v>
      </c>
      <c r="U76" s="31">
        <f>Option5!U$84*conv_2026*U$7</f>
        <v>0</v>
      </c>
      <c r="V76" s="31">
        <f>Option5!V$84*conv_2026*V$7</f>
        <v>0</v>
      </c>
      <c r="W76" s="31">
        <f>Option5!W$84*conv_2026*W$7</f>
        <v>0</v>
      </c>
      <c r="X76" s="31">
        <f>Option5!X$84*conv_2026*X$7</f>
        <v>0</v>
      </c>
      <c r="Y76" s="31">
        <f>Option5!Y$84*conv_2026*Y$7</f>
        <v>0</v>
      </c>
      <c r="Z76" s="31">
        <f>Option5!Z$84*conv_2026*Z$7</f>
        <v>0</v>
      </c>
      <c r="AA76" s="31">
        <f>Option5!AA$84*conv_2026*AA$7</f>
        <v>0</v>
      </c>
      <c r="AB76" s="31">
        <f>Option5!AB$84*conv_2026*AB$7</f>
        <v>0</v>
      </c>
      <c r="AC76" s="31">
        <f>Option5!AC$84*conv_2026*AC$7</f>
        <v>0</v>
      </c>
      <c r="AD76" s="31">
        <f>Option5!AD$84*conv_2026*AD$7</f>
        <v>0</v>
      </c>
      <c r="AE76" s="31">
        <f>Option5!AE$84*conv_2026*AE$7</f>
        <v>0</v>
      </c>
      <c r="AF76" s="31">
        <f>Option5!AF$84*conv_2026*AF$7</f>
        <v>0</v>
      </c>
      <c r="AG76" s="31">
        <f>Option5!AG$84*conv_2026*AG$7</f>
        <v>0</v>
      </c>
    </row>
    <row r="77" spans="1:33" s="2" customFormat="1" x14ac:dyDescent="0.2">
      <c r="A77" s="136" t="str">
        <f t="shared" si="19"/>
        <v>Option 5</v>
      </c>
      <c r="B77" s="136"/>
      <c r="C77" s="58" t="str">
        <f>Option5!C$85</f>
        <v>Other benefits value</v>
      </c>
      <c r="D77" s="38" t="str">
        <f t="shared" si="18"/>
        <v>Option 5Other benefits value</v>
      </c>
      <c r="E77" s="1"/>
      <c r="F77" s="97">
        <f>SUMPRODUCT($H77:$AG77, $H$5:$AG$5)</f>
        <v>0</v>
      </c>
      <c r="G77" s="226">
        <f t="shared" si="20"/>
        <v>46203</v>
      </c>
      <c r="H77" s="31"/>
      <c r="I77" s="31">
        <f>Option5!I$85*conv_2026*I$7</f>
        <v>0</v>
      </c>
      <c r="J77" s="31">
        <f>Option5!J$85*conv_2026*J$7</f>
        <v>0</v>
      </c>
      <c r="K77" s="31">
        <f>Option5!K$85*conv_2026*K$7</f>
        <v>0</v>
      </c>
      <c r="L77" s="31">
        <f>Option5!L$85*conv_2026*L$7</f>
        <v>0</v>
      </c>
      <c r="M77" s="31">
        <f>Option5!M$85*conv_2026*M$7</f>
        <v>0</v>
      </c>
      <c r="N77" s="31">
        <f>Option5!N$85*conv_2026*N$7</f>
        <v>0</v>
      </c>
      <c r="O77" s="31">
        <f>Option5!O$85*conv_2026*O$7</f>
        <v>0</v>
      </c>
      <c r="P77" s="31">
        <f>Option5!P$85*conv_2026*P$7</f>
        <v>0</v>
      </c>
      <c r="Q77" s="31">
        <f>Option5!Q$85*conv_2026*Q$7</f>
        <v>0</v>
      </c>
      <c r="R77" s="31">
        <f>Option5!R$85*conv_2026*R$7</f>
        <v>0</v>
      </c>
      <c r="S77" s="31">
        <f>Option5!S$85*conv_2026*S$7</f>
        <v>0</v>
      </c>
      <c r="T77" s="31">
        <f>Option5!T$85*conv_2026*T$7</f>
        <v>0</v>
      </c>
      <c r="U77" s="31">
        <f>Option5!U$85*conv_2026*U$7</f>
        <v>0</v>
      </c>
      <c r="V77" s="31">
        <f>Option5!V$85*conv_2026*V$7</f>
        <v>0</v>
      </c>
      <c r="W77" s="31">
        <f>Option5!W$85*conv_2026*W$7</f>
        <v>0</v>
      </c>
      <c r="X77" s="31">
        <f>Option5!X$85*conv_2026*X$7</f>
        <v>0</v>
      </c>
      <c r="Y77" s="31">
        <f>Option5!Y$85*conv_2026*Y$7</f>
        <v>0</v>
      </c>
      <c r="Z77" s="31">
        <f>Option5!Z$85*conv_2026*Z$7</f>
        <v>0</v>
      </c>
      <c r="AA77" s="31">
        <f>Option5!AA$85*conv_2026*AA$7</f>
        <v>0</v>
      </c>
      <c r="AB77" s="31">
        <f>Option5!AB$85*conv_2026*AB$7</f>
        <v>0</v>
      </c>
      <c r="AC77" s="31">
        <f>Option5!AC$85*conv_2026*AC$7</f>
        <v>0</v>
      </c>
      <c r="AD77" s="31">
        <f>Option5!AD$85*conv_2026*AD$7</f>
        <v>0</v>
      </c>
      <c r="AE77" s="31">
        <f>Option5!AE$85*conv_2026*AE$7</f>
        <v>0</v>
      </c>
      <c r="AF77" s="31">
        <f>Option5!AF$85*conv_2026*AF$7</f>
        <v>0</v>
      </c>
      <c r="AG77" s="31">
        <f>Option5!AG$85*conv_2026*AG$7</f>
        <v>0</v>
      </c>
    </row>
    <row r="78" spans="1:33" s="2" customFormat="1" x14ac:dyDescent="0.2">
      <c r="A78" s="136" t="str">
        <f t="shared" si="19"/>
        <v>Option 5</v>
      </c>
      <c r="B78" s="136"/>
      <c r="C78" s="125" t="str">
        <f>Option5!C87</f>
        <v>Net benefits</v>
      </c>
      <c r="D78" s="109" t="str">
        <f t="shared" si="18"/>
        <v>Option 5Net benefits</v>
      </c>
      <c r="E78" s="110"/>
      <c r="F78" s="144"/>
      <c r="G78" s="228">
        <f t="shared" si="20"/>
        <v>46203</v>
      </c>
      <c r="H78" s="52"/>
      <c r="I78" s="52">
        <f t="shared" ref="I78:AB78" si="21">SUM(I74:I77)</f>
        <v>0</v>
      </c>
      <c r="J78" s="52">
        <f t="shared" si="21"/>
        <v>0</v>
      </c>
      <c r="K78" s="52">
        <f t="shared" si="21"/>
        <v>0</v>
      </c>
      <c r="L78" s="52">
        <f t="shared" si="21"/>
        <v>0</v>
      </c>
      <c r="M78" s="52">
        <f t="shared" si="21"/>
        <v>0</v>
      </c>
      <c r="N78" s="52">
        <f t="shared" si="21"/>
        <v>0</v>
      </c>
      <c r="O78" s="52">
        <f t="shared" si="21"/>
        <v>0</v>
      </c>
      <c r="P78" s="52">
        <f t="shared" si="21"/>
        <v>0</v>
      </c>
      <c r="Q78" s="52">
        <f t="shared" si="21"/>
        <v>0</v>
      </c>
      <c r="R78" s="52">
        <f t="shared" si="21"/>
        <v>0</v>
      </c>
      <c r="S78" s="52">
        <f t="shared" si="21"/>
        <v>0</v>
      </c>
      <c r="T78" s="52">
        <f t="shared" si="21"/>
        <v>0</v>
      </c>
      <c r="U78" s="52">
        <f t="shared" si="21"/>
        <v>0</v>
      </c>
      <c r="V78" s="52">
        <f t="shared" si="21"/>
        <v>0</v>
      </c>
      <c r="W78" s="52">
        <f t="shared" si="21"/>
        <v>0</v>
      </c>
      <c r="X78" s="52">
        <f t="shared" si="21"/>
        <v>0</v>
      </c>
      <c r="Y78" s="52">
        <f t="shared" si="21"/>
        <v>0</v>
      </c>
      <c r="Z78" s="52">
        <f t="shared" si="21"/>
        <v>0</v>
      </c>
      <c r="AA78" s="52">
        <f t="shared" si="21"/>
        <v>0</v>
      </c>
      <c r="AB78" s="52">
        <f t="shared" si="21"/>
        <v>0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x14ac:dyDescent="0.2">
      <c r="A79" s="136" t="str">
        <f t="shared" si="19"/>
        <v>Option 5</v>
      </c>
      <c r="B79" s="136"/>
      <c r="C79" s="8" t="s">
        <v>119</v>
      </c>
      <c r="D79" s="38" t="str">
        <f t="shared" si="18"/>
        <v>Option 5NPV</v>
      </c>
      <c r="E79" s="1"/>
      <c r="F79" s="108" cm="1">
        <f t="array" ref="F79">SUMPRODUCT(($H78:$AG78)*($H$5:$AG$5)*($H$7:$AG$7))</f>
        <v>0</v>
      </c>
      <c r="G79" s="226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x14ac:dyDescent="0.2">
      <c r="A80" s="136" t="str">
        <f t="shared" si="19"/>
        <v>Option 5</v>
      </c>
      <c r="B80" s="136"/>
      <c r="C80" s="8" t="s">
        <v>193</v>
      </c>
      <c r="D80" s="38" t="str">
        <f t="shared" si="18"/>
        <v>Option 5PV of costs</v>
      </c>
      <c r="E80" s="1"/>
      <c r="F80" s="108">
        <f>SUM(F74:F75)</f>
        <v>0</v>
      </c>
      <c r="G80" s="226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x14ac:dyDescent="0.2">
      <c r="A81" s="136" t="str">
        <f t="shared" si="19"/>
        <v>Option 5</v>
      </c>
      <c r="B81" s="136"/>
      <c r="C81" s="8" t="s">
        <v>194</v>
      </c>
      <c r="D81" s="38" t="str">
        <f t="shared" si="18"/>
        <v>Option 5PV of benefits</v>
      </c>
      <c r="E81" s="1"/>
      <c r="F81" s="108">
        <f>SUM(F76:F77)</f>
        <v>0</v>
      </c>
      <c r="G81" s="226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x14ac:dyDescent="0.2">
      <c r="A82" s="124"/>
      <c r="B82" s="124"/>
      <c r="C82" s="124"/>
      <c r="D82" s="38" t="str">
        <f>A82&amp;C82</f>
        <v/>
      </c>
      <c r="F82" s="118"/>
      <c r="G82" s="222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</row>
    <row r="83" spans="1:33" ht="12" x14ac:dyDescent="0.2">
      <c r="E83" s="84"/>
      <c r="G83" s="230"/>
    </row>
    <row r="84" spans="1:33" ht="12" x14ac:dyDescent="0.2">
      <c r="E84" s="84"/>
      <c r="G84" s="230"/>
    </row>
    <row r="85" spans="1:33" ht="12" x14ac:dyDescent="0.2">
      <c r="E85" s="84"/>
      <c r="G85" s="230"/>
    </row>
    <row r="86" spans="1:33" ht="12" x14ac:dyDescent="0.2">
      <c r="E86" s="84"/>
      <c r="G86" s="230"/>
    </row>
    <row r="87" spans="1:33" ht="12" x14ac:dyDescent="0.2">
      <c r="E87" s="10"/>
      <c r="G87" s="230"/>
    </row>
    <row r="88" spans="1:33" ht="15" x14ac:dyDescent="0.25">
      <c r="A88" s="203" t="s">
        <v>206</v>
      </c>
      <c r="B88" s="54"/>
      <c r="C88" s="19"/>
      <c r="D88" s="19"/>
      <c r="E88" s="83"/>
      <c r="F88" s="19"/>
      <c r="G88" s="224"/>
      <c r="H88" s="224"/>
      <c r="I88" s="200" t="str">
        <f>"FY"&amp;RIGHT(I$9,2)</f>
        <v>FY27</v>
      </c>
      <c r="J88" s="200" t="str">
        <f t="shared" ref="J88:AG88" si="22">"FY"&amp;RIGHT(J$9,2)</f>
        <v>FY28</v>
      </c>
      <c r="K88" s="200" t="str">
        <f t="shared" si="22"/>
        <v>FY29</v>
      </c>
      <c r="L88" s="200" t="str">
        <f t="shared" si="22"/>
        <v>FY30</v>
      </c>
      <c r="M88" s="200" t="str">
        <f t="shared" si="22"/>
        <v>FY31</v>
      </c>
      <c r="N88" s="200" t="str">
        <f t="shared" si="22"/>
        <v>FY32</v>
      </c>
      <c r="O88" s="200" t="str">
        <f t="shared" si="22"/>
        <v>FY33</v>
      </c>
      <c r="P88" s="200" t="str">
        <f t="shared" si="22"/>
        <v>FY34</v>
      </c>
      <c r="Q88" s="200" t="str">
        <f t="shared" si="22"/>
        <v>FY35</v>
      </c>
      <c r="R88" s="200" t="str">
        <f t="shared" si="22"/>
        <v>FY36</v>
      </c>
      <c r="S88" s="200" t="str">
        <f t="shared" si="22"/>
        <v>FY37</v>
      </c>
      <c r="T88" s="200" t="str">
        <f t="shared" si="22"/>
        <v>FY38</v>
      </c>
      <c r="U88" s="200" t="str">
        <f t="shared" si="22"/>
        <v>FY39</v>
      </c>
      <c r="V88" s="200" t="str">
        <f t="shared" si="22"/>
        <v>FY40</v>
      </c>
      <c r="W88" s="200" t="str">
        <f t="shared" si="22"/>
        <v>FY41</v>
      </c>
      <c r="X88" s="200" t="str">
        <f t="shared" si="22"/>
        <v>FY42</v>
      </c>
      <c r="Y88" s="200" t="str">
        <f t="shared" si="22"/>
        <v>FY43</v>
      </c>
      <c r="Z88" s="200" t="str">
        <f t="shared" si="22"/>
        <v>FY44</v>
      </c>
      <c r="AA88" s="200" t="str">
        <f t="shared" si="22"/>
        <v>FY45</v>
      </c>
      <c r="AB88" s="200" t="str">
        <f t="shared" si="22"/>
        <v>FY46</v>
      </c>
      <c r="AC88" s="200" t="str">
        <f t="shared" si="22"/>
        <v>FY47</v>
      </c>
      <c r="AD88" s="200" t="str">
        <f t="shared" si="22"/>
        <v>FY48</v>
      </c>
      <c r="AE88" s="200" t="str">
        <f t="shared" si="22"/>
        <v>FY49</v>
      </c>
      <c r="AF88" s="200" t="str">
        <f t="shared" si="22"/>
        <v>FY50</v>
      </c>
      <c r="AG88" s="200" t="str">
        <f t="shared" si="22"/>
        <v>FY51</v>
      </c>
    </row>
    <row r="89" spans="1:33" ht="12" x14ac:dyDescent="0.2">
      <c r="E89" s="84"/>
      <c r="G89" s="230"/>
    </row>
    <row r="90" spans="1:33" ht="12" x14ac:dyDescent="0.2">
      <c r="E90" s="84"/>
    </row>
    <row r="91" spans="1:33" x14ac:dyDescent="0.2">
      <c r="A91" s="199" t="str">
        <f>Summary!$C$26</f>
        <v>Option 2</v>
      </c>
      <c r="B91" s="140"/>
      <c r="C91" s="197" t="s">
        <v>91</v>
      </c>
      <c r="D91" s="118">
        <f>INDEX(Data!$C$30:$C$36, MATCH(C91, Data!$B$30:$B$36,0))</f>
        <v>-1</v>
      </c>
      <c r="E91" s="2"/>
      <c r="F91" s="118"/>
      <c r="G91" s="119"/>
      <c r="H91" s="119" t="str">
        <f>A91&amp;" "&amp;LOWER(C91)</f>
        <v>Option 2 annualised capex</v>
      </c>
      <c r="I91" s="298" cm="1">
        <f t="array" ref="I91">MAX($D91*INDEX(I$15:W$81, MATCH($A91&amp;$C91, $D$15:$D$81,0),))/mill_conv</f>
        <v>0.22516624470015903</v>
      </c>
      <c r="J91" s="298" cm="1">
        <f t="array" ref="J91">MAX($D91*INDEX(J$15:X$81, MATCH($A91&amp;$C91, $D$15:$D$81,0),))/mill_conv</f>
        <v>0.22516624470015903</v>
      </c>
      <c r="K91" s="298" cm="1">
        <f t="array" ref="K91">MAX($D91*INDEX(K$15:Y$81, MATCH($A91&amp;$C91, $D$15:$D$81,0),))/mill_conv</f>
        <v>0.22516624470015903</v>
      </c>
      <c r="L91" s="298" cm="1">
        <f t="array" ref="L91">MAX($D91*INDEX(L$15:Z$81, MATCH($A91&amp;$C91, $D$15:$D$81,0),))/mill_conv</f>
        <v>0.22516624470015903</v>
      </c>
      <c r="M91" s="298" cm="1">
        <f t="array" ref="M91">MAX($D91*INDEX(M$15:AA$81, MATCH($A91&amp;$C91, $D$15:$D$81,0),))/mill_conv</f>
        <v>0.22516624470015903</v>
      </c>
      <c r="N91" s="298" cm="1">
        <f t="array" ref="N91">MAX($D91*INDEX(N$15:AB$81, MATCH($A91&amp;$C91, $D$15:$D$81,0),))/mill_conv</f>
        <v>0.22516624470015903</v>
      </c>
      <c r="O91" s="298" cm="1">
        <f t="array" ref="O91">MAX($D91*INDEX(O$15:AC$81, MATCH($A91&amp;$C91, $D$15:$D$81,0),))/mill_conv</f>
        <v>0.22516624470015903</v>
      </c>
      <c r="P91" s="298" cm="1">
        <f t="array" ref="P91">MAX($D91*INDEX(P$15:AD$81, MATCH($A91&amp;$C91, $D$15:$D$81,0),))/mill_conv</f>
        <v>0.22516624470015903</v>
      </c>
      <c r="Q91" s="298" cm="1">
        <f t="array" ref="Q91">MAX($D91*INDEX(Q$15:AE$81, MATCH($A91&amp;$C91, $D$15:$D$81,0),))/mill_conv</f>
        <v>0.22516624470015903</v>
      </c>
      <c r="R91" s="298" cm="1">
        <f t="array" ref="R91">MAX($D91*INDEX(R$15:AF$81, MATCH($A91&amp;$C91, $D$15:$D$81,0),))/mill_conv</f>
        <v>0.22516624470015903</v>
      </c>
      <c r="S91" s="298" cm="1">
        <f t="array" ref="S91">MAX($D91*INDEX(S$15:AG$81, MATCH($A91&amp;$C91, $D$15:$D$81,0),))/mill_conv</f>
        <v>0.22516624470015903</v>
      </c>
      <c r="T91" s="298" cm="1">
        <f t="array" ref="T91">MAX($D91*INDEX(T$15:AH$81, MATCH($A91&amp;$C91, $D$15:$D$81,0),))/mill_conv</f>
        <v>0.22516624470015903</v>
      </c>
      <c r="U91" s="298" cm="1">
        <f t="array" ref="U91">MAX($D91*INDEX(U$15:AI$81, MATCH($A91&amp;$C91, $D$15:$D$81,0),))/mill_conv</f>
        <v>0.22516624470015903</v>
      </c>
      <c r="V91" s="298" cm="1">
        <f t="array" ref="V91">MAX($D91*INDEX(V$15:AJ$81, MATCH($A91&amp;$C91, $D$15:$D$81,0),))/mill_conv</f>
        <v>0.22516624470015903</v>
      </c>
      <c r="W91" s="298" cm="1">
        <f t="array" ref="W91">MAX($D91*INDEX(W$15:AK$81, MATCH($A91&amp;$C91, $D$15:$D$81,0),))/mill_conv</f>
        <v>0.22516624470015903</v>
      </c>
      <c r="X91" s="298" cm="1">
        <f t="array" ref="X91">MAX($D91*INDEX(X$15:AL$81, MATCH($A91&amp;$C91, $D$15:$D$81,0),))/mill_conv</f>
        <v>0.22516624470015903</v>
      </c>
      <c r="Y91" s="298" cm="1">
        <f t="array" ref="Y91">MAX($D91*INDEX(Y$15:AM$81, MATCH($A91&amp;$C91, $D$15:$D$81,0),))/mill_conv</f>
        <v>0.22516624470015903</v>
      </c>
      <c r="Z91" s="298" cm="1">
        <f t="array" ref="Z91">MAX($D91*INDEX(Z$15:AN$81, MATCH($A91&amp;$C91, $D$15:$D$81,0),))/mill_conv</f>
        <v>0.22516624470015903</v>
      </c>
      <c r="AA91" s="298" cm="1">
        <f t="array" ref="AA91">MAX($D91*INDEX(AA$15:AO$81, MATCH($A91&amp;$C91, $D$15:$D$81,0),))/mill_conv</f>
        <v>0.22516624470015903</v>
      </c>
      <c r="AB91" s="298" cm="1">
        <f t="array" ref="AB91">MAX($D91*INDEX(AB$15:AP$81, MATCH($A91&amp;$C91, $D$15:$D$81,0),))/mill_conv</f>
        <v>0.22516624470015903</v>
      </c>
      <c r="AC91" s="298" cm="1">
        <f t="array" ref="AC91">MAX($D91*INDEX(AC$15:AQ$81, MATCH($A91&amp;$C91, $D$15:$D$81,0),))/mill_conv</f>
        <v>0.22516624470015903</v>
      </c>
      <c r="AD91" s="298" cm="1">
        <f t="array" ref="AD91">MAX($D91*INDEX(AD$15:AR$81, MATCH($A91&amp;$C91, $D$15:$D$81,0),))/mill_conv</f>
        <v>0</v>
      </c>
      <c r="AE91" s="298" cm="1">
        <f t="array" ref="AE91">MAX($D91*INDEX(AE$15:AS$81, MATCH($A91&amp;$C91, $D$15:$D$81,0),))/mill_conv</f>
        <v>0</v>
      </c>
      <c r="AF91" s="298" cm="1">
        <f t="array" ref="AF91">MAX($D91*INDEX(AF$15:AT$81, MATCH($A91&amp;$C91, $D$15:$D$81,0),))/mill_conv</f>
        <v>0</v>
      </c>
      <c r="AG91" s="298" cm="1">
        <f t="array" ref="AG91">MAX($D91*INDEX(AG$15:AU$81, MATCH($A91&amp;$C91, $D$15:$D$81,0),))/mill_conv</f>
        <v>0</v>
      </c>
    </row>
    <row r="92" spans="1:33" x14ac:dyDescent="0.2">
      <c r="A92" s="198" t="str">
        <f>A16</f>
        <v>Option 1 (base case)</v>
      </c>
      <c r="B92" s="140"/>
      <c r="C92" s="198" t="s">
        <v>176</v>
      </c>
      <c r="D92" s="118">
        <f>INDEX(Data!$C$30:$C$36, MATCH(C92, Data!$B$30:$B$36,0))</f>
        <v>1</v>
      </c>
      <c r="E92" s="84"/>
      <c r="H92" s="119" t="str">
        <f>A92&amp;" risk cost"</f>
        <v>Option 1 (base case) risk cost</v>
      </c>
      <c r="I92" s="298">
        <f t="shared" ref="I92:R92" si="23">$D92*INDEX(I$15:I$81, MATCH($A92&amp;$C92, $D$15:$D$81,0))/mill_conv</f>
        <v>0.53593219998257513</v>
      </c>
      <c r="J92" s="298">
        <f t="shared" si="23"/>
        <v>0.52590380988681606</v>
      </c>
      <c r="K92" s="298">
        <f t="shared" si="23"/>
        <v>0.52391471824469726</v>
      </c>
      <c r="L92" s="298">
        <f t="shared" si="23"/>
        <v>0.52554528544504475</v>
      </c>
      <c r="M92" s="298">
        <f t="shared" si="23"/>
        <v>0.52560516627296749</v>
      </c>
      <c r="N92" s="298">
        <f t="shared" si="23"/>
        <v>0.5212980161445665</v>
      </c>
      <c r="O92" s="298">
        <f t="shared" si="23"/>
        <v>0.51871419442233735</v>
      </c>
      <c r="P92" s="298">
        <f t="shared" si="23"/>
        <v>0.51897382760829691</v>
      </c>
      <c r="Q92" s="298">
        <f t="shared" si="23"/>
        <v>0.52085041183933878</v>
      </c>
      <c r="R92" s="298">
        <f t="shared" si="23"/>
        <v>0.51642036674070735</v>
      </c>
      <c r="S92" s="298">
        <f t="shared" ref="S92:AG92" si="24">$D92*INDEX(S$15:S$81, MATCH($A92&amp;$C92, $D$15:$D$81,0))/mill_conv</f>
        <v>0.51643633041460046</v>
      </c>
      <c r="T92" s="298">
        <f t="shared" si="24"/>
        <v>0.51645229408849347</v>
      </c>
      <c r="U92" s="298">
        <f t="shared" si="24"/>
        <v>0.5164682577623867</v>
      </c>
      <c r="V92" s="298">
        <f t="shared" si="24"/>
        <v>0.51648422143627981</v>
      </c>
      <c r="W92" s="298">
        <f t="shared" si="24"/>
        <v>0.51650018511017282</v>
      </c>
      <c r="X92" s="298">
        <f t="shared" si="24"/>
        <v>0.51651614878406593</v>
      </c>
      <c r="Y92" s="298">
        <f t="shared" si="24"/>
        <v>0.51653211245795883</v>
      </c>
      <c r="Z92" s="298">
        <f t="shared" si="24"/>
        <v>0.51654807613185194</v>
      </c>
      <c r="AA92" s="298">
        <f t="shared" si="24"/>
        <v>0.51656403980574517</v>
      </c>
      <c r="AB92" s="298">
        <f t="shared" si="24"/>
        <v>0.51658000347963828</v>
      </c>
      <c r="AC92" s="298">
        <f t="shared" si="24"/>
        <v>0.51659596715353118</v>
      </c>
      <c r="AD92" s="298">
        <f t="shared" si="24"/>
        <v>0.5166119308274244</v>
      </c>
      <c r="AE92" s="298">
        <f t="shared" si="24"/>
        <v>0.51662789450131752</v>
      </c>
      <c r="AF92" s="298">
        <f t="shared" si="24"/>
        <v>0.51664385817521052</v>
      </c>
      <c r="AG92" s="298">
        <f t="shared" si="24"/>
        <v>0.51665982184910353</v>
      </c>
    </row>
    <row r="93" spans="1:33" ht="12" x14ac:dyDescent="0.2">
      <c r="E93" s="84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</row>
    <row r="94" spans="1:33" ht="12" x14ac:dyDescent="0.2">
      <c r="E94" s="84"/>
    </row>
    <row r="95" spans="1:33" ht="12" x14ac:dyDescent="0.2">
      <c r="E95" s="84"/>
    </row>
    <row r="96" spans="1:33" ht="12" x14ac:dyDescent="0.2">
      <c r="E96" s="84"/>
    </row>
    <row r="97" spans="1:33" ht="12" x14ac:dyDescent="0.2">
      <c r="E97" s="84"/>
      <c r="I97" s="295" t="str">
        <f>I88</f>
        <v>FY27</v>
      </c>
      <c r="J97" s="295" t="str">
        <f t="shared" ref="J97:AG97" si="25">J88</f>
        <v>FY28</v>
      </c>
      <c r="K97" s="295" t="str">
        <f t="shared" si="25"/>
        <v>FY29</v>
      </c>
      <c r="L97" s="295" t="str">
        <f t="shared" si="25"/>
        <v>FY30</v>
      </c>
      <c r="M97" s="295" t="str">
        <f t="shared" si="25"/>
        <v>FY31</v>
      </c>
      <c r="N97" s="295" t="str">
        <f t="shared" si="25"/>
        <v>FY32</v>
      </c>
      <c r="O97" s="295" t="str">
        <f t="shared" si="25"/>
        <v>FY33</v>
      </c>
      <c r="P97" s="295" t="str">
        <f t="shared" si="25"/>
        <v>FY34</v>
      </c>
      <c r="Q97" s="295" t="str">
        <f t="shared" si="25"/>
        <v>FY35</v>
      </c>
      <c r="R97" s="295" t="str">
        <f t="shared" si="25"/>
        <v>FY36</v>
      </c>
      <c r="S97" s="295" t="str">
        <f t="shared" si="25"/>
        <v>FY37</v>
      </c>
      <c r="T97" s="295" t="str">
        <f t="shared" si="25"/>
        <v>FY38</v>
      </c>
      <c r="U97" s="295" t="str">
        <f t="shared" si="25"/>
        <v>FY39</v>
      </c>
      <c r="V97" s="295" t="str">
        <f t="shared" si="25"/>
        <v>FY40</v>
      </c>
      <c r="W97" s="295" t="str">
        <f t="shared" si="25"/>
        <v>FY41</v>
      </c>
      <c r="X97" s="295" t="str">
        <f t="shared" si="25"/>
        <v>FY42</v>
      </c>
      <c r="Y97" s="295" t="str">
        <f t="shared" si="25"/>
        <v>FY43</v>
      </c>
      <c r="Z97" s="295" t="str">
        <f t="shared" si="25"/>
        <v>FY44</v>
      </c>
      <c r="AA97" s="295" t="str">
        <f t="shared" si="25"/>
        <v>FY45</v>
      </c>
      <c r="AB97" s="295" t="str">
        <f t="shared" si="25"/>
        <v>FY46</v>
      </c>
      <c r="AC97" s="295" t="str">
        <f t="shared" si="25"/>
        <v>FY47</v>
      </c>
      <c r="AD97" s="295" t="str">
        <f t="shared" si="25"/>
        <v>FY48</v>
      </c>
      <c r="AE97" s="295" t="str">
        <f t="shared" si="25"/>
        <v>FY49</v>
      </c>
      <c r="AF97" s="295" t="str">
        <f t="shared" si="25"/>
        <v>FY50</v>
      </c>
      <c r="AG97" s="295" t="str">
        <f t="shared" si="25"/>
        <v>FY51</v>
      </c>
    </row>
    <row r="98" spans="1:33" x14ac:dyDescent="0.2">
      <c r="A98" s="199" t="s">
        <v>236</v>
      </c>
      <c r="B98" s="140"/>
      <c r="C98" s="197" t="s">
        <v>123</v>
      </c>
      <c r="D98" s="191">
        <f>MAX(H98:AG98)</f>
        <v>10.654262722363647</v>
      </c>
      <c r="E98" s="294"/>
      <c r="F98" s="118"/>
      <c r="G98" s="119"/>
      <c r="H98" s="119" t="str">
        <f>A98&amp;" "&amp;LOWER(C98)</f>
        <v>Energy at risk energy at risk (weighted)</v>
      </c>
      <c r="I98" s="119">
        <f>INDEX('Option1 (base case)'!I$14:I$87, MATCH($C98, 'Option1 (base case)'!$C$14:$C$87,0))</f>
        <v>10.654262722363647</v>
      </c>
      <c r="J98" s="119">
        <f>INDEX('Option1 (base case)'!J$14:J$87, MATCH($C98, 'Option1 (base case)'!$C$14:$C$87,0))</f>
        <v>10.454899626124906</v>
      </c>
      <c r="K98" s="119">
        <f>INDEX('Option1 (base case)'!K$14:K$87, MATCH($C98, 'Option1 (base case)'!$C$14:$C$87,0))</f>
        <v>10.415356741904327</v>
      </c>
      <c r="L98" s="119">
        <f>INDEX('Option1 (base case)'!L$14:L$87, MATCH($C98, 'Option1 (base case)'!$C$14:$C$87,0))</f>
        <v>10.447772206658145</v>
      </c>
      <c r="M98" s="119">
        <f>INDEX('Option1 (base case)'!M$14:M$87, MATCH($C98, 'Option1 (base case)'!$C$14:$C$87,0))</f>
        <v>10.448962629761555</v>
      </c>
      <c r="N98" s="119">
        <f>INDEX('Option1 (base case)'!N$14:N$87, MATCH($C98, 'Option1 (base case)'!$C$14:$C$87,0))</f>
        <v>10.363337043065817</v>
      </c>
      <c r="O98" s="119">
        <f>INDEX('Option1 (base case)'!O$14:O$87, MATCH($C98, 'Option1 (base case)'!$C$14:$C$87,0))</f>
        <v>10.311971001881364</v>
      </c>
      <c r="P98" s="119">
        <f>INDEX('Option1 (base case)'!P$14:P$87, MATCH($C98, 'Option1 (base case)'!$C$14:$C$87,0))</f>
        <v>10.317132475990864</v>
      </c>
      <c r="Q98" s="119">
        <f>INDEX('Option1 (base case)'!Q$14:Q$87, MATCH($C98, 'Option1 (base case)'!$C$14:$C$87,0))</f>
        <v>10.354438727451058</v>
      </c>
      <c r="R98" s="119">
        <f>INDEX('Option1 (base case)'!R$14:R$87, MATCH($C98, 'Option1 (base case)'!$C$14:$C$87,0))</f>
        <v>10.266370004664344</v>
      </c>
      <c r="S98" s="119">
        <f>INDEX('Option1 (base case)'!S$14:S$87, MATCH($C98, 'Option1 (base case)'!$C$14:$C$87,0))</f>
        <v>10.266687360433744</v>
      </c>
      <c r="T98" s="119">
        <f>INDEX('Option1 (base case)'!T$14:T$87, MATCH($C98, 'Option1 (base case)'!$C$14:$C$87,0))</f>
        <v>10.267004716203143</v>
      </c>
      <c r="U98" s="119">
        <f>INDEX('Option1 (base case)'!U$14:U$87, MATCH($C98, 'Option1 (base case)'!$C$14:$C$87,0))</f>
        <v>10.267322071972544</v>
      </c>
      <c r="V98" s="119">
        <f>INDEX('Option1 (base case)'!V$14:V$87, MATCH($C98, 'Option1 (base case)'!$C$14:$C$87,0))</f>
        <v>10.26763942774194</v>
      </c>
      <c r="W98" s="119">
        <f>INDEX('Option1 (base case)'!W$14:W$87, MATCH($C98, 'Option1 (base case)'!$C$14:$C$87,0))</f>
        <v>10.267956783511339</v>
      </c>
      <c r="X98" s="119">
        <f>INDEX('Option1 (base case)'!X$14:X$87, MATCH($C98, 'Option1 (base case)'!$C$14:$C$87,0))</f>
        <v>10.268274139280738</v>
      </c>
      <c r="Y98" s="119">
        <f>INDEX('Option1 (base case)'!Y$14:Y$87, MATCH($C98, 'Option1 (base case)'!$C$14:$C$87,0))</f>
        <v>10.268591495050135</v>
      </c>
      <c r="Z98" s="119">
        <f>INDEX('Option1 (base case)'!Z$14:Z$87, MATCH($C98, 'Option1 (base case)'!$C$14:$C$87,0))</f>
        <v>10.268908850819534</v>
      </c>
      <c r="AA98" s="119">
        <f>INDEX('Option1 (base case)'!AA$14:AA$87, MATCH($C98, 'Option1 (base case)'!$C$14:$C$87,0))</f>
        <v>10.269226206588936</v>
      </c>
      <c r="AB98" s="119">
        <f>INDEX('Option1 (base case)'!AB$14:AB$87, MATCH($C98, 'Option1 (base case)'!$C$14:$C$87,0))</f>
        <v>10.269543562358335</v>
      </c>
      <c r="AC98" s="119">
        <f>INDEX('Option1 (base case)'!AC$14:AC$87, MATCH($C98, 'Option1 (base case)'!$C$14:$C$87,0))</f>
        <v>10.26986091812773</v>
      </c>
      <c r="AD98" s="119">
        <f>INDEX('Option1 (base case)'!AD$14:AD$87, MATCH($C98, 'Option1 (base case)'!$C$14:$C$87,0))</f>
        <v>10.27017827389713</v>
      </c>
      <c r="AE98" s="119">
        <f>INDEX('Option1 (base case)'!AE$14:AE$87, MATCH($C98, 'Option1 (base case)'!$C$14:$C$87,0))</f>
        <v>10.270495629666529</v>
      </c>
      <c r="AF98" s="119">
        <f>INDEX('Option1 (base case)'!AF$14:AF$87, MATCH($C98, 'Option1 (base case)'!$C$14:$C$87,0))</f>
        <v>10.270812985435926</v>
      </c>
      <c r="AG98" s="119">
        <f>INDEX('Option1 (base case)'!AG$14:AG$87, MATCH($C98, 'Option1 (base case)'!$C$14:$C$87,0))</f>
        <v>10.271130341205325</v>
      </c>
    </row>
    <row r="99" spans="1:33" x14ac:dyDescent="0.2">
      <c r="A99" s="198" t="str">
        <f>A23</f>
        <v>Option 1 (base case)</v>
      </c>
      <c r="B99" s="140"/>
      <c r="C99" s="198" t="s">
        <v>124</v>
      </c>
      <c r="D99" s="191">
        <f>MAX(H99:AG99)</f>
        <v>0.48155819031097563</v>
      </c>
      <c r="E99" s="294"/>
      <c r="H99" s="119" t="str">
        <f>A99&amp;" risk cost"</f>
        <v>Option 1 (base case) risk cost</v>
      </c>
      <c r="I99" s="119">
        <f>INDEX('Option1 (base case)'!I$14:I$87, MATCH($C99, 'Option1 (base case)'!$C$14:$C$87,0))/10^6</f>
        <v>0.48155819031097563</v>
      </c>
      <c r="J99" s="119">
        <f>INDEX('Option1 (base case)'!J$14:J$87, MATCH($C99, 'Option1 (base case)'!$C$14:$C$87,0))/10^6</f>
        <v>0.47254724940016035</v>
      </c>
      <c r="K99" s="119">
        <f>INDEX('Option1 (base case)'!K$14:K$87, MATCH($C99, 'Option1 (base case)'!$C$14:$C$87,0))/10^6</f>
        <v>0.47075996479294224</v>
      </c>
      <c r="L99" s="119">
        <f>INDEX('Option1 (base case)'!L$14:L$87, MATCH($C99, 'Option1 (base case)'!$C$14:$C$87,0))/10^6</f>
        <v>0.47222509973016991</v>
      </c>
      <c r="M99" s="119">
        <f>INDEX('Option1 (base case)'!M$14:M$87, MATCH($C99, 'Option1 (base case)'!$C$14:$C$87,0))/10^6</f>
        <v>0.47227890523603372</v>
      </c>
      <c r="N99" s="119">
        <f>INDEX('Option1 (base case)'!N$14:N$87, MATCH($C99, 'Option1 (base case)'!$C$14:$C$87,0))/10^6</f>
        <v>0.46840874512753894</v>
      </c>
      <c r="O99" s="119">
        <f>INDEX('Option1 (base case)'!O$14:O$87, MATCH($C99, 'Option1 (base case)'!$C$14:$C$87,0))/10^6</f>
        <v>0.46608706989943488</v>
      </c>
      <c r="P99" s="119">
        <f>INDEX('Option1 (base case)'!P$14:P$87, MATCH($C99, 'Option1 (base case)'!$C$14:$C$87,0))/10^6</f>
        <v>0.46632036151202949</v>
      </c>
      <c r="Q99" s="119">
        <f>INDEX('Option1 (base case)'!Q$14:Q$87, MATCH($C99, 'Option1 (base case)'!$C$14:$C$87,0))/10^6</f>
        <v>0.46800655335923708</v>
      </c>
      <c r="R99" s="119">
        <f>INDEX('Option1 (base case)'!R$14:R$87, MATCH($C99, 'Option1 (base case)'!$C$14:$C$87,0))/10^6</f>
        <v>0.46402596682093555</v>
      </c>
      <c r="S99" s="119">
        <f>INDEX('Option1 (base case)'!S$14:S$87, MATCH($C99, 'Option1 (base case)'!$C$14:$C$87,0))/10^6</f>
        <v>0.46404031087025926</v>
      </c>
      <c r="T99" s="119">
        <f>INDEX('Option1 (base case)'!T$14:T$87, MATCH($C99, 'Option1 (base case)'!$C$14:$C$87,0))/10^6</f>
        <v>0.46405465491958281</v>
      </c>
      <c r="U99" s="119">
        <f>INDEX('Option1 (base case)'!U$14:U$87, MATCH($C99, 'Option1 (base case)'!$C$14:$C$87,0))/10^6</f>
        <v>0.46406899896890652</v>
      </c>
      <c r="V99" s="119">
        <f>INDEX('Option1 (base case)'!V$14:V$87, MATCH($C99, 'Option1 (base case)'!$C$14:$C$87,0))/10^6</f>
        <v>0.46408334301823012</v>
      </c>
      <c r="W99" s="119">
        <f>INDEX('Option1 (base case)'!W$14:W$87, MATCH($C99, 'Option1 (base case)'!$C$14:$C$87,0))/10^6</f>
        <v>0.46409768706755367</v>
      </c>
      <c r="X99" s="119">
        <f>INDEX('Option1 (base case)'!X$14:X$87, MATCH($C99, 'Option1 (base case)'!$C$14:$C$87,0))/10^6</f>
        <v>0.46411203111687732</v>
      </c>
      <c r="Y99" s="119">
        <f>INDEX('Option1 (base case)'!Y$14:Y$87, MATCH($C99, 'Option1 (base case)'!$C$14:$C$87,0))/10^6</f>
        <v>0.46412637516620087</v>
      </c>
      <c r="Z99" s="119">
        <f>INDEX('Option1 (base case)'!Z$14:Z$87, MATCH($C99, 'Option1 (base case)'!$C$14:$C$87,0))/10^6</f>
        <v>0.46414071921552452</v>
      </c>
      <c r="AA99" s="119">
        <f>INDEX('Option1 (base case)'!AA$14:AA$87, MATCH($C99, 'Option1 (base case)'!$C$14:$C$87,0))/10^6</f>
        <v>0.46415506326484823</v>
      </c>
      <c r="AB99" s="119">
        <f>INDEX('Option1 (base case)'!AB$14:AB$87, MATCH($C99, 'Option1 (base case)'!$C$14:$C$87,0))/10^6</f>
        <v>0.46416940731417189</v>
      </c>
      <c r="AC99" s="119">
        <f>INDEX('Option1 (base case)'!AC$14:AC$87, MATCH($C99, 'Option1 (base case)'!$C$14:$C$87,0))/10^6</f>
        <v>0.46418375136349538</v>
      </c>
      <c r="AD99" s="119">
        <f>INDEX('Option1 (base case)'!AD$14:AD$87, MATCH($C99, 'Option1 (base case)'!$C$14:$C$87,0))/10^6</f>
        <v>0.46419809541281909</v>
      </c>
      <c r="AE99" s="119">
        <f>INDEX('Option1 (base case)'!AE$14:AE$87, MATCH($C99, 'Option1 (base case)'!$C$14:$C$87,0))/10^6</f>
        <v>0.46421243946214269</v>
      </c>
      <c r="AF99" s="119">
        <f>INDEX('Option1 (base case)'!AF$14:AF$87, MATCH($C99, 'Option1 (base case)'!$C$14:$C$87,0))/10^6</f>
        <v>0.46422678351146623</v>
      </c>
      <c r="AG99" s="119">
        <f>INDEX('Option1 (base case)'!AG$14:AG$87, MATCH($C99, 'Option1 (base case)'!$C$14:$C$87,0))/10^6</f>
        <v>0.46424112756078983</v>
      </c>
    </row>
    <row r="100" spans="1:33" ht="12" x14ac:dyDescent="0.2">
      <c r="E100" s="10"/>
    </row>
    <row r="101" spans="1:33" s="296" customFormat="1" ht="12" x14ac:dyDescent="0.2"/>
    <row r="102" spans="1:33" ht="12" x14ac:dyDescent="0.2">
      <c r="E102" s="10"/>
    </row>
    <row r="103" spans="1:33" ht="12" x14ac:dyDescent="0.2">
      <c r="E103" s="10"/>
      <c r="I103" s="296"/>
    </row>
    <row r="104" spans="1:33" ht="12" x14ac:dyDescent="0.2">
      <c r="E104" s="10"/>
      <c r="H104" s="151"/>
    </row>
    <row r="105" spans="1:33" ht="12" x14ac:dyDescent="0.2">
      <c r="E105" s="10"/>
      <c r="H105" s="151"/>
    </row>
    <row r="106" spans="1:33" ht="12" x14ac:dyDescent="0.2">
      <c r="D106" s="191"/>
      <c r="E106" s="10"/>
    </row>
    <row r="107" spans="1:33" ht="12" x14ac:dyDescent="0.2">
      <c r="D107" s="191"/>
      <c r="E107" s="10"/>
    </row>
    <row r="108" spans="1:33" ht="12" x14ac:dyDescent="0.2">
      <c r="D108" s="191"/>
      <c r="E108" s="84"/>
    </row>
    <row r="109" spans="1:33" ht="12" x14ac:dyDescent="0.2">
      <c r="C109" s="124"/>
      <c r="D109" s="191"/>
      <c r="E109" s="191"/>
    </row>
    <row r="110" spans="1:33" ht="12" x14ac:dyDescent="0.2">
      <c r="D110" s="191"/>
      <c r="E110" s="84"/>
    </row>
    <row r="111" spans="1:33" ht="12" x14ac:dyDescent="0.2">
      <c r="D111" s="191"/>
      <c r="E111" s="84"/>
    </row>
    <row r="112" spans="1:33" ht="12" x14ac:dyDescent="0.2">
      <c r="D112" s="191"/>
      <c r="E112" s="84"/>
    </row>
    <row r="113" spans="4:5" ht="12" x14ac:dyDescent="0.2">
      <c r="D113" s="191"/>
      <c r="E113" s="84"/>
    </row>
    <row r="114" spans="4:5" ht="12" x14ac:dyDescent="0.2">
      <c r="D114" s="191"/>
      <c r="E114" s="84"/>
    </row>
    <row r="115" spans="4:5" ht="12" x14ac:dyDescent="0.2">
      <c r="D115" s="191"/>
      <c r="E115" s="84"/>
    </row>
    <row r="116" spans="4:5" ht="12" x14ac:dyDescent="0.2">
      <c r="D116" s="191"/>
      <c r="E116" s="84"/>
    </row>
    <row r="117" spans="4:5" ht="12" x14ac:dyDescent="0.2">
      <c r="D117" s="191"/>
      <c r="E117" s="84"/>
    </row>
    <row r="118" spans="4:5" ht="12" x14ac:dyDescent="0.2">
      <c r="D118" s="191"/>
      <c r="E118" s="84"/>
    </row>
    <row r="119" spans="4:5" ht="12" x14ac:dyDescent="0.2">
      <c r="D119" s="191"/>
      <c r="E119" s="84"/>
    </row>
    <row r="120" spans="4:5" ht="12" x14ac:dyDescent="0.2">
      <c r="D120" s="191"/>
      <c r="E120" s="84"/>
    </row>
    <row r="121" spans="4:5" ht="12" x14ac:dyDescent="0.2">
      <c r="D121" s="191"/>
      <c r="E121" s="84"/>
    </row>
    <row r="122" spans="4:5" ht="12" x14ac:dyDescent="0.2">
      <c r="D122" s="191"/>
      <c r="E122" s="84"/>
    </row>
    <row r="123" spans="4:5" ht="12" x14ac:dyDescent="0.2">
      <c r="D123" s="191"/>
      <c r="E123" s="84"/>
    </row>
    <row r="124" spans="4:5" ht="12" x14ac:dyDescent="0.2">
      <c r="D124" s="191"/>
      <c r="E124" s="84"/>
    </row>
    <row r="125" spans="4:5" ht="12" x14ac:dyDescent="0.2">
      <c r="D125" s="191"/>
      <c r="E125" s="84"/>
    </row>
    <row r="126" spans="4:5" ht="12" x14ac:dyDescent="0.2">
      <c r="D126" s="191"/>
      <c r="E126" s="84"/>
    </row>
    <row r="127" spans="4:5" ht="12" x14ac:dyDescent="0.2">
      <c r="D127" s="191"/>
      <c r="E127" s="84"/>
    </row>
    <row r="128" spans="4:5" ht="12" x14ac:dyDescent="0.2">
      <c r="D128" s="191"/>
      <c r="E128" s="84"/>
    </row>
    <row r="129" spans="4:5" ht="12" x14ac:dyDescent="0.2">
      <c r="D129" s="191"/>
      <c r="E129" s="84"/>
    </row>
    <row r="130" spans="4:5" ht="12" x14ac:dyDescent="0.2">
      <c r="D130" s="191"/>
      <c r="E130" s="84"/>
    </row>
    <row r="131" spans="4:5" ht="12" x14ac:dyDescent="0.2">
      <c r="D131" s="191"/>
      <c r="E131" s="84"/>
    </row>
    <row r="132" spans="4:5" ht="12" x14ac:dyDescent="0.2">
      <c r="D132" s="191"/>
      <c r="E132" s="84"/>
    </row>
    <row r="133" spans="4:5" ht="12" x14ac:dyDescent="0.2">
      <c r="D133" s="191"/>
      <c r="E133" s="84"/>
    </row>
    <row r="134" spans="4:5" ht="12" x14ac:dyDescent="0.2">
      <c r="D134" s="191"/>
      <c r="E134" s="84"/>
    </row>
    <row r="135" spans="4:5" ht="12" x14ac:dyDescent="0.2">
      <c r="D135" s="191"/>
      <c r="E135" s="84"/>
    </row>
    <row r="136" spans="4:5" ht="12" x14ac:dyDescent="0.2">
      <c r="D136" s="191"/>
      <c r="E136" s="84"/>
    </row>
    <row r="137" spans="4:5" ht="12" x14ac:dyDescent="0.2">
      <c r="D137" s="191"/>
      <c r="E137" s="84"/>
    </row>
    <row r="138" spans="4:5" ht="12" x14ac:dyDescent="0.2">
      <c r="E138" s="84"/>
    </row>
    <row r="139" spans="4:5" ht="12" x14ac:dyDescent="0.2">
      <c r="E139" s="84"/>
    </row>
    <row r="140" spans="4:5" ht="12" x14ac:dyDescent="0.2">
      <c r="E140" s="84"/>
    </row>
    <row r="141" spans="4:5" ht="12" x14ac:dyDescent="0.2">
      <c r="E141" s="84"/>
    </row>
    <row r="142" spans="4:5" ht="12" x14ac:dyDescent="0.2">
      <c r="E142" s="84"/>
    </row>
    <row r="143" spans="4:5" ht="12" x14ac:dyDescent="0.2">
      <c r="E143" s="84"/>
    </row>
    <row r="144" spans="4:5" ht="12" x14ac:dyDescent="0.2">
      <c r="E144" s="84"/>
    </row>
    <row r="145" spans="5:5" ht="12" x14ac:dyDescent="0.2">
      <c r="E145" s="84"/>
    </row>
    <row r="146" spans="5:5" ht="12" x14ac:dyDescent="0.2">
      <c r="E146" s="84"/>
    </row>
    <row r="147" spans="5:5" ht="12" x14ac:dyDescent="0.2">
      <c r="E147" s="84"/>
    </row>
    <row r="148" spans="5:5" ht="12" x14ac:dyDescent="0.2">
      <c r="E148" s="84"/>
    </row>
    <row r="149" spans="5:5" ht="12" x14ac:dyDescent="0.2">
      <c r="E149" s="84"/>
    </row>
    <row r="150" spans="5:5" ht="12" x14ac:dyDescent="0.2">
      <c r="E150" s="84"/>
    </row>
    <row r="151" spans="5:5" ht="12" x14ac:dyDescent="0.2">
      <c r="E151" s="84"/>
    </row>
    <row r="152" spans="5:5" ht="12" x14ac:dyDescent="0.2">
      <c r="E152" s="84"/>
    </row>
    <row r="153" spans="5:5" ht="12" x14ac:dyDescent="0.2">
      <c r="E153" s="84"/>
    </row>
    <row r="154" spans="5:5" ht="12" x14ac:dyDescent="0.2">
      <c r="E154" s="84"/>
    </row>
    <row r="155" spans="5:5" ht="12" x14ac:dyDescent="0.2">
      <c r="E155" s="84"/>
    </row>
    <row r="156" spans="5:5" ht="12" x14ac:dyDescent="0.2">
      <c r="E156" s="84"/>
    </row>
    <row r="157" spans="5:5" ht="12" x14ac:dyDescent="0.2">
      <c r="E157" s="84"/>
    </row>
    <row r="158" spans="5:5" ht="12" x14ac:dyDescent="0.2">
      <c r="E158" s="84"/>
    </row>
    <row r="159" spans="5:5" ht="12" x14ac:dyDescent="0.2">
      <c r="E159" s="84"/>
    </row>
    <row r="160" spans="5:5" ht="12" x14ac:dyDescent="0.2">
      <c r="E160" s="84"/>
    </row>
    <row r="161" spans="5:5" ht="12" x14ac:dyDescent="0.2">
      <c r="E161" s="84"/>
    </row>
    <row r="162" spans="5:5" ht="12" x14ac:dyDescent="0.2">
      <c r="E162" s="84"/>
    </row>
    <row r="163" spans="5:5" ht="12" x14ac:dyDescent="0.2">
      <c r="E163" s="84"/>
    </row>
    <row r="164" spans="5:5" ht="12" x14ac:dyDescent="0.2">
      <c r="E164" s="84"/>
    </row>
    <row r="165" spans="5:5" ht="12" x14ac:dyDescent="0.2">
      <c r="E165" s="84"/>
    </row>
    <row r="166" spans="5:5" ht="12" x14ac:dyDescent="0.2">
      <c r="E166" s="84"/>
    </row>
    <row r="167" spans="5:5" ht="12" x14ac:dyDescent="0.2">
      <c r="E167" s="84"/>
    </row>
    <row r="168" spans="5:5" ht="12" x14ac:dyDescent="0.2">
      <c r="E168" s="84"/>
    </row>
    <row r="169" spans="5:5" ht="12" x14ac:dyDescent="0.2">
      <c r="E169" s="84"/>
    </row>
    <row r="170" spans="5:5" ht="12" x14ac:dyDescent="0.2">
      <c r="E170" s="84"/>
    </row>
    <row r="171" spans="5:5" ht="12" x14ac:dyDescent="0.2">
      <c r="E171" s="84"/>
    </row>
    <row r="172" spans="5:5" ht="12" x14ac:dyDescent="0.2">
      <c r="E172" s="84"/>
    </row>
    <row r="173" spans="5:5" ht="12" x14ac:dyDescent="0.2">
      <c r="E173" s="84"/>
    </row>
    <row r="174" spans="5:5" ht="12" x14ac:dyDescent="0.2">
      <c r="E174" s="84"/>
    </row>
    <row r="175" spans="5:5" ht="12" x14ac:dyDescent="0.2">
      <c r="E175" s="84"/>
    </row>
    <row r="176" spans="5:5" ht="12" x14ac:dyDescent="0.2">
      <c r="E176" s="84"/>
    </row>
    <row r="177" spans="5:5" ht="12" x14ac:dyDescent="0.2">
      <c r="E177" s="84"/>
    </row>
    <row r="178" spans="5:5" ht="12" x14ac:dyDescent="0.2">
      <c r="E178" s="84"/>
    </row>
    <row r="179" spans="5:5" ht="12" x14ac:dyDescent="0.2">
      <c r="E179" s="84"/>
    </row>
    <row r="180" spans="5:5" ht="12" x14ac:dyDescent="0.2">
      <c r="E180" s="84"/>
    </row>
    <row r="181" spans="5:5" ht="12" x14ac:dyDescent="0.2">
      <c r="E181" s="84"/>
    </row>
    <row r="182" spans="5:5" ht="12" x14ac:dyDescent="0.2">
      <c r="E182" s="84"/>
    </row>
    <row r="183" spans="5:5" ht="12" x14ac:dyDescent="0.2">
      <c r="E183" s="84"/>
    </row>
    <row r="184" spans="5:5" ht="12" x14ac:dyDescent="0.2">
      <c r="E184" s="84"/>
    </row>
    <row r="185" spans="5:5" ht="12" x14ac:dyDescent="0.2">
      <c r="E185" s="84"/>
    </row>
    <row r="186" spans="5:5" ht="12" x14ac:dyDescent="0.2">
      <c r="E186" s="84"/>
    </row>
    <row r="187" spans="5:5" ht="12" x14ac:dyDescent="0.2">
      <c r="E187" s="84"/>
    </row>
    <row r="188" spans="5:5" ht="12" x14ac:dyDescent="0.2">
      <c r="E188" s="84"/>
    </row>
    <row r="189" spans="5:5" ht="12" x14ac:dyDescent="0.2">
      <c r="E189" s="84"/>
    </row>
    <row r="190" spans="5:5" ht="12" x14ac:dyDescent="0.2">
      <c r="E190" s="84"/>
    </row>
    <row r="191" spans="5:5" ht="12" x14ac:dyDescent="0.2">
      <c r="E191" s="84"/>
    </row>
    <row r="192" spans="5:5" ht="12" x14ac:dyDescent="0.2">
      <c r="E192" s="84"/>
    </row>
    <row r="193" spans="5:5" ht="12" x14ac:dyDescent="0.2">
      <c r="E193" s="84"/>
    </row>
    <row r="194" spans="5:5" ht="12" x14ac:dyDescent="0.2">
      <c r="E194" s="84"/>
    </row>
    <row r="195" spans="5:5" ht="12" x14ac:dyDescent="0.2">
      <c r="E195" s="84"/>
    </row>
    <row r="196" spans="5:5" ht="12" x14ac:dyDescent="0.2">
      <c r="E196" s="84"/>
    </row>
    <row r="197" spans="5:5" ht="12" x14ac:dyDescent="0.2">
      <c r="E197" s="84"/>
    </row>
    <row r="198" spans="5:5" ht="12" x14ac:dyDescent="0.2">
      <c r="E198" s="84"/>
    </row>
    <row r="199" spans="5:5" ht="12" x14ac:dyDescent="0.2">
      <c r="E199" s="84"/>
    </row>
    <row r="200" spans="5:5" ht="12" x14ac:dyDescent="0.2">
      <c r="E200" s="84"/>
    </row>
    <row r="201" spans="5:5" ht="12" x14ac:dyDescent="0.2">
      <c r="E201" s="84"/>
    </row>
    <row r="202" spans="5:5" ht="12" x14ac:dyDescent="0.2">
      <c r="E202" s="84"/>
    </row>
    <row r="203" spans="5:5" ht="12" x14ac:dyDescent="0.2">
      <c r="E203" s="84"/>
    </row>
    <row r="204" spans="5:5" ht="12" x14ac:dyDescent="0.2">
      <c r="E204" s="84"/>
    </row>
    <row r="205" spans="5:5" ht="12" x14ac:dyDescent="0.2">
      <c r="E205" s="84"/>
    </row>
    <row r="206" spans="5:5" ht="12" x14ac:dyDescent="0.2">
      <c r="E206" s="84"/>
    </row>
    <row r="207" spans="5:5" ht="12" x14ac:dyDescent="0.2">
      <c r="E207" s="84"/>
    </row>
    <row r="208" spans="5:5" ht="12" x14ac:dyDescent="0.2">
      <c r="E208" s="84"/>
    </row>
    <row r="209" spans="5:5" ht="12" x14ac:dyDescent="0.2">
      <c r="E209" s="84"/>
    </row>
    <row r="210" spans="5:5" ht="12" x14ac:dyDescent="0.2">
      <c r="E210" s="84"/>
    </row>
    <row r="211" spans="5:5" ht="12" x14ac:dyDescent="0.2">
      <c r="E211" s="84"/>
    </row>
    <row r="212" spans="5:5" ht="12" x14ac:dyDescent="0.2">
      <c r="E212" s="84"/>
    </row>
    <row r="213" spans="5:5" ht="12" x14ac:dyDescent="0.2">
      <c r="E213" s="84"/>
    </row>
    <row r="214" spans="5:5" ht="12" x14ac:dyDescent="0.2">
      <c r="E214" s="84"/>
    </row>
    <row r="215" spans="5:5" ht="12" x14ac:dyDescent="0.2">
      <c r="E215" s="84"/>
    </row>
    <row r="216" spans="5:5" ht="12" x14ac:dyDescent="0.2">
      <c r="E216" s="84"/>
    </row>
    <row r="217" spans="5:5" ht="12" x14ac:dyDescent="0.2">
      <c r="E217" s="84"/>
    </row>
    <row r="218" spans="5:5" ht="12" x14ac:dyDescent="0.2">
      <c r="E218" s="84"/>
    </row>
    <row r="219" spans="5:5" ht="12" x14ac:dyDescent="0.2">
      <c r="E219" s="84"/>
    </row>
    <row r="220" spans="5:5" ht="12" x14ac:dyDescent="0.2">
      <c r="E220" s="84"/>
    </row>
    <row r="221" spans="5:5" ht="12" x14ac:dyDescent="0.2">
      <c r="E221" s="84"/>
    </row>
    <row r="222" spans="5:5" ht="12" x14ac:dyDescent="0.2">
      <c r="E222" s="84"/>
    </row>
    <row r="223" spans="5:5" ht="12" x14ac:dyDescent="0.2">
      <c r="E223" s="84"/>
    </row>
    <row r="224" spans="5:5" ht="12" x14ac:dyDescent="0.2">
      <c r="E224" s="84"/>
    </row>
    <row r="225" spans="5:5" ht="12" x14ac:dyDescent="0.2">
      <c r="E225" s="84"/>
    </row>
    <row r="226" spans="5:5" ht="12" x14ac:dyDescent="0.2">
      <c r="E226" s="84"/>
    </row>
    <row r="227" spans="5:5" ht="12" x14ac:dyDescent="0.2">
      <c r="E227" s="84"/>
    </row>
    <row r="228" spans="5:5" ht="12" x14ac:dyDescent="0.2">
      <c r="E228" s="84"/>
    </row>
    <row r="229" spans="5:5" ht="12" x14ac:dyDescent="0.2">
      <c r="E229" s="84"/>
    </row>
    <row r="230" spans="5:5" ht="12" x14ac:dyDescent="0.2">
      <c r="E230" s="84"/>
    </row>
    <row r="231" spans="5:5" ht="12" x14ac:dyDescent="0.2">
      <c r="E231" s="84"/>
    </row>
    <row r="232" spans="5:5" ht="12" x14ac:dyDescent="0.2">
      <c r="E232" s="84"/>
    </row>
    <row r="233" spans="5:5" ht="12" x14ac:dyDescent="0.2">
      <c r="E233" s="84"/>
    </row>
    <row r="234" spans="5:5" ht="12" x14ac:dyDescent="0.2">
      <c r="E234" s="84"/>
    </row>
    <row r="235" spans="5:5" ht="12" x14ac:dyDescent="0.2">
      <c r="E235" s="84"/>
    </row>
    <row r="236" spans="5:5" ht="12" x14ac:dyDescent="0.2">
      <c r="E236" s="84"/>
    </row>
    <row r="237" spans="5:5" ht="12" x14ac:dyDescent="0.2">
      <c r="E237" s="84"/>
    </row>
    <row r="238" spans="5:5" ht="12" x14ac:dyDescent="0.2">
      <c r="E238" s="84"/>
    </row>
    <row r="239" spans="5:5" ht="12" x14ac:dyDescent="0.2">
      <c r="E239" s="84"/>
    </row>
    <row r="240" spans="5:5" ht="12" x14ac:dyDescent="0.2">
      <c r="E240" s="84"/>
    </row>
    <row r="241" spans="5:5" ht="12" x14ac:dyDescent="0.2">
      <c r="E241" s="84"/>
    </row>
    <row r="242" spans="5:5" ht="12" x14ac:dyDescent="0.2">
      <c r="E242" s="84"/>
    </row>
    <row r="243" spans="5:5" ht="12" x14ac:dyDescent="0.2">
      <c r="E243" s="84"/>
    </row>
    <row r="244" spans="5:5" ht="12" x14ac:dyDescent="0.2">
      <c r="E244" s="84"/>
    </row>
    <row r="245" spans="5:5" ht="12" x14ac:dyDescent="0.2">
      <c r="E245" s="84"/>
    </row>
    <row r="246" spans="5:5" ht="12" x14ac:dyDescent="0.2">
      <c r="E246" s="84"/>
    </row>
    <row r="247" spans="5:5" ht="12" x14ac:dyDescent="0.2">
      <c r="E247" s="84"/>
    </row>
    <row r="248" spans="5:5" ht="12" x14ac:dyDescent="0.2">
      <c r="E248" s="84"/>
    </row>
    <row r="249" spans="5:5" ht="12" x14ac:dyDescent="0.2">
      <c r="E249" s="84"/>
    </row>
    <row r="250" spans="5:5" ht="12" x14ac:dyDescent="0.2">
      <c r="E250" s="84"/>
    </row>
    <row r="251" spans="5:5" ht="12" x14ac:dyDescent="0.2">
      <c r="E251" s="8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20.75" style="10" customWidth="1"/>
    <col min="3" max="3" width="20.5" style="10" customWidth="1"/>
    <col min="4" max="4" width="16.875" style="10" bestFit="1" customWidth="1"/>
    <col min="5" max="5" width="12.375" style="10" customWidth="1"/>
    <col min="6" max="6" width="14.25" customWidth="1"/>
    <col min="7" max="7" width="11.6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.75" x14ac:dyDescent="0.3">
      <c r="A2" s="56" t="str">
        <f>proj</f>
        <v>Donald microgrid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.75" x14ac:dyDescent="0.3">
      <c r="A3" s="204" t="s">
        <v>224</v>
      </c>
      <c r="B3" s="5"/>
      <c r="D3" s="34"/>
      <c r="E3" s="34"/>
      <c r="F3" s="3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3" s="2" customFormat="1" ht="6.75" customHeight="1" x14ac:dyDescent="0.2">
      <c r="A4" s="115"/>
      <c r="B4" s="115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s="2" customFormat="1" hidden="1" outlineLevel="1" x14ac:dyDescent="0.2">
      <c r="A5" s="116" t="s">
        <v>198</v>
      </c>
      <c r="B5" s="116"/>
      <c r="D5" s="117"/>
      <c r="E5" s="116"/>
      <c r="F5" s="116"/>
      <c r="G5" s="101"/>
      <c r="H5" s="189">
        <f>Consol!H5</f>
        <v>0</v>
      </c>
      <c r="I5" s="189">
        <f>Consol!I5</f>
        <v>0.98294637436598087</v>
      </c>
      <c r="J5" s="189">
        <f>Consol!J5</f>
        <v>0.94970664189949849</v>
      </c>
      <c r="K5" s="189">
        <f>Consol!K5</f>
        <v>0.91759095835700344</v>
      </c>
      <c r="L5" s="189">
        <f>Consol!L5</f>
        <v>0.88656131242222558</v>
      </c>
      <c r="M5" s="189">
        <f>Consol!M5</f>
        <v>0.85658097818572532</v>
      </c>
      <c r="N5" s="189">
        <f>Consol!N5</f>
        <v>0.8276144716770294</v>
      </c>
      <c r="O5" s="189">
        <f>Consol!O5</f>
        <v>0.79962750886669509</v>
      </c>
      <c r="P5" s="189">
        <f>Consol!P5</f>
        <v>0.77258696508859437</v>
      </c>
      <c r="Q5" s="189">
        <f>Consol!Q5</f>
        <v>0.74646083583439071</v>
      </c>
      <c r="R5" s="189">
        <f>Consol!R5</f>
        <v>0.72121819887380756</v>
      </c>
      <c r="S5" s="189">
        <f>Consol!S5</f>
        <v>0.69682917765585273</v>
      </c>
      <c r="T5" s="189">
        <f>Consol!T5</f>
        <v>0.67326490594768384</v>
      </c>
      <c r="U5" s="189">
        <f>Consol!U5</f>
        <v>0.6504974936692598</v>
      </c>
      <c r="V5" s="189">
        <f>Consol!V5</f>
        <v>0.62849999388334288</v>
      </c>
      <c r="W5" s="189">
        <f>Consol!W5</f>
        <v>0.60724637090178057</v>
      </c>
      <c r="X5" s="189">
        <f>Consol!X5</f>
        <v>0.58671146947031949</v>
      </c>
      <c r="Y5" s="189">
        <f>Consol!Y5</f>
        <v>0.56687098499547783</v>
      </c>
      <c r="Z5" s="189">
        <f>Consol!Z5</f>
        <v>0.54770143477823952</v>
      </c>
      <c r="AA5" s="189">
        <f>Consol!AA5</f>
        <v>0.52918013022052135</v>
      </c>
      <c r="AB5" s="189">
        <f>Consol!AB5</f>
        <v>0.5112851499715183</v>
      </c>
      <c r="AC5" s="189">
        <f>Consol!AC5</f>
        <v>0.4939953139821433</v>
      </c>
      <c r="AD5" s="189">
        <f>Consol!AD5</f>
        <v>0.47729015843685346</v>
      </c>
      <c r="AE5" s="189">
        <f>Consol!AE5</f>
        <v>0.46114991153319179</v>
      </c>
      <c r="AF5" s="189">
        <f>Consol!AF5</f>
        <v>0.4455554700803786</v>
      </c>
      <c r="AG5" s="189">
        <f>Consol!AG5</f>
        <v>0.43048837688925473</v>
      </c>
    </row>
    <row r="6" spans="1:33" s="2" customFormat="1" hidden="1" outlineLevel="1" x14ac:dyDescent="0.2">
      <c r="A6" s="190" t="str">
        <f>'Option1 (base case)'!A6</f>
        <v>Count</v>
      </c>
      <c r="B6" s="116"/>
      <c r="D6" s="117"/>
      <c r="E6" s="116"/>
      <c r="F6" s="116"/>
      <c r="G6" s="101"/>
      <c r="H6" s="190">
        <f>Consol!H6</f>
        <v>0</v>
      </c>
      <c r="I6" s="190">
        <f>Consol!I6</f>
        <v>1</v>
      </c>
      <c r="J6" s="190">
        <f>Consol!J6</f>
        <v>2</v>
      </c>
      <c r="K6" s="190">
        <f>Consol!K6</f>
        <v>3</v>
      </c>
      <c r="L6" s="190">
        <f>Consol!L6</f>
        <v>4</v>
      </c>
      <c r="M6" s="190">
        <f>Consol!M6</f>
        <v>5</v>
      </c>
      <c r="N6" s="190">
        <f>Consol!N6</f>
        <v>6</v>
      </c>
      <c r="O6" s="190">
        <f>Consol!O6</f>
        <v>7</v>
      </c>
      <c r="P6" s="190">
        <f>Consol!P6</f>
        <v>8</v>
      </c>
      <c r="Q6" s="190">
        <f>Consol!Q6</f>
        <v>9</v>
      </c>
      <c r="R6" s="190">
        <f>Consol!R6</f>
        <v>10</v>
      </c>
      <c r="S6" s="190">
        <f>Consol!S6</f>
        <v>11</v>
      </c>
      <c r="T6" s="190">
        <f>Consol!T6</f>
        <v>12</v>
      </c>
      <c r="U6" s="190">
        <f>Consol!U6</f>
        <v>13</v>
      </c>
      <c r="V6" s="190">
        <f>Consol!V6</f>
        <v>14</v>
      </c>
      <c r="W6" s="190">
        <f>Consol!W6</f>
        <v>15</v>
      </c>
      <c r="X6" s="190">
        <f>Consol!X6</f>
        <v>16</v>
      </c>
      <c r="Y6" s="190">
        <f>Consol!Y6</f>
        <v>17</v>
      </c>
      <c r="Z6" s="190">
        <f>Consol!Z6</f>
        <v>18</v>
      </c>
      <c r="AA6" s="190">
        <f>Consol!AA6</f>
        <v>19</v>
      </c>
      <c r="AB6" s="190">
        <f>Consol!AB6</f>
        <v>20</v>
      </c>
      <c r="AC6" s="190">
        <f>Consol!AC6</f>
        <v>21</v>
      </c>
      <c r="AD6" s="190">
        <f>Consol!AD6</f>
        <v>22</v>
      </c>
      <c r="AE6" s="190">
        <f>Consol!AE6</f>
        <v>23</v>
      </c>
      <c r="AF6" s="190">
        <f>Consol!AF6</f>
        <v>24</v>
      </c>
      <c r="AG6" s="190">
        <f>Consol!AG6</f>
        <v>25</v>
      </c>
    </row>
    <row r="7" spans="1:33" s="2" customFormat="1" collapsed="1" x14ac:dyDescent="0.2">
      <c r="A7" s="116" t="s">
        <v>199</v>
      </c>
      <c r="B7" s="116"/>
      <c r="D7" s="117"/>
      <c r="E7" s="116"/>
      <c r="F7" s="116"/>
      <c r="G7" s="101"/>
      <c r="H7" s="256" t="b">
        <f>Consol!H7</f>
        <v>1</v>
      </c>
      <c r="I7" s="256" t="b">
        <f>Consol!I7</f>
        <v>1</v>
      </c>
      <c r="J7" s="256" t="b">
        <f>Consol!J7</f>
        <v>1</v>
      </c>
      <c r="K7" s="256" t="b">
        <f>Consol!K7</f>
        <v>1</v>
      </c>
      <c r="L7" s="256" t="b">
        <f>Consol!L7</f>
        <v>1</v>
      </c>
      <c r="M7" s="256" t="b">
        <f>Consol!M7</f>
        <v>1</v>
      </c>
      <c r="N7" s="256" t="b">
        <f>Consol!N7</f>
        <v>1</v>
      </c>
      <c r="O7" s="256" t="b">
        <f>Consol!O7</f>
        <v>1</v>
      </c>
      <c r="P7" s="256" t="b">
        <f>Consol!P7</f>
        <v>1</v>
      </c>
      <c r="Q7" s="256" t="b">
        <f>Consol!Q7</f>
        <v>1</v>
      </c>
      <c r="R7" s="256" t="b">
        <f>Consol!R7</f>
        <v>1</v>
      </c>
      <c r="S7" s="256" t="b">
        <f>Consol!S7</f>
        <v>1</v>
      </c>
      <c r="T7" s="256" t="b">
        <f>Consol!T7</f>
        <v>1</v>
      </c>
      <c r="U7" s="256" t="b">
        <f>Consol!U7</f>
        <v>1</v>
      </c>
      <c r="V7" s="256" t="b">
        <f>Consol!V7</f>
        <v>1</v>
      </c>
      <c r="W7" s="256" t="b">
        <f>Consol!W7</f>
        <v>1</v>
      </c>
      <c r="X7" s="256" t="b">
        <f>Consol!X7</f>
        <v>1</v>
      </c>
      <c r="Y7" s="256" t="b">
        <f>Consol!Y7</f>
        <v>1</v>
      </c>
      <c r="Z7" s="256" t="b">
        <f>Consol!Z7</f>
        <v>1</v>
      </c>
      <c r="AA7" s="256" t="b">
        <f>Consol!AA7</f>
        <v>1</v>
      </c>
      <c r="AB7" s="256" t="b">
        <f>Consol!AB7</f>
        <v>1</v>
      </c>
      <c r="AC7" s="256" t="b">
        <f>Consol!AC7</f>
        <v>1</v>
      </c>
      <c r="AD7" s="256" t="b">
        <f>Consol!AD7</f>
        <v>0</v>
      </c>
      <c r="AE7" s="256" t="b">
        <f>Consol!AE7</f>
        <v>0</v>
      </c>
      <c r="AF7" s="256" t="b">
        <f>Consol!AF7</f>
        <v>0</v>
      </c>
      <c r="AG7" s="256" t="b">
        <f>Consol!AG7</f>
        <v>0</v>
      </c>
    </row>
    <row r="8" spans="1:33" s="2" customFormat="1" ht="4.5" customHeight="1" x14ac:dyDescent="0.2"/>
    <row r="9" spans="1:33" s="2" customFormat="1" ht="15" x14ac:dyDescent="0.25">
      <c r="A9" s="19"/>
      <c r="B9" s="19"/>
      <c r="C9" s="19"/>
      <c r="D9" s="19"/>
      <c r="E9" s="19"/>
      <c r="F9" s="83"/>
      <c r="G9" s="20"/>
      <c r="H9" s="20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3" s="2" customFormat="1" x14ac:dyDescent="0.2">
      <c r="D10" s="118"/>
      <c r="E10" s="118"/>
      <c r="G10" s="222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3" s="2" customFormat="1" ht="15" x14ac:dyDescent="0.2">
      <c r="A11" s="120"/>
      <c r="B11" s="120"/>
      <c r="C11" s="120"/>
      <c r="D11" s="121"/>
      <c r="E11" s="121"/>
      <c r="F11" s="70" t="s">
        <v>157</v>
      </c>
      <c r="G11" s="223"/>
      <c r="H11" s="122" t="str" cm="1">
        <f t="array" ref="H11">IF(H6=$D$4,UPPER($A$4),IF(H6=end,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s="7" customFormat="1" x14ac:dyDescent="0.2">
      <c r="A12" s="246"/>
      <c r="B12" s="246"/>
      <c r="C12" s="246"/>
      <c r="D12" s="246"/>
      <c r="E12" s="246"/>
      <c r="F12" s="246"/>
      <c r="G12" s="247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338562.30763682723</v>
      </c>
      <c r="AA12" s="31">
        <f>Consol!AB36</f>
        <v>338586.09263704356</v>
      </c>
      <c r="AB12" s="31">
        <f>Consol!AC36</f>
        <v>338609.87763725966</v>
      </c>
      <c r="AC12" s="31">
        <f>Consol!AD36</f>
        <v>0</v>
      </c>
      <c r="AD12" s="31">
        <f>Consol!AE36</f>
        <v>0</v>
      </c>
      <c r="AE12" s="31">
        <f>Consol!AF36</f>
        <v>0</v>
      </c>
      <c r="AF12" s="31">
        <f>Consol!AG36</f>
        <v>0</v>
      </c>
      <c r="AG12" s="247"/>
    </row>
    <row r="13" spans="1:33" s="7" customFormat="1" x14ac:dyDescent="0.2">
      <c r="A13" s="246"/>
      <c r="B13" s="246"/>
      <c r="C13" s="246"/>
      <c r="D13" s="246"/>
      <c r="E13" s="246"/>
      <c r="F13" s="246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</row>
    <row r="14" spans="1:33" s="7" customFormat="1" x14ac:dyDescent="0.2">
      <c r="A14" s="254" t="s">
        <v>146</v>
      </c>
      <c r="B14" s="254" t="s">
        <v>119</v>
      </c>
      <c r="C14" s="254" t="s">
        <v>192</v>
      </c>
      <c r="D14" s="254" t="str">
        <f>A14&amp;B14</f>
        <v>OPTION 1 (base case)NPV</v>
      </c>
      <c r="E14" s="255"/>
      <c r="F14" s="31">
        <f>SUMPRODUCT($H14:$AG14, $H$5:$AG$5)</f>
        <v>0</v>
      </c>
      <c r="G14" s="247"/>
      <c r="H14" s="31">
        <f>'Option1 (base case)'!I87*conv_2026</f>
        <v>0</v>
      </c>
      <c r="I14" s="31">
        <f>'Option1 (base case)'!J87*conv_2026</f>
        <v>0</v>
      </c>
      <c r="J14" s="31">
        <f>'Option1 (base case)'!K87*conv_2026</f>
        <v>0</v>
      </c>
      <c r="K14" s="31">
        <f>'Option1 (base case)'!L87*conv_2026</f>
        <v>0</v>
      </c>
      <c r="L14" s="31">
        <f>'Option1 (base case)'!M87*conv_2026</f>
        <v>0</v>
      </c>
      <c r="M14" s="31">
        <f>'Option1 (base case)'!N87*conv_2026</f>
        <v>0</v>
      </c>
      <c r="N14" s="31">
        <f>'Option1 (base case)'!O87*conv_2026</f>
        <v>0</v>
      </c>
      <c r="O14" s="31">
        <f>'Option1 (base case)'!P87*conv_2026</f>
        <v>0</v>
      </c>
      <c r="P14" s="31">
        <f>'Option1 (base case)'!Q87*conv_2026</f>
        <v>0</v>
      </c>
      <c r="Q14" s="31">
        <f>'Option1 (base case)'!R87*conv_2026</f>
        <v>0</v>
      </c>
      <c r="R14" s="31">
        <f>'Option1 (base case)'!S87*conv_2026</f>
        <v>0</v>
      </c>
      <c r="S14" s="31">
        <f>'Option1 (base case)'!T87*conv_2026</f>
        <v>0</v>
      </c>
      <c r="T14" s="31">
        <f>'Option1 (base case)'!U87*conv_2026</f>
        <v>0</v>
      </c>
      <c r="U14" s="31">
        <f>'Option1 (base case)'!V87*conv_2026</f>
        <v>0</v>
      </c>
      <c r="V14" s="31">
        <f>'Option1 (base case)'!W87*conv_2026</f>
        <v>0</v>
      </c>
      <c r="W14" s="31">
        <f>'Option1 (base case)'!X87*conv_2026</f>
        <v>0</v>
      </c>
      <c r="X14" s="31">
        <f>'Option1 (base case)'!Y87*conv_2026</f>
        <v>0</v>
      </c>
      <c r="Y14" s="31">
        <f>'Option1 (base case)'!Z87*conv_2026</f>
        <v>0</v>
      </c>
      <c r="Z14" s="31">
        <f>'Option1 (base case)'!AA87*conv_2026</f>
        <v>0</v>
      </c>
      <c r="AA14" s="31">
        <f>'Option1 (base case)'!AB87*conv_2026</f>
        <v>0</v>
      </c>
      <c r="AB14" s="31">
        <f>'Option1 (base case)'!AC87*conv_2026</f>
        <v>0</v>
      </c>
      <c r="AC14" s="31">
        <f>'Option1 (base case)'!AD87*conv_2026</f>
        <v>0</v>
      </c>
      <c r="AD14" s="31">
        <f>'Option1 (base case)'!AE87*conv_2026</f>
        <v>0</v>
      </c>
      <c r="AE14" s="31">
        <f>'Option1 (base case)'!AF87*conv_2026</f>
        <v>0</v>
      </c>
      <c r="AF14" s="31">
        <f>'Option1 (base case)'!AG87*conv_2026</f>
        <v>0</v>
      </c>
      <c r="AG14" s="31">
        <f>'Option1 (base case)'!AH87*conv_2026</f>
        <v>0</v>
      </c>
    </row>
    <row r="15" spans="1:33" s="7" customFormat="1" x14ac:dyDescent="0.2">
      <c r="A15" s="246"/>
      <c r="B15" s="246"/>
      <c r="C15" s="246"/>
      <c r="D15" s="246"/>
      <c r="E15" s="246"/>
      <c r="F15" s="246"/>
      <c r="G15" s="247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x14ac:dyDescent="0.2">
      <c r="A16" s="254" t="s">
        <v>146</v>
      </c>
      <c r="B16" s="254" t="str">
        <f>'Option1 (base case)'!A110</f>
        <v>sens1</v>
      </c>
      <c r="C16" s="254" t="str">
        <f>'Option1 (base case)'!C110</f>
        <v>Capex 10% higher</v>
      </c>
      <c r="D16" s="254" t="str">
        <f t="shared" ref="D16:D23" si="0">A16&amp;B16</f>
        <v>OPTION 1 (base case)sens1</v>
      </c>
      <c r="E16" s="255"/>
      <c r="F16" s="31">
        <f>SUMPRODUCT($H16:$AG16, $H$5:$AG$5)</f>
        <v>0</v>
      </c>
      <c r="G16" s="247"/>
      <c r="H16" s="31">
        <f>(INDEX('Option1 (base case)'!H$106:H$117, MATCH($D16, 'Option1 (base case)'!$G$106:$G$117,0)))*conv_2026*H$7</f>
        <v>0</v>
      </c>
      <c r="I16" s="31">
        <f>(INDEX('Option1 (base case)'!I$106:I$117, MATCH($D16, 'Option1 (base case)'!$G$106:$G$117,0)))*conv_2026*I$7</f>
        <v>0</v>
      </c>
      <c r="J16" s="31">
        <f>(INDEX('Option1 (base case)'!J$106:J$117, MATCH($D16, 'Option1 (base case)'!$G$106:$G$117,0)))*conv_2026*J$7</f>
        <v>0</v>
      </c>
      <c r="K16" s="31">
        <f>(INDEX('Option1 (base case)'!K$106:K$117, MATCH($D16, 'Option1 (base case)'!$G$106:$G$117,0)))*conv_2026*K$7</f>
        <v>0</v>
      </c>
      <c r="L16" s="31">
        <f>(INDEX('Option1 (base case)'!L$106:L$117, MATCH($D16, 'Option1 (base case)'!$G$106:$G$117,0)))*conv_2026*L$7</f>
        <v>0</v>
      </c>
      <c r="M16" s="31">
        <f>(INDEX('Option1 (base case)'!M$106:M$117, MATCH($D16, 'Option1 (base case)'!$G$106:$G$117,0)))*conv_2026*M$7</f>
        <v>0</v>
      </c>
      <c r="N16" s="31">
        <f>(INDEX('Option1 (base case)'!N$106:N$117, MATCH($D16, 'Option1 (base case)'!$G$106:$G$117,0)))*conv_2026*N$7</f>
        <v>0</v>
      </c>
      <c r="O16" s="31">
        <f>(INDEX('Option1 (base case)'!O$106:O$117, MATCH($D16, 'Option1 (base case)'!$G$106:$G$117,0)))*conv_2026*O$7</f>
        <v>0</v>
      </c>
      <c r="P16" s="31">
        <f>(INDEX('Option1 (base case)'!P$106:P$117, MATCH($D16, 'Option1 (base case)'!$G$106:$G$117,0)))*conv_2026*P$7</f>
        <v>0</v>
      </c>
      <c r="Q16" s="31">
        <f>(INDEX('Option1 (base case)'!Q$106:Q$117, MATCH($D16, 'Option1 (base case)'!$G$106:$G$117,0)))*conv_2026*Q$7</f>
        <v>0</v>
      </c>
      <c r="R16" s="31">
        <f>(INDEX('Option1 (base case)'!R$106:R$117, MATCH($D16, 'Option1 (base case)'!$G$106:$G$117,0)))*conv_2026*R$7</f>
        <v>0</v>
      </c>
      <c r="S16" s="31">
        <f>(INDEX('Option1 (base case)'!S$106:S$117, MATCH($D16, 'Option1 (base case)'!$G$106:$G$117,0)))*conv_2026*S$7</f>
        <v>0</v>
      </c>
      <c r="T16" s="31">
        <f>(INDEX('Option1 (base case)'!T$106:T$117, MATCH($D16, 'Option1 (base case)'!$G$106:$G$117,0)))*conv_2026*T$7</f>
        <v>0</v>
      </c>
      <c r="U16" s="31">
        <f>(INDEX('Option1 (base case)'!U$106:U$117, MATCH($D16, 'Option1 (base case)'!$G$106:$G$117,0)))*conv_2026*U$7</f>
        <v>0</v>
      </c>
      <c r="V16" s="31">
        <f>(INDEX('Option1 (base case)'!V$106:V$117, MATCH($D16, 'Option1 (base case)'!$G$106:$G$117,0)))*conv_2026*V$7</f>
        <v>0</v>
      </c>
      <c r="W16" s="31">
        <f>(INDEX('Option1 (base case)'!W$106:W$117, MATCH($D16, 'Option1 (base case)'!$G$106:$G$117,0)))*conv_2026*W$7</f>
        <v>0</v>
      </c>
      <c r="X16" s="31">
        <f>(INDEX('Option1 (base case)'!X$106:X$117, MATCH($D16, 'Option1 (base case)'!$G$106:$G$117,0)))*conv_2026*X$7</f>
        <v>0</v>
      </c>
      <c r="Y16" s="31">
        <f>(INDEX('Option1 (base case)'!Y$106:Y$117, MATCH($D16, 'Option1 (base case)'!$G$106:$G$117,0)))*conv_2026*Y$7</f>
        <v>0</v>
      </c>
      <c r="Z16" s="31">
        <f>(INDEX('Option1 (base case)'!Z$106:Z$117, MATCH($D16, 'Option1 (base case)'!$G$106:$G$117,0)))*conv_2026*Z$7</f>
        <v>0</v>
      </c>
      <c r="AA16" s="31">
        <f>(INDEX('Option1 (base case)'!AA$106:AA$117, MATCH($D16, 'Option1 (base case)'!$G$106:$G$117,0)))*conv_2026*AA$7</f>
        <v>0</v>
      </c>
      <c r="AB16" s="31">
        <f>(INDEX('Option1 (base case)'!AB$106:AB$117, MATCH($D16, 'Option1 (base case)'!$G$106:$G$117,0)))*conv_2026*AB$7</f>
        <v>0</v>
      </c>
      <c r="AC16" s="31">
        <f>(INDEX('Option1 (base case)'!AC$106:AC$117, MATCH($D16, 'Option1 (base case)'!$G$106:$G$117,0)))*conv_2026*AC$7</f>
        <v>0</v>
      </c>
      <c r="AD16" s="31">
        <f>(INDEX('Option1 (base case)'!AD$106:AD$117, MATCH($D16, 'Option1 (base case)'!$G$106:$G$117,0)))*conv_2026*AD$7</f>
        <v>0</v>
      </c>
      <c r="AE16" s="31">
        <f>(INDEX('Option1 (base case)'!AE$106:AE$117, MATCH($D16, 'Option1 (base case)'!$G$106:$G$117,0)))*conv_2026*AE$7</f>
        <v>0</v>
      </c>
      <c r="AF16" s="31">
        <f>(INDEX('Option1 (base case)'!AF$106:AF$117, MATCH($D16, 'Option1 (base case)'!$G$106:$G$117,0)))*conv_2026*AF$7</f>
        <v>0</v>
      </c>
      <c r="AG16" s="31">
        <f>(INDEX('Option1 (base case)'!AG$106:AG$117, MATCH($D16, 'Option1 (base case)'!$G$106:$G$117,0)))*conv_2026*AG$7</f>
        <v>0</v>
      </c>
    </row>
    <row r="17" spans="1:35" s="7" customFormat="1" x14ac:dyDescent="0.2">
      <c r="A17" s="254" t="s">
        <v>146</v>
      </c>
      <c r="B17" s="254" t="str">
        <f>'Option1 (base case)'!A111</f>
        <v>sens2</v>
      </c>
      <c r="C17" s="254" t="str">
        <f>'Option1 (base case)'!C111</f>
        <v>Capex 10% lower</v>
      </c>
      <c r="D17" s="254" t="str">
        <f t="shared" si="0"/>
        <v>OPTION 1 (base case)sens2</v>
      </c>
      <c r="E17" s="255"/>
      <c r="F17" s="31">
        <f t="shared" ref="F17:F23" si="1">SUMPRODUCT($H17:$AG17, $H$5:$AG$5)</f>
        <v>0</v>
      </c>
      <c r="G17" s="254"/>
      <c r="H17" s="31">
        <f>(INDEX('Option1 (base case)'!H$106:H$117, MATCH($D17, 'Option1 (base case)'!$G$106:$G$117,0)))*conv_2026*H$7</f>
        <v>0</v>
      </c>
      <c r="I17" s="31">
        <f>(INDEX('Option1 (base case)'!I$106:I$117, MATCH($D17, 'Option1 (base case)'!$G$106:$G$117,0)))*conv_2026*I$7</f>
        <v>0</v>
      </c>
      <c r="J17" s="31">
        <f>(INDEX('Option1 (base case)'!J$106:J$117, MATCH($D17, 'Option1 (base case)'!$G$106:$G$117,0)))*conv_2026*J$7</f>
        <v>0</v>
      </c>
      <c r="K17" s="31">
        <f>(INDEX('Option1 (base case)'!K$106:K$117, MATCH($D17, 'Option1 (base case)'!$G$106:$G$117,0)))*conv_2026*K$7</f>
        <v>0</v>
      </c>
      <c r="L17" s="31">
        <f>(INDEX('Option1 (base case)'!L$106:L$117, MATCH($D17, 'Option1 (base case)'!$G$106:$G$117,0)))*conv_2026*L$7</f>
        <v>0</v>
      </c>
      <c r="M17" s="31">
        <f>(INDEX('Option1 (base case)'!M$106:M$117, MATCH($D17, 'Option1 (base case)'!$G$106:$G$117,0)))*conv_2026*M$7</f>
        <v>0</v>
      </c>
      <c r="N17" s="31">
        <f>(INDEX('Option1 (base case)'!N$106:N$117, MATCH($D17, 'Option1 (base case)'!$G$106:$G$117,0)))*conv_2026*N$7</f>
        <v>0</v>
      </c>
      <c r="O17" s="31">
        <f>(INDEX('Option1 (base case)'!O$106:O$117, MATCH($D17, 'Option1 (base case)'!$G$106:$G$117,0)))*conv_2026*O$7</f>
        <v>0</v>
      </c>
      <c r="P17" s="31">
        <f>(INDEX('Option1 (base case)'!P$106:P$117, MATCH($D17, 'Option1 (base case)'!$G$106:$G$117,0)))*conv_2026*P$7</f>
        <v>0</v>
      </c>
      <c r="Q17" s="31">
        <f>(INDEX('Option1 (base case)'!Q$106:Q$117, MATCH($D17, 'Option1 (base case)'!$G$106:$G$117,0)))*conv_2026*Q$7</f>
        <v>0</v>
      </c>
      <c r="R17" s="31">
        <f>(INDEX('Option1 (base case)'!R$106:R$117, MATCH($D17, 'Option1 (base case)'!$G$106:$G$117,0)))*conv_2026*R$7</f>
        <v>0</v>
      </c>
      <c r="S17" s="31">
        <f>(INDEX('Option1 (base case)'!S$106:S$117, MATCH($D17, 'Option1 (base case)'!$G$106:$G$117,0)))*conv_2026*S$7</f>
        <v>0</v>
      </c>
      <c r="T17" s="31">
        <f>(INDEX('Option1 (base case)'!T$106:T$117, MATCH($D17, 'Option1 (base case)'!$G$106:$G$117,0)))*conv_2026*T$7</f>
        <v>0</v>
      </c>
      <c r="U17" s="31">
        <f>(INDEX('Option1 (base case)'!U$106:U$117, MATCH($D17, 'Option1 (base case)'!$G$106:$G$117,0)))*conv_2026*U$7</f>
        <v>0</v>
      </c>
      <c r="V17" s="31">
        <f>(INDEX('Option1 (base case)'!V$106:V$117, MATCH($D17, 'Option1 (base case)'!$G$106:$G$117,0)))*conv_2026*V$7</f>
        <v>0</v>
      </c>
      <c r="W17" s="31">
        <f>(INDEX('Option1 (base case)'!W$106:W$117, MATCH($D17, 'Option1 (base case)'!$G$106:$G$117,0)))*conv_2026*W$7</f>
        <v>0</v>
      </c>
      <c r="X17" s="31">
        <f>(INDEX('Option1 (base case)'!X$106:X$117, MATCH($D17, 'Option1 (base case)'!$G$106:$G$117,0)))*conv_2026*X$7</f>
        <v>0</v>
      </c>
      <c r="Y17" s="31">
        <f>(INDEX('Option1 (base case)'!Y$106:Y$117, MATCH($D17, 'Option1 (base case)'!$G$106:$G$117,0)))*conv_2026*Y$7</f>
        <v>0</v>
      </c>
      <c r="Z17" s="31">
        <f>(INDEX('Option1 (base case)'!Z$106:Z$117, MATCH($D17, 'Option1 (base case)'!$G$106:$G$117,0)))*conv_2026*Z$7</f>
        <v>0</v>
      </c>
      <c r="AA17" s="31">
        <f>(INDEX('Option1 (base case)'!AA$106:AA$117, MATCH($D17, 'Option1 (base case)'!$G$106:$G$117,0)))*conv_2026*AA$7</f>
        <v>0</v>
      </c>
      <c r="AB17" s="31">
        <f>(INDEX('Option1 (base case)'!AB$106:AB$117, MATCH($D17, 'Option1 (base case)'!$G$106:$G$117,0)))*conv_2026*AB$7</f>
        <v>0</v>
      </c>
      <c r="AC17" s="31">
        <f>(INDEX('Option1 (base case)'!AC$106:AC$117, MATCH($D17, 'Option1 (base case)'!$G$106:$G$117,0)))*conv_2026*AC$7</f>
        <v>0</v>
      </c>
      <c r="AD17" s="31">
        <f>(INDEX('Option1 (base case)'!AD$106:AD$117, MATCH($D17, 'Option1 (base case)'!$G$106:$G$117,0)))*conv_2026*AD$7</f>
        <v>0</v>
      </c>
      <c r="AE17" s="31">
        <f>(INDEX('Option1 (base case)'!AE$106:AE$117, MATCH($D17, 'Option1 (base case)'!$G$106:$G$117,0)))*conv_2026*AE$7</f>
        <v>0</v>
      </c>
      <c r="AF17" s="31">
        <f>(INDEX('Option1 (base case)'!AF$106:AF$117, MATCH($D17, 'Option1 (base case)'!$G$106:$G$117,0)))*conv_2026*AF$7</f>
        <v>0</v>
      </c>
      <c r="AG17" s="31">
        <f>(INDEX('Option1 (base case)'!AG$106:AG$117, MATCH($D17, 'Option1 (base case)'!$G$106:$G$117,0)))*conv_2026*AG$7</f>
        <v>0</v>
      </c>
      <c r="AH17" s="8"/>
      <c r="AI17" s="8"/>
    </row>
    <row r="18" spans="1:35" s="7" customFormat="1" x14ac:dyDescent="0.2">
      <c r="A18" s="254" t="s">
        <v>146</v>
      </c>
      <c r="B18" s="254" t="str">
        <f>'Option1 (base case)'!A112</f>
        <v>sens3</v>
      </c>
      <c r="C18" s="254" t="str">
        <f>'Option1 (base case)'!C112</f>
        <v>Increasing wind escalation</v>
      </c>
      <c r="D18" s="254" t="str">
        <f t="shared" si="0"/>
        <v>OPTION 1 (base case)sens3</v>
      </c>
      <c r="E18" s="255"/>
      <c r="F18" s="31">
        <f t="shared" si="1"/>
        <v>0</v>
      </c>
      <c r="G18" s="8"/>
      <c r="H18" s="31">
        <f>(INDEX('Option1 (base case)'!H$106:H$117, MATCH($D18, 'Option1 (base case)'!$G$106:$G$117,0)))*conv_2026*H$7</f>
        <v>0</v>
      </c>
      <c r="I18" s="31">
        <f>(INDEX('Option1 (base case)'!I$106:I$117, MATCH($D18, 'Option1 (base case)'!$G$106:$G$117,0)))*conv_2026*I$7</f>
        <v>0</v>
      </c>
      <c r="J18" s="31">
        <f>(INDEX('Option1 (base case)'!J$106:J$117, MATCH($D18, 'Option1 (base case)'!$G$106:$G$117,0)))*conv_2026*J$7</f>
        <v>0</v>
      </c>
      <c r="K18" s="31">
        <f>(INDEX('Option1 (base case)'!K$106:K$117, MATCH($D18, 'Option1 (base case)'!$G$106:$G$117,0)))*conv_2026*K$7</f>
        <v>0</v>
      </c>
      <c r="L18" s="31">
        <f>(INDEX('Option1 (base case)'!L$106:L$117, MATCH($D18, 'Option1 (base case)'!$G$106:$G$117,0)))*conv_2026*L$7</f>
        <v>0</v>
      </c>
      <c r="M18" s="31">
        <f>(INDEX('Option1 (base case)'!M$106:M$117, MATCH($D18, 'Option1 (base case)'!$G$106:$G$117,0)))*conv_2026*M$7</f>
        <v>0</v>
      </c>
      <c r="N18" s="31">
        <f>(INDEX('Option1 (base case)'!N$106:N$117, MATCH($D18, 'Option1 (base case)'!$G$106:$G$117,0)))*conv_2026*N$7</f>
        <v>0</v>
      </c>
      <c r="O18" s="31">
        <f>(INDEX('Option1 (base case)'!O$106:O$117, MATCH($D18, 'Option1 (base case)'!$G$106:$G$117,0)))*conv_2026*O$7</f>
        <v>0</v>
      </c>
      <c r="P18" s="31">
        <f>(INDEX('Option1 (base case)'!P$106:P$117, MATCH($D18, 'Option1 (base case)'!$G$106:$G$117,0)))*conv_2026*P$7</f>
        <v>0</v>
      </c>
      <c r="Q18" s="31">
        <f>(INDEX('Option1 (base case)'!Q$106:Q$117, MATCH($D18, 'Option1 (base case)'!$G$106:$G$117,0)))*conv_2026*Q$7</f>
        <v>0</v>
      </c>
      <c r="R18" s="31">
        <f>(INDEX('Option1 (base case)'!R$106:R$117, MATCH($D18, 'Option1 (base case)'!$G$106:$G$117,0)))*conv_2026*R$7</f>
        <v>0</v>
      </c>
      <c r="S18" s="31">
        <f>(INDEX('Option1 (base case)'!S$106:S$117, MATCH($D18, 'Option1 (base case)'!$G$106:$G$117,0)))*conv_2026*S$7</f>
        <v>0</v>
      </c>
      <c r="T18" s="31">
        <f>(INDEX('Option1 (base case)'!T$106:T$117, MATCH($D18, 'Option1 (base case)'!$G$106:$G$117,0)))*conv_2026*T$7</f>
        <v>0</v>
      </c>
      <c r="U18" s="31">
        <f>(INDEX('Option1 (base case)'!U$106:U$117, MATCH($D18, 'Option1 (base case)'!$G$106:$G$117,0)))*conv_2026*U$7</f>
        <v>0</v>
      </c>
      <c r="V18" s="31">
        <f>(INDEX('Option1 (base case)'!V$106:V$117, MATCH($D18, 'Option1 (base case)'!$G$106:$G$117,0)))*conv_2026*V$7</f>
        <v>0</v>
      </c>
      <c r="W18" s="31">
        <f>(INDEX('Option1 (base case)'!W$106:W$117, MATCH($D18, 'Option1 (base case)'!$G$106:$G$117,0)))*conv_2026*W$7</f>
        <v>0</v>
      </c>
      <c r="X18" s="31">
        <f>(INDEX('Option1 (base case)'!X$106:X$117, MATCH($D18, 'Option1 (base case)'!$G$106:$G$117,0)))*conv_2026*X$7</f>
        <v>0</v>
      </c>
      <c r="Y18" s="31">
        <f>(INDEX('Option1 (base case)'!Y$106:Y$117, MATCH($D18, 'Option1 (base case)'!$G$106:$G$117,0)))*conv_2026*Y$7</f>
        <v>0</v>
      </c>
      <c r="Z18" s="31">
        <f>(INDEX('Option1 (base case)'!Z$106:Z$117, MATCH($D18, 'Option1 (base case)'!$G$106:$G$117,0)))*conv_2026*Z$7</f>
        <v>0</v>
      </c>
      <c r="AA18" s="31">
        <f>(INDEX('Option1 (base case)'!AA$106:AA$117, MATCH($D18, 'Option1 (base case)'!$G$106:$G$117,0)))*conv_2026*AA$7</f>
        <v>0</v>
      </c>
      <c r="AB18" s="31">
        <f>(INDEX('Option1 (base case)'!AB$106:AB$117, MATCH($D18, 'Option1 (base case)'!$G$106:$G$117,0)))*conv_2026*AB$7</f>
        <v>0</v>
      </c>
      <c r="AC18" s="31">
        <f>(INDEX('Option1 (base case)'!AC$106:AC$117, MATCH($D18, 'Option1 (base case)'!$G$106:$G$117,0)))*conv_2026*AC$7</f>
        <v>0</v>
      </c>
      <c r="AD18" s="31">
        <f>(INDEX('Option1 (base case)'!AD$106:AD$117, MATCH($D18, 'Option1 (base case)'!$G$106:$G$117,0)))*conv_2026*AD$7</f>
        <v>0</v>
      </c>
      <c r="AE18" s="31">
        <f>(INDEX('Option1 (base case)'!AE$106:AE$117, MATCH($D18, 'Option1 (base case)'!$G$106:$G$117,0)))*conv_2026*AE$7</f>
        <v>0</v>
      </c>
      <c r="AF18" s="31">
        <f>(INDEX('Option1 (base case)'!AF$106:AF$117, MATCH($D18, 'Option1 (base case)'!$G$106:$G$117,0)))*conv_2026*AF$7</f>
        <v>0</v>
      </c>
      <c r="AG18" s="31">
        <f>(INDEX('Option1 (base case)'!AG$106:AG$117, MATCH($D18, 'Option1 (base case)'!$G$106:$G$117,0)))*conv_2026*AG$7</f>
        <v>0</v>
      </c>
      <c r="AH18" s="8"/>
      <c r="AI18" s="8"/>
    </row>
    <row r="19" spans="1:35" s="7" customFormat="1" x14ac:dyDescent="0.2">
      <c r="A19" s="254" t="s">
        <v>146</v>
      </c>
      <c r="B19" s="254" t="str">
        <f>'Option1 (base case)'!A113</f>
        <v>sens4</v>
      </c>
      <c r="C19" s="254" t="str">
        <f>'Option1 (base case)'!C113</f>
        <v/>
      </c>
      <c r="D19" s="254" t="str">
        <f t="shared" si="0"/>
        <v>OPTION 1 (base case)sens4</v>
      </c>
      <c r="E19" s="255"/>
      <c r="F19" s="31">
        <f t="shared" si="1"/>
        <v>0</v>
      </c>
      <c r="G19" s="8"/>
      <c r="H19" s="31">
        <f>(INDEX('Option1 (base case)'!H$106:H$117, MATCH($D19, 'Option1 (base case)'!$G$106:$G$117,0)))*conv_2026*H$7</f>
        <v>0</v>
      </c>
      <c r="I19" s="31">
        <f>(INDEX('Option1 (base case)'!I$106:I$117, MATCH($D19, 'Option1 (base case)'!$G$106:$G$117,0)))*conv_2026*I$7</f>
        <v>0</v>
      </c>
      <c r="J19" s="31">
        <f>(INDEX('Option1 (base case)'!J$106:J$117, MATCH($D19, 'Option1 (base case)'!$G$106:$G$117,0)))*conv_2026*J$7</f>
        <v>0</v>
      </c>
      <c r="K19" s="31">
        <f>(INDEX('Option1 (base case)'!K$106:K$117, MATCH($D19, 'Option1 (base case)'!$G$106:$G$117,0)))*conv_2026*K$7</f>
        <v>0</v>
      </c>
      <c r="L19" s="31">
        <f>(INDEX('Option1 (base case)'!L$106:L$117, MATCH($D19, 'Option1 (base case)'!$G$106:$G$117,0)))*conv_2026*L$7</f>
        <v>0</v>
      </c>
      <c r="M19" s="31">
        <f>(INDEX('Option1 (base case)'!M$106:M$117, MATCH($D19, 'Option1 (base case)'!$G$106:$G$117,0)))*conv_2026*M$7</f>
        <v>0</v>
      </c>
      <c r="N19" s="31">
        <f>(INDEX('Option1 (base case)'!N$106:N$117, MATCH($D19, 'Option1 (base case)'!$G$106:$G$117,0)))*conv_2026*N$7</f>
        <v>0</v>
      </c>
      <c r="O19" s="31">
        <f>(INDEX('Option1 (base case)'!O$106:O$117, MATCH($D19, 'Option1 (base case)'!$G$106:$G$117,0)))*conv_2026*O$7</f>
        <v>0</v>
      </c>
      <c r="P19" s="31">
        <f>(INDEX('Option1 (base case)'!P$106:P$117, MATCH($D19, 'Option1 (base case)'!$G$106:$G$117,0)))*conv_2026*P$7</f>
        <v>0</v>
      </c>
      <c r="Q19" s="31">
        <f>(INDEX('Option1 (base case)'!Q$106:Q$117, MATCH($D19, 'Option1 (base case)'!$G$106:$G$117,0)))*conv_2026*Q$7</f>
        <v>0</v>
      </c>
      <c r="R19" s="31">
        <f>(INDEX('Option1 (base case)'!R$106:R$117, MATCH($D19, 'Option1 (base case)'!$G$106:$G$117,0)))*conv_2026*R$7</f>
        <v>0</v>
      </c>
      <c r="S19" s="31">
        <f>(INDEX('Option1 (base case)'!S$106:S$117, MATCH($D19, 'Option1 (base case)'!$G$106:$G$117,0)))*conv_2026*S$7</f>
        <v>0</v>
      </c>
      <c r="T19" s="31">
        <f>(INDEX('Option1 (base case)'!T$106:T$117, MATCH($D19, 'Option1 (base case)'!$G$106:$G$117,0)))*conv_2026*T$7</f>
        <v>0</v>
      </c>
      <c r="U19" s="31">
        <f>(INDEX('Option1 (base case)'!U$106:U$117, MATCH($D19, 'Option1 (base case)'!$G$106:$G$117,0)))*conv_2026*U$7</f>
        <v>0</v>
      </c>
      <c r="V19" s="31">
        <f>(INDEX('Option1 (base case)'!V$106:V$117, MATCH($D19, 'Option1 (base case)'!$G$106:$G$117,0)))*conv_2026*V$7</f>
        <v>0</v>
      </c>
      <c r="W19" s="31">
        <f>(INDEX('Option1 (base case)'!W$106:W$117, MATCH($D19, 'Option1 (base case)'!$G$106:$G$117,0)))*conv_2026*W$7</f>
        <v>0</v>
      </c>
      <c r="X19" s="31">
        <f>(INDEX('Option1 (base case)'!X$106:X$117, MATCH($D19, 'Option1 (base case)'!$G$106:$G$117,0)))*conv_2026*X$7</f>
        <v>0</v>
      </c>
      <c r="Y19" s="31">
        <f>(INDEX('Option1 (base case)'!Y$106:Y$117, MATCH($D19, 'Option1 (base case)'!$G$106:$G$117,0)))*conv_2026*Y$7</f>
        <v>0</v>
      </c>
      <c r="Z19" s="31">
        <f>(INDEX('Option1 (base case)'!Z$106:Z$117, MATCH($D19, 'Option1 (base case)'!$G$106:$G$117,0)))*conv_2026*Z$7</f>
        <v>0</v>
      </c>
      <c r="AA19" s="31">
        <f>(INDEX('Option1 (base case)'!AA$106:AA$117, MATCH($D19, 'Option1 (base case)'!$G$106:$G$117,0)))*conv_2026*AA$7</f>
        <v>0</v>
      </c>
      <c r="AB19" s="31">
        <f>(INDEX('Option1 (base case)'!AB$106:AB$117, MATCH($D19, 'Option1 (base case)'!$G$106:$G$117,0)))*conv_2026*AB$7</f>
        <v>0</v>
      </c>
      <c r="AC19" s="31">
        <f>(INDEX('Option1 (base case)'!AC$106:AC$117, MATCH($D19, 'Option1 (base case)'!$G$106:$G$117,0)))*conv_2026*AC$7</f>
        <v>0</v>
      </c>
      <c r="AD19" s="31">
        <f>(INDEX('Option1 (base case)'!AD$106:AD$117, MATCH($D19, 'Option1 (base case)'!$G$106:$G$117,0)))*conv_2026*AD$7</f>
        <v>0</v>
      </c>
      <c r="AE19" s="31">
        <f>(INDEX('Option1 (base case)'!AE$106:AE$117, MATCH($D19, 'Option1 (base case)'!$G$106:$G$117,0)))*conv_2026*AE$7</f>
        <v>0</v>
      </c>
      <c r="AF19" s="31">
        <f>(INDEX('Option1 (base case)'!AF$106:AF$117, MATCH($D19, 'Option1 (base case)'!$G$106:$G$117,0)))*conv_2026*AF$7</f>
        <v>0</v>
      </c>
      <c r="AG19" s="31">
        <f>(INDEX('Option1 (base case)'!AG$106:AG$117, MATCH($D19, 'Option1 (base case)'!$G$106:$G$117,0)))*conv_2026*AG$7</f>
        <v>0</v>
      </c>
      <c r="AH19" s="8"/>
      <c r="AI19" s="8"/>
    </row>
    <row r="20" spans="1:35" s="7" customFormat="1" x14ac:dyDescent="0.2">
      <c r="A20" s="254" t="s">
        <v>146</v>
      </c>
      <c r="B20" s="254" t="str">
        <f>'Option1 (base case)'!A114</f>
        <v>sens5</v>
      </c>
      <c r="C20" s="254" t="str">
        <f>'Option1 (base case)'!C114</f>
        <v/>
      </c>
      <c r="D20" s="254" t="str">
        <f t="shared" si="0"/>
        <v>OPTION 1 (base case)sens5</v>
      </c>
      <c r="E20" s="255"/>
      <c r="F20" s="31">
        <f t="shared" si="1"/>
        <v>0</v>
      </c>
      <c r="G20" s="8"/>
      <c r="H20" s="31">
        <f>(INDEX('Option1 (base case)'!H$106:H$117, MATCH($D20, 'Option1 (base case)'!$G$106:$G$117,0)))*conv_2026*H$7</f>
        <v>0</v>
      </c>
      <c r="I20" s="31">
        <f>(INDEX('Option1 (base case)'!I$106:I$117, MATCH($D20, 'Option1 (base case)'!$G$106:$G$117,0)))*conv_2026*I$7</f>
        <v>0</v>
      </c>
      <c r="J20" s="31">
        <f>(INDEX('Option1 (base case)'!J$106:J$117, MATCH($D20, 'Option1 (base case)'!$G$106:$G$117,0)))*conv_2026*J$7</f>
        <v>0</v>
      </c>
      <c r="K20" s="31">
        <f>(INDEX('Option1 (base case)'!K$106:K$117, MATCH($D20, 'Option1 (base case)'!$G$106:$G$117,0)))*conv_2026*K$7</f>
        <v>0</v>
      </c>
      <c r="L20" s="31">
        <f>(INDEX('Option1 (base case)'!L$106:L$117, MATCH($D20, 'Option1 (base case)'!$G$106:$G$117,0)))*conv_2026*L$7</f>
        <v>0</v>
      </c>
      <c r="M20" s="31">
        <f>(INDEX('Option1 (base case)'!M$106:M$117, MATCH($D20, 'Option1 (base case)'!$G$106:$G$117,0)))*conv_2026*M$7</f>
        <v>0</v>
      </c>
      <c r="N20" s="31">
        <f>(INDEX('Option1 (base case)'!N$106:N$117, MATCH($D20, 'Option1 (base case)'!$G$106:$G$117,0)))*conv_2026*N$7</f>
        <v>0</v>
      </c>
      <c r="O20" s="31">
        <f>(INDEX('Option1 (base case)'!O$106:O$117, MATCH($D20, 'Option1 (base case)'!$G$106:$G$117,0)))*conv_2026*O$7</f>
        <v>0</v>
      </c>
      <c r="P20" s="31">
        <f>(INDEX('Option1 (base case)'!P$106:P$117, MATCH($D20, 'Option1 (base case)'!$G$106:$G$117,0)))*conv_2026*P$7</f>
        <v>0</v>
      </c>
      <c r="Q20" s="31">
        <f>(INDEX('Option1 (base case)'!Q$106:Q$117, MATCH($D20, 'Option1 (base case)'!$G$106:$G$117,0)))*conv_2026*Q$7</f>
        <v>0</v>
      </c>
      <c r="R20" s="31">
        <f>(INDEX('Option1 (base case)'!R$106:R$117, MATCH($D20, 'Option1 (base case)'!$G$106:$G$117,0)))*conv_2026*R$7</f>
        <v>0</v>
      </c>
      <c r="S20" s="31">
        <f>(INDEX('Option1 (base case)'!S$106:S$117, MATCH($D20, 'Option1 (base case)'!$G$106:$G$117,0)))*conv_2026*S$7</f>
        <v>0</v>
      </c>
      <c r="T20" s="31">
        <f>(INDEX('Option1 (base case)'!T$106:T$117, MATCH($D20, 'Option1 (base case)'!$G$106:$G$117,0)))*conv_2026*T$7</f>
        <v>0</v>
      </c>
      <c r="U20" s="31">
        <f>(INDEX('Option1 (base case)'!U$106:U$117, MATCH($D20, 'Option1 (base case)'!$G$106:$G$117,0)))*conv_2026*U$7</f>
        <v>0</v>
      </c>
      <c r="V20" s="31">
        <f>(INDEX('Option1 (base case)'!V$106:V$117, MATCH($D20, 'Option1 (base case)'!$G$106:$G$117,0)))*conv_2026*V$7</f>
        <v>0</v>
      </c>
      <c r="W20" s="31">
        <f>(INDEX('Option1 (base case)'!W$106:W$117, MATCH($D20, 'Option1 (base case)'!$G$106:$G$117,0)))*conv_2026*W$7</f>
        <v>0</v>
      </c>
      <c r="X20" s="31">
        <f>(INDEX('Option1 (base case)'!X$106:X$117, MATCH($D20, 'Option1 (base case)'!$G$106:$G$117,0)))*conv_2026*X$7</f>
        <v>0</v>
      </c>
      <c r="Y20" s="31">
        <f>(INDEX('Option1 (base case)'!Y$106:Y$117, MATCH($D20, 'Option1 (base case)'!$G$106:$G$117,0)))*conv_2026*Y$7</f>
        <v>0</v>
      </c>
      <c r="Z20" s="31">
        <f>(INDEX('Option1 (base case)'!Z$106:Z$117, MATCH($D20, 'Option1 (base case)'!$G$106:$G$117,0)))*conv_2026*Z$7</f>
        <v>0</v>
      </c>
      <c r="AA20" s="31">
        <f>(INDEX('Option1 (base case)'!AA$106:AA$117, MATCH($D20, 'Option1 (base case)'!$G$106:$G$117,0)))*conv_2026*AA$7</f>
        <v>0</v>
      </c>
      <c r="AB20" s="31">
        <f>(INDEX('Option1 (base case)'!AB$106:AB$117, MATCH($D20, 'Option1 (base case)'!$G$106:$G$117,0)))*conv_2026*AB$7</f>
        <v>0</v>
      </c>
      <c r="AC20" s="31">
        <f>(INDEX('Option1 (base case)'!AC$106:AC$117, MATCH($D20, 'Option1 (base case)'!$G$106:$G$117,0)))*conv_2026*AC$7</f>
        <v>0</v>
      </c>
      <c r="AD20" s="31">
        <f>(INDEX('Option1 (base case)'!AD$106:AD$117, MATCH($D20, 'Option1 (base case)'!$G$106:$G$117,0)))*conv_2026*AD$7</f>
        <v>0</v>
      </c>
      <c r="AE20" s="31">
        <f>(INDEX('Option1 (base case)'!AE$106:AE$117, MATCH($D20, 'Option1 (base case)'!$G$106:$G$117,0)))*conv_2026*AE$7</f>
        <v>0</v>
      </c>
      <c r="AF20" s="31">
        <f>(INDEX('Option1 (base case)'!AF$106:AF$117, MATCH($D20, 'Option1 (base case)'!$G$106:$G$117,0)))*conv_2026*AF$7</f>
        <v>0</v>
      </c>
      <c r="AG20" s="31">
        <f>(INDEX('Option1 (base case)'!AG$106:AG$117, MATCH($D20, 'Option1 (base case)'!$G$106:$G$117,0)))*conv_2026*AG$7</f>
        <v>0</v>
      </c>
      <c r="AH20" s="8"/>
      <c r="AI20" s="8"/>
    </row>
    <row r="21" spans="1:35" s="7" customFormat="1" x14ac:dyDescent="0.2">
      <c r="A21" s="254" t="s">
        <v>146</v>
      </c>
      <c r="B21" s="254" t="str">
        <f>'Option1 (base case)'!A115</f>
        <v>sens</v>
      </c>
      <c r="C21" s="254">
        <f>'Option1 (base case)'!C115</f>
        <v>0</v>
      </c>
      <c r="D21" s="254" t="str">
        <f t="shared" si="0"/>
        <v>OPTION 1 (base case)sens</v>
      </c>
      <c r="E21" s="255"/>
      <c r="F21" s="31">
        <f t="shared" si="1"/>
        <v>0</v>
      </c>
      <c r="G21" s="8"/>
      <c r="H21" s="31">
        <f>(INDEX('Option1 (base case)'!H$106:H$117, MATCH($D21, 'Option1 (base case)'!$G$106:$G$117,0)))*conv_2026*H$7</f>
        <v>0</v>
      </c>
      <c r="I21" s="31">
        <f>(INDEX('Option1 (base case)'!I$106:I$117, MATCH($D21, 'Option1 (base case)'!$G$106:$G$117,0)))*conv_2026*I$7</f>
        <v>0</v>
      </c>
      <c r="J21" s="31">
        <f>(INDEX('Option1 (base case)'!J$106:J$117, MATCH($D21, 'Option1 (base case)'!$G$106:$G$117,0)))*conv_2026*J$7</f>
        <v>0</v>
      </c>
      <c r="K21" s="31">
        <f>(INDEX('Option1 (base case)'!K$106:K$117, MATCH($D21, 'Option1 (base case)'!$G$106:$G$117,0)))*conv_2026*K$7</f>
        <v>0</v>
      </c>
      <c r="L21" s="31">
        <f>(INDEX('Option1 (base case)'!L$106:L$117, MATCH($D21, 'Option1 (base case)'!$G$106:$G$117,0)))*conv_2026*L$7</f>
        <v>0</v>
      </c>
      <c r="M21" s="31">
        <f>(INDEX('Option1 (base case)'!M$106:M$117, MATCH($D21, 'Option1 (base case)'!$G$106:$G$117,0)))*conv_2026*M$7</f>
        <v>0</v>
      </c>
      <c r="N21" s="31">
        <f>(INDEX('Option1 (base case)'!N$106:N$117, MATCH($D21, 'Option1 (base case)'!$G$106:$G$117,0)))*conv_2026*N$7</f>
        <v>0</v>
      </c>
      <c r="O21" s="31">
        <f>(INDEX('Option1 (base case)'!O$106:O$117, MATCH($D21, 'Option1 (base case)'!$G$106:$G$117,0)))*conv_2026*O$7</f>
        <v>0</v>
      </c>
      <c r="P21" s="31">
        <f>(INDEX('Option1 (base case)'!P$106:P$117, MATCH($D21, 'Option1 (base case)'!$G$106:$G$117,0)))*conv_2026*P$7</f>
        <v>0</v>
      </c>
      <c r="Q21" s="31">
        <f>(INDEX('Option1 (base case)'!Q$106:Q$117, MATCH($D21, 'Option1 (base case)'!$G$106:$G$117,0)))*conv_2026*Q$7</f>
        <v>0</v>
      </c>
      <c r="R21" s="31">
        <f>(INDEX('Option1 (base case)'!R$106:R$117, MATCH($D21, 'Option1 (base case)'!$G$106:$G$117,0)))*conv_2026*R$7</f>
        <v>0</v>
      </c>
      <c r="S21" s="31">
        <f>(INDEX('Option1 (base case)'!S$106:S$117, MATCH($D21, 'Option1 (base case)'!$G$106:$G$117,0)))*conv_2026*S$7</f>
        <v>0</v>
      </c>
      <c r="T21" s="31">
        <f>(INDEX('Option1 (base case)'!T$106:T$117, MATCH($D21, 'Option1 (base case)'!$G$106:$G$117,0)))*conv_2026*T$7</f>
        <v>0</v>
      </c>
      <c r="U21" s="31">
        <f>(INDEX('Option1 (base case)'!U$106:U$117, MATCH($D21, 'Option1 (base case)'!$G$106:$G$117,0)))*conv_2026*U$7</f>
        <v>0</v>
      </c>
      <c r="V21" s="31">
        <f>(INDEX('Option1 (base case)'!V$106:V$117, MATCH($D21, 'Option1 (base case)'!$G$106:$G$117,0)))*conv_2026*V$7</f>
        <v>0</v>
      </c>
      <c r="W21" s="31">
        <f>(INDEX('Option1 (base case)'!W$106:W$117, MATCH($D21, 'Option1 (base case)'!$G$106:$G$117,0)))*conv_2026*W$7</f>
        <v>0</v>
      </c>
      <c r="X21" s="31">
        <f>(INDEX('Option1 (base case)'!X$106:X$117, MATCH($D21, 'Option1 (base case)'!$G$106:$G$117,0)))*conv_2026*X$7</f>
        <v>0</v>
      </c>
      <c r="Y21" s="31">
        <f>(INDEX('Option1 (base case)'!Y$106:Y$117, MATCH($D21, 'Option1 (base case)'!$G$106:$G$117,0)))*conv_2026*Y$7</f>
        <v>0</v>
      </c>
      <c r="Z21" s="31">
        <f>(INDEX('Option1 (base case)'!Z$106:Z$117, MATCH($D21, 'Option1 (base case)'!$G$106:$G$117,0)))*conv_2026*Z$7</f>
        <v>0</v>
      </c>
      <c r="AA21" s="31">
        <f>(INDEX('Option1 (base case)'!AA$106:AA$117, MATCH($D21, 'Option1 (base case)'!$G$106:$G$117,0)))*conv_2026*AA$7</f>
        <v>0</v>
      </c>
      <c r="AB21" s="31">
        <f>(INDEX('Option1 (base case)'!AB$106:AB$117, MATCH($D21, 'Option1 (base case)'!$G$106:$G$117,0)))*conv_2026*AB$7</f>
        <v>0</v>
      </c>
      <c r="AC21" s="31">
        <f>(INDEX('Option1 (base case)'!AC$106:AC$117, MATCH($D21, 'Option1 (base case)'!$G$106:$G$117,0)))*conv_2026*AC$7</f>
        <v>0</v>
      </c>
      <c r="AD21" s="31">
        <f>(INDEX('Option1 (base case)'!AD$106:AD$117, MATCH($D21, 'Option1 (base case)'!$G$106:$G$117,0)))*conv_2026*AD$7</f>
        <v>0</v>
      </c>
      <c r="AE21" s="31">
        <f>(INDEX('Option1 (base case)'!AE$106:AE$117, MATCH($D21, 'Option1 (base case)'!$G$106:$G$117,0)))*conv_2026*AE$7</f>
        <v>0</v>
      </c>
      <c r="AF21" s="31">
        <f>(INDEX('Option1 (base case)'!AF$106:AF$117, MATCH($D21, 'Option1 (base case)'!$G$106:$G$117,0)))*conv_2026*AF$7</f>
        <v>0</v>
      </c>
      <c r="AG21" s="31">
        <f>(INDEX('Option1 (base case)'!AG$106:AG$117, MATCH($D21, 'Option1 (base case)'!$G$106:$G$117,0)))*conv_2026*AG$7</f>
        <v>0</v>
      </c>
      <c r="AH21" s="8"/>
      <c r="AI21" s="8"/>
    </row>
    <row r="22" spans="1:35" s="7" customFormat="1" x14ac:dyDescent="0.2">
      <c r="A22" s="254" t="s">
        <v>146</v>
      </c>
      <c r="B22" s="254" t="str">
        <f>'Option1 (base case)'!A116</f>
        <v>sens</v>
      </c>
      <c r="C22" s="254">
        <f>'Option1 (base case)'!C116</f>
        <v>0</v>
      </c>
      <c r="D22" s="254" t="str">
        <f t="shared" si="0"/>
        <v>OPTION 1 (base case)sens</v>
      </c>
      <c r="E22" s="255"/>
      <c r="F22" s="31">
        <f t="shared" si="1"/>
        <v>0</v>
      </c>
      <c r="G22" s="8"/>
      <c r="H22" s="31">
        <f>(INDEX('Option1 (base case)'!H$106:H$117, MATCH($D22, 'Option1 (base case)'!$G$106:$G$117,0)))*conv_2026*H$7</f>
        <v>0</v>
      </c>
      <c r="I22" s="31">
        <f>(INDEX('Option1 (base case)'!I$106:I$117, MATCH($D22, 'Option1 (base case)'!$G$106:$G$117,0)))*conv_2026*I$7</f>
        <v>0</v>
      </c>
      <c r="J22" s="31">
        <f>(INDEX('Option1 (base case)'!J$106:J$117, MATCH($D22, 'Option1 (base case)'!$G$106:$G$117,0)))*conv_2026*J$7</f>
        <v>0</v>
      </c>
      <c r="K22" s="31">
        <f>(INDEX('Option1 (base case)'!K$106:K$117, MATCH($D22, 'Option1 (base case)'!$G$106:$G$117,0)))*conv_2026*K$7</f>
        <v>0</v>
      </c>
      <c r="L22" s="31">
        <f>(INDEX('Option1 (base case)'!L$106:L$117, MATCH($D22, 'Option1 (base case)'!$G$106:$G$117,0)))*conv_2026*L$7</f>
        <v>0</v>
      </c>
      <c r="M22" s="31">
        <f>(INDEX('Option1 (base case)'!M$106:M$117, MATCH($D22, 'Option1 (base case)'!$G$106:$G$117,0)))*conv_2026*M$7</f>
        <v>0</v>
      </c>
      <c r="N22" s="31">
        <f>(INDEX('Option1 (base case)'!N$106:N$117, MATCH($D22, 'Option1 (base case)'!$G$106:$G$117,0)))*conv_2026*N$7</f>
        <v>0</v>
      </c>
      <c r="O22" s="31">
        <f>(INDEX('Option1 (base case)'!O$106:O$117, MATCH($D22, 'Option1 (base case)'!$G$106:$G$117,0)))*conv_2026*O$7</f>
        <v>0</v>
      </c>
      <c r="P22" s="31">
        <f>(INDEX('Option1 (base case)'!P$106:P$117, MATCH($D22, 'Option1 (base case)'!$G$106:$G$117,0)))*conv_2026*P$7</f>
        <v>0</v>
      </c>
      <c r="Q22" s="31">
        <f>(INDEX('Option1 (base case)'!Q$106:Q$117, MATCH($D22, 'Option1 (base case)'!$G$106:$G$117,0)))*conv_2026*Q$7</f>
        <v>0</v>
      </c>
      <c r="R22" s="31">
        <f>(INDEX('Option1 (base case)'!R$106:R$117, MATCH($D22, 'Option1 (base case)'!$G$106:$G$117,0)))*conv_2026*R$7</f>
        <v>0</v>
      </c>
      <c r="S22" s="31">
        <f>(INDEX('Option1 (base case)'!S$106:S$117, MATCH($D22, 'Option1 (base case)'!$G$106:$G$117,0)))*conv_2026*S$7</f>
        <v>0</v>
      </c>
      <c r="T22" s="31">
        <f>(INDEX('Option1 (base case)'!T$106:T$117, MATCH($D22, 'Option1 (base case)'!$G$106:$G$117,0)))*conv_2026*T$7</f>
        <v>0</v>
      </c>
      <c r="U22" s="31">
        <f>(INDEX('Option1 (base case)'!U$106:U$117, MATCH($D22, 'Option1 (base case)'!$G$106:$G$117,0)))*conv_2026*U$7</f>
        <v>0</v>
      </c>
      <c r="V22" s="31">
        <f>(INDEX('Option1 (base case)'!V$106:V$117, MATCH($D22, 'Option1 (base case)'!$G$106:$G$117,0)))*conv_2026*V$7</f>
        <v>0</v>
      </c>
      <c r="W22" s="31">
        <f>(INDEX('Option1 (base case)'!W$106:W$117, MATCH($D22, 'Option1 (base case)'!$G$106:$G$117,0)))*conv_2026*W$7</f>
        <v>0</v>
      </c>
      <c r="X22" s="31">
        <f>(INDEX('Option1 (base case)'!X$106:X$117, MATCH($D22, 'Option1 (base case)'!$G$106:$G$117,0)))*conv_2026*X$7</f>
        <v>0</v>
      </c>
      <c r="Y22" s="31">
        <f>(INDEX('Option1 (base case)'!Y$106:Y$117, MATCH($D22, 'Option1 (base case)'!$G$106:$G$117,0)))*conv_2026*Y$7</f>
        <v>0</v>
      </c>
      <c r="Z22" s="31">
        <f>(INDEX('Option1 (base case)'!Z$106:Z$117, MATCH($D22, 'Option1 (base case)'!$G$106:$G$117,0)))*conv_2026*Z$7</f>
        <v>0</v>
      </c>
      <c r="AA22" s="31">
        <f>(INDEX('Option1 (base case)'!AA$106:AA$117, MATCH($D22, 'Option1 (base case)'!$G$106:$G$117,0)))*conv_2026*AA$7</f>
        <v>0</v>
      </c>
      <c r="AB22" s="31">
        <f>(INDEX('Option1 (base case)'!AB$106:AB$117, MATCH($D22, 'Option1 (base case)'!$G$106:$G$117,0)))*conv_2026*AB$7</f>
        <v>0</v>
      </c>
      <c r="AC22" s="31">
        <f>(INDEX('Option1 (base case)'!AC$106:AC$117, MATCH($D22, 'Option1 (base case)'!$G$106:$G$117,0)))*conv_2026*AC$7</f>
        <v>0</v>
      </c>
      <c r="AD22" s="31">
        <f>(INDEX('Option1 (base case)'!AD$106:AD$117, MATCH($D22, 'Option1 (base case)'!$G$106:$G$117,0)))*conv_2026*AD$7</f>
        <v>0</v>
      </c>
      <c r="AE22" s="31">
        <f>(INDEX('Option1 (base case)'!AE$106:AE$117, MATCH($D22, 'Option1 (base case)'!$G$106:$G$117,0)))*conv_2026*AE$7</f>
        <v>0</v>
      </c>
      <c r="AF22" s="31">
        <f>(INDEX('Option1 (base case)'!AF$106:AF$117, MATCH($D22, 'Option1 (base case)'!$G$106:$G$117,0)))*conv_2026*AF$7</f>
        <v>0</v>
      </c>
      <c r="AG22" s="31">
        <f>(INDEX('Option1 (base case)'!AG$106:AG$117, MATCH($D22, 'Option1 (base case)'!$G$106:$G$117,0)))*conv_2026*AG$7</f>
        <v>0</v>
      </c>
      <c r="AH22" s="8"/>
      <c r="AI22" s="8"/>
    </row>
    <row r="23" spans="1:35" s="7" customFormat="1" x14ac:dyDescent="0.2">
      <c r="A23" s="254" t="s">
        <v>146</v>
      </c>
      <c r="B23" s="254" t="str">
        <f>'Option1 (base case)'!A117</f>
        <v>sens</v>
      </c>
      <c r="C23" s="254">
        <f>'Option1 (base case)'!C117</f>
        <v>0</v>
      </c>
      <c r="D23" s="254" t="str">
        <f t="shared" si="0"/>
        <v>OPTION 1 (base case)sens</v>
      </c>
      <c r="E23" s="255"/>
      <c r="F23" s="31">
        <f t="shared" si="1"/>
        <v>0</v>
      </c>
      <c r="G23" s="8"/>
      <c r="H23" s="31">
        <f>(INDEX('Option1 (base case)'!H$106:H$117, MATCH($D23, 'Option1 (base case)'!$G$106:$G$117,0)))*conv_2026*H$7</f>
        <v>0</v>
      </c>
      <c r="I23" s="31">
        <f>(INDEX('Option1 (base case)'!I$106:I$117, MATCH($D23, 'Option1 (base case)'!$G$106:$G$117,0)))*conv_2026*I$7</f>
        <v>0</v>
      </c>
      <c r="J23" s="31">
        <f>(INDEX('Option1 (base case)'!J$106:J$117, MATCH($D23, 'Option1 (base case)'!$G$106:$G$117,0)))*conv_2026*J$7</f>
        <v>0</v>
      </c>
      <c r="K23" s="31">
        <f>(INDEX('Option1 (base case)'!K$106:K$117, MATCH($D23, 'Option1 (base case)'!$G$106:$G$117,0)))*conv_2026*K$7</f>
        <v>0</v>
      </c>
      <c r="L23" s="31">
        <f>(INDEX('Option1 (base case)'!L$106:L$117, MATCH($D23, 'Option1 (base case)'!$G$106:$G$117,0)))*conv_2026*L$7</f>
        <v>0</v>
      </c>
      <c r="M23" s="31">
        <f>(INDEX('Option1 (base case)'!M$106:M$117, MATCH($D23, 'Option1 (base case)'!$G$106:$G$117,0)))*conv_2026*M$7</f>
        <v>0</v>
      </c>
      <c r="N23" s="31">
        <f>(INDEX('Option1 (base case)'!N$106:N$117, MATCH($D23, 'Option1 (base case)'!$G$106:$G$117,0)))*conv_2026*N$7</f>
        <v>0</v>
      </c>
      <c r="O23" s="31">
        <f>(INDEX('Option1 (base case)'!O$106:O$117, MATCH($D23, 'Option1 (base case)'!$G$106:$G$117,0)))*conv_2026*O$7</f>
        <v>0</v>
      </c>
      <c r="P23" s="31">
        <f>(INDEX('Option1 (base case)'!P$106:P$117, MATCH($D23, 'Option1 (base case)'!$G$106:$G$117,0)))*conv_2026*P$7</f>
        <v>0</v>
      </c>
      <c r="Q23" s="31">
        <f>(INDEX('Option1 (base case)'!Q$106:Q$117, MATCH($D23, 'Option1 (base case)'!$G$106:$G$117,0)))*conv_2026*Q$7</f>
        <v>0</v>
      </c>
      <c r="R23" s="31">
        <f>(INDEX('Option1 (base case)'!R$106:R$117, MATCH($D23, 'Option1 (base case)'!$G$106:$G$117,0)))*conv_2026*R$7</f>
        <v>0</v>
      </c>
      <c r="S23" s="31">
        <f>(INDEX('Option1 (base case)'!S$106:S$117, MATCH($D23, 'Option1 (base case)'!$G$106:$G$117,0)))*conv_2026*S$7</f>
        <v>0</v>
      </c>
      <c r="T23" s="31">
        <f>(INDEX('Option1 (base case)'!T$106:T$117, MATCH($D23, 'Option1 (base case)'!$G$106:$G$117,0)))*conv_2026*T$7</f>
        <v>0</v>
      </c>
      <c r="U23" s="31">
        <f>(INDEX('Option1 (base case)'!U$106:U$117, MATCH($D23, 'Option1 (base case)'!$G$106:$G$117,0)))*conv_2026*U$7</f>
        <v>0</v>
      </c>
      <c r="V23" s="31">
        <f>(INDEX('Option1 (base case)'!V$106:V$117, MATCH($D23, 'Option1 (base case)'!$G$106:$G$117,0)))*conv_2026*V$7</f>
        <v>0</v>
      </c>
      <c r="W23" s="31">
        <f>(INDEX('Option1 (base case)'!W$106:W$117, MATCH($D23, 'Option1 (base case)'!$G$106:$G$117,0)))*conv_2026*W$7</f>
        <v>0</v>
      </c>
      <c r="X23" s="31">
        <f>(INDEX('Option1 (base case)'!X$106:X$117, MATCH($D23, 'Option1 (base case)'!$G$106:$G$117,0)))*conv_2026*X$7</f>
        <v>0</v>
      </c>
      <c r="Y23" s="31">
        <f>(INDEX('Option1 (base case)'!Y$106:Y$117, MATCH($D23, 'Option1 (base case)'!$G$106:$G$117,0)))*conv_2026*Y$7</f>
        <v>0</v>
      </c>
      <c r="Z23" s="31">
        <f>(INDEX('Option1 (base case)'!Z$106:Z$117, MATCH($D23, 'Option1 (base case)'!$G$106:$G$117,0)))*conv_2026*Z$7</f>
        <v>0</v>
      </c>
      <c r="AA23" s="31">
        <f>(INDEX('Option1 (base case)'!AA$106:AA$117, MATCH($D23, 'Option1 (base case)'!$G$106:$G$117,0)))*conv_2026*AA$7</f>
        <v>0</v>
      </c>
      <c r="AB23" s="31">
        <f>(INDEX('Option1 (base case)'!AB$106:AB$117, MATCH($D23, 'Option1 (base case)'!$G$106:$G$117,0)))*conv_2026*AB$7</f>
        <v>0</v>
      </c>
      <c r="AC23" s="31">
        <f>(INDEX('Option1 (base case)'!AC$106:AC$117, MATCH($D23, 'Option1 (base case)'!$G$106:$G$117,0)))*conv_2026*AC$7</f>
        <v>0</v>
      </c>
      <c r="AD23" s="31">
        <f>(INDEX('Option1 (base case)'!AD$106:AD$117, MATCH($D23, 'Option1 (base case)'!$G$106:$G$117,0)))*conv_2026*AD$7</f>
        <v>0</v>
      </c>
      <c r="AE23" s="31">
        <f>(INDEX('Option1 (base case)'!AE$106:AE$117, MATCH($D23, 'Option1 (base case)'!$G$106:$G$117,0)))*conv_2026*AE$7</f>
        <v>0</v>
      </c>
      <c r="AF23" s="31">
        <f>(INDEX('Option1 (base case)'!AF$106:AF$117, MATCH($D23, 'Option1 (base case)'!$G$106:$G$117,0)))*conv_2026*AF$7</f>
        <v>0</v>
      </c>
      <c r="AG23" s="31">
        <f>(INDEX('Option1 (base case)'!AG$106:AG$117, MATCH($D23, 'Option1 (base case)'!$G$106:$G$117,0)))*conv_2026*AG$7</f>
        <v>0</v>
      </c>
      <c r="AH23" s="8"/>
      <c r="AI23" s="8"/>
    </row>
    <row r="24" spans="1:35" s="7" customFormat="1" x14ac:dyDescent="0.2">
      <c r="A24" s="246"/>
      <c r="B24" s="246"/>
      <c r="C24" s="246"/>
      <c r="D24" s="246"/>
      <c r="E24" s="246"/>
      <c r="F24" s="246"/>
      <c r="G24" s="247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x14ac:dyDescent="0.2">
      <c r="A25" s="246"/>
      <c r="B25" s="246"/>
      <c r="C25" s="246"/>
      <c r="D25" s="246"/>
      <c r="E25" s="246"/>
      <c r="F25" s="246"/>
      <c r="G25" s="247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x14ac:dyDescent="0.2">
      <c r="A26" s="246"/>
      <c r="B26" s="246"/>
      <c r="C26" s="246"/>
      <c r="D26" s="246"/>
      <c r="E26" s="246"/>
      <c r="F26" s="246"/>
      <c r="G26" s="247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x14ac:dyDescent="0.2">
      <c r="A27" s="246"/>
      <c r="B27" s="246"/>
      <c r="C27" s="246"/>
      <c r="D27" s="246"/>
      <c r="E27" s="246"/>
      <c r="F27" s="246"/>
      <c r="G27" s="247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x14ac:dyDescent="0.2">
      <c r="A28" s="254" t="s">
        <v>131</v>
      </c>
      <c r="B28" s="254" t="s">
        <v>119</v>
      </c>
      <c r="C28" s="254" t="s">
        <v>192</v>
      </c>
      <c r="D28" s="254" t="str">
        <f>A28&amp;B28</f>
        <v>Option 2NPV</v>
      </c>
      <c r="E28" s="255"/>
      <c r="F28" s="31">
        <f>SUMPRODUCT($H28:$AG28, $H$5:$AG$5)</f>
        <v>4448817.2489603329</v>
      </c>
      <c r="G28" s="247"/>
      <c r="H28" s="31">
        <f>(INDEX(Option2!H$106:H$117, MATCH($D28, Option2!$G$106:$G$117,0)))*conv_2026*H$7</f>
        <v>0</v>
      </c>
      <c r="I28" s="31">
        <f>(INDEX(Option2!I$106:I$117, MATCH($D28, Option2!$G$106:$G$117,0)))*conv_2026*I$7</f>
        <v>0</v>
      </c>
      <c r="J28" s="31">
        <f>(INDEX(Option2!J$106:J$117, MATCH($D28, Option2!$G$106:$G$117,0)))*conv_2026*J$7</f>
        <v>0</v>
      </c>
      <c r="K28" s="31">
        <f>(INDEX(Option2!K$106:K$117, MATCH($D28, Option2!$G$106:$G$117,0)))*conv_2026*K$7</f>
        <v>347561.19309877482</v>
      </c>
      <c r="L28" s="31">
        <f>(INDEX(Option2!L$106:L$117, MATCH($D28, Option2!$G$106:$G$117,0)))*conv_2026*L$7</f>
        <v>349740.53340582916</v>
      </c>
      <c r="M28" s="31">
        <f>(INDEX(Option2!M$106:M$117, MATCH($D28, Option2!$G$106:$G$117,0)))*conv_2026*M$7</f>
        <v>349935.74174823752</v>
      </c>
      <c r="N28" s="31">
        <f>(INDEX(Option2!N$106:N$117, MATCH($D28, Option2!$G$106:$G$117,0)))*conv_2026*N$7</f>
        <v>344497.03668289003</v>
      </c>
      <c r="O28" s="31">
        <f>(INDEX(Option2!O$106:O$117, MATCH($D28, Option2!$G$106:$G$117,0)))*conv_2026*O$7</f>
        <v>341235.82844115963</v>
      </c>
      <c r="P28" s="31">
        <f>(INDEX(Option2!P$106:P$117, MATCH($D28, Option2!$G$106:$G$117,0)))*conv_2026*P$7</f>
        <v>341567.52661180851</v>
      </c>
      <c r="Q28" s="31">
        <f>(INDEX(Option2!Q$106:Q$117, MATCH($D28, Option2!$G$106:$G$117,0)))*conv_2026*Q$7</f>
        <v>343942.39222179982</v>
      </c>
      <c r="R28" s="31">
        <f>(INDEX(Option2!R$106:R$117, MATCH($D28, Option2!$G$106:$G$117,0)))*conv_2026*R$7</f>
        <v>338348.24263488018</v>
      </c>
      <c r="S28" s="31">
        <f>(INDEX(Option2!S$106:S$117, MATCH($D28, Option2!$G$106:$G$117,0)))*conv_2026*S$7</f>
        <v>338372.02763509657</v>
      </c>
      <c r="T28" s="31">
        <f>(INDEX(Option2!T$106:T$117, MATCH($D28, Option2!$G$106:$G$117,0)))*conv_2026*T$7</f>
        <v>338395.81263531285</v>
      </c>
      <c r="U28" s="31">
        <f>(INDEX(Option2!U$106:U$117, MATCH($D28, Option2!$G$106:$G$117,0)))*conv_2026*U$7</f>
        <v>338419.5976355293</v>
      </c>
      <c r="V28" s="31">
        <f>(INDEX(Option2!V$106:V$117, MATCH($D28, Option2!$G$106:$G$117,0)))*conv_2026*V$7</f>
        <v>338443.38263574557</v>
      </c>
      <c r="W28" s="31">
        <f>(INDEX(Option2!W$106:W$117, MATCH($D28, Option2!$G$106:$G$117,0)))*conv_2026*W$7</f>
        <v>338467.16763596184</v>
      </c>
      <c r="X28" s="31">
        <f>(INDEX(Option2!X$106:X$117, MATCH($D28, Option2!$G$106:$G$117,0)))*conv_2026*X$7</f>
        <v>338490.95263617823</v>
      </c>
      <c r="Y28" s="31">
        <f>(INDEX(Option2!Y$106:Y$117, MATCH($D28, Option2!$G$106:$G$117,0)))*conv_2026*Y$7</f>
        <v>338514.73763639433</v>
      </c>
      <c r="Z28" s="31">
        <f>(INDEX(Option2!Z$106:Z$117, MATCH($D28, Option2!$G$106:$G$117,0)))*conv_2026*Z$7</f>
        <v>338538.52263661078</v>
      </c>
      <c r="AA28" s="31">
        <f>(INDEX(Option2!AA$106:AA$117, MATCH($D28, Option2!$G$106:$G$117,0)))*conv_2026*AA$7</f>
        <v>338562.30763682717</v>
      </c>
      <c r="AB28" s="31">
        <f>(INDEX(Option2!AB$106:AB$117, MATCH($D28, Option2!$G$106:$G$117,0)))*conv_2026*AB$7</f>
        <v>338586.09263704356</v>
      </c>
      <c r="AC28" s="31">
        <f>(INDEX(Option2!AC$106:AC$117, MATCH($D28, Option2!$G$106:$G$117,0)))*conv_2026*AC$7</f>
        <v>338609.87763725966</v>
      </c>
      <c r="AD28" s="31">
        <f>(INDEX(Option2!AD$106:AD$117, MATCH($D28, Option2!$G$106:$G$117,0)))*conv_2026*AD$7</f>
        <v>0</v>
      </c>
      <c r="AE28" s="31">
        <f>(INDEX(Option2!AE$106:AE$117, MATCH($D28, Option2!$G$106:$G$117,0)))*conv_2026*AE$7</f>
        <v>0</v>
      </c>
      <c r="AF28" s="31">
        <f>(INDEX(Option2!AF$106:AF$117, MATCH($D28, Option2!$G$106:$G$117,0)))*conv_2026*AF$7</f>
        <v>0</v>
      </c>
      <c r="AG28" s="31">
        <f>(INDEX(Option2!AG$106:AG$117, MATCH($D28, Option2!$G$106:$G$117,0)))*conv_2026*AG$7</f>
        <v>0</v>
      </c>
    </row>
    <row r="29" spans="1:35" s="7" customFormat="1" x14ac:dyDescent="0.2">
      <c r="A29" s="246"/>
      <c r="B29" s="246"/>
      <c r="C29" s="246"/>
      <c r="D29" s="246"/>
      <c r="E29" s="246"/>
      <c r="F29" s="246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</row>
    <row r="30" spans="1:35" s="7" customFormat="1" x14ac:dyDescent="0.2">
      <c r="A30" s="254" t="s">
        <v>131</v>
      </c>
      <c r="B30" s="254" t="str">
        <f>Option2!A110</f>
        <v>sens1</v>
      </c>
      <c r="C30" s="254" t="str">
        <f>Option2!C110</f>
        <v>Capex 10% higher</v>
      </c>
      <c r="D30" s="254" t="str">
        <f t="shared" ref="D30:D37" si="2">A30&amp;B30</f>
        <v>Option 2sens1</v>
      </c>
      <c r="E30" s="255"/>
      <c r="F30" s="31">
        <f>SUMPRODUCT($H30:$AG30, $H$5:$AG$5)</f>
        <v>4155643.5107475515</v>
      </c>
      <c r="G30" s="247"/>
      <c r="H30" s="31">
        <f>IF($B30=0,0, (INDEX(Option2!H$106:H$117, MATCH($D30, Option2!$G$106:$G$117,0)))*conv_2026*H$7)</f>
        <v>0</v>
      </c>
      <c r="I30" s="31">
        <f>IF($B30=0,0, (INDEX(Option2!I$106:I$117, MATCH($D30, Option2!$G$106:$G$117,0)))*conv_2026*I$7)</f>
        <v>0</v>
      </c>
      <c r="J30" s="31">
        <f>IF($B30=0,0, (INDEX(Option2!J$106:J$117, MATCH($D30, Option2!$G$106:$G$117,0)))*conv_2026*J$7)</f>
        <v>0</v>
      </c>
      <c r="K30" s="31">
        <f>IF($B30=0,0, (INDEX(Option2!K$106:K$117, MATCH($D30, Option2!$G$106:$G$117,0)))*conv_2026*K$7)</f>
        <v>325044.56862875889</v>
      </c>
      <c r="L30" s="31">
        <f>IF($B30=0,0, (INDEX(Option2!L$106:L$117, MATCH($D30, Option2!$G$106:$G$117,0)))*conv_2026*L$7)</f>
        <v>327223.90893581323</v>
      </c>
      <c r="M30" s="31">
        <f>IF($B30=0,0, (INDEX(Option2!M$106:M$117, MATCH($D30, Option2!$G$106:$G$117,0)))*conv_2026*M$7)</f>
        <v>327419.11727822159</v>
      </c>
      <c r="N30" s="31">
        <f>IF($B30=0,0, (INDEX(Option2!N$106:N$117, MATCH($D30, Option2!$G$106:$G$117,0)))*conv_2026*N$7)</f>
        <v>321980.4122128741</v>
      </c>
      <c r="O30" s="31">
        <f>IF($B30=0,0, (INDEX(Option2!O$106:O$117, MATCH($D30, Option2!$G$106:$G$117,0)))*conv_2026*O$7)</f>
        <v>318719.2039711437</v>
      </c>
      <c r="P30" s="31">
        <f>IF($B30=0,0, (INDEX(Option2!P$106:P$117, MATCH($D30, Option2!$G$106:$G$117,0)))*conv_2026*P$7)</f>
        <v>319050.90214179258</v>
      </c>
      <c r="Q30" s="31">
        <f>IF($B30=0,0, (INDEX(Option2!Q$106:Q$117, MATCH($D30, Option2!$G$106:$G$117,0)))*conv_2026*Q$7)</f>
        <v>321425.76775178389</v>
      </c>
      <c r="R30" s="31">
        <f>IF($B30=0,0, (INDEX(Option2!R$106:R$117, MATCH($D30, Option2!$G$106:$G$117,0)))*conv_2026*R$7)</f>
        <v>315831.61816486425</v>
      </c>
      <c r="S30" s="31">
        <f>IF($B30=0,0, (INDEX(Option2!S$106:S$117, MATCH($D30, Option2!$G$106:$G$117,0)))*conv_2026*S$7)</f>
        <v>315855.40316508064</v>
      </c>
      <c r="T30" s="31">
        <f>IF($B30=0,0, (INDEX(Option2!T$106:T$117, MATCH($D30, Option2!$G$106:$G$117,0)))*conv_2026*T$7)</f>
        <v>315879.18816529692</v>
      </c>
      <c r="U30" s="31">
        <f>IF($B30=0,0, (INDEX(Option2!U$106:U$117, MATCH($D30, Option2!$G$106:$G$117,0)))*conv_2026*U$7)</f>
        <v>315902.97316551337</v>
      </c>
      <c r="V30" s="31">
        <f>IF($B30=0,0, (INDEX(Option2!V$106:V$117, MATCH($D30, Option2!$G$106:$G$117,0)))*conv_2026*V$7)</f>
        <v>315926.75816572964</v>
      </c>
      <c r="W30" s="31">
        <f>IF($B30=0,0, (INDEX(Option2!W$106:W$117, MATCH($D30, Option2!$G$106:$G$117,0)))*conv_2026*W$7)</f>
        <v>315950.54316594591</v>
      </c>
      <c r="X30" s="31">
        <f>IF($B30=0,0, (INDEX(Option2!X$106:X$117, MATCH($D30, Option2!$G$106:$G$117,0)))*conv_2026*X$7)</f>
        <v>315974.3281661623</v>
      </c>
      <c r="Y30" s="31">
        <f>IF($B30=0,0, (INDEX(Option2!Y$106:Y$117, MATCH($D30, Option2!$G$106:$G$117,0)))*conv_2026*Y$7)</f>
        <v>315998.1131663784</v>
      </c>
      <c r="Z30" s="31">
        <f>IF($B30=0,0, (INDEX(Option2!Z$106:Z$117, MATCH($D30, Option2!$G$106:$G$117,0)))*conv_2026*Z$7)</f>
        <v>316021.89816659485</v>
      </c>
      <c r="AA30" s="31">
        <f>IF($B30=0,0, (INDEX(Option2!AA$106:AA$117, MATCH($D30, Option2!$G$106:$G$117,0)))*conv_2026*AA$7)</f>
        <v>316045.68316681124</v>
      </c>
      <c r="AB30" s="31">
        <f>IF($B30=0,0, (INDEX(Option2!AB$106:AB$117, MATCH($D30, Option2!$G$106:$G$117,0)))*conv_2026*AB$7)</f>
        <v>316069.46816702763</v>
      </c>
      <c r="AC30" s="31">
        <f>IF($B30=0,0, (INDEX(Option2!AC$106:AC$117, MATCH($D30, Option2!$G$106:$G$117,0)))*conv_2026*AC$7)</f>
        <v>316093.25316724373</v>
      </c>
      <c r="AD30" s="31">
        <f>IF($B30=0,0, (INDEX(Option2!AD$106:AD$117, MATCH($D30, Option2!$G$106:$G$117,0)))*conv_2026*AD$7)</f>
        <v>0</v>
      </c>
      <c r="AE30" s="31">
        <f>IF($B30=0,0, (INDEX(Option2!AE$106:AE$117, MATCH($D30, Option2!$G$106:$G$117,0)))*conv_2026*AE$7)</f>
        <v>0</v>
      </c>
      <c r="AF30" s="31">
        <f>IF($B30=0,0, (INDEX(Option2!AF$106:AF$117, MATCH($D30, Option2!$G$106:$G$117,0)))*conv_2026*AF$7)</f>
        <v>0</v>
      </c>
      <c r="AG30" s="31">
        <f>IF($B30=0,0, (INDEX(Option2!AG$106:AG$117, MATCH($D30, Option2!$G$106:$G$117,0)))*conv_2026*AG$7)</f>
        <v>0</v>
      </c>
    </row>
    <row r="31" spans="1:35" s="8" customFormat="1" x14ac:dyDescent="0.2">
      <c r="A31" s="254" t="s">
        <v>131</v>
      </c>
      <c r="B31" s="254" t="str">
        <f>Option2!A111</f>
        <v>sens2</v>
      </c>
      <c r="C31" s="254" t="str">
        <f>Option2!C111</f>
        <v>Capex 10% lower</v>
      </c>
      <c r="D31" s="254" t="str">
        <f t="shared" si="2"/>
        <v>Option 2sens2</v>
      </c>
      <c r="E31" s="255"/>
      <c r="F31" s="31">
        <f t="shared" ref="F31:F37" si="3">SUMPRODUCT($H31:$AG31, $H$5:$AG$5)</f>
        <v>4741990.9871731177</v>
      </c>
      <c r="G31" s="254"/>
      <c r="H31" s="31">
        <f>IF($B31=0,0, (INDEX(Option2!H$106:H$117, MATCH($D31, Option2!$G$106:$G$117,0)))*conv_2026*H$7)</f>
        <v>0</v>
      </c>
      <c r="I31" s="31">
        <f>IF($B31=0,0, (INDEX(Option2!I$106:I$117, MATCH($D31, Option2!$G$106:$G$117,0)))*conv_2026*I$7)</f>
        <v>0</v>
      </c>
      <c r="J31" s="31">
        <f>IF($B31=0,0, (INDEX(Option2!J$106:J$117, MATCH($D31, Option2!$G$106:$G$117,0)))*conv_2026*J$7)</f>
        <v>0</v>
      </c>
      <c r="K31" s="31">
        <f>IF($B31=0,0, (INDEX(Option2!K$106:K$117, MATCH($D31, Option2!$G$106:$G$117,0)))*conv_2026*K$7)</f>
        <v>370077.81756879075</v>
      </c>
      <c r="L31" s="31">
        <f>IF($B31=0,0, (INDEX(Option2!L$106:L$117, MATCH($D31, Option2!$G$106:$G$117,0)))*conv_2026*L$7)</f>
        <v>372257.15787584509</v>
      </c>
      <c r="M31" s="31">
        <f>IF($B31=0,0, (INDEX(Option2!M$106:M$117, MATCH($D31, Option2!$G$106:$G$117,0)))*conv_2026*M$7)</f>
        <v>372452.36621825345</v>
      </c>
      <c r="N31" s="31">
        <f>IF($B31=0,0, (INDEX(Option2!N$106:N$117, MATCH($D31, Option2!$G$106:$G$117,0)))*conv_2026*N$7)</f>
        <v>367013.66115290596</v>
      </c>
      <c r="O31" s="31">
        <f>IF($B31=0,0, (INDEX(Option2!O$106:O$117, MATCH($D31, Option2!$G$106:$G$117,0)))*conv_2026*O$7)</f>
        <v>363752.45291117555</v>
      </c>
      <c r="P31" s="31">
        <f>IF($B31=0,0, (INDEX(Option2!P$106:P$117, MATCH($D31, Option2!$G$106:$G$117,0)))*conv_2026*P$7)</f>
        <v>364084.15108182444</v>
      </c>
      <c r="Q31" s="31">
        <f>IF($B31=0,0, (INDEX(Option2!Q$106:Q$117, MATCH($D31, Option2!$G$106:$G$117,0)))*conv_2026*Q$7)</f>
        <v>366459.01669181575</v>
      </c>
      <c r="R31" s="31">
        <f>IF($B31=0,0, (INDEX(Option2!R$106:R$117, MATCH($D31, Option2!$G$106:$G$117,0)))*conv_2026*R$7)</f>
        <v>360864.86710489611</v>
      </c>
      <c r="S31" s="31">
        <f>IF($B31=0,0, (INDEX(Option2!S$106:S$117, MATCH($D31, Option2!$G$106:$G$117,0)))*conv_2026*S$7)</f>
        <v>360888.6521051125</v>
      </c>
      <c r="T31" s="31">
        <f>IF($B31=0,0, (INDEX(Option2!T$106:T$117, MATCH($D31, Option2!$G$106:$G$117,0)))*conv_2026*T$7)</f>
        <v>360912.43710532878</v>
      </c>
      <c r="U31" s="31">
        <f>IF($B31=0,0, (INDEX(Option2!U$106:U$117, MATCH($D31, Option2!$G$106:$G$117,0)))*conv_2026*U$7)</f>
        <v>360936.22210554522</v>
      </c>
      <c r="V31" s="31">
        <f>IF($B31=0,0, (INDEX(Option2!V$106:V$117, MATCH($D31, Option2!$G$106:$G$117,0)))*conv_2026*V$7)</f>
        <v>360960.0071057615</v>
      </c>
      <c r="W31" s="31">
        <f>IF($B31=0,0, (INDEX(Option2!W$106:W$117, MATCH($D31, Option2!$G$106:$G$117,0)))*conv_2026*W$7)</f>
        <v>360983.79210597777</v>
      </c>
      <c r="X31" s="31">
        <f>IF($B31=0,0, (INDEX(Option2!X$106:X$117, MATCH($D31, Option2!$G$106:$G$117,0)))*conv_2026*X$7)</f>
        <v>361007.57710619416</v>
      </c>
      <c r="Y31" s="31">
        <f>IF($B31=0,0, (INDEX(Option2!Y$106:Y$117, MATCH($D31, Option2!$G$106:$G$117,0)))*conv_2026*Y$7)</f>
        <v>361031.36210641032</v>
      </c>
      <c r="Z31" s="31">
        <f>IF($B31=0,0, (INDEX(Option2!Z$106:Z$117, MATCH($D31, Option2!$G$106:$G$117,0)))*conv_2026*Z$7)</f>
        <v>361055.14710662671</v>
      </c>
      <c r="AA31" s="31">
        <f>IF($B31=0,0, (INDEX(Option2!AA$106:AA$117, MATCH($D31, Option2!$G$106:$G$117,0)))*conv_2026*AA$7)</f>
        <v>361078.9321068431</v>
      </c>
      <c r="AB31" s="31">
        <f>IF($B31=0,0, (INDEX(Option2!AB$106:AB$117, MATCH($D31, Option2!$G$106:$G$117,0)))*conv_2026*AB$7)</f>
        <v>361102.71710705949</v>
      </c>
      <c r="AC31" s="31">
        <f>IF($B31=0,0, (INDEX(Option2!AC$106:AC$117, MATCH($D31, Option2!$G$106:$G$117,0)))*conv_2026*AC$7)</f>
        <v>361126.50210727559</v>
      </c>
      <c r="AD31" s="31">
        <f>IF($B31=0,0, (INDEX(Option2!AD$106:AD$117, MATCH($D31, Option2!$G$106:$G$117,0)))*conv_2026*AD$7)</f>
        <v>0</v>
      </c>
      <c r="AE31" s="31">
        <f>IF($B31=0,0, (INDEX(Option2!AE$106:AE$117, MATCH($D31, Option2!$G$106:$G$117,0)))*conv_2026*AE$7)</f>
        <v>0</v>
      </c>
      <c r="AF31" s="31">
        <f>IF($B31=0,0, (INDEX(Option2!AF$106:AF$117, MATCH($D31, Option2!$G$106:$G$117,0)))*conv_2026*AF$7)</f>
        <v>0</v>
      </c>
      <c r="AG31" s="31">
        <f>IF($B31=0,0, (INDEX(Option2!AG$106:AG$117, MATCH($D31, Option2!$G$106:$G$117,0)))*conv_2026*AG$7)</f>
        <v>0</v>
      </c>
    </row>
    <row r="32" spans="1:35" s="8" customFormat="1" x14ac:dyDescent="0.2">
      <c r="A32" s="254" t="s">
        <v>131</v>
      </c>
      <c r="B32" s="254" t="str">
        <f>Option2!A112</f>
        <v>sens3</v>
      </c>
      <c r="C32" s="254" t="str">
        <f>Option2!C112</f>
        <v>Increasing wind escalation</v>
      </c>
      <c r="D32" s="254" t="str">
        <f t="shared" si="2"/>
        <v>Option 2sens3</v>
      </c>
      <c r="E32" s="255"/>
      <c r="F32" s="31">
        <f t="shared" si="3"/>
        <v>4484217.691386248</v>
      </c>
      <c r="H32" s="31">
        <f>IF($B32=0,0, (INDEX(Option2!H$106:H$117, MATCH($D32, Option2!$G$106:$G$117,0)))*conv_2026*H$7)</f>
        <v>0</v>
      </c>
      <c r="I32" s="31">
        <f>IF($B32=0,0, (INDEX(Option2!I$106:I$117, MATCH($D32, Option2!$G$106:$G$117,0)))*conv_2026*I$7)</f>
        <v>0</v>
      </c>
      <c r="J32" s="31">
        <f>IF($B32=0,0, (INDEX(Option2!J$106:J$117, MATCH($D32, Option2!$G$106:$G$117,0)))*conv_2026*J$7)</f>
        <v>0</v>
      </c>
      <c r="K32" s="31">
        <f>IF($B32=0,0, (INDEX(Option2!K$106:K$117, MATCH($D32, Option2!$G$106:$G$117,0)))*conv_2026*K$7)</f>
        <v>351112.63653051743</v>
      </c>
      <c r="L32" s="31">
        <f>IF($B32=0,0, (INDEX(Option2!L$106:L$117, MATCH($D32, Option2!$G$106:$G$117,0)))*conv_2026*L$7)</f>
        <v>352884.51174818852</v>
      </c>
      <c r="M32" s="31">
        <f>IF($B32=0,0, (INDEX(Option2!M$106:M$117, MATCH($D32, Option2!$G$106:$G$117,0)))*conv_2026*M$7)</f>
        <v>352663.01107214898</v>
      </c>
      <c r="N32" s="31">
        <f>IF($B32=0,0, (INDEX(Option2!N$106:N$117, MATCH($D32, Option2!$G$106:$G$117,0)))*conv_2026*N$7)</f>
        <v>347191.90051561565</v>
      </c>
      <c r="O32" s="31">
        <f>IF($B32=0,0, (INDEX(Option2!O$106:O$117, MATCH($D32, Option2!$G$106:$G$117,0)))*conv_2026*O$7)</f>
        <v>343907.32978344726</v>
      </c>
      <c r="P32" s="31">
        <f>IF($B32=0,0, (INDEX(Option2!P$106:P$117, MATCH($D32, Option2!$G$106:$G$117,0)))*conv_2026*P$7)</f>
        <v>344230.35603708425</v>
      </c>
      <c r="Q32" s="31">
        <f>IF($B32=0,0, (INDEX(Option2!Q$106:Q$117, MATCH($D32, Option2!$G$106:$G$117,0)))*conv_2026*Q$7)</f>
        <v>346604.80630613759</v>
      </c>
      <c r="R32" s="31">
        <f>IF($B32=0,0, (INDEX(Option2!R$106:R$117, MATCH($D32, Option2!$G$106:$G$117,0)))*conv_2026*R$7)</f>
        <v>340978.05449487444</v>
      </c>
      <c r="S32" s="31">
        <f>IF($B32=0,0, (INDEX(Option2!S$106:S$117, MATCH($D32, Option2!$G$106:$G$117,0)))*conv_2026*S$7)</f>
        <v>340991.96444098058</v>
      </c>
      <c r="T32" s="31">
        <f>IF($B32=0,0, (INDEX(Option2!T$106:T$117, MATCH($D32, Option2!$G$106:$G$117,0)))*conv_2026*T$7)</f>
        <v>341005.8750390496</v>
      </c>
      <c r="U32" s="31">
        <f>IF($B32=0,0, (INDEX(Option2!U$106:U$117, MATCH($D32, Option2!$G$106:$G$117,0)))*conv_2026*U$7)</f>
        <v>341019.7862890322</v>
      </c>
      <c r="V32" s="31">
        <f>IF($B32=0,0, (INDEX(Option2!V$106:V$117, MATCH($D32, Option2!$G$106:$G$117,0)))*conv_2026*V$7)</f>
        <v>341033.69819087873</v>
      </c>
      <c r="W32" s="31">
        <f>IF($B32=0,0, (INDEX(Option2!W$106:W$117, MATCH($D32, Option2!$G$106:$G$117,0)))*conv_2026*W$7)</f>
        <v>341047.61074453953</v>
      </c>
      <c r="X32" s="31">
        <f>IF($B32=0,0, (INDEX(Option2!X$106:X$117, MATCH($D32, Option2!$G$106:$G$117,0)))*conv_2026*X$7)</f>
        <v>341061.52394996543</v>
      </c>
      <c r="Y32" s="31">
        <f>IF($B32=0,0, (INDEX(Option2!Y$106:Y$117, MATCH($D32, Option2!$G$106:$G$117,0)))*conv_2026*Y$7)</f>
        <v>341075.43780710647</v>
      </c>
      <c r="Z32" s="31">
        <f>IF($B32=0,0, (INDEX(Option2!Z$106:Z$117, MATCH($D32, Option2!$G$106:$G$117,0)))*conv_2026*Z$7)</f>
        <v>341089.35231591365</v>
      </c>
      <c r="AA32" s="31">
        <f>IF($B32=0,0, (INDEX(Option2!AA$106:AA$117, MATCH($D32, Option2!$G$106:$G$117,0)))*conv_2026*AA$7)</f>
        <v>341103.26747633732</v>
      </c>
      <c r="AB32" s="31">
        <f>IF($B32=0,0, (INDEX(Option2!AB$106:AB$117, MATCH($D32, Option2!$G$106:$G$117,0)))*conv_2026*AB$7)</f>
        <v>341117.18328832777</v>
      </c>
      <c r="AC32" s="31">
        <f>IF($B32=0,0, (INDEX(Option2!AC$106:AC$117, MATCH($D32, Option2!$G$106:$G$117,0)))*conv_2026*AC$7)</f>
        <v>341131.09975183551</v>
      </c>
      <c r="AD32" s="31">
        <f>IF($B32=0,0, (INDEX(Option2!AD$106:AD$117, MATCH($D32, Option2!$G$106:$G$117,0)))*conv_2026*AD$7)</f>
        <v>0</v>
      </c>
      <c r="AE32" s="31">
        <f>IF($B32=0,0, (INDEX(Option2!AE$106:AE$117, MATCH($D32, Option2!$G$106:$G$117,0)))*conv_2026*AE$7)</f>
        <v>0</v>
      </c>
      <c r="AF32" s="31">
        <f>IF($B32=0,0, (INDEX(Option2!AF$106:AF$117, MATCH($D32, Option2!$G$106:$G$117,0)))*conv_2026*AF$7)</f>
        <v>0</v>
      </c>
      <c r="AG32" s="31">
        <f>IF($B32=0,0, (INDEX(Option2!AG$106:AG$117, MATCH($D32, Option2!$G$106:$G$117,0)))*conv_2026*AG$7)</f>
        <v>0</v>
      </c>
    </row>
    <row r="33" spans="1:35" s="8" customFormat="1" x14ac:dyDescent="0.2">
      <c r="A33" s="254" t="s">
        <v>131</v>
      </c>
      <c r="B33" s="254" t="str">
        <f>Option2!A113</f>
        <v>sens4</v>
      </c>
      <c r="C33" s="254" t="str">
        <f>Option2!C113</f>
        <v/>
      </c>
      <c r="D33" s="254" t="str">
        <f t="shared" si="2"/>
        <v>Option 2sens4</v>
      </c>
      <c r="E33" s="255"/>
      <c r="F33" s="31">
        <f t="shared" si="3"/>
        <v>4448817.2489603329</v>
      </c>
      <c r="H33" s="31">
        <f>IF($B33=0,0, (INDEX(Option2!H$106:H$117, MATCH($D33, Option2!$G$106:$G$117,0)))*conv_2026*H$7)</f>
        <v>0</v>
      </c>
      <c r="I33" s="31">
        <f>IF($B33=0,0, (INDEX(Option2!I$106:I$117, MATCH($D33, Option2!$G$106:$G$117,0)))*conv_2026*I$7)</f>
        <v>0</v>
      </c>
      <c r="J33" s="31">
        <f>IF($B33=0,0, (INDEX(Option2!J$106:J$117, MATCH($D33, Option2!$G$106:$G$117,0)))*conv_2026*J$7)</f>
        <v>0</v>
      </c>
      <c r="K33" s="31">
        <f>IF($B33=0,0, (INDEX(Option2!K$106:K$117, MATCH($D33, Option2!$G$106:$G$117,0)))*conv_2026*K$7)</f>
        <v>347561.19309877482</v>
      </c>
      <c r="L33" s="31">
        <f>IF($B33=0,0, (INDEX(Option2!L$106:L$117, MATCH($D33, Option2!$G$106:$G$117,0)))*conv_2026*L$7)</f>
        <v>349740.53340582916</v>
      </c>
      <c r="M33" s="31">
        <f>IF($B33=0,0, (INDEX(Option2!M$106:M$117, MATCH($D33, Option2!$G$106:$G$117,0)))*conv_2026*M$7)</f>
        <v>349935.74174823752</v>
      </c>
      <c r="N33" s="31">
        <f>IF($B33=0,0, (INDEX(Option2!N$106:N$117, MATCH($D33, Option2!$G$106:$G$117,0)))*conv_2026*N$7)</f>
        <v>344497.03668289003</v>
      </c>
      <c r="O33" s="31">
        <f>IF($B33=0,0, (INDEX(Option2!O$106:O$117, MATCH($D33, Option2!$G$106:$G$117,0)))*conv_2026*O$7)</f>
        <v>341235.82844115963</v>
      </c>
      <c r="P33" s="31">
        <f>IF($B33=0,0, (INDEX(Option2!P$106:P$117, MATCH($D33, Option2!$G$106:$G$117,0)))*conv_2026*P$7)</f>
        <v>341567.52661180851</v>
      </c>
      <c r="Q33" s="31">
        <f>IF($B33=0,0, (INDEX(Option2!Q$106:Q$117, MATCH($D33, Option2!$G$106:$G$117,0)))*conv_2026*Q$7)</f>
        <v>343942.39222179982</v>
      </c>
      <c r="R33" s="31">
        <f>IF($B33=0,0, (INDEX(Option2!R$106:R$117, MATCH($D33, Option2!$G$106:$G$117,0)))*conv_2026*R$7)</f>
        <v>338348.24263488018</v>
      </c>
      <c r="S33" s="31">
        <f>IF($B33=0,0, (INDEX(Option2!S$106:S$117, MATCH($D33, Option2!$G$106:$G$117,0)))*conv_2026*S$7)</f>
        <v>338372.02763509657</v>
      </c>
      <c r="T33" s="31">
        <f>IF($B33=0,0, (INDEX(Option2!T$106:T$117, MATCH($D33, Option2!$G$106:$G$117,0)))*conv_2026*T$7)</f>
        <v>338395.81263531285</v>
      </c>
      <c r="U33" s="31">
        <f>IF($B33=0,0, (INDEX(Option2!U$106:U$117, MATCH($D33, Option2!$G$106:$G$117,0)))*conv_2026*U$7)</f>
        <v>338419.5976355293</v>
      </c>
      <c r="V33" s="31">
        <f>IF($B33=0,0, (INDEX(Option2!V$106:V$117, MATCH($D33, Option2!$G$106:$G$117,0)))*conv_2026*V$7)</f>
        <v>338443.38263574557</v>
      </c>
      <c r="W33" s="31">
        <f>IF($B33=0,0, (INDEX(Option2!W$106:W$117, MATCH($D33, Option2!$G$106:$G$117,0)))*conv_2026*W$7)</f>
        <v>338467.16763596184</v>
      </c>
      <c r="X33" s="31">
        <f>IF($B33=0,0, (INDEX(Option2!X$106:X$117, MATCH($D33, Option2!$G$106:$G$117,0)))*conv_2026*X$7)</f>
        <v>338490.95263617823</v>
      </c>
      <c r="Y33" s="31">
        <f>IF($B33=0,0, (INDEX(Option2!Y$106:Y$117, MATCH($D33, Option2!$G$106:$G$117,0)))*conv_2026*Y$7)</f>
        <v>338514.73763639433</v>
      </c>
      <c r="Z33" s="31">
        <f>IF($B33=0,0, (INDEX(Option2!Z$106:Z$117, MATCH($D33, Option2!$G$106:$G$117,0)))*conv_2026*Z$7)</f>
        <v>338538.52263661078</v>
      </c>
      <c r="AA33" s="31">
        <f>IF($B33=0,0, (INDEX(Option2!AA$106:AA$117, MATCH($D33, Option2!$G$106:$G$117,0)))*conv_2026*AA$7)</f>
        <v>338562.30763682717</v>
      </c>
      <c r="AB33" s="31">
        <f>IF($B33=0,0, (INDEX(Option2!AB$106:AB$117, MATCH($D33, Option2!$G$106:$G$117,0)))*conv_2026*AB$7)</f>
        <v>338586.09263704356</v>
      </c>
      <c r="AC33" s="31">
        <f>IF($B33=0,0, (INDEX(Option2!AC$106:AC$117, MATCH($D33, Option2!$G$106:$G$117,0)))*conv_2026*AC$7)</f>
        <v>338609.87763725966</v>
      </c>
      <c r="AD33" s="31">
        <f>IF($B33=0,0, (INDEX(Option2!AD$106:AD$117, MATCH($D33, Option2!$G$106:$G$117,0)))*conv_2026*AD$7)</f>
        <v>0</v>
      </c>
      <c r="AE33" s="31">
        <f>IF($B33=0,0, (INDEX(Option2!AE$106:AE$117, MATCH($D33, Option2!$G$106:$G$117,0)))*conv_2026*AE$7)</f>
        <v>0</v>
      </c>
      <c r="AF33" s="31">
        <f>IF($B33=0,0, (INDEX(Option2!AF$106:AF$117, MATCH($D33, Option2!$G$106:$G$117,0)))*conv_2026*AF$7)</f>
        <v>0</v>
      </c>
      <c r="AG33" s="31">
        <f>IF($B33=0,0, (INDEX(Option2!AG$106:AG$117, MATCH($D33, Option2!$G$106:$G$117,0)))*conv_2026*AG$7)</f>
        <v>0</v>
      </c>
    </row>
    <row r="34" spans="1:35" s="8" customFormat="1" x14ac:dyDescent="0.2">
      <c r="A34" s="254" t="s">
        <v>131</v>
      </c>
      <c r="B34" s="254" t="str">
        <f>Option2!A114</f>
        <v>sens5</v>
      </c>
      <c r="C34" s="254" t="str">
        <f>Option2!C114</f>
        <v/>
      </c>
      <c r="D34" s="254" t="str">
        <f t="shared" si="2"/>
        <v>Option 2sens5</v>
      </c>
      <c r="E34" s="255"/>
      <c r="F34" s="31">
        <f t="shared" si="3"/>
        <v>4448817.2489603329</v>
      </c>
      <c r="H34" s="31">
        <f>IF($B34=0,0, (INDEX(Option2!H$106:H$117, MATCH($D34, Option2!$G$106:$G$117,0)))*conv_2026*H$7)</f>
        <v>0</v>
      </c>
      <c r="I34" s="31">
        <f>IF($B34=0,0, (INDEX(Option2!I$106:I$117, MATCH($D34, Option2!$G$106:$G$117,0)))*conv_2026*I$7)</f>
        <v>0</v>
      </c>
      <c r="J34" s="31">
        <f>IF($B34=0,0, (INDEX(Option2!J$106:J$117, MATCH($D34, Option2!$G$106:$G$117,0)))*conv_2026*J$7)</f>
        <v>0</v>
      </c>
      <c r="K34" s="31">
        <f>IF($B34=0,0, (INDEX(Option2!K$106:K$117, MATCH($D34, Option2!$G$106:$G$117,0)))*conv_2026*K$7)</f>
        <v>347561.19309877482</v>
      </c>
      <c r="L34" s="31">
        <f>IF($B34=0,0, (INDEX(Option2!L$106:L$117, MATCH($D34, Option2!$G$106:$G$117,0)))*conv_2026*L$7)</f>
        <v>349740.53340582916</v>
      </c>
      <c r="M34" s="31">
        <f>IF($B34=0,0, (INDEX(Option2!M$106:M$117, MATCH($D34, Option2!$G$106:$G$117,0)))*conv_2026*M$7)</f>
        <v>349935.74174823752</v>
      </c>
      <c r="N34" s="31">
        <f>IF($B34=0,0, (INDEX(Option2!N$106:N$117, MATCH($D34, Option2!$G$106:$G$117,0)))*conv_2026*N$7)</f>
        <v>344497.03668289003</v>
      </c>
      <c r="O34" s="31">
        <f>IF($B34=0,0, (INDEX(Option2!O$106:O$117, MATCH($D34, Option2!$G$106:$G$117,0)))*conv_2026*O$7)</f>
        <v>341235.82844115963</v>
      </c>
      <c r="P34" s="31">
        <f>IF($B34=0,0, (INDEX(Option2!P$106:P$117, MATCH($D34, Option2!$G$106:$G$117,0)))*conv_2026*P$7)</f>
        <v>341567.52661180851</v>
      </c>
      <c r="Q34" s="31">
        <f>IF($B34=0,0, (INDEX(Option2!Q$106:Q$117, MATCH($D34, Option2!$G$106:$G$117,0)))*conv_2026*Q$7)</f>
        <v>343942.39222179982</v>
      </c>
      <c r="R34" s="31">
        <f>IF($B34=0,0, (INDEX(Option2!R$106:R$117, MATCH($D34, Option2!$G$106:$G$117,0)))*conv_2026*R$7)</f>
        <v>338348.24263488018</v>
      </c>
      <c r="S34" s="31">
        <f>IF($B34=0,0, (INDEX(Option2!S$106:S$117, MATCH($D34, Option2!$G$106:$G$117,0)))*conv_2026*S$7)</f>
        <v>338372.02763509657</v>
      </c>
      <c r="T34" s="31">
        <f>IF($B34=0,0, (INDEX(Option2!T$106:T$117, MATCH($D34, Option2!$G$106:$G$117,0)))*conv_2026*T$7)</f>
        <v>338395.81263531285</v>
      </c>
      <c r="U34" s="31">
        <f>IF($B34=0,0, (INDEX(Option2!U$106:U$117, MATCH($D34, Option2!$G$106:$G$117,0)))*conv_2026*U$7)</f>
        <v>338419.5976355293</v>
      </c>
      <c r="V34" s="31">
        <f>IF($B34=0,0, (INDEX(Option2!V$106:V$117, MATCH($D34, Option2!$G$106:$G$117,0)))*conv_2026*V$7)</f>
        <v>338443.38263574557</v>
      </c>
      <c r="W34" s="31">
        <f>IF($B34=0,0, (INDEX(Option2!W$106:W$117, MATCH($D34, Option2!$G$106:$G$117,0)))*conv_2026*W$7)</f>
        <v>338467.16763596184</v>
      </c>
      <c r="X34" s="31">
        <f>IF($B34=0,0, (INDEX(Option2!X$106:X$117, MATCH($D34, Option2!$G$106:$G$117,0)))*conv_2026*X$7)</f>
        <v>338490.95263617823</v>
      </c>
      <c r="Y34" s="31">
        <f>IF($B34=0,0, (INDEX(Option2!Y$106:Y$117, MATCH($D34, Option2!$G$106:$G$117,0)))*conv_2026*Y$7)</f>
        <v>338514.73763639433</v>
      </c>
      <c r="Z34" s="31">
        <f>IF($B34=0,0, (INDEX(Option2!Z$106:Z$117, MATCH($D34, Option2!$G$106:$G$117,0)))*conv_2026*Z$7)</f>
        <v>338538.52263661078</v>
      </c>
      <c r="AA34" s="31">
        <f>IF($B34=0,0, (INDEX(Option2!AA$106:AA$117, MATCH($D34, Option2!$G$106:$G$117,0)))*conv_2026*AA$7)</f>
        <v>338562.30763682717</v>
      </c>
      <c r="AB34" s="31">
        <f>IF($B34=0,0, (INDEX(Option2!AB$106:AB$117, MATCH($D34, Option2!$G$106:$G$117,0)))*conv_2026*AB$7)</f>
        <v>338586.09263704356</v>
      </c>
      <c r="AC34" s="31">
        <f>IF($B34=0,0, (INDEX(Option2!AC$106:AC$117, MATCH($D34, Option2!$G$106:$G$117,0)))*conv_2026*AC$7)</f>
        <v>338609.87763725966</v>
      </c>
      <c r="AD34" s="31">
        <f>IF($B34=0,0, (INDEX(Option2!AD$106:AD$117, MATCH($D34, Option2!$G$106:$G$117,0)))*conv_2026*AD$7)</f>
        <v>0</v>
      </c>
      <c r="AE34" s="31">
        <f>IF($B34=0,0, (INDEX(Option2!AE$106:AE$117, MATCH($D34, Option2!$G$106:$G$117,0)))*conv_2026*AE$7)</f>
        <v>0</v>
      </c>
      <c r="AF34" s="31">
        <f>IF($B34=0,0, (INDEX(Option2!AF$106:AF$117, MATCH($D34, Option2!$G$106:$G$117,0)))*conv_2026*AF$7)</f>
        <v>0</v>
      </c>
      <c r="AG34" s="31">
        <f>IF($B34=0,0, (INDEX(Option2!AG$106:AG$117, MATCH($D34, Option2!$G$106:$G$117,0)))*conv_2026*AG$7)</f>
        <v>0</v>
      </c>
    </row>
    <row r="35" spans="1:35" s="8" customFormat="1" x14ac:dyDescent="0.2">
      <c r="A35" s="254" t="s">
        <v>131</v>
      </c>
      <c r="B35" s="254" t="str">
        <f>Option2!A115</f>
        <v>sens</v>
      </c>
      <c r="C35" s="254">
        <f>Option2!C115</f>
        <v>0</v>
      </c>
      <c r="D35" s="254" t="str">
        <f t="shared" si="2"/>
        <v>Option 2sens</v>
      </c>
      <c r="E35" s="255"/>
      <c r="F35" s="31">
        <f t="shared" si="3"/>
        <v>4448817.2489603329</v>
      </c>
      <c r="H35" s="31">
        <f>IF($B35=0,0, (INDEX(Option2!H$106:H$117, MATCH($D35, Option2!$G$106:$G$117,0)))*conv_2026*H$7)</f>
        <v>0</v>
      </c>
      <c r="I35" s="31">
        <f>IF($B35=0,0, (INDEX(Option2!I$106:I$117, MATCH($D35, Option2!$G$106:$G$117,0)))*conv_2026*I$7)</f>
        <v>0</v>
      </c>
      <c r="J35" s="31">
        <f>IF($B35=0,0, (INDEX(Option2!J$106:J$117, MATCH($D35, Option2!$G$106:$G$117,0)))*conv_2026*J$7)</f>
        <v>0</v>
      </c>
      <c r="K35" s="31">
        <f>IF($B35=0,0, (INDEX(Option2!K$106:K$117, MATCH($D35, Option2!$G$106:$G$117,0)))*conv_2026*K$7)</f>
        <v>347561.19309877482</v>
      </c>
      <c r="L35" s="31">
        <f>IF($B35=0,0, (INDEX(Option2!L$106:L$117, MATCH($D35, Option2!$G$106:$G$117,0)))*conv_2026*L$7)</f>
        <v>349740.53340582916</v>
      </c>
      <c r="M35" s="31">
        <f>IF($B35=0,0, (INDEX(Option2!M$106:M$117, MATCH($D35, Option2!$G$106:$G$117,0)))*conv_2026*M$7)</f>
        <v>349935.74174823752</v>
      </c>
      <c r="N35" s="31">
        <f>IF($B35=0,0, (INDEX(Option2!N$106:N$117, MATCH($D35, Option2!$G$106:$G$117,0)))*conv_2026*N$7)</f>
        <v>344497.03668289003</v>
      </c>
      <c r="O35" s="31">
        <f>IF($B35=0,0, (INDEX(Option2!O$106:O$117, MATCH($D35, Option2!$G$106:$G$117,0)))*conv_2026*O$7)</f>
        <v>341235.82844115963</v>
      </c>
      <c r="P35" s="31">
        <f>IF($B35=0,0, (INDEX(Option2!P$106:P$117, MATCH($D35, Option2!$G$106:$G$117,0)))*conv_2026*P$7)</f>
        <v>341567.52661180851</v>
      </c>
      <c r="Q35" s="31">
        <f>IF($B35=0,0, (INDEX(Option2!Q$106:Q$117, MATCH($D35, Option2!$G$106:$G$117,0)))*conv_2026*Q$7)</f>
        <v>343942.39222179982</v>
      </c>
      <c r="R35" s="31">
        <f>IF($B35=0,0, (INDEX(Option2!R$106:R$117, MATCH($D35, Option2!$G$106:$G$117,0)))*conv_2026*R$7)</f>
        <v>338348.24263488018</v>
      </c>
      <c r="S35" s="31">
        <f>IF($B35=0,0, (INDEX(Option2!S$106:S$117, MATCH($D35, Option2!$G$106:$G$117,0)))*conv_2026*S$7)</f>
        <v>338372.02763509657</v>
      </c>
      <c r="T35" s="31">
        <f>IF($B35=0,0, (INDEX(Option2!T$106:T$117, MATCH($D35, Option2!$G$106:$G$117,0)))*conv_2026*T$7)</f>
        <v>338395.81263531285</v>
      </c>
      <c r="U35" s="31">
        <f>IF($B35=0,0, (INDEX(Option2!U$106:U$117, MATCH($D35, Option2!$G$106:$G$117,0)))*conv_2026*U$7)</f>
        <v>338419.5976355293</v>
      </c>
      <c r="V35" s="31">
        <f>IF($B35=0,0, (INDEX(Option2!V$106:V$117, MATCH($D35, Option2!$G$106:$G$117,0)))*conv_2026*V$7)</f>
        <v>338443.38263574557</v>
      </c>
      <c r="W35" s="31">
        <f>IF($B35=0,0, (INDEX(Option2!W$106:W$117, MATCH($D35, Option2!$G$106:$G$117,0)))*conv_2026*W$7)</f>
        <v>338467.16763596184</v>
      </c>
      <c r="X35" s="31">
        <f>IF($B35=0,0, (INDEX(Option2!X$106:X$117, MATCH($D35, Option2!$G$106:$G$117,0)))*conv_2026*X$7)</f>
        <v>338490.95263617823</v>
      </c>
      <c r="Y35" s="31">
        <f>IF($B35=0,0, (INDEX(Option2!Y$106:Y$117, MATCH($D35, Option2!$G$106:$G$117,0)))*conv_2026*Y$7)</f>
        <v>338514.73763639433</v>
      </c>
      <c r="Z35" s="31">
        <f>IF($B35=0,0, (INDEX(Option2!Z$106:Z$117, MATCH($D35, Option2!$G$106:$G$117,0)))*conv_2026*Z$7)</f>
        <v>338538.52263661078</v>
      </c>
      <c r="AA35" s="31">
        <f>IF($B35=0,0, (INDEX(Option2!AA$106:AA$117, MATCH($D35, Option2!$G$106:$G$117,0)))*conv_2026*AA$7)</f>
        <v>338562.30763682717</v>
      </c>
      <c r="AB35" s="31">
        <f>IF($B35=0,0, (INDEX(Option2!AB$106:AB$117, MATCH($D35, Option2!$G$106:$G$117,0)))*conv_2026*AB$7)</f>
        <v>338586.09263704356</v>
      </c>
      <c r="AC35" s="31">
        <f>IF($B35=0,0, (INDEX(Option2!AC$106:AC$117, MATCH($D35, Option2!$G$106:$G$117,0)))*conv_2026*AC$7)</f>
        <v>338609.87763725966</v>
      </c>
      <c r="AD35" s="31">
        <f>IF($B35=0,0, (INDEX(Option2!AD$106:AD$117, MATCH($D35, Option2!$G$106:$G$117,0)))*conv_2026*AD$7)</f>
        <v>0</v>
      </c>
      <c r="AE35" s="31">
        <f>IF($B35=0,0, (INDEX(Option2!AE$106:AE$117, MATCH($D35, Option2!$G$106:$G$117,0)))*conv_2026*AE$7)</f>
        <v>0</v>
      </c>
      <c r="AF35" s="31">
        <f>IF($B35=0,0, (INDEX(Option2!AF$106:AF$117, MATCH($D35, Option2!$G$106:$G$117,0)))*conv_2026*AF$7)</f>
        <v>0</v>
      </c>
      <c r="AG35" s="31">
        <f>IF($B35=0,0, (INDEX(Option2!AG$106:AG$117, MATCH($D35, Option2!$G$106:$G$117,0)))*conv_2026*AG$7)</f>
        <v>0</v>
      </c>
    </row>
    <row r="36" spans="1:35" s="8" customFormat="1" x14ac:dyDescent="0.2">
      <c r="A36" s="254" t="s">
        <v>131</v>
      </c>
      <c r="B36" s="254" t="str">
        <f>Option2!A116</f>
        <v>sens</v>
      </c>
      <c r="C36" s="254">
        <f>Option2!C116</f>
        <v>0</v>
      </c>
      <c r="D36" s="254" t="str">
        <f t="shared" si="2"/>
        <v>Option 2sens</v>
      </c>
      <c r="E36" s="255"/>
      <c r="F36" s="31">
        <f t="shared" si="3"/>
        <v>4448817.2489603329</v>
      </c>
      <c r="H36" s="31">
        <f>IF($B36=0,0, (INDEX(Option2!H$106:H$117, MATCH($D36, Option2!$G$106:$G$117,0)))*conv_2026*H$7)</f>
        <v>0</v>
      </c>
      <c r="I36" s="31">
        <f>IF($B36=0,0, (INDEX(Option2!I$106:I$117, MATCH($D36, Option2!$G$106:$G$117,0)))*conv_2026*I$7)</f>
        <v>0</v>
      </c>
      <c r="J36" s="31">
        <f>IF($B36=0,0, (INDEX(Option2!J$106:J$117, MATCH($D36, Option2!$G$106:$G$117,0)))*conv_2026*J$7)</f>
        <v>0</v>
      </c>
      <c r="K36" s="31">
        <f>IF($B36=0,0, (INDEX(Option2!K$106:K$117, MATCH($D36, Option2!$G$106:$G$117,0)))*conv_2026*K$7)</f>
        <v>347561.19309877482</v>
      </c>
      <c r="L36" s="31">
        <f>IF($B36=0,0, (INDEX(Option2!L$106:L$117, MATCH($D36, Option2!$G$106:$G$117,0)))*conv_2026*L$7)</f>
        <v>349740.53340582916</v>
      </c>
      <c r="M36" s="31">
        <f>IF($B36=0,0, (INDEX(Option2!M$106:M$117, MATCH($D36, Option2!$G$106:$G$117,0)))*conv_2026*M$7)</f>
        <v>349935.74174823752</v>
      </c>
      <c r="N36" s="31">
        <f>IF($B36=0,0, (INDEX(Option2!N$106:N$117, MATCH($D36, Option2!$G$106:$G$117,0)))*conv_2026*N$7)</f>
        <v>344497.03668289003</v>
      </c>
      <c r="O36" s="31">
        <f>IF($B36=0,0, (INDEX(Option2!O$106:O$117, MATCH($D36, Option2!$G$106:$G$117,0)))*conv_2026*O$7)</f>
        <v>341235.82844115963</v>
      </c>
      <c r="P36" s="31">
        <f>IF($B36=0,0, (INDEX(Option2!P$106:P$117, MATCH($D36, Option2!$G$106:$G$117,0)))*conv_2026*P$7)</f>
        <v>341567.52661180851</v>
      </c>
      <c r="Q36" s="31">
        <f>IF($B36=0,0, (INDEX(Option2!Q$106:Q$117, MATCH($D36, Option2!$G$106:$G$117,0)))*conv_2026*Q$7)</f>
        <v>343942.39222179982</v>
      </c>
      <c r="R36" s="31">
        <f>IF($B36=0,0, (INDEX(Option2!R$106:R$117, MATCH($D36, Option2!$G$106:$G$117,0)))*conv_2026*R$7)</f>
        <v>338348.24263488018</v>
      </c>
      <c r="S36" s="31">
        <f>IF($B36=0,0, (INDEX(Option2!S$106:S$117, MATCH($D36, Option2!$G$106:$G$117,0)))*conv_2026*S$7)</f>
        <v>338372.02763509657</v>
      </c>
      <c r="T36" s="31">
        <f>IF($B36=0,0, (INDEX(Option2!T$106:T$117, MATCH($D36, Option2!$G$106:$G$117,0)))*conv_2026*T$7)</f>
        <v>338395.81263531285</v>
      </c>
      <c r="U36" s="31">
        <f>IF($B36=0,0, (INDEX(Option2!U$106:U$117, MATCH($D36, Option2!$G$106:$G$117,0)))*conv_2026*U$7)</f>
        <v>338419.5976355293</v>
      </c>
      <c r="V36" s="31">
        <f>IF($B36=0,0, (INDEX(Option2!V$106:V$117, MATCH($D36, Option2!$G$106:$G$117,0)))*conv_2026*V$7)</f>
        <v>338443.38263574557</v>
      </c>
      <c r="W36" s="31">
        <f>IF($B36=0,0, (INDEX(Option2!W$106:W$117, MATCH($D36, Option2!$G$106:$G$117,0)))*conv_2026*W$7)</f>
        <v>338467.16763596184</v>
      </c>
      <c r="X36" s="31">
        <f>IF($B36=0,0, (INDEX(Option2!X$106:X$117, MATCH($D36, Option2!$G$106:$G$117,0)))*conv_2026*X$7)</f>
        <v>338490.95263617823</v>
      </c>
      <c r="Y36" s="31">
        <f>IF($B36=0,0, (INDEX(Option2!Y$106:Y$117, MATCH($D36, Option2!$G$106:$G$117,0)))*conv_2026*Y$7)</f>
        <v>338514.73763639433</v>
      </c>
      <c r="Z36" s="31">
        <f>IF($B36=0,0, (INDEX(Option2!Z$106:Z$117, MATCH($D36, Option2!$G$106:$G$117,0)))*conv_2026*Z$7)</f>
        <v>338538.52263661078</v>
      </c>
      <c r="AA36" s="31">
        <f>IF($B36=0,0, (INDEX(Option2!AA$106:AA$117, MATCH($D36, Option2!$G$106:$G$117,0)))*conv_2026*AA$7)</f>
        <v>338562.30763682717</v>
      </c>
      <c r="AB36" s="31">
        <f>IF($B36=0,0, (INDEX(Option2!AB$106:AB$117, MATCH($D36, Option2!$G$106:$G$117,0)))*conv_2026*AB$7)</f>
        <v>338586.09263704356</v>
      </c>
      <c r="AC36" s="31">
        <f>IF($B36=0,0, (INDEX(Option2!AC$106:AC$117, MATCH($D36, Option2!$G$106:$G$117,0)))*conv_2026*AC$7)</f>
        <v>338609.87763725966</v>
      </c>
      <c r="AD36" s="31">
        <f>IF($B36=0,0, (INDEX(Option2!AD$106:AD$117, MATCH($D36, Option2!$G$106:$G$117,0)))*conv_2026*AD$7)</f>
        <v>0</v>
      </c>
      <c r="AE36" s="31">
        <f>IF($B36=0,0, (INDEX(Option2!AE$106:AE$117, MATCH($D36, Option2!$G$106:$G$117,0)))*conv_2026*AE$7)</f>
        <v>0</v>
      </c>
      <c r="AF36" s="31">
        <f>IF($B36=0,0, (INDEX(Option2!AF$106:AF$117, MATCH($D36, Option2!$G$106:$G$117,0)))*conv_2026*AF$7)</f>
        <v>0</v>
      </c>
      <c r="AG36" s="31">
        <f>IF($B36=0,0, (INDEX(Option2!AG$106:AG$117, MATCH($D36, Option2!$G$106:$G$117,0)))*conv_2026*AG$7)</f>
        <v>0</v>
      </c>
    </row>
    <row r="37" spans="1:35" s="8" customFormat="1" x14ac:dyDescent="0.2">
      <c r="A37" s="254" t="s">
        <v>131</v>
      </c>
      <c r="B37" s="254" t="str">
        <f>Option2!A117</f>
        <v>sens</v>
      </c>
      <c r="C37" s="254">
        <f>Option2!C117</f>
        <v>0</v>
      </c>
      <c r="D37" s="254" t="str">
        <f t="shared" si="2"/>
        <v>Option 2sens</v>
      </c>
      <c r="E37" s="255"/>
      <c r="F37" s="31">
        <f t="shared" si="3"/>
        <v>4448817.2489603329</v>
      </c>
      <c r="H37" s="31">
        <f>IF($B37=0,0, (INDEX(Option2!H$106:H$117, MATCH($D37, Option2!$G$106:$G$117,0)))*conv_2026*H$7)</f>
        <v>0</v>
      </c>
      <c r="I37" s="31">
        <f>IF($B37=0,0, (INDEX(Option2!I$106:I$117, MATCH($D37, Option2!$G$106:$G$117,0)))*conv_2026*I$7)</f>
        <v>0</v>
      </c>
      <c r="J37" s="31">
        <f>IF($B37=0,0, (INDEX(Option2!J$106:J$117, MATCH($D37, Option2!$G$106:$G$117,0)))*conv_2026*J$7)</f>
        <v>0</v>
      </c>
      <c r="K37" s="31">
        <f>IF($B37=0,0, (INDEX(Option2!K$106:K$117, MATCH($D37, Option2!$G$106:$G$117,0)))*conv_2026*K$7)</f>
        <v>347561.19309877482</v>
      </c>
      <c r="L37" s="31">
        <f>IF($B37=0,0, (INDEX(Option2!L$106:L$117, MATCH($D37, Option2!$G$106:$G$117,0)))*conv_2026*L$7)</f>
        <v>349740.53340582916</v>
      </c>
      <c r="M37" s="31">
        <f>IF($B37=0,0, (INDEX(Option2!M$106:M$117, MATCH($D37, Option2!$G$106:$G$117,0)))*conv_2026*M$7)</f>
        <v>349935.74174823752</v>
      </c>
      <c r="N37" s="31">
        <f>IF($B37=0,0, (INDEX(Option2!N$106:N$117, MATCH($D37, Option2!$G$106:$G$117,0)))*conv_2026*N$7)</f>
        <v>344497.03668289003</v>
      </c>
      <c r="O37" s="31">
        <f>IF($B37=0,0, (INDEX(Option2!O$106:O$117, MATCH($D37, Option2!$G$106:$G$117,0)))*conv_2026*O$7)</f>
        <v>341235.82844115963</v>
      </c>
      <c r="P37" s="31">
        <f>IF($B37=0,0, (INDEX(Option2!P$106:P$117, MATCH($D37, Option2!$G$106:$G$117,0)))*conv_2026*P$7)</f>
        <v>341567.52661180851</v>
      </c>
      <c r="Q37" s="31">
        <f>IF($B37=0,0, (INDEX(Option2!Q$106:Q$117, MATCH($D37, Option2!$G$106:$G$117,0)))*conv_2026*Q$7)</f>
        <v>343942.39222179982</v>
      </c>
      <c r="R37" s="31">
        <f>IF($B37=0,0, (INDEX(Option2!R$106:R$117, MATCH($D37, Option2!$G$106:$G$117,0)))*conv_2026*R$7)</f>
        <v>338348.24263488018</v>
      </c>
      <c r="S37" s="31">
        <f>IF($B37=0,0, (INDEX(Option2!S$106:S$117, MATCH($D37, Option2!$G$106:$G$117,0)))*conv_2026*S$7)</f>
        <v>338372.02763509657</v>
      </c>
      <c r="T37" s="31">
        <f>IF($B37=0,0, (INDEX(Option2!T$106:T$117, MATCH($D37, Option2!$G$106:$G$117,0)))*conv_2026*T$7)</f>
        <v>338395.81263531285</v>
      </c>
      <c r="U37" s="31">
        <f>IF($B37=0,0, (INDEX(Option2!U$106:U$117, MATCH($D37, Option2!$G$106:$G$117,0)))*conv_2026*U$7)</f>
        <v>338419.5976355293</v>
      </c>
      <c r="V37" s="31">
        <f>IF($B37=0,0, (INDEX(Option2!V$106:V$117, MATCH($D37, Option2!$G$106:$G$117,0)))*conv_2026*V$7)</f>
        <v>338443.38263574557</v>
      </c>
      <c r="W37" s="31">
        <f>IF($B37=0,0, (INDEX(Option2!W$106:W$117, MATCH($D37, Option2!$G$106:$G$117,0)))*conv_2026*W$7)</f>
        <v>338467.16763596184</v>
      </c>
      <c r="X37" s="31">
        <f>IF($B37=0,0, (INDEX(Option2!X$106:X$117, MATCH($D37, Option2!$G$106:$G$117,0)))*conv_2026*X$7)</f>
        <v>338490.95263617823</v>
      </c>
      <c r="Y37" s="31">
        <f>IF($B37=0,0, (INDEX(Option2!Y$106:Y$117, MATCH($D37, Option2!$G$106:$G$117,0)))*conv_2026*Y$7)</f>
        <v>338514.73763639433</v>
      </c>
      <c r="Z37" s="31">
        <f>IF($B37=0,0, (INDEX(Option2!Z$106:Z$117, MATCH($D37, Option2!$G$106:$G$117,0)))*conv_2026*Z$7)</f>
        <v>338538.52263661078</v>
      </c>
      <c r="AA37" s="31">
        <f>IF($B37=0,0, (INDEX(Option2!AA$106:AA$117, MATCH($D37, Option2!$G$106:$G$117,0)))*conv_2026*AA$7)</f>
        <v>338562.30763682717</v>
      </c>
      <c r="AB37" s="31">
        <f>IF($B37=0,0, (INDEX(Option2!AB$106:AB$117, MATCH($D37, Option2!$G$106:$G$117,0)))*conv_2026*AB$7)</f>
        <v>338586.09263704356</v>
      </c>
      <c r="AC37" s="31">
        <f>IF($B37=0,0, (INDEX(Option2!AC$106:AC$117, MATCH($D37, Option2!$G$106:$G$117,0)))*conv_2026*AC$7)</f>
        <v>338609.87763725966</v>
      </c>
      <c r="AD37" s="31">
        <f>IF($B37=0,0, (INDEX(Option2!AD$106:AD$117, MATCH($D37, Option2!$G$106:$G$117,0)))*conv_2026*AD$7)</f>
        <v>0</v>
      </c>
      <c r="AE37" s="31">
        <f>IF($B37=0,0, (INDEX(Option2!AE$106:AE$117, MATCH($D37, Option2!$G$106:$G$117,0)))*conv_2026*AE$7)</f>
        <v>0</v>
      </c>
      <c r="AF37" s="31">
        <f>IF($B37=0,0, (INDEX(Option2!AF$106:AF$117, MATCH($D37, Option2!$G$106:$G$117,0)))*conv_2026*AF$7)</f>
        <v>0</v>
      </c>
      <c r="AG37" s="31">
        <f>IF($B37=0,0, (INDEX(Option2!AG$106:AG$117, MATCH($D37, Option2!$G$106:$G$117,0)))*conv_2026*AG$7)</f>
        <v>0</v>
      </c>
    </row>
    <row r="38" spans="1:35" s="8" customFormat="1" x14ac:dyDescent="0.2">
      <c r="A38" s="254"/>
      <c r="B38" s="254"/>
      <c r="C38" s="254"/>
      <c r="D38" s="254"/>
      <c r="E38" s="254"/>
      <c r="F38" s="31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</row>
    <row r="39" spans="1:35" s="8" customFormat="1" x14ac:dyDescent="0.2">
      <c r="A39" s="254"/>
      <c r="B39" s="254"/>
      <c r="C39" s="254"/>
      <c r="D39" s="254"/>
      <c r="E39" s="254"/>
      <c r="F39" s="31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</row>
    <row r="40" spans="1:35" s="8" customFormat="1" x14ac:dyDescent="0.2">
      <c r="A40" s="254"/>
      <c r="B40" s="254"/>
      <c r="C40" s="254"/>
      <c r="D40" s="254"/>
      <c r="E40" s="254"/>
      <c r="F40" s="31"/>
      <c r="H40" s="31">
        <f>Consol!H50</f>
        <v>0</v>
      </c>
      <c r="I40" s="31">
        <f>Consol!I50</f>
        <v>0</v>
      </c>
      <c r="J40" s="31">
        <f>Consol!J50</f>
        <v>0</v>
      </c>
      <c r="K40" s="31">
        <f>Consol!K50</f>
        <v>-26826.104633012787</v>
      </c>
      <c r="L40" s="31">
        <f>Consol!L50</f>
        <v>-24646.764325958415</v>
      </c>
      <c r="M40" s="31">
        <f>Consol!M50</f>
        <v>-24451.555983549973</v>
      </c>
      <c r="N40" s="31">
        <f>Consol!N50</f>
        <v>-29890.261048897548</v>
      </c>
      <c r="O40" s="31">
        <f>Consol!O50</f>
        <v>-33151.469290627923</v>
      </c>
      <c r="P40" s="31">
        <f>Consol!P50</f>
        <v>-32819.771119979006</v>
      </c>
      <c r="Q40" s="31">
        <f>Consol!Q50</f>
        <v>-30444.9055099877</v>
      </c>
      <c r="R40" s="31">
        <f>Consol!R50</f>
        <v>-36039.055096907367</v>
      </c>
      <c r="S40" s="31">
        <f>Consol!S50</f>
        <v>-36015.270096690947</v>
      </c>
      <c r="T40" s="31">
        <f>Consol!T50</f>
        <v>-35991.485096474673</v>
      </c>
      <c r="U40" s="31">
        <f>Consol!U50</f>
        <v>-35967.700096258253</v>
      </c>
      <c r="V40" s="31">
        <f>Consol!V50</f>
        <v>-35943.915096041979</v>
      </c>
      <c r="W40" s="31">
        <f>Consol!W50</f>
        <v>-35920.130095825734</v>
      </c>
      <c r="X40" s="31">
        <f>Consol!X50</f>
        <v>-35896.345095609315</v>
      </c>
      <c r="Y40" s="31">
        <f>Consol!Y50</f>
        <v>-35872.560095393157</v>
      </c>
      <c r="Z40" s="31">
        <f>Consol!Z50</f>
        <v>-35848.775095176825</v>
      </c>
      <c r="AA40" s="31">
        <f>Consol!AA50</f>
        <v>-35824.990094960347</v>
      </c>
      <c r="AB40" s="31">
        <f>Consol!AB50</f>
        <v>-35801.205094743957</v>
      </c>
      <c r="AC40" s="31">
        <f>Consol!AC50</f>
        <v>-35777.420094527886</v>
      </c>
      <c r="AD40" s="31">
        <f>Consol!AD50</f>
        <v>0</v>
      </c>
      <c r="AE40" s="31">
        <f>Consol!AE50</f>
        <v>0</v>
      </c>
      <c r="AF40" s="31">
        <f>Consol!AF50</f>
        <v>0</v>
      </c>
      <c r="AG40" s="31">
        <f>Consol!AG50</f>
        <v>0</v>
      </c>
    </row>
    <row r="41" spans="1:35" s="8" customFormat="1" x14ac:dyDescent="0.2">
      <c r="A41" s="254"/>
      <c r="B41" s="254"/>
      <c r="C41" s="254"/>
      <c r="D41" s="254"/>
      <c r="E41" s="254"/>
      <c r="F41" s="31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</row>
    <row r="42" spans="1:35" s="8" customFormat="1" x14ac:dyDescent="0.2">
      <c r="A42" s="254" t="s">
        <v>132</v>
      </c>
      <c r="B42" s="254" t="s">
        <v>119</v>
      </c>
      <c r="C42" s="254" t="s">
        <v>192</v>
      </c>
      <c r="D42" s="254" t="str">
        <f>A42&amp;B42</f>
        <v>Option 3NPV</v>
      </c>
      <c r="E42" s="255"/>
      <c r="F42" s="31">
        <f t="shared" ref="F42:F51" si="4">SUMPRODUCT($H42:$AG42, $H$5:$AG$5)</f>
        <v>-425826.53974662512</v>
      </c>
      <c r="G42" s="247"/>
      <c r="H42" s="31">
        <f>(INDEX(Option3!H$106:H$117, MATCH($D42, Option3!$G$106:$G$117,0)))*conv_2026*H$7</f>
        <v>0</v>
      </c>
      <c r="I42" s="31">
        <f>(INDEX(Option3!I$106:I$117, MATCH($D42, Option3!$G$106:$G$117,0)))*conv_2026*I$7</f>
        <v>0</v>
      </c>
      <c r="J42" s="31">
        <f>(INDEX(Option3!J$106:J$117, MATCH($D42, Option3!$G$106:$G$117,0)))*conv_2026*J$7</f>
        <v>0</v>
      </c>
      <c r="K42" s="31">
        <f>(INDEX(Option3!K$106:K$117, MATCH($D42, Option3!$G$106:$G$117,0)))*conv_2026*K$7</f>
        <v>-26826.104633012761</v>
      </c>
      <c r="L42" s="31">
        <f>(INDEX(Option3!L$106:L$117, MATCH($D42, Option3!$G$106:$G$117,0)))*conv_2026*L$7</f>
        <v>-24646.764325958378</v>
      </c>
      <c r="M42" s="31">
        <f>(INDEX(Option3!M$106:M$117, MATCH($D42, Option3!$G$106:$G$117,0)))*conv_2026*M$7</f>
        <v>-24451.555983549995</v>
      </c>
      <c r="N42" s="31">
        <f>(INDEX(Option3!N$106:N$117, MATCH($D42, Option3!$G$106:$G$117,0)))*conv_2026*N$7</f>
        <v>-29890.261048897522</v>
      </c>
      <c r="O42" s="31">
        <f>(INDEX(Option3!O$106:O$117, MATCH($D42, Option3!$G$106:$G$117,0)))*conv_2026*O$7</f>
        <v>-33151.469290627916</v>
      </c>
      <c r="P42" s="31">
        <f>(INDEX(Option3!P$106:P$117, MATCH($D42, Option3!$G$106:$G$117,0)))*conv_2026*P$7</f>
        <v>-32819.771119978992</v>
      </c>
      <c r="Q42" s="31">
        <f>(INDEX(Option3!Q$106:Q$117, MATCH($D42, Option3!$G$106:$G$117,0)))*conv_2026*Q$7</f>
        <v>-30444.905509987671</v>
      </c>
      <c r="R42" s="31">
        <f>(INDEX(Option3!R$106:R$117, MATCH($D42, Option3!$G$106:$G$117,0)))*conv_2026*R$7</f>
        <v>-36039.055096907337</v>
      </c>
      <c r="S42" s="31">
        <f>(INDEX(Option3!S$106:S$117, MATCH($D42, Option3!$G$106:$G$117,0)))*conv_2026*S$7</f>
        <v>-36015.27009669094</v>
      </c>
      <c r="T42" s="31">
        <f>(INDEX(Option3!T$106:T$117, MATCH($D42, Option3!$G$106:$G$117,0)))*conv_2026*T$7</f>
        <v>-35991.485096474629</v>
      </c>
      <c r="U42" s="31">
        <f>(INDEX(Option3!U$106:U$117, MATCH($D42, Option3!$G$106:$G$117,0)))*conv_2026*U$7</f>
        <v>-35967.700096258224</v>
      </c>
      <c r="V42" s="31">
        <f>(INDEX(Option3!V$106:V$117, MATCH($D42, Option3!$G$106:$G$117,0)))*conv_2026*V$7</f>
        <v>-35943.915096041987</v>
      </c>
      <c r="W42" s="31">
        <f>(INDEX(Option3!W$106:W$117, MATCH($D42, Option3!$G$106:$G$117,0)))*conv_2026*W$7</f>
        <v>-35920.130095825712</v>
      </c>
      <c r="X42" s="31">
        <f>(INDEX(Option3!X$106:X$117, MATCH($D42, Option3!$G$106:$G$117,0)))*conv_2026*X$7</f>
        <v>-35896.345095609344</v>
      </c>
      <c r="Y42" s="31">
        <f>(INDEX(Option3!Y$106:Y$117, MATCH($D42, Option3!$G$106:$G$117,0)))*conv_2026*Y$7</f>
        <v>-35872.560095393164</v>
      </c>
      <c r="Z42" s="31">
        <f>(INDEX(Option3!Z$106:Z$117, MATCH($D42, Option3!$G$106:$G$117,0)))*conv_2026*Z$7</f>
        <v>-35848.775095176796</v>
      </c>
      <c r="AA42" s="31">
        <f>(INDEX(Option3!AA$106:AA$117, MATCH($D42, Option3!$G$106:$G$117,0)))*conv_2026*AA$7</f>
        <v>-35824.990094960325</v>
      </c>
      <c r="AB42" s="31">
        <f>(INDEX(Option3!AB$106:AB$117, MATCH($D42, Option3!$G$106:$G$117,0)))*conv_2026*AB$7</f>
        <v>-35801.205094743957</v>
      </c>
      <c r="AC42" s="31">
        <f>(INDEX(Option3!AC$106:AC$117, MATCH($D42, Option3!$G$106:$G$117,0)))*conv_2026*AC$7</f>
        <v>-35777.420094527872</v>
      </c>
      <c r="AD42" s="31">
        <f>(INDEX(Option3!AD$106:AD$117, MATCH($D42, Option3!$G$106:$G$117,0)))*conv_2026*AD$7</f>
        <v>0</v>
      </c>
      <c r="AE42" s="31">
        <f>(INDEX(Option3!AE$106:AE$117, MATCH($D42, Option3!$G$106:$G$117,0)))*conv_2026*AE$7</f>
        <v>0</v>
      </c>
      <c r="AF42" s="31">
        <f>(INDEX(Option3!AF$106:AF$117, MATCH($D42, Option3!$G$106:$G$117,0)))*conv_2026*AF$7</f>
        <v>0</v>
      </c>
      <c r="AG42" s="31">
        <f>(INDEX(Option3!AG$106:AG$117, MATCH($D42, Option3!$G$106:$G$117,0)))*conv_2026*AG$7</f>
        <v>0</v>
      </c>
      <c r="AH42" s="7"/>
      <c r="AI42" s="7"/>
    </row>
    <row r="43" spans="1:35" s="8" customFormat="1" x14ac:dyDescent="0.2">
      <c r="A43" s="246"/>
      <c r="B43" s="246"/>
      <c r="C43" s="246"/>
      <c r="D43" s="246"/>
      <c r="E43" s="246"/>
      <c r="F43" s="246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7"/>
      <c r="AI43" s="7"/>
    </row>
    <row r="44" spans="1:35" s="8" customFormat="1" x14ac:dyDescent="0.2">
      <c r="A44" s="254" t="s">
        <v>132</v>
      </c>
      <c r="B44" s="254" t="str">
        <f>Option3!A110</f>
        <v>sens1</v>
      </c>
      <c r="C44" s="254" t="str">
        <f>Option3!C110</f>
        <v>Capex 10% higher</v>
      </c>
      <c r="D44" s="254" t="str">
        <f t="shared" ref="D44:D51" si="5">A44&amp;B44</f>
        <v>Option 3sens1</v>
      </c>
      <c r="E44" s="255"/>
      <c r="F44" s="31">
        <f t="shared" si="4"/>
        <v>-1077499.3594130955</v>
      </c>
      <c r="G44" s="247"/>
      <c r="H44" s="31">
        <f>(INDEX(Option3!H$106:H$117, MATCH($D44, Option3!$G$106:$G$117,0)))*conv_2026*H$7</f>
        <v>0</v>
      </c>
      <c r="I44" s="31">
        <f>(INDEX(Option3!I$106:I$117, MATCH($D44, Option3!$G$106:$G$117,0)))*conv_2026*I$7</f>
        <v>0</v>
      </c>
      <c r="J44" s="31">
        <f>(INDEX(Option3!J$106:J$117, MATCH($D44, Option3!$G$106:$G$117,0)))*conv_2026*J$7</f>
        <v>0</v>
      </c>
      <c r="K44" s="31">
        <f>(INDEX(Option3!K$106:K$117, MATCH($D44, Option3!$G$106:$G$117,0)))*conv_2026*K$7</f>
        <v>-76876.536323099717</v>
      </c>
      <c r="L44" s="31">
        <f>(INDEX(Option3!L$106:L$117, MATCH($D44, Option3!$G$106:$G$117,0)))*conv_2026*L$7</f>
        <v>-74697.196016045331</v>
      </c>
      <c r="M44" s="31">
        <f>(INDEX(Option3!M$106:M$117, MATCH($D44, Option3!$G$106:$G$117,0)))*conv_2026*M$7</f>
        <v>-74501.987673636948</v>
      </c>
      <c r="N44" s="31">
        <f>(INDEX(Option3!N$106:N$117, MATCH($D44, Option3!$G$106:$G$117,0)))*conv_2026*N$7</f>
        <v>-79940.692738984479</v>
      </c>
      <c r="O44" s="31">
        <f>(INDEX(Option3!O$106:O$117, MATCH($D44, Option3!$G$106:$G$117,0)))*conv_2026*O$7</f>
        <v>-83201.900980714869</v>
      </c>
      <c r="P44" s="31">
        <f>(INDEX(Option3!P$106:P$117, MATCH($D44, Option3!$G$106:$G$117,0)))*conv_2026*P$7</f>
        <v>-82870.202810065952</v>
      </c>
      <c r="Q44" s="31">
        <f>(INDEX(Option3!Q$106:Q$117, MATCH($D44, Option3!$G$106:$G$117,0)))*conv_2026*Q$7</f>
        <v>-80495.337200074631</v>
      </c>
      <c r="R44" s="31">
        <f>(INDEX(Option3!R$106:R$117, MATCH($D44, Option3!$G$106:$G$117,0)))*conv_2026*R$7</f>
        <v>-86089.486786994297</v>
      </c>
      <c r="S44" s="31">
        <f>(INDEX(Option3!S$106:S$117, MATCH($D44, Option3!$G$106:$G$117,0)))*conv_2026*S$7</f>
        <v>-86065.701786777892</v>
      </c>
      <c r="T44" s="31">
        <f>(INDEX(Option3!T$106:T$117, MATCH($D44, Option3!$G$106:$G$117,0)))*conv_2026*T$7</f>
        <v>-86041.916786561589</v>
      </c>
      <c r="U44" s="31">
        <f>(INDEX(Option3!U$106:U$117, MATCH($D44, Option3!$G$106:$G$117,0)))*conv_2026*U$7</f>
        <v>-86018.131786345184</v>
      </c>
      <c r="V44" s="31">
        <f>(INDEX(Option3!V$106:V$117, MATCH($D44, Option3!$G$106:$G$117,0)))*conv_2026*V$7</f>
        <v>-85994.346786128939</v>
      </c>
      <c r="W44" s="31">
        <f>(INDEX(Option3!W$106:W$117, MATCH($D44, Option3!$G$106:$G$117,0)))*conv_2026*W$7</f>
        <v>-85970.561785912665</v>
      </c>
      <c r="X44" s="31">
        <f>(INDEX(Option3!X$106:X$117, MATCH($D44, Option3!$G$106:$G$117,0)))*conv_2026*X$7</f>
        <v>-85946.776785696304</v>
      </c>
      <c r="Y44" s="31">
        <f>(INDEX(Option3!Y$106:Y$117, MATCH($D44, Option3!$G$106:$G$117,0)))*conv_2026*Y$7</f>
        <v>-85922.991785480117</v>
      </c>
      <c r="Z44" s="31">
        <f>(INDEX(Option3!Z$106:Z$117, MATCH($D44, Option3!$G$106:$G$117,0)))*conv_2026*Z$7</f>
        <v>-85899.206785263756</v>
      </c>
      <c r="AA44" s="31">
        <f>(INDEX(Option3!AA$106:AA$117, MATCH($D44, Option3!$G$106:$G$117,0)))*conv_2026*AA$7</f>
        <v>-85875.421785047278</v>
      </c>
      <c r="AB44" s="31">
        <f>(INDEX(Option3!AB$106:AB$117, MATCH($D44, Option3!$G$106:$G$117,0)))*conv_2026*AB$7</f>
        <v>-85851.636784830916</v>
      </c>
      <c r="AC44" s="31">
        <f>(INDEX(Option3!AC$106:AC$117, MATCH($D44, Option3!$G$106:$G$117,0)))*conv_2026*AC$7</f>
        <v>-85827.851784614832</v>
      </c>
      <c r="AD44" s="31">
        <f>(INDEX(Option3!AD$106:AD$117, MATCH($D44, Option3!$G$106:$G$117,0)))*conv_2026*AD$7</f>
        <v>0</v>
      </c>
      <c r="AE44" s="31">
        <f>(INDEX(Option3!AE$106:AE$117, MATCH($D44, Option3!$G$106:$G$117,0)))*conv_2026*AE$7</f>
        <v>0</v>
      </c>
      <c r="AF44" s="31">
        <f>(INDEX(Option3!AF$106:AF$117, MATCH($D44, Option3!$G$106:$G$117,0)))*conv_2026*AF$7</f>
        <v>0</v>
      </c>
      <c r="AG44" s="31">
        <f>(INDEX(Option3!AG$106:AG$117, MATCH($D44, Option3!$G$106:$G$117,0)))*conv_2026*AG$7</f>
        <v>0</v>
      </c>
      <c r="AH44" s="7"/>
      <c r="AI44" s="7"/>
    </row>
    <row r="45" spans="1:35" s="8" customFormat="1" x14ac:dyDescent="0.2">
      <c r="A45" s="254" t="s">
        <v>132</v>
      </c>
      <c r="B45" s="254" t="str">
        <f>Option3!A111</f>
        <v>sens2</v>
      </c>
      <c r="C45" s="254" t="str">
        <f>Option3!C111</f>
        <v>Capex 10% lower</v>
      </c>
      <c r="D45" s="254" t="str">
        <f t="shared" si="5"/>
        <v>Option 3sens2</v>
      </c>
      <c r="E45" s="255"/>
      <c r="F45" s="31">
        <f t="shared" si="4"/>
        <v>225846.27991984517</v>
      </c>
      <c r="G45" s="254"/>
      <c r="H45" s="31">
        <f>(INDEX(Option3!H$106:H$117, MATCH($D45, Option3!$G$106:$G$117,0)))*conv_2026*H$7</f>
        <v>0</v>
      </c>
      <c r="I45" s="31">
        <f>(INDEX(Option3!I$106:I$117, MATCH($D45, Option3!$G$106:$G$117,0)))*conv_2026*I$7</f>
        <v>0</v>
      </c>
      <c r="J45" s="31">
        <f>(INDEX(Option3!J$106:J$117, MATCH($D45, Option3!$G$106:$G$117,0)))*conv_2026*J$7</f>
        <v>0</v>
      </c>
      <c r="K45" s="31">
        <f>(INDEX(Option3!K$106:K$117, MATCH($D45, Option3!$G$106:$G$117,0)))*conv_2026*K$7</f>
        <v>23224.327057074188</v>
      </c>
      <c r="L45" s="31">
        <f>(INDEX(Option3!L$106:L$117, MATCH($D45, Option3!$G$106:$G$117,0)))*conv_2026*L$7</f>
        <v>25403.667364128571</v>
      </c>
      <c r="M45" s="31">
        <f>(INDEX(Option3!M$106:M$117, MATCH($D45, Option3!$G$106:$G$117,0)))*conv_2026*M$7</f>
        <v>25598.875706536954</v>
      </c>
      <c r="N45" s="31">
        <f>(INDEX(Option3!N$106:N$117, MATCH($D45, Option3!$G$106:$G$117,0)))*conv_2026*N$7</f>
        <v>20160.17064118943</v>
      </c>
      <c r="O45" s="31">
        <f>(INDEX(Option3!O$106:O$117, MATCH($D45, Option3!$G$106:$G$117,0)))*conv_2026*O$7</f>
        <v>16898.962399459037</v>
      </c>
      <c r="P45" s="31">
        <f>(INDEX(Option3!P$106:P$117, MATCH($D45, Option3!$G$106:$G$117,0)))*conv_2026*P$7</f>
        <v>17230.660570107961</v>
      </c>
      <c r="Q45" s="31">
        <f>(INDEX(Option3!Q$106:Q$117, MATCH($D45, Option3!$G$106:$G$117,0)))*conv_2026*Q$7</f>
        <v>19605.526180099281</v>
      </c>
      <c r="R45" s="31">
        <f>(INDEX(Option3!R$106:R$117, MATCH($D45, Option3!$G$106:$G$117,0)))*conv_2026*R$7</f>
        <v>14011.37659317961</v>
      </c>
      <c r="S45" s="31">
        <f>(INDEX(Option3!S$106:S$117, MATCH($D45, Option3!$G$106:$G$117,0)))*conv_2026*S$7</f>
        <v>14035.161593396013</v>
      </c>
      <c r="T45" s="31">
        <f>(INDEX(Option3!T$106:T$117, MATCH($D45, Option3!$G$106:$G$117,0)))*conv_2026*T$7</f>
        <v>14058.94659361232</v>
      </c>
      <c r="U45" s="31">
        <f>(INDEX(Option3!U$106:U$117, MATCH($D45, Option3!$G$106:$G$117,0)))*conv_2026*U$7</f>
        <v>14082.731593828723</v>
      </c>
      <c r="V45" s="31">
        <f>(INDEX(Option3!V$106:V$117, MATCH($D45, Option3!$G$106:$G$117,0)))*conv_2026*V$7</f>
        <v>14106.516594044964</v>
      </c>
      <c r="W45" s="31">
        <f>(INDEX(Option3!W$106:W$117, MATCH($D45, Option3!$G$106:$G$117,0)))*conv_2026*W$7</f>
        <v>14130.301594261238</v>
      </c>
      <c r="X45" s="31">
        <f>(INDEX(Option3!X$106:X$117, MATCH($D45, Option3!$G$106:$G$117,0)))*conv_2026*X$7</f>
        <v>14154.086594477609</v>
      </c>
      <c r="Y45" s="31">
        <f>(INDEX(Option3!Y$106:Y$117, MATCH($D45, Option3!$G$106:$G$117,0)))*conv_2026*Y$7</f>
        <v>14177.871594693786</v>
      </c>
      <c r="Z45" s="31">
        <f>(INDEX(Option3!Z$106:Z$117, MATCH($D45, Option3!$G$106:$G$117,0)))*conv_2026*Z$7</f>
        <v>14201.656594910157</v>
      </c>
      <c r="AA45" s="31">
        <f>(INDEX(Option3!AA$106:AA$117, MATCH($D45, Option3!$G$106:$G$117,0)))*conv_2026*AA$7</f>
        <v>14225.441595126624</v>
      </c>
      <c r="AB45" s="31">
        <f>(INDEX(Option3!AB$106:AB$117, MATCH($D45, Option3!$G$106:$G$117,0)))*conv_2026*AB$7</f>
        <v>14249.226595342996</v>
      </c>
      <c r="AC45" s="31">
        <f>(INDEX(Option3!AC$106:AC$117, MATCH($D45, Option3!$G$106:$G$117,0)))*conv_2026*AC$7</f>
        <v>14273.011595559075</v>
      </c>
      <c r="AD45" s="31">
        <f>(INDEX(Option3!AD$106:AD$117, MATCH($D45, Option3!$G$106:$G$117,0)))*conv_2026*AD$7</f>
        <v>0</v>
      </c>
      <c r="AE45" s="31">
        <f>(INDEX(Option3!AE$106:AE$117, MATCH($D45, Option3!$G$106:$G$117,0)))*conv_2026*AE$7</f>
        <v>0</v>
      </c>
      <c r="AF45" s="31">
        <f>(INDEX(Option3!AF$106:AF$117, MATCH($D45, Option3!$G$106:$G$117,0)))*conv_2026*AF$7</f>
        <v>0</v>
      </c>
      <c r="AG45" s="31">
        <f>(INDEX(Option3!AG$106:AG$117, MATCH($D45, Option3!$G$106:$G$117,0)))*conv_2026*AG$7</f>
        <v>0</v>
      </c>
    </row>
    <row r="46" spans="1:35" s="8" customFormat="1" x14ac:dyDescent="0.2">
      <c r="A46" s="254" t="s">
        <v>132</v>
      </c>
      <c r="B46" s="254" t="str">
        <f>Option3!A112</f>
        <v>sens3</v>
      </c>
      <c r="C46" s="254" t="str">
        <f>Option3!C112</f>
        <v>Increasing wind escalation</v>
      </c>
      <c r="D46" s="254" t="str">
        <f t="shared" si="5"/>
        <v>Option 3sens3</v>
      </c>
      <c r="E46" s="255"/>
      <c r="F46" s="31">
        <f t="shared" si="4"/>
        <v>-390426.09732071147</v>
      </c>
      <c r="H46" s="31">
        <f>(INDEX(Option3!H$106:H$117, MATCH($D46, Option3!$G$106:$G$117,0)))*conv_2026*H$7</f>
        <v>0</v>
      </c>
      <c r="I46" s="31">
        <f>(INDEX(Option3!I$106:I$117, MATCH($D46, Option3!$G$106:$G$117,0)))*conv_2026*I$7</f>
        <v>0</v>
      </c>
      <c r="J46" s="31">
        <f>(INDEX(Option3!J$106:J$117, MATCH($D46, Option3!$G$106:$G$117,0)))*conv_2026*J$7</f>
        <v>0</v>
      </c>
      <c r="K46" s="31">
        <f>(INDEX(Option3!K$106:K$117, MATCH($D46, Option3!$G$106:$G$117,0)))*conv_2026*K$7</f>
        <v>-23274.661201270181</v>
      </c>
      <c r="L46" s="31">
        <f>(INDEX(Option3!L$106:L$117, MATCH($D46, Option3!$G$106:$G$117,0)))*conv_2026*L$7</f>
        <v>-21502.785983598966</v>
      </c>
      <c r="M46" s="31">
        <f>(INDEX(Option3!M$106:M$117, MATCH($D46, Option3!$G$106:$G$117,0)))*conv_2026*M$7</f>
        <v>-21724.28665963851</v>
      </c>
      <c r="N46" s="31">
        <f>(INDEX(Option3!N$106:N$117, MATCH($D46, Option3!$G$106:$G$117,0)))*conv_2026*N$7</f>
        <v>-27195.397216171896</v>
      </c>
      <c r="O46" s="31">
        <f>(INDEX(Option3!O$106:O$117, MATCH($D46, Option3!$G$106:$G$117,0)))*conv_2026*O$7</f>
        <v>-30479.96794834024</v>
      </c>
      <c r="P46" s="31">
        <f>(INDEX(Option3!P$106:P$117, MATCH($D46, Option3!$G$106:$G$117,0)))*conv_2026*P$7</f>
        <v>-30156.941694703241</v>
      </c>
      <c r="Q46" s="31">
        <f>(INDEX(Option3!Q$106:Q$117, MATCH($D46, Option3!$G$106:$G$117,0)))*conv_2026*Q$7</f>
        <v>-27782.491425649889</v>
      </c>
      <c r="R46" s="31">
        <f>(INDEX(Option3!R$106:R$117, MATCH($D46, Option3!$G$106:$G$117,0)))*conv_2026*R$7</f>
        <v>-33409.24323691312</v>
      </c>
      <c r="S46" s="31">
        <f>(INDEX(Option3!S$106:S$117, MATCH($D46, Option3!$G$106:$G$117,0)))*conv_2026*S$7</f>
        <v>-33395.333290806942</v>
      </c>
      <c r="T46" s="31">
        <f>(INDEX(Option3!T$106:T$117, MATCH($D46, Option3!$G$106:$G$117,0)))*conv_2026*T$7</f>
        <v>-33381.42269273792</v>
      </c>
      <c r="U46" s="31">
        <f>(INDEX(Option3!U$106:U$117, MATCH($D46, Option3!$G$106:$G$117,0)))*conv_2026*U$7</f>
        <v>-33367.511442755313</v>
      </c>
      <c r="V46" s="31">
        <f>(INDEX(Option3!V$106:V$117, MATCH($D46, Option3!$G$106:$G$117,0)))*conv_2026*V$7</f>
        <v>-33353.599540908828</v>
      </c>
      <c r="W46" s="31">
        <f>(INDEX(Option3!W$106:W$117, MATCH($D46, Option3!$G$106:$G$117,0)))*conv_2026*W$7</f>
        <v>-33339.686987248002</v>
      </c>
      <c r="X46" s="31">
        <f>(INDEX(Option3!X$106:X$117, MATCH($D46, Option3!$G$106:$G$117,0)))*conv_2026*X$7</f>
        <v>-33325.773781822165</v>
      </c>
      <c r="Y46" s="31">
        <f>(INDEX(Option3!Y$106:Y$117, MATCH($D46, Option3!$G$106:$G$117,0)))*conv_2026*Y$7</f>
        <v>-33311.859924681048</v>
      </c>
      <c r="Z46" s="31">
        <f>(INDEX(Option3!Z$106:Z$117, MATCH($D46, Option3!$G$106:$G$117,0)))*conv_2026*Z$7</f>
        <v>-33297.945415873888</v>
      </c>
      <c r="AA46" s="31">
        <f>(INDEX(Option3!AA$106:AA$117, MATCH($D46, Option3!$G$106:$G$117,0)))*conv_2026*AA$7</f>
        <v>-33284.030255450227</v>
      </c>
      <c r="AB46" s="31">
        <f>(INDEX(Option3!AB$106:AB$117, MATCH($D46, Option3!$G$106:$G$117,0)))*conv_2026*AB$7</f>
        <v>-33270.114443459766</v>
      </c>
      <c r="AC46" s="31">
        <f>(INDEX(Option3!AC$106:AC$117, MATCH($D46, Option3!$G$106:$G$117,0)))*conv_2026*AC$7</f>
        <v>-33256.197979952041</v>
      </c>
      <c r="AD46" s="31">
        <f>(INDEX(Option3!AD$106:AD$117, MATCH($D46, Option3!$G$106:$G$117,0)))*conv_2026*AD$7</f>
        <v>0</v>
      </c>
      <c r="AE46" s="31">
        <f>(INDEX(Option3!AE$106:AE$117, MATCH($D46, Option3!$G$106:$G$117,0)))*conv_2026*AE$7</f>
        <v>0</v>
      </c>
      <c r="AF46" s="31">
        <f>(INDEX(Option3!AF$106:AF$117, MATCH($D46, Option3!$G$106:$G$117,0)))*conv_2026*AF$7</f>
        <v>0</v>
      </c>
      <c r="AG46" s="31">
        <f>(INDEX(Option3!AG$106:AG$117, MATCH($D46, Option3!$G$106:$G$117,0)))*conv_2026*AG$7</f>
        <v>0</v>
      </c>
    </row>
    <row r="47" spans="1:35" s="8" customFormat="1" x14ac:dyDescent="0.2">
      <c r="A47" s="254" t="s">
        <v>132</v>
      </c>
      <c r="B47" s="254" t="str">
        <f>Option3!A113</f>
        <v>sens4</v>
      </c>
      <c r="C47" s="254" t="str">
        <f>Option3!C113</f>
        <v/>
      </c>
      <c r="D47" s="254" t="str">
        <f t="shared" si="5"/>
        <v>Option 3sens4</v>
      </c>
      <c r="E47" s="255"/>
      <c r="F47" s="31">
        <f t="shared" si="4"/>
        <v>-425826.53974662512</v>
      </c>
      <c r="H47" s="31">
        <f>(INDEX(Option3!H$106:H$117, MATCH($D47, Option3!$G$106:$G$117,0)))*conv_2026*H$7</f>
        <v>0</v>
      </c>
      <c r="I47" s="31">
        <f>(INDEX(Option3!I$106:I$117, MATCH($D47, Option3!$G$106:$G$117,0)))*conv_2026*I$7</f>
        <v>0</v>
      </c>
      <c r="J47" s="31">
        <f>(INDEX(Option3!J$106:J$117, MATCH($D47, Option3!$G$106:$G$117,0)))*conv_2026*J$7</f>
        <v>0</v>
      </c>
      <c r="K47" s="31">
        <f>(INDEX(Option3!K$106:K$117, MATCH($D47, Option3!$G$106:$G$117,0)))*conv_2026*K$7</f>
        <v>-26826.104633012761</v>
      </c>
      <c r="L47" s="31">
        <f>(INDEX(Option3!L$106:L$117, MATCH($D47, Option3!$G$106:$G$117,0)))*conv_2026*L$7</f>
        <v>-24646.764325958378</v>
      </c>
      <c r="M47" s="31">
        <f>(INDEX(Option3!M$106:M$117, MATCH($D47, Option3!$G$106:$G$117,0)))*conv_2026*M$7</f>
        <v>-24451.555983549995</v>
      </c>
      <c r="N47" s="31">
        <f>(INDEX(Option3!N$106:N$117, MATCH($D47, Option3!$G$106:$G$117,0)))*conv_2026*N$7</f>
        <v>-29890.261048897522</v>
      </c>
      <c r="O47" s="31">
        <f>(INDEX(Option3!O$106:O$117, MATCH($D47, Option3!$G$106:$G$117,0)))*conv_2026*O$7</f>
        <v>-33151.469290627916</v>
      </c>
      <c r="P47" s="31">
        <f>(INDEX(Option3!P$106:P$117, MATCH($D47, Option3!$G$106:$G$117,0)))*conv_2026*P$7</f>
        <v>-32819.771119978992</v>
      </c>
      <c r="Q47" s="31">
        <f>(INDEX(Option3!Q$106:Q$117, MATCH($D47, Option3!$G$106:$G$117,0)))*conv_2026*Q$7</f>
        <v>-30444.905509987671</v>
      </c>
      <c r="R47" s="31">
        <f>(INDEX(Option3!R$106:R$117, MATCH($D47, Option3!$G$106:$G$117,0)))*conv_2026*R$7</f>
        <v>-36039.055096907337</v>
      </c>
      <c r="S47" s="31">
        <f>(INDEX(Option3!S$106:S$117, MATCH($D47, Option3!$G$106:$G$117,0)))*conv_2026*S$7</f>
        <v>-36015.27009669094</v>
      </c>
      <c r="T47" s="31">
        <f>(INDEX(Option3!T$106:T$117, MATCH($D47, Option3!$G$106:$G$117,0)))*conv_2026*T$7</f>
        <v>-35991.485096474629</v>
      </c>
      <c r="U47" s="31">
        <f>(INDEX(Option3!U$106:U$117, MATCH($D47, Option3!$G$106:$G$117,0)))*conv_2026*U$7</f>
        <v>-35967.700096258224</v>
      </c>
      <c r="V47" s="31">
        <f>(INDEX(Option3!V$106:V$117, MATCH($D47, Option3!$G$106:$G$117,0)))*conv_2026*V$7</f>
        <v>-35943.915096041987</v>
      </c>
      <c r="W47" s="31">
        <f>(INDEX(Option3!W$106:W$117, MATCH($D47, Option3!$G$106:$G$117,0)))*conv_2026*W$7</f>
        <v>-35920.130095825712</v>
      </c>
      <c r="X47" s="31">
        <f>(INDEX(Option3!X$106:X$117, MATCH($D47, Option3!$G$106:$G$117,0)))*conv_2026*X$7</f>
        <v>-35896.345095609344</v>
      </c>
      <c r="Y47" s="31">
        <f>(INDEX(Option3!Y$106:Y$117, MATCH($D47, Option3!$G$106:$G$117,0)))*conv_2026*Y$7</f>
        <v>-35872.560095393164</v>
      </c>
      <c r="Z47" s="31">
        <f>(INDEX(Option3!Z$106:Z$117, MATCH($D47, Option3!$G$106:$G$117,0)))*conv_2026*Z$7</f>
        <v>-35848.775095176796</v>
      </c>
      <c r="AA47" s="31">
        <f>(INDEX(Option3!AA$106:AA$117, MATCH($D47, Option3!$G$106:$G$117,0)))*conv_2026*AA$7</f>
        <v>-35824.990094960325</v>
      </c>
      <c r="AB47" s="31">
        <f>(INDEX(Option3!AB$106:AB$117, MATCH($D47, Option3!$G$106:$G$117,0)))*conv_2026*AB$7</f>
        <v>-35801.205094743957</v>
      </c>
      <c r="AC47" s="31">
        <f>(INDEX(Option3!AC$106:AC$117, MATCH($D47, Option3!$G$106:$G$117,0)))*conv_2026*AC$7</f>
        <v>-35777.420094527872</v>
      </c>
      <c r="AD47" s="31">
        <f>(INDEX(Option3!AD$106:AD$117, MATCH($D47, Option3!$G$106:$G$117,0)))*conv_2026*AD$7</f>
        <v>0</v>
      </c>
      <c r="AE47" s="31">
        <f>(INDEX(Option3!AE$106:AE$117, MATCH($D47, Option3!$G$106:$G$117,0)))*conv_2026*AE$7</f>
        <v>0</v>
      </c>
      <c r="AF47" s="31">
        <f>(INDEX(Option3!AF$106:AF$117, MATCH($D47, Option3!$G$106:$G$117,0)))*conv_2026*AF$7</f>
        <v>0</v>
      </c>
      <c r="AG47" s="31">
        <f>(INDEX(Option3!AG$106:AG$117, MATCH($D47, Option3!$G$106:$G$117,0)))*conv_2026*AG$7</f>
        <v>0</v>
      </c>
    </row>
    <row r="48" spans="1:35" s="8" customFormat="1" x14ac:dyDescent="0.2">
      <c r="A48" s="254" t="s">
        <v>132</v>
      </c>
      <c r="B48" s="254" t="str">
        <f>Option3!A114</f>
        <v>sens5</v>
      </c>
      <c r="C48" s="254" t="str">
        <f>Option3!C114</f>
        <v/>
      </c>
      <c r="D48" s="254" t="str">
        <f t="shared" si="5"/>
        <v>Option 3sens5</v>
      </c>
      <c r="E48" s="255"/>
      <c r="F48" s="31">
        <f t="shared" si="4"/>
        <v>-425826.53974662512</v>
      </c>
      <c r="H48" s="31">
        <f>(INDEX(Option3!H$106:H$117, MATCH($D48, Option3!$G$106:$G$117,0)))*conv_2026*H$7</f>
        <v>0</v>
      </c>
      <c r="I48" s="31">
        <f>(INDEX(Option3!I$106:I$117, MATCH($D48, Option3!$G$106:$G$117,0)))*conv_2026*I$7</f>
        <v>0</v>
      </c>
      <c r="J48" s="31">
        <f>(INDEX(Option3!J$106:J$117, MATCH($D48, Option3!$G$106:$G$117,0)))*conv_2026*J$7</f>
        <v>0</v>
      </c>
      <c r="K48" s="31">
        <f>(INDEX(Option3!K$106:K$117, MATCH($D48, Option3!$G$106:$G$117,0)))*conv_2026*K$7</f>
        <v>-26826.104633012761</v>
      </c>
      <c r="L48" s="31">
        <f>(INDEX(Option3!L$106:L$117, MATCH($D48, Option3!$G$106:$G$117,0)))*conv_2026*L$7</f>
        <v>-24646.764325958378</v>
      </c>
      <c r="M48" s="31">
        <f>(INDEX(Option3!M$106:M$117, MATCH($D48, Option3!$G$106:$G$117,0)))*conv_2026*M$7</f>
        <v>-24451.555983549995</v>
      </c>
      <c r="N48" s="31">
        <f>(INDEX(Option3!N$106:N$117, MATCH($D48, Option3!$G$106:$G$117,0)))*conv_2026*N$7</f>
        <v>-29890.261048897522</v>
      </c>
      <c r="O48" s="31">
        <f>(INDEX(Option3!O$106:O$117, MATCH($D48, Option3!$G$106:$G$117,0)))*conv_2026*O$7</f>
        <v>-33151.469290627916</v>
      </c>
      <c r="P48" s="31">
        <f>(INDEX(Option3!P$106:P$117, MATCH($D48, Option3!$G$106:$G$117,0)))*conv_2026*P$7</f>
        <v>-32819.771119978992</v>
      </c>
      <c r="Q48" s="31">
        <f>(INDEX(Option3!Q$106:Q$117, MATCH($D48, Option3!$G$106:$G$117,0)))*conv_2026*Q$7</f>
        <v>-30444.905509987671</v>
      </c>
      <c r="R48" s="31">
        <f>(INDEX(Option3!R$106:R$117, MATCH($D48, Option3!$G$106:$G$117,0)))*conv_2026*R$7</f>
        <v>-36039.055096907337</v>
      </c>
      <c r="S48" s="31">
        <f>(INDEX(Option3!S$106:S$117, MATCH($D48, Option3!$G$106:$G$117,0)))*conv_2026*S$7</f>
        <v>-36015.27009669094</v>
      </c>
      <c r="T48" s="31">
        <f>(INDEX(Option3!T$106:T$117, MATCH($D48, Option3!$G$106:$G$117,0)))*conv_2026*T$7</f>
        <v>-35991.485096474629</v>
      </c>
      <c r="U48" s="31">
        <f>(INDEX(Option3!U$106:U$117, MATCH($D48, Option3!$G$106:$G$117,0)))*conv_2026*U$7</f>
        <v>-35967.700096258224</v>
      </c>
      <c r="V48" s="31">
        <f>(INDEX(Option3!V$106:V$117, MATCH($D48, Option3!$G$106:$G$117,0)))*conv_2026*V$7</f>
        <v>-35943.915096041987</v>
      </c>
      <c r="W48" s="31">
        <f>(INDEX(Option3!W$106:W$117, MATCH($D48, Option3!$G$106:$G$117,0)))*conv_2026*W$7</f>
        <v>-35920.130095825712</v>
      </c>
      <c r="X48" s="31">
        <f>(INDEX(Option3!X$106:X$117, MATCH($D48, Option3!$G$106:$G$117,0)))*conv_2026*X$7</f>
        <v>-35896.345095609344</v>
      </c>
      <c r="Y48" s="31">
        <f>(INDEX(Option3!Y$106:Y$117, MATCH($D48, Option3!$G$106:$G$117,0)))*conv_2026*Y$7</f>
        <v>-35872.560095393164</v>
      </c>
      <c r="Z48" s="31">
        <f>(INDEX(Option3!Z$106:Z$117, MATCH($D48, Option3!$G$106:$G$117,0)))*conv_2026*Z$7</f>
        <v>-35848.775095176796</v>
      </c>
      <c r="AA48" s="31">
        <f>(INDEX(Option3!AA$106:AA$117, MATCH($D48, Option3!$G$106:$G$117,0)))*conv_2026*AA$7</f>
        <v>-35824.990094960325</v>
      </c>
      <c r="AB48" s="31">
        <f>(INDEX(Option3!AB$106:AB$117, MATCH($D48, Option3!$G$106:$G$117,0)))*conv_2026*AB$7</f>
        <v>-35801.205094743957</v>
      </c>
      <c r="AC48" s="31">
        <f>(INDEX(Option3!AC$106:AC$117, MATCH($D48, Option3!$G$106:$G$117,0)))*conv_2026*AC$7</f>
        <v>-35777.420094527872</v>
      </c>
      <c r="AD48" s="31">
        <f>(INDEX(Option3!AD$106:AD$117, MATCH($D48, Option3!$G$106:$G$117,0)))*conv_2026*AD$7</f>
        <v>0</v>
      </c>
      <c r="AE48" s="31">
        <f>(INDEX(Option3!AE$106:AE$117, MATCH($D48, Option3!$G$106:$G$117,0)))*conv_2026*AE$7</f>
        <v>0</v>
      </c>
      <c r="AF48" s="31">
        <f>(INDEX(Option3!AF$106:AF$117, MATCH($D48, Option3!$G$106:$G$117,0)))*conv_2026*AF$7</f>
        <v>0</v>
      </c>
      <c r="AG48" s="31">
        <f>(INDEX(Option3!AG$106:AG$117, MATCH($D48, Option3!$G$106:$G$117,0)))*conv_2026*AG$7</f>
        <v>0</v>
      </c>
    </row>
    <row r="49" spans="1:35" s="8" customFormat="1" x14ac:dyDescent="0.2">
      <c r="A49" s="254" t="s">
        <v>132</v>
      </c>
      <c r="B49" s="254" t="str">
        <f>Option3!A115</f>
        <v>sens</v>
      </c>
      <c r="C49" s="254">
        <f>Option3!C115</f>
        <v>0</v>
      </c>
      <c r="D49" s="254" t="str">
        <f t="shared" si="5"/>
        <v>Option 3sens</v>
      </c>
      <c r="E49" s="255"/>
      <c r="F49" s="31">
        <f t="shared" si="4"/>
        <v>-425826.53974662512</v>
      </c>
      <c r="H49" s="31">
        <f>(INDEX(Option3!H$106:H$117, MATCH($D49, Option3!$G$106:$G$117,0)))*conv_2026*H$7</f>
        <v>0</v>
      </c>
      <c r="I49" s="31">
        <f>(INDEX(Option3!I$106:I$117, MATCH($D49, Option3!$G$106:$G$117,0)))*conv_2026*I$7</f>
        <v>0</v>
      </c>
      <c r="J49" s="31">
        <f>(INDEX(Option3!J$106:J$117, MATCH($D49, Option3!$G$106:$G$117,0)))*conv_2026*J$7</f>
        <v>0</v>
      </c>
      <c r="K49" s="31">
        <f>(INDEX(Option3!K$106:K$117, MATCH($D49, Option3!$G$106:$G$117,0)))*conv_2026*K$7</f>
        <v>-26826.104633012761</v>
      </c>
      <c r="L49" s="31">
        <f>(INDEX(Option3!L$106:L$117, MATCH($D49, Option3!$G$106:$G$117,0)))*conv_2026*L$7</f>
        <v>-24646.764325958378</v>
      </c>
      <c r="M49" s="31">
        <f>(INDEX(Option3!M$106:M$117, MATCH($D49, Option3!$G$106:$G$117,0)))*conv_2026*M$7</f>
        <v>-24451.555983549995</v>
      </c>
      <c r="N49" s="31">
        <f>(INDEX(Option3!N$106:N$117, MATCH($D49, Option3!$G$106:$G$117,0)))*conv_2026*N$7</f>
        <v>-29890.261048897522</v>
      </c>
      <c r="O49" s="31">
        <f>(INDEX(Option3!O$106:O$117, MATCH($D49, Option3!$G$106:$G$117,0)))*conv_2026*O$7</f>
        <v>-33151.469290627916</v>
      </c>
      <c r="P49" s="31">
        <f>(INDEX(Option3!P$106:P$117, MATCH($D49, Option3!$G$106:$G$117,0)))*conv_2026*P$7</f>
        <v>-32819.771119978992</v>
      </c>
      <c r="Q49" s="31">
        <f>(INDEX(Option3!Q$106:Q$117, MATCH($D49, Option3!$G$106:$G$117,0)))*conv_2026*Q$7</f>
        <v>-30444.905509987671</v>
      </c>
      <c r="R49" s="31">
        <f>(INDEX(Option3!R$106:R$117, MATCH($D49, Option3!$G$106:$G$117,0)))*conv_2026*R$7</f>
        <v>-36039.055096907337</v>
      </c>
      <c r="S49" s="31">
        <f>(INDEX(Option3!S$106:S$117, MATCH($D49, Option3!$G$106:$G$117,0)))*conv_2026*S$7</f>
        <v>-36015.27009669094</v>
      </c>
      <c r="T49" s="31">
        <f>(INDEX(Option3!T$106:T$117, MATCH($D49, Option3!$G$106:$G$117,0)))*conv_2026*T$7</f>
        <v>-35991.485096474629</v>
      </c>
      <c r="U49" s="31">
        <f>(INDEX(Option3!U$106:U$117, MATCH($D49, Option3!$G$106:$G$117,0)))*conv_2026*U$7</f>
        <v>-35967.700096258224</v>
      </c>
      <c r="V49" s="31">
        <f>(INDEX(Option3!V$106:V$117, MATCH($D49, Option3!$G$106:$G$117,0)))*conv_2026*V$7</f>
        <v>-35943.915096041987</v>
      </c>
      <c r="W49" s="31">
        <f>(INDEX(Option3!W$106:W$117, MATCH($D49, Option3!$G$106:$G$117,0)))*conv_2026*W$7</f>
        <v>-35920.130095825712</v>
      </c>
      <c r="X49" s="31">
        <f>(INDEX(Option3!X$106:X$117, MATCH($D49, Option3!$G$106:$G$117,0)))*conv_2026*X$7</f>
        <v>-35896.345095609344</v>
      </c>
      <c r="Y49" s="31">
        <f>(INDEX(Option3!Y$106:Y$117, MATCH($D49, Option3!$G$106:$G$117,0)))*conv_2026*Y$7</f>
        <v>-35872.560095393164</v>
      </c>
      <c r="Z49" s="31">
        <f>(INDEX(Option3!Z$106:Z$117, MATCH($D49, Option3!$G$106:$G$117,0)))*conv_2026*Z$7</f>
        <v>-35848.775095176796</v>
      </c>
      <c r="AA49" s="31">
        <f>(INDEX(Option3!AA$106:AA$117, MATCH($D49, Option3!$G$106:$G$117,0)))*conv_2026*AA$7</f>
        <v>-35824.990094960325</v>
      </c>
      <c r="AB49" s="31">
        <f>(INDEX(Option3!AB$106:AB$117, MATCH($D49, Option3!$G$106:$G$117,0)))*conv_2026*AB$7</f>
        <v>-35801.205094743957</v>
      </c>
      <c r="AC49" s="31">
        <f>(INDEX(Option3!AC$106:AC$117, MATCH($D49, Option3!$G$106:$G$117,0)))*conv_2026*AC$7</f>
        <v>-35777.420094527872</v>
      </c>
      <c r="AD49" s="31">
        <f>(INDEX(Option3!AD$106:AD$117, MATCH($D49, Option3!$G$106:$G$117,0)))*conv_2026*AD$7</f>
        <v>0</v>
      </c>
      <c r="AE49" s="31">
        <f>(INDEX(Option3!AE$106:AE$117, MATCH($D49, Option3!$G$106:$G$117,0)))*conv_2026*AE$7</f>
        <v>0</v>
      </c>
      <c r="AF49" s="31">
        <f>(INDEX(Option3!AF$106:AF$117, MATCH($D49, Option3!$G$106:$G$117,0)))*conv_2026*AF$7</f>
        <v>0</v>
      </c>
      <c r="AG49" s="31">
        <f>(INDEX(Option3!AG$106:AG$117, MATCH($D49, Option3!$G$106:$G$117,0)))*conv_2026*AG$7</f>
        <v>0</v>
      </c>
    </row>
    <row r="50" spans="1:35" s="8" customFormat="1" x14ac:dyDescent="0.2">
      <c r="A50" s="254" t="s">
        <v>132</v>
      </c>
      <c r="B50" s="254" t="str">
        <f>Option3!A116</f>
        <v>sens</v>
      </c>
      <c r="C50" s="254">
        <f>Option3!C116</f>
        <v>0</v>
      </c>
      <c r="D50" s="254" t="str">
        <f t="shared" si="5"/>
        <v>Option 3sens</v>
      </c>
      <c r="E50" s="255"/>
      <c r="F50" s="31">
        <f t="shared" si="4"/>
        <v>-425826.53974662512</v>
      </c>
      <c r="H50" s="31">
        <f>(INDEX(Option3!H$106:H$117, MATCH($D50, Option3!$G$106:$G$117,0)))*conv_2026*H$7</f>
        <v>0</v>
      </c>
      <c r="I50" s="31">
        <f>(INDEX(Option3!I$106:I$117, MATCH($D50, Option3!$G$106:$G$117,0)))*conv_2026*I$7</f>
        <v>0</v>
      </c>
      <c r="J50" s="31">
        <f>(INDEX(Option3!J$106:J$117, MATCH($D50, Option3!$G$106:$G$117,0)))*conv_2026*J$7</f>
        <v>0</v>
      </c>
      <c r="K50" s="31">
        <f>(INDEX(Option3!K$106:K$117, MATCH($D50, Option3!$G$106:$G$117,0)))*conv_2026*K$7</f>
        <v>-26826.104633012761</v>
      </c>
      <c r="L50" s="31">
        <f>(INDEX(Option3!L$106:L$117, MATCH($D50, Option3!$G$106:$G$117,0)))*conv_2026*L$7</f>
        <v>-24646.764325958378</v>
      </c>
      <c r="M50" s="31">
        <f>(INDEX(Option3!M$106:M$117, MATCH($D50, Option3!$G$106:$G$117,0)))*conv_2026*M$7</f>
        <v>-24451.555983549995</v>
      </c>
      <c r="N50" s="31">
        <f>(INDEX(Option3!N$106:N$117, MATCH($D50, Option3!$G$106:$G$117,0)))*conv_2026*N$7</f>
        <v>-29890.261048897522</v>
      </c>
      <c r="O50" s="31">
        <f>(INDEX(Option3!O$106:O$117, MATCH($D50, Option3!$G$106:$G$117,0)))*conv_2026*O$7</f>
        <v>-33151.469290627916</v>
      </c>
      <c r="P50" s="31">
        <f>(INDEX(Option3!P$106:P$117, MATCH($D50, Option3!$G$106:$G$117,0)))*conv_2026*P$7</f>
        <v>-32819.771119978992</v>
      </c>
      <c r="Q50" s="31">
        <f>(INDEX(Option3!Q$106:Q$117, MATCH($D50, Option3!$G$106:$G$117,0)))*conv_2026*Q$7</f>
        <v>-30444.905509987671</v>
      </c>
      <c r="R50" s="31">
        <f>(INDEX(Option3!R$106:R$117, MATCH($D50, Option3!$G$106:$G$117,0)))*conv_2026*R$7</f>
        <v>-36039.055096907337</v>
      </c>
      <c r="S50" s="31">
        <f>(INDEX(Option3!S$106:S$117, MATCH($D50, Option3!$G$106:$G$117,0)))*conv_2026*S$7</f>
        <v>-36015.27009669094</v>
      </c>
      <c r="T50" s="31">
        <f>(INDEX(Option3!T$106:T$117, MATCH($D50, Option3!$G$106:$G$117,0)))*conv_2026*T$7</f>
        <v>-35991.485096474629</v>
      </c>
      <c r="U50" s="31">
        <f>(INDEX(Option3!U$106:U$117, MATCH($D50, Option3!$G$106:$G$117,0)))*conv_2026*U$7</f>
        <v>-35967.700096258224</v>
      </c>
      <c r="V50" s="31">
        <f>(INDEX(Option3!V$106:V$117, MATCH($D50, Option3!$G$106:$G$117,0)))*conv_2026*V$7</f>
        <v>-35943.915096041987</v>
      </c>
      <c r="W50" s="31">
        <f>(INDEX(Option3!W$106:W$117, MATCH($D50, Option3!$G$106:$G$117,0)))*conv_2026*W$7</f>
        <v>-35920.130095825712</v>
      </c>
      <c r="X50" s="31">
        <f>(INDEX(Option3!X$106:X$117, MATCH($D50, Option3!$G$106:$G$117,0)))*conv_2026*X$7</f>
        <v>-35896.345095609344</v>
      </c>
      <c r="Y50" s="31">
        <f>(INDEX(Option3!Y$106:Y$117, MATCH($D50, Option3!$G$106:$G$117,0)))*conv_2026*Y$7</f>
        <v>-35872.560095393164</v>
      </c>
      <c r="Z50" s="31">
        <f>(INDEX(Option3!Z$106:Z$117, MATCH($D50, Option3!$G$106:$G$117,0)))*conv_2026*Z$7</f>
        <v>-35848.775095176796</v>
      </c>
      <c r="AA50" s="31">
        <f>(INDEX(Option3!AA$106:AA$117, MATCH($D50, Option3!$G$106:$G$117,0)))*conv_2026*AA$7</f>
        <v>-35824.990094960325</v>
      </c>
      <c r="AB50" s="31">
        <f>(INDEX(Option3!AB$106:AB$117, MATCH($D50, Option3!$G$106:$G$117,0)))*conv_2026*AB$7</f>
        <v>-35801.205094743957</v>
      </c>
      <c r="AC50" s="31">
        <f>(INDEX(Option3!AC$106:AC$117, MATCH($D50, Option3!$G$106:$G$117,0)))*conv_2026*AC$7</f>
        <v>-35777.420094527872</v>
      </c>
      <c r="AD50" s="31">
        <f>(INDEX(Option3!AD$106:AD$117, MATCH($D50, Option3!$G$106:$G$117,0)))*conv_2026*AD$7</f>
        <v>0</v>
      </c>
      <c r="AE50" s="31">
        <f>(INDEX(Option3!AE$106:AE$117, MATCH($D50, Option3!$G$106:$G$117,0)))*conv_2026*AE$7</f>
        <v>0</v>
      </c>
      <c r="AF50" s="31">
        <f>(INDEX(Option3!AF$106:AF$117, MATCH($D50, Option3!$G$106:$G$117,0)))*conv_2026*AF$7</f>
        <v>0</v>
      </c>
      <c r="AG50" s="31">
        <f>(INDEX(Option3!AG$106:AG$117, MATCH($D50, Option3!$G$106:$G$117,0)))*conv_2026*AG$7</f>
        <v>0</v>
      </c>
    </row>
    <row r="51" spans="1:35" s="8" customFormat="1" x14ac:dyDescent="0.2">
      <c r="A51" s="254" t="s">
        <v>132</v>
      </c>
      <c r="B51" s="254" t="str">
        <f>Option3!A117</f>
        <v>sens</v>
      </c>
      <c r="C51" s="254">
        <f>Option3!C117</f>
        <v>0</v>
      </c>
      <c r="D51" s="254" t="str">
        <f t="shared" si="5"/>
        <v>Option 3sens</v>
      </c>
      <c r="E51" s="255"/>
      <c r="F51" s="31">
        <f t="shared" si="4"/>
        <v>-425826.53974662512</v>
      </c>
      <c r="H51" s="31">
        <f>(INDEX(Option3!H$106:H$117, MATCH($D51, Option3!$G$106:$G$117,0)))*conv_2026*H$7</f>
        <v>0</v>
      </c>
      <c r="I51" s="31">
        <f>(INDEX(Option3!I$106:I$117, MATCH($D51, Option3!$G$106:$G$117,0)))*conv_2026*I$7</f>
        <v>0</v>
      </c>
      <c r="J51" s="31">
        <f>(INDEX(Option3!J$106:J$117, MATCH($D51, Option3!$G$106:$G$117,0)))*conv_2026*J$7</f>
        <v>0</v>
      </c>
      <c r="K51" s="31">
        <f>(INDEX(Option3!K$106:K$117, MATCH($D51, Option3!$G$106:$G$117,0)))*conv_2026*K$7</f>
        <v>-26826.104633012761</v>
      </c>
      <c r="L51" s="31">
        <f>(INDEX(Option3!L$106:L$117, MATCH($D51, Option3!$G$106:$G$117,0)))*conv_2026*L$7</f>
        <v>-24646.764325958378</v>
      </c>
      <c r="M51" s="31">
        <f>(INDEX(Option3!M$106:M$117, MATCH($D51, Option3!$G$106:$G$117,0)))*conv_2026*M$7</f>
        <v>-24451.555983549995</v>
      </c>
      <c r="N51" s="31">
        <f>(INDEX(Option3!N$106:N$117, MATCH($D51, Option3!$G$106:$G$117,0)))*conv_2026*N$7</f>
        <v>-29890.261048897522</v>
      </c>
      <c r="O51" s="31">
        <f>(INDEX(Option3!O$106:O$117, MATCH($D51, Option3!$G$106:$G$117,0)))*conv_2026*O$7</f>
        <v>-33151.469290627916</v>
      </c>
      <c r="P51" s="31">
        <f>(INDEX(Option3!P$106:P$117, MATCH($D51, Option3!$G$106:$G$117,0)))*conv_2026*P$7</f>
        <v>-32819.771119978992</v>
      </c>
      <c r="Q51" s="31">
        <f>(INDEX(Option3!Q$106:Q$117, MATCH($D51, Option3!$G$106:$G$117,0)))*conv_2026*Q$7</f>
        <v>-30444.905509987671</v>
      </c>
      <c r="R51" s="31">
        <f>(INDEX(Option3!R$106:R$117, MATCH($D51, Option3!$G$106:$G$117,0)))*conv_2026*R$7</f>
        <v>-36039.055096907337</v>
      </c>
      <c r="S51" s="31">
        <f>(INDEX(Option3!S$106:S$117, MATCH($D51, Option3!$G$106:$G$117,0)))*conv_2026*S$7</f>
        <v>-36015.27009669094</v>
      </c>
      <c r="T51" s="31">
        <f>(INDEX(Option3!T$106:T$117, MATCH($D51, Option3!$G$106:$G$117,0)))*conv_2026*T$7</f>
        <v>-35991.485096474629</v>
      </c>
      <c r="U51" s="31">
        <f>(INDEX(Option3!U$106:U$117, MATCH($D51, Option3!$G$106:$G$117,0)))*conv_2026*U$7</f>
        <v>-35967.700096258224</v>
      </c>
      <c r="V51" s="31">
        <f>(INDEX(Option3!V$106:V$117, MATCH($D51, Option3!$G$106:$G$117,0)))*conv_2026*V$7</f>
        <v>-35943.915096041987</v>
      </c>
      <c r="W51" s="31">
        <f>(INDEX(Option3!W$106:W$117, MATCH($D51, Option3!$G$106:$G$117,0)))*conv_2026*W$7</f>
        <v>-35920.130095825712</v>
      </c>
      <c r="X51" s="31">
        <f>(INDEX(Option3!X$106:X$117, MATCH($D51, Option3!$G$106:$G$117,0)))*conv_2026*X$7</f>
        <v>-35896.345095609344</v>
      </c>
      <c r="Y51" s="31">
        <f>(INDEX(Option3!Y$106:Y$117, MATCH($D51, Option3!$G$106:$G$117,0)))*conv_2026*Y$7</f>
        <v>-35872.560095393164</v>
      </c>
      <c r="Z51" s="31">
        <f>(INDEX(Option3!Z$106:Z$117, MATCH($D51, Option3!$G$106:$G$117,0)))*conv_2026*Z$7</f>
        <v>-35848.775095176796</v>
      </c>
      <c r="AA51" s="31">
        <f>(INDEX(Option3!AA$106:AA$117, MATCH($D51, Option3!$G$106:$G$117,0)))*conv_2026*AA$7</f>
        <v>-35824.990094960325</v>
      </c>
      <c r="AB51" s="31">
        <f>(INDEX(Option3!AB$106:AB$117, MATCH($D51, Option3!$G$106:$G$117,0)))*conv_2026*AB$7</f>
        <v>-35801.205094743957</v>
      </c>
      <c r="AC51" s="31">
        <f>(INDEX(Option3!AC$106:AC$117, MATCH($D51, Option3!$G$106:$G$117,0)))*conv_2026*AC$7</f>
        <v>-35777.420094527872</v>
      </c>
      <c r="AD51" s="31">
        <f>(INDEX(Option3!AD$106:AD$117, MATCH($D51, Option3!$G$106:$G$117,0)))*conv_2026*AD$7</f>
        <v>0</v>
      </c>
      <c r="AE51" s="31">
        <f>(INDEX(Option3!AE$106:AE$117, MATCH($D51, Option3!$G$106:$G$117,0)))*conv_2026*AE$7</f>
        <v>0</v>
      </c>
      <c r="AF51" s="31">
        <f>(INDEX(Option3!AF$106:AF$117, MATCH($D51, Option3!$G$106:$G$117,0)))*conv_2026*AF$7</f>
        <v>0</v>
      </c>
      <c r="AG51" s="31">
        <f>(INDEX(Option3!AG$106:AG$117, MATCH($D51, Option3!$G$106:$G$117,0)))*conv_2026*AG$7</f>
        <v>0</v>
      </c>
    </row>
    <row r="52" spans="1:35" s="8" customFormat="1" x14ac:dyDescent="0.2">
      <c r="A52" s="254"/>
      <c r="B52" s="254"/>
      <c r="C52" s="254"/>
      <c r="D52" s="254"/>
      <c r="E52" s="254"/>
      <c r="F52" s="31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</row>
    <row r="53" spans="1:35" s="8" customFormat="1" x14ac:dyDescent="0.2">
      <c r="A53" s="254"/>
      <c r="B53" s="254"/>
      <c r="C53" s="254"/>
      <c r="D53" s="254"/>
      <c r="E53" s="254"/>
      <c r="F53" s="31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</row>
    <row r="54" spans="1:35" s="8" customFormat="1" x14ac:dyDescent="0.2">
      <c r="A54" s="254"/>
      <c r="B54" s="254"/>
      <c r="C54" s="254"/>
      <c r="D54" s="254"/>
      <c r="E54" s="254"/>
      <c r="F54" s="31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</row>
    <row r="55" spans="1:35" s="8" customFormat="1" x14ac:dyDescent="0.2">
      <c r="A55" s="254"/>
      <c r="B55" s="254"/>
      <c r="C55" s="254"/>
      <c r="D55" s="254"/>
      <c r="E55" s="254"/>
      <c r="F55" s="31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</row>
    <row r="56" spans="1:35" s="8" customFormat="1" x14ac:dyDescent="0.2">
      <c r="A56" s="254" t="s">
        <v>133</v>
      </c>
      <c r="B56" s="254" t="s">
        <v>119</v>
      </c>
      <c r="C56" s="254" t="s">
        <v>192</v>
      </c>
      <c r="D56" s="254" t="str">
        <f>A56&amp;B56</f>
        <v>Option 4NPV</v>
      </c>
      <c r="E56" s="255"/>
      <c r="F56" s="31">
        <f t="shared" ref="F56:F65" si="6">SUMPRODUCT($H56:$AG56, $H$5:$AG$5)</f>
        <v>0</v>
      </c>
      <c r="G56" s="247"/>
      <c r="H56" s="31">
        <f>(INDEX(Option4!H$106:H$117, MATCH($D56, Option4!$G$106:$G$117,0)))*conv_2026*H$7</f>
        <v>0</v>
      </c>
      <c r="I56" s="31">
        <f>(INDEX(Option4!I$106:I$117, MATCH($D56, Option4!$G$106:$G$117,0)))*conv_2026*I$7</f>
        <v>0</v>
      </c>
      <c r="J56" s="31">
        <f>(INDEX(Option4!J$106:J$117, MATCH($D56, Option4!$G$106:$G$117,0)))*conv_2026*J$7</f>
        <v>0</v>
      </c>
      <c r="K56" s="31">
        <f>(INDEX(Option4!K$106:K$117, MATCH($D56, Option4!$G$106:$G$117,0)))*conv_2026*K$7</f>
        <v>0</v>
      </c>
      <c r="L56" s="31">
        <f>(INDEX(Option4!L$106:L$117, MATCH($D56, Option4!$G$106:$G$117,0)))*conv_2026*L$7</f>
        <v>0</v>
      </c>
      <c r="M56" s="31">
        <f>(INDEX(Option4!M$106:M$117, MATCH($D56, Option4!$G$106:$G$117,0)))*conv_2026*M$7</f>
        <v>0</v>
      </c>
      <c r="N56" s="31">
        <f>(INDEX(Option4!N$106:N$117, MATCH($D56, Option4!$G$106:$G$117,0)))*conv_2026*N$7</f>
        <v>0</v>
      </c>
      <c r="O56" s="31">
        <f>(INDEX(Option4!O$106:O$117, MATCH($D56, Option4!$G$106:$G$117,0)))*conv_2026*O$7</f>
        <v>0</v>
      </c>
      <c r="P56" s="31">
        <f>(INDEX(Option4!P$106:P$117, MATCH($D56, Option4!$G$106:$G$117,0)))*conv_2026*P$7</f>
        <v>0</v>
      </c>
      <c r="Q56" s="31">
        <f>(INDEX(Option4!Q$106:Q$117, MATCH($D56, Option4!$G$106:$G$117,0)))*conv_2026*Q$7</f>
        <v>0</v>
      </c>
      <c r="R56" s="31">
        <f>(INDEX(Option4!R$106:R$117, MATCH($D56, Option4!$G$106:$G$117,0)))*conv_2026*R$7</f>
        <v>0</v>
      </c>
      <c r="S56" s="31">
        <f>(INDEX(Option4!S$106:S$117, MATCH($D56, Option4!$G$106:$G$117,0)))*conv_2026*S$7</f>
        <v>0</v>
      </c>
      <c r="T56" s="31">
        <f>(INDEX(Option4!T$106:T$117, MATCH($D56, Option4!$G$106:$G$117,0)))*conv_2026*T$7</f>
        <v>0</v>
      </c>
      <c r="U56" s="31">
        <f>(INDEX(Option4!U$106:U$117, MATCH($D56, Option4!$G$106:$G$117,0)))*conv_2026*U$7</f>
        <v>0</v>
      </c>
      <c r="V56" s="31">
        <f>(INDEX(Option4!V$106:V$117, MATCH($D56, Option4!$G$106:$G$117,0)))*conv_2026*V$7</f>
        <v>0</v>
      </c>
      <c r="W56" s="31">
        <f>(INDEX(Option4!W$106:W$117, MATCH($D56, Option4!$G$106:$G$117,0)))*conv_2026*W$7</f>
        <v>0</v>
      </c>
      <c r="X56" s="31">
        <f>(INDEX(Option4!X$106:X$117, MATCH($D56, Option4!$G$106:$G$117,0)))*conv_2026*X$7</f>
        <v>0</v>
      </c>
      <c r="Y56" s="31">
        <f>(INDEX(Option4!Y$106:Y$117, MATCH($D56, Option4!$G$106:$G$117,0)))*conv_2026*Y$7</f>
        <v>0</v>
      </c>
      <c r="Z56" s="31">
        <f>(INDEX(Option4!Z$106:Z$117, MATCH($D56, Option4!$G$106:$G$117,0)))*conv_2026*Z$7</f>
        <v>0</v>
      </c>
      <c r="AA56" s="31">
        <f>(INDEX(Option4!AA$106:AA$117, MATCH($D56, Option4!$G$106:$G$117,0)))*conv_2026*AA$7</f>
        <v>0</v>
      </c>
      <c r="AB56" s="31">
        <f>(INDEX(Option4!AB$106:AB$117, MATCH($D56, Option4!$G$106:$G$117,0)))*conv_2026*AB$7</f>
        <v>0</v>
      </c>
      <c r="AC56" s="31">
        <f>(INDEX(Option4!AC$106:AC$117, MATCH($D56, Option4!$G$106:$G$117,0)))*conv_2026*AC$7</f>
        <v>0</v>
      </c>
      <c r="AD56" s="31">
        <f>(INDEX(Option4!AD$106:AD$117, MATCH($D56, Option4!$G$106:$G$117,0)))*conv_2026*AD$7</f>
        <v>0</v>
      </c>
      <c r="AE56" s="31">
        <f>(INDEX(Option4!AE$106:AE$117, MATCH($D56, Option4!$G$106:$G$117,0)))*conv_2026*AE$7</f>
        <v>0</v>
      </c>
      <c r="AF56" s="31">
        <f>(INDEX(Option4!AF$106:AF$117, MATCH($D56, Option4!$G$106:$G$117,0)))*conv_2026*AF$7</f>
        <v>0</v>
      </c>
      <c r="AG56" s="31">
        <f>(INDEX(Option4!AG$106:AG$117, MATCH($D56, Option4!$G$106:$G$117,0)))*conv_2026*AG$7</f>
        <v>0</v>
      </c>
      <c r="AH56" s="7"/>
      <c r="AI56" s="7"/>
    </row>
    <row r="57" spans="1:35" s="8" customFormat="1" x14ac:dyDescent="0.2">
      <c r="A57" s="246"/>
      <c r="B57" s="246"/>
      <c r="C57" s="246"/>
      <c r="D57" s="246"/>
      <c r="E57" s="246"/>
      <c r="F57" s="246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7"/>
      <c r="AI57" s="7"/>
    </row>
    <row r="58" spans="1:35" s="8" customFormat="1" x14ac:dyDescent="0.2">
      <c r="A58" s="254" t="s">
        <v>133</v>
      </c>
      <c r="B58" s="254" t="str">
        <f>Option4!A110</f>
        <v>sens1</v>
      </c>
      <c r="C58" s="254" t="str">
        <f>Option4!C110</f>
        <v>Capex 10% higher</v>
      </c>
      <c r="D58" s="254" t="str">
        <f t="shared" ref="D58:D65" si="7">A58&amp;B58</f>
        <v>Option 4sens1</v>
      </c>
      <c r="E58" s="255"/>
      <c r="F58" s="31">
        <f t="shared" si="6"/>
        <v>0</v>
      </c>
      <c r="G58" s="247"/>
      <c r="H58" s="31">
        <f>(INDEX(Option4!H$106:H$117, MATCH($D58, Option4!$G$106:$G$117,0)))*conv_2026*H$7</f>
        <v>0</v>
      </c>
      <c r="I58" s="31">
        <f>(INDEX(Option4!I$106:I$117, MATCH($D58, Option4!$G$106:$G$117,0)))*conv_2026*I$7</f>
        <v>0</v>
      </c>
      <c r="J58" s="31">
        <f>(INDEX(Option4!J$106:J$117, MATCH($D58, Option4!$G$106:$G$117,0)))*conv_2026*J$7</f>
        <v>0</v>
      </c>
      <c r="K58" s="31">
        <f>(INDEX(Option4!K$106:K$117, MATCH($D58, Option4!$G$106:$G$117,0)))*conv_2026*K$7</f>
        <v>0</v>
      </c>
      <c r="L58" s="31">
        <f>(INDEX(Option4!L$106:L$117, MATCH($D58, Option4!$G$106:$G$117,0)))*conv_2026*L$7</f>
        <v>0</v>
      </c>
      <c r="M58" s="31">
        <f>(INDEX(Option4!M$106:M$117, MATCH($D58, Option4!$G$106:$G$117,0)))*conv_2026*M$7</f>
        <v>0</v>
      </c>
      <c r="N58" s="31">
        <f>(INDEX(Option4!N$106:N$117, MATCH($D58, Option4!$G$106:$G$117,0)))*conv_2026*N$7</f>
        <v>0</v>
      </c>
      <c r="O58" s="31">
        <f>(INDEX(Option4!O$106:O$117, MATCH($D58, Option4!$G$106:$G$117,0)))*conv_2026*O$7</f>
        <v>0</v>
      </c>
      <c r="P58" s="31">
        <f>(INDEX(Option4!P$106:P$117, MATCH($D58, Option4!$G$106:$G$117,0)))*conv_2026*P$7</f>
        <v>0</v>
      </c>
      <c r="Q58" s="31">
        <f>(INDEX(Option4!Q$106:Q$117, MATCH($D58, Option4!$G$106:$G$117,0)))*conv_2026*Q$7</f>
        <v>0</v>
      </c>
      <c r="R58" s="31">
        <f>(INDEX(Option4!R$106:R$117, MATCH($D58, Option4!$G$106:$G$117,0)))*conv_2026*R$7</f>
        <v>0</v>
      </c>
      <c r="S58" s="31">
        <f>(INDEX(Option4!S$106:S$117, MATCH($D58, Option4!$G$106:$G$117,0)))*conv_2026*S$7</f>
        <v>0</v>
      </c>
      <c r="T58" s="31">
        <f>(INDEX(Option4!T$106:T$117, MATCH($D58, Option4!$G$106:$G$117,0)))*conv_2026*T$7</f>
        <v>0</v>
      </c>
      <c r="U58" s="31">
        <f>(INDEX(Option4!U$106:U$117, MATCH($D58, Option4!$G$106:$G$117,0)))*conv_2026*U$7</f>
        <v>0</v>
      </c>
      <c r="V58" s="31">
        <f>(INDEX(Option4!V$106:V$117, MATCH($D58, Option4!$G$106:$G$117,0)))*conv_2026*V$7</f>
        <v>0</v>
      </c>
      <c r="W58" s="31">
        <f>(INDEX(Option4!W$106:W$117, MATCH($D58, Option4!$G$106:$G$117,0)))*conv_2026*W$7</f>
        <v>0</v>
      </c>
      <c r="X58" s="31">
        <f>(INDEX(Option4!X$106:X$117, MATCH($D58, Option4!$G$106:$G$117,0)))*conv_2026*X$7</f>
        <v>0</v>
      </c>
      <c r="Y58" s="31">
        <f>(INDEX(Option4!Y$106:Y$117, MATCH($D58, Option4!$G$106:$G$117,0)))*conv_2026*Y$7</f>
        <v>0</v>
      </c>
      <c r="Z58" s="31">
        <f>(INDEX(Option4!Z$106:Z$117, MATCH($D58, Option4!$G$106:$G$117,0)))*conv_2026*Z$7</f>
        <v>0</v>
      </c>
      <c r="AA58" s="31">
        <f>(INDEX(Option4!AA$106:AA$117, MATCH($D58, Option4!$G$106:$G$117,0)))*conv_2026*AA$7</f>
        <v>0</v>
      </c>
      <c r="AB58" s="31">
        <f>(INDEX(Option4!AB$106:AB$117, MATCH($D58, Option4!$G$106:$G$117,0)))*conv_2026*AB$7</f>
        <v>0</v>
      </c>
      <c r="AC58" s="31">
        <f>(INDEX(Option4!AC$106:AC$117, MATCH($D58, Option4!$G$106:$G$117,0)))*conv_2026*AC$7</f>
        <v>0</v>
      </c>
      <c r="AD58" s="31">
        <f>(INDEX(Option4!AD$106:AD$117, MATCH($D58, Option4!$G$106:$G$117,0)))*conv_2026*AD$7</f>
        <v>0</v>
      </c>
      <c r="AE58" s="31">
        <f>(INDEX(Option4!AE$106:AE$117, MATCH($D58, Option4!$G$106:$G$117,0)))*conv_2026*AE$7</f>
        <v>0</v>
      </c>
      <c r="AF58" s="31">
        <f>(INDEX(Option4!AF$106:AF$117, MATCH($D58, Option4!$G$106:$G$117,0)))*conv_2026*AF$7</f>
        <v>0</v>
      </c>
      <c r="AG58" s="31">
        <f>(INDEX(Option4!AG$106:AG$117, MATCH($D58, Option4!$G$106:$G$117,0)))*conv_2026*AG$7</f>
        <v>0</v>
      </c>
      <c r="AH58" s="7"/>
      <c r="AI58" s="7"/>
    </row>
    <row r="59" spans="1:35" s="8" customFormat="1" x14ac:dyDescent="0.2">
      <c r="A59" s="254" t="s">
        <v>133</v>
      </c>
      <c r="B59" s="254" t="str">
        <f>Option4!A111</f>
        <v>sens2</v>
      </c>
      <c r="C59" s="254" t="str">
        <f>Option4!C111</f>
        <v>Capex 10% lower</v>
      </c>
      <c r="D59" s="254" t="str">
        <f t="shared" si="7"/>
        <v>Option 4sens2</v>
      </c>
      <c r="E59" s="255"/>
      <c r="F59" s="31">
        <f t="shared" si="6"/>
        <v>0</v>
      </c>
      <c r="G59" s="254"/>
      <c r="H59" s="31">
        <f>(INDEX(Option4!H$106:H$117, MATCH($D59, Option4!$G$106:$G$117,0)))*conv_2026*H$7</f>
        <v>0</v>
      </c>
      <c r="I59" s="31">
        <f>(INDEX(Option4!I$106:I$117, MATCH($D59, Option4!$G$106:$G$117,0)))*conv_2026*I$7</f>
        <v>0</v>
      </c>
      <c r="J59" s="31">
        <f>(INDEX(Option4!J$106:J$117, MATCH($D59, Option4!$G$106:$G$117,0)))*conv_2026*J$7</f>
        <v>0</v>
      </c>
      <c r="K59" s="31">
        <f>(INDEX(Option4!K$106:K$117, MATCH($D59, Option4!$G$106:$G$117,0)))*conv_2026*K$7</f>
        <v>0</v>
      </c>
      <c r="L59" s="31">
        <f>(INDEX(Option4!L$106:L$117, MATCH($D59, Option4!$G$106:$G$117,0)))*conv_2026*L$7</f>
        <v>0</v>
      </c>
      <c r="M59" s="31">
        <f>(INDEX(Option4!M$106:M$117, MATCH($D59, Option4!$G$106:$G$117,0)))*conv_2026*M$7</f>
        <v>0</v>
      </c>
      <c r="N59" s="31">
        <f>(INDEX(Option4!N$106:N$117, MATCH($D59, Option4!$G$106:$G$117,0)))*conv_2026*N$7</f>
        <v>0</v>
      </c>
      <c r="O59" s="31">
        <f>(INDEX(Option4!O$106:O$117, MATCH($D59, Option4!$G$106:$G$117,0)))*conv_2026*O$7</f>
        <v>0</v>
      </c>
      <c r="P59" s="31">
        <f>(INDEX(Option4!P$106:P$117, MATCH($D59, Option4!$G$106:$G$117,0)))*conv_2026*P$7</f>
        <v>0</v>
      </c>
      <c r="Q59" s="31">
        <f>(INDEX(Option4!Q$106:Q$117, MATCH($D59, Option4!$G$106:$G$117,0)))*conv_2026*Q$7</f>
        <v>0</v>
      </c>
      <c r="R59" s="31">
        <f>(INDEX(Option4!R$106:R$117, MATCH($D59, Option4!$G$106:$G$117,0)))*conv_2026*R$7</f>
        <v>0</v>
      </c>
      <c r="S59" s="31">
        <f>(INDEX(Option4!S$106:S$117, MATCH($D59, Option4!$G$106:$G$117,0)))*conv_2026*S$7</f>
        <v>0</v>
      </c>
      <c r="T59" s="31">
        <f>(INDEX(Option4!T$106:T$117, MATCH($D59, Option4!$G$106:$G$117,0)))*conv_2026*T$7</f>
        <v>0</v>
      </c>
      <c r="U59" s="31">
        <f>(INDEX(Option4!U$106:U$117, MATCH($D59, Option4!$G$106:$G$117,0)))*conv_2026*U$7</f>
        <v>0</v>
      </c>
      <c r="V59" s="31">
        <f>(INDEX(Option4!V$106:V$117, MATCH($D59, Option4!$G$106:$G$117,0)))*conv_2026*V$7</f>
        <v>0</v>
      </c>
      <c r="W59" s="31">
        <f>(INDEX(Option4!W$106:W$117, MATCH($D59, Option4!$G$106:$G$117,0)))*conv_2026*W$7</f>
        <v>0</v>
      </c>
      <c r="X59" s="31">
        <f>(INDEX(Option4!X$106:X$117, MATCH($D59, Option4!$G$106:$G$117,0)))*conv_2026*X$7</f>
        <v>0</v>
      </c>
      <c r="Y59" s="31">
        <f>(INDEX(Option4!Y$106:Y$117, MATCH($D59, Option4!$G$106:$G$117,0)))*conv_2026*Y$7</f>
        <v>0</v>
      </c>
      <c r="Z59" s="31">
        <f>(INDEX(Option4!Z$106:Z$117, MATCH($D59, Option4!$G$106:$G$117,0)))*conv_2026*Z$7</f>
        <v>0</v>
      </c>
      <c r="AA59" s="31">
        <f>(INDEX(Option4!AA$106:AA$117, MATCH($D59, Option4!$G$106:$G$117,0)))*conv_2026*AA$7</f>
        <v>0</v>
      </c>
      <c r="AB59" s="31">
        <f>(INDEX(Option4!AB$106:AB$117, MATCH($D59, Option4!$G$106:$G$117,0)))*conv_2026*AB$7</f>
        <v>0</v>
      </c>
      <c r="AC59" s="31">
        <f>(INDEX(Option4!AC$106:AC$117, MATCH($D59, Option4!$G$106:$G$117,0)))*conv_2026*AC$7</f>
        <v>0</v>
      </c>
      <c r="AD59" s="31">
        <f>(INDEX(Option4!AD$106:AD$117, MATCH($D59, Option4!$G$106:$G$117,0)))*conv_2026*AD$7</f>
        <v>0</v>
      </c>
      <c r="AE59" s="31">
        <f>(INDEX(Option4!AE$106:AE$117, MATCH($D59, Option4!$G$106:$G$117,0)))*conv_2026*AE$7</f>
        <v>0</v>
      </c>
      <c r="AF59" s="31">
        <f>(INDEX(Option4!AF$106:AF$117, MATCH($D59, Option4!$G$106:$G$117,0)))*conv_2026*AF$7</f>
        <v>0</v>
      </c>
      <c r="AG59" s="31">
        <f>(INDEX(Option4!AG$106:AG$117, MATCH($D59, Option4!$G$106:$G$117,0)))*conv_2026*AG$7</f>
        <v>0</v>
      </c>
    </row>
    <row r="60" spans="1:35" s="8" customFormat="1" x14ac:dyDescent="0.2">
      <c r="A60" s="254" t="s">
        <v>133</v>
      </c>
      <c r="B60" s="254" t="str">
        <f>Option4!A112</f>
        <v>sens3</v>
      </c>
      <c r="C60" s="254" t="str">
        <f>Option4!C112</f>
        <v>Increasing wind escalation</v>
      </c>
      <c r="D60" s="254" t="str">
        <f t="shared" si="7"/>
        <v>Option 4sens3</v>
      </c>
      <c r="E60" s="255"/>
      <c r="F60" s="31">
        <f t="shared" si="6"/>
        <v>0</v>
      </c>
      <c r="H60" s="31">
        <f>(INDEX(Option4!H$106:H$117, MATCH($D60, Option4!$G$106:$G$117,0)))*conv_2026*H$7</f>
        <v>0</v>
      </c>
      <c r="I60" s="31">
        <f>(INDEX(Option4!I$106:I$117, MATCH($D60, Option4!$G$106:$G$117,0)))*conv_2026*I$7</f>
        <v>0</v>
      </c>
      <c r="J60" s="31">
        <f>(INDEX(Option4!J$106:J$117, MATCH($D60, Option4!$G$106:$G$117,0)))*conv_2026*J$7</f>
        <v>0</v>
      </c>
      <c r="K60" s="31">
        <f>(INDEX(Option4!K$106:K$117, MATCH($D60, Option4!$G$106:$G$117,0)))*conv_2026*K$7</f>
        <v>0</v>
      </c>
      <c r="L60" s="31">
        <f>(INDEX(Option4!L$106:L$117, MATCH($D60, Option4!$G$106:$G$117,0)))*conv_2026*L$7</f>
        <v>0</v>
      </c>
      <c r="M60" s="31">
        <f>(INDEX(Option4!M$106:M$117, MATCH($D60, Option4!$G$106:$G$117,0)))*conv_2026*M$7</f>
        <v>0</v>
      </c>
      <c r="N60" s="31">
        <f>(INDEX(Option4!N$106:N$117, MATCH($D60, Option4!$G$106:$G$117,0)))*conv_2026*N$7</f>
        <v>0</v>
      </c>
      <c r="O60" s="31">
        <f>(INDEX(Option4!O$106:O$117, MATCH($D60, Option4!$G$106:$G$117,0)))*conv_2026*O$7</f>
        <v>0</v>
      </c>
      <c r="P60" s="31">
        <f>(INDEX(Option4!P$106:P$117, MATCH($D60, Option4!$G$106:$G$117,0)))*conv_2026*P$7</f>
        <v>0</v>
      </c>
      <c r="Q60" s="31">
        <f>(INDEX(Option4!Q$106:Q$117, MATCH($D60, Option4!$G$106:$G$117,0)))*conv_2026*Q$7</f>
        <v>0</v>
      </c>
      <c r="R60" s="31">
        <f>(INDEX(Option4!R$106:R$117, MATCH($D60, Option4!$G$106:$G$117,0)))*conv_2026*R$7</f>
        <v>0</v>
      </c>
      <c r="S60" s="31">
        <f>(INDEX(Option4!S$106:S$117, MATCH($D60, Option4!$G$106:$G$117,0)))*conv_2026*S$7</f>
        <v>0</v>
      </c>
      <c r="T60" s="31">
        <f>(INDEX(Option4!T$106:T$117, MATCH($D60, Option4!$G$106:$G$117,0)))*conv_2026*T$7</f>
        <v>0</v>
      </c>
      <c r="U60" s="31">
        <f>(INDEX(Option4!U$106:U$117, MATCH($D60, Option4!$G$106:$G$117,0)))*conv_2026*U$7</f>
        <v>0</v>
      </c>
      <c r="V60" s="31">
        <f>(INDEX(Option4!V$106:V$117, MATCH($D60, Option4!$G$106:$G$117,0)))*conv_2026*V$7</f>
        <v>0</v>
      </c>
      <c r="W60" s="31">
        <f>(INDEX(Option4!W$106:W$117, MATCH($D60, Option4!$G$106:$G$117,0)))*conv_2026*W$7</f>
        <v>0</v>
      </c>
      <c r="X60" s="31">
        <f>(INDEX(Option4!X$106:X$117, MATCH($D60, Option4!$G$106:$G$117,0)))*conv_2026*X$7</f>
        <v>0</v>
      </c>
      <c r="Y60" s="31">
        <f>(INDEX(Option4!Y$106:Y$117, MATCH($D60, Option4!$G$106:$G$117,0)))*conv_2026*Y$7</f>
        <v>0</v>
      </c>
      <c r="Z60" s="31">
        <f>(INDEX(Option4!Z$106:Z$117, MATCH($D60, Option4!$G$106:$G$117,0)))*conv_2026*Z$7</f>
        <v>0</v>
      </c>
      <c r="AA60" s="31">
        <f>(INDEX(Option4!AA$106:AA$117, MATCH($D60, Option4!$G$106:$G$117,0)))*conv_2026*AA$7</f>
        <v>0</v>
      </c>
      <c r="AB60" s="31">
        <f>(INDEX(Option4!AB$106:AB$117, MATCH($D60, Option4!$G$106:$G$117,0)))*conv_2026*AB$7</f>
        <v>0</v>
      </c>
      <c r="AC60" s="31">
        <f>(INDEX(Option4!AC$106:AC$117, MATCH($D60, Option4!$G$106:$G$117,0)))*conv_2026*AC$7</f>
        <v>0</v>
      </c>
      <c r="AD60" s="31">
        <f>(INDEX(Option4!AD$106:AD$117, MATCH($D60, Option4!$G$106:$G$117,0)))*conv_2026*AD$7</f>
        <v>0</v>
      </c>
      <c r="AE60" s="31">
        <f>(INDEX(Option4!AE$106:AE$117, MATCH($D60, Option4!$G$106:$G$117,0)))*conv_2026*AE$7</f>
        <v>0</v>
      </c>
      <c r="AF60" s="31">
        <f>(INDEX(Option4!AF$106:AF$117, MATCH($D60, Option4!$G$106:$G$117,0)))*conv_2026*AF$7</f>
        <v>0</v>
      </c>
      <c r="AG60" s="31">
        <f>(INDEX(Option4!AG$106:AG$117, MATCH($D60, Option4!$G$106:$G$117,0)))*conv_2026*AG$7</f>
        <v>0</v>
      </c>
    </row>
    <row r="61" spans="1:35" s="8" customFormat="1" x14ac:dyDescent="0.2">
      <c r="A61" s="254" t="s">
        <v>133</v>
      </c>
      <c r="B61" s="254" t="str">
        <f>Option4!A113</f>
        <v>sens4</v>
      </c>
      <c r="C61" s="254" t="str">
        <f>Option4!C113</f>
        <v/>
      </c>
      <c r="D61" s="254" t="str">
        <f t="shared" si="7"/>
        <v>Option 4sens4</v>
      </c>
      <c r="E61" s="255"/>
      <c r="F61" s="31">
        <f t="shared" si="6"/>
        <v>0</v>
      </c>
      <c r="H61" s="31">
        <f>(INDEX(Option4!H$106:H$117, MATCH($D61, Option4!$G$106:$G$117,0)))*conv_2026*H$7</f>
        <v>0</v>
      </c>
      <c r="I61" s="31">
        <f>(INDEX(Option4!I$106:I$117, MATCH($D61, Option4!$G$106:$G$117,0)))*conv_2026*I$7</f>
        <v>0</v>
      </c>
      <c r="J61" s="31">
        <f>(INDEX(Option4!J$106:J$117, MATCH($D61, Option4!$G$106:$G$117,0)))*conv_2026*J$7</f>
        <v>0</v>
      </c>
      <c r="K61" s="31">
        <f>(INDEX(Option4!K$106:K$117, MATCH($D61, Option4!$G$106:$G$117,0)))*conv_2026*K$7</f>
        <v>0</v>
      </c>
      <c r="L61" s="31">
        <f>(INDEX(Option4!L$106:L$117, MATCH($D61, Option4!$G$106:$G$117,0)))*conv_2026*L$7</f>
        <v>0</v>
      </c>
      <c r="M61" s="31">
        <f>(INDEX(Option4!M$106:M$117, MATCH($D61, Option4!$G$106:$G$117,0)))*conv_2026*M$7</f>
        <v>0</v>
      </c>
      <c r="N61" s="31">
        <f>(INDEX(Option4!N$106:N$117, MATCH($D61, Option4!$G$106:$G$117,0)))*conv_2026*N$7</f>
        <v>0</v>
      </c>
      <c r="O61" s="31">
        <f>(INDEX(Option4!O$106:O$117, MATCH($D61, Option4!$G$106:$G$117,0)))*conv_2026*O$7</f>
        <v>0</v>
      </c>
      <c r="P61" s="31">
        <f>(INDEX(Option4!P$106:P$117, MATCH($D61, Option4!$G$106:$G$117,0)))*conv_2026*P$7</f>
        <v>0</v>
      </c>
      <c r="Q61" s="31">
        <f>(INDEX(Option4!Q$106:Q$117, MATCH($D61, Option4!$G$106:$G$117,0)))*conv_2026*Q$7</f>
        <v>0</v>
      </c>
      <c r="R61" s="31">
        <f>(INDEX(Option4!R$106:R$117, MATCH($D61, Option4!$G$106:$G$117,0)))*conv_2026*R$7</f>
        <v>0</v>
      </c>
      <c r="S61" s="31">
        <f>(INDEX(Option4!S$106:S$117, MATCH($D61, Option4!$G$106:$G$117,0)))*conv_2026*S$7</f>
        <v>0</v>
      </c>
      <c r="T61" s="31">
        <f>(INDEX(Option4!T$106:T$117, MATCH($D61, Option4!$G$106:$G$117,0)))*conv_2026*T$7</f>
        <v>0</v>
      </c>
      <c r="U61" s="31">
        <f>(INDEX(Option4!U$106:U$117, MATCH($D61, Option4!$G$106:$G$117,0)))*conv_2026*U$7</f>
        <v>0</v>
      </c>
      <c r="V61" s="31">
        <f>(INDEX(Option4!V$106:V$117, MATCH($D61, Option4!$G$106:$G$117,0)))*conv_2026*V$7</f>
        <v>0</v>
      </c>
      <c r="W61" s="31">
        <f>(INDEX(Option4!W$106:W$117, MATCH($D61, Option4!$G$106:$G$117,0)))*conv_2026*W$7</f>
        <v>0</v>
      </c>
      <c r="X61" s="31">
        <f>(INDEX(Option4!X$106:X$117, MATCH($D61, Option4!$G$106:$G$117,0)))*conv_2026*X$7</f>
        <v>0</v>
      </c>
      <c r="Y61" s="31">
        <f>(INDEX(Option4!Y$106:Y$117, MATCH($D61, Option4!$G$106:$G$117,0)))*conv_2026*Y$7</f>
        <v>0</v>
      </c>
      <c r="Z61" s="31">
        <f>(INDEX(Option4!Z$106:Z$117, MATCH($D61, Option4!$G$106:$G$117,0)))*conv_2026*Z$7</f>
        <v>0</v>
      </c>
      <c r="AA61" s="31">
        <f>(INDEX(Option4!AA$106:AA$117, MATCH($D61, Option4!$G$106:$G$117,0)))*conv_2026*AA$7</f>
        <v>0</v>
      </c>
      <c r="AB61" s="31">
        <f>(INDEX(Option4!AB$106:AB$117, MATCH($D61, Option4!$G$106:$G$117,0)))*conv_2026*AB$7</f>
        <v>0</v>
      </c>
      <c r="AC61" s="31">
        <f>(INDEX(Option4!AC$106:AC$117, MATCH($D61, Option4!$G$106:$G$117,0)))*conv_2026*AC$7</f>
        <v>0</v>
      </c>
      <c r="AD61" s="31">
        <f>(INDEX(Option4!AD$106:AD$117, MATCH($D61, Option4!$G$106:$G$117,0)))*conv_2026*AD$7</f>
        <v>0</v>
      </c>
      <c r="AE61" s="31">
        <f>(INDEX(Option4!AE$106:AE$117, MATCH($D61, Option4!$G$106:$G$117,0)))*conv_2026*AE$7</f>
        <v>0</v>
      </c>
      <c r="AF61" s="31">
        <f>(INDEX(Option4!AF$106:AF$117, MATCH($D61, Option4!$G$106:$G$117,0)))*conv_2026*AF$7</f>
        <v>0</v>
      </c>
      <c r="AG61" s="31">
        <f>(INDEX(Option4!AG$106:AG$117, MATCH($D61, Option4!$G$106:$G$117,0)))*conv_2026*AG$7</f>
        <v>0</v>
      </c>
    </row>
    <row r="62" spans="1:35" s="8" customFormat="1" x14ac:dyDescent="0.2">
      <c r="A62" s="254" t="s">
        <v>133</v>
      </c>
      <c r="B62" s="254" t="str">
        <f>Option4!A114</f>
        <v>sens5</v>
      </c>
      <c r="C62" s="254" t="str">
        <f>Option4!C114</f>
        <v/>
      </c>
      <c r="D62" s="254" t="str">
        <f t="shared" si="7"/>
        <v>Option 4sens5</v>
      </c>
      <c r="E62" s="255"/>
      <c r="F62" s="31">
        <f t="shared" si="6"/>
        <v>0</v>
      </c>
      <c r="H62" s="31">
        <f>(INDEX(Option4!H$106:H$117, MATCH($D62, Option4!$G$106:$G$117,0)))*conv_2026*H$7</f>
        <v>0</v>
      </c>
      <c r="I62" s="31">
        <f>(INDEX(Option4!I$106:I$117, MATCH($D62, Option4!$G$106:$G$117,0)))*conv_2026*I$7</f>
        <v>0</v>
      </c>
      <c r="J62" s="31">
        <f>(INDEX(Option4!J$106:J$117, MATCH($D62, Option4!$G$106:$G$117,0)))*conv_2026*J$7</f>
        <v>0</v>
      </c>
      <c r="K62" s="31">
        <f>(INDEX(Option4!K$106:K$117, MATCH($D62, Option4!$G$106:$G$117,0)))*conv_2026*K$7</f>
        <v>0</v>
      </c>
      <c r="L62" s="31">
        <f>(INDEX(Option4!L$106:L$117, MATCH($D62, Option4!$G$106:$G$117,0)))*conv_2026*L$7</f>
        <v>0</v>
      </c>
      <c r="M62" s="31">
        <f>(INDEX(Option4!M$106:M$117, MATCH($D62, Option4!$G$106:$G$117,0)))*conv_2026*M$7</f>
        <v>0</v>
      </c>
      <c r="N62" s="31">
        <f>(INDEX(Option4!N$106:N$117, MATCH($D62, Option4!$G$106:$G$117,0)))*conv_2026*N$7</f>
        <v>0</v>
      </c>
      <c r="O62" s="31">
        <f>(INDEX(Option4!O$106:O$117, MATCH($D62, Option4!$G$106:$G$117,0)))*conv_2026*O$7</f>
        <v>0</v>
      </c>
      <c r="P62" s="31">
        <f>(INDEX(Option4!P$106:P$117, MATCH($D62, Option4!$G$106:$G$117,0)))*conv_2026*P$7</f>
        <v>0</v>
      </c>
      <c r="Q62" s="31">
        <f>(INDEX(Option4!Q$106:Q$117, MATCH($D62, Option4!$G$106:$G$117,0)))*conv_2026*Q$7</f>
        <v>0</v>
      </c>
      <c r="R62" s="31">
        <f>(INDEX(Option4!R$106:R$117, MATCH($D62, Option4!$G$106:$G$117,0)))*conv_2026*R$7</f>
        <v>0</v>
      </c>
      <c r="S62" s="31">
        <f>(INDEX(Option4!S$106:S$117, MATCH($D62, Option4!$G$106:$G$117,0)))*conv_2026*S$7</f>
        <v>0</v>
      </c>
      <c r="T62" s="31">
        <f>(INDEX(Option4!T$106:T$117, MATCH($D62, Option4!$G$106:$G$117,0)))*conv_2026*T$7</f>
        <v>0</v>
      </c>
      <c r="U62" s="31">
        <f>(INDEX(Option4!U$106:U$117, MATCH($D62, Option4!$G$106:$G$117,0)))*conv_2026*U$7</f>
        <v>0</v>
      </c>
      <c r="V62" s="31">
        <f>(INDEX(Option4!V$106:V$117, MATCH($D62, Option4!$G$106:$G$117,0)))*conv_2026*V$7</f>
        <v>0</v>
      </c>
      <c r="W62" s="31">
        <f>(INDEX(Option4!W$106:W$117, MATCH($D62, Option4!$G$106:$G$117,0)))*conv_2026*W$7</f>
        <v>0</v>
      </c>
      <c r="X62" s="31">
        <f>(INDEX(Option4!X$106:X$117, MATCH($D62, Option4!$G$106:$G$117,0)))*conv_2026*X$7</f>
        <v>0</v>
      </c>
      <c r="Y62" s="31">
        <f>(INDEX(Option4!Y$106:Y$117, MATCH($D62, Option4!$G$106:$G$117,0)))*conv_2026*Y$7</f>
        <v>0</v>
      </c>
      <c r="Z62" s="31">
        <f>(INDEX(Option4!Z$106:Z$117, MATCH($D62, Option4!$G$106:$G$117,0)))*conv_2026*Z$7</f>
        <v>0</v>
      </c>
      <c r="AA62" s="31">
        <f>(INDEX(Option4!AA$106:AA$117, MATCH($D62, Option4!$G$106:$G$117,0)))*conv_2026*AA$7</f>
        <v>0</v>
      </c>
      <c r="AB62" s="31">
        <f>(INDEX(Option4!AB$106:AB$117, MATCH($D62, Option4!$G$106:$G$117,0)))*conv_2026*AB$7</f>
        <v>0</v>
      </c>
      <c r="AC62" s="31">
        <f>(INDEX(Option4!AC$106:AC$117, MATCH($D62, Option4!$G$106:$G$117,0)))*conv_2026*AC$7</f>
        <v>0</v>
      </c>
      <c r="AD62" s="31">
        <f>(INDEX(Option4!AD$106:AD$117, MATCH($D62, Option4!$G$106:$G$117,0)))*conv_2026*AD$7</f>
        <v>0</v>
      </c>
      <c r="AE62" s="31">
        <f>(INDEX(Option4!AE$106:AE$117, MATCH($D62, Option4!$G$106:$G$117,0)))*conv_2026*AE$7</f>
        <v>0</v>
      </c>
      <c r="AF62" s="31">
        <f>(INDEX(Option4!AF$106:AF$117, MATCH($D62, Option4!$G$106:$G$117,0)))*conv_2026*AF$7</f>
        <v>0</v>
      </c>
      <c r="AG62" s="31">
        <f>(INDEX(Option4!AG$106:AG$117, MATCH($D62, Option4!$G$106:$G$117,0)))*conv_2026*AG$7</f>
        <v>0</v>
      </c>
    </row>
    <row r="63" spans="1:35" s="8" customFormat="1" x14ac:dyDescent="0.2">
      <c r="A63" s="254" t="s">
        <v>133</v>
      </c>
      <c r="B63" s="254" t="str">
        <f>Option4!A115</f>
        <v>sens</v>
      </c>
      <c r="C63" s="254">
        <f>Option4!C115</f>
        <v>0</v>
      </c>
      <c r="D63" s="254" t="str">
        <f t="shared" si="7"/>
        <v>Option 4sens</v>
      </c>
      <c r="E63" s="255"/>
      <c r="F63" s="31">
        <f t="shared" si="6"/>
        <v>0</v>
      </c>
      <c r="H63" s="31">
        <f>(INDEX(Option4!H$106:H$117, MATCH($D63, Option4!$G$106:$G$117,0)))*conv_2026*H$7</f>
        <v>0</v>
      </c>
      <c r="I63" s="31">
        <f>(INDEX(Option4!I$106:I$117, MATCH($D63, Option4!$G$106:$G$117,0)))*conv_2026*I$7</f>
        <v>0</v>
      </c>
      <c r="J63" s="31">
        <f>(INDEX(Option4!J$106:J$117, MATCH($D63, Option4!$G$106:$G$117,0)))*conv_2026*J$7</f>
        <v>0</v>
      </c>
      <c r="K63" s="31">
        <f>(INDEX(Option4!K$106:K$117, MATCH($D63, Option4!$G$106:$G$117,0)))*conv_2026*K$7</f>
        <v>0</v>
      </c>
      <c r="L63" s="31">
        <f>(INDEX(Option4!L$106:L$117, MATCH($D63, Option4!$G$106:$G$117,0)))*conv_2026*L$7</f>
        <v>0</v>
      </c>
      <c r="M63" s="31">
        <f>(INDEX(Option4!M$106:M$117, MATCH($D63, Option4!$G$106:$G$117,0)))*conv_2026*M$7</f>
        <v>0</v>
      </c>
      <c r="N63" s="31">
        <f>(INDEX(Option4!N$106:N$117, MATCH($D63, Option4!$G$106:$G$117,0)))*conv_2026*N$7</f>
        <v>0</v>
      </c>
      <c r="O63" s="31">
        <f>(INDEX(Option4!O$106:O$117, MATCH($D63, Option4!$G$106:$G$117,0)))*conv_2026*O$7</f>
        <v>0</v>
      </c>
      <c r="P63" s="31">
        <f>(INDEX(Option4!P$106:P$117, MATCH($D63, Option4!$G$106:$G$117,0)))*conv_2026*P$7</f>
        <v>0</v>
      </c>
      <c r="Q63" s="31">
        <f>(INDEX(Option4!Q$106:Q$117, MATCH($D63, Option4!$G$106:$G$117,0)))*conv_2026*Q$7</f>
        <v>0</v>
      </c>
      <c r="R63" s="31">
        <f>(INDEX(Option4!R$106:R$117, MATCH($D63, Option4!$G$106:$G$117,0)))*conv_2026*R$7</f>
        <v>0</v>
      </c>
      <c r="S63" s="31">
        <f>(INDEX(Option4!S$106:S$117, MATCH($D63, Option4!$G$106:$G$117,0)))*conv_2026*S$7</f>
        <v>0</v>
      </c>
      <c r="T63" s="31">
        <f>(INDEX(Option4!T$106:T$117, MATCH($D63, Option4!$G$106:$G$117,0)))*conv_2026*T$7</f>
        <v>0</v>
      </c>
      <c r="U63" s="31">
        <f>(INDEX(Option4!U$106:U$117, MATCH($D63, Option4!$G$106:$G$117,0)))*conv_2026*U$7</f>
        <v>0</v>
      </c>
      <c r="V63" s="31">
        <f>(INDEX(Option4!V$106:V$117, MATCH($D63, Option4!$G$106:$G$117,0)))*conv_2026*V$7</f>
        <v>0</v>
      </c>
      <c r="W63" s="31">
        <f>(INDEX(Option4!W$106:W$117, MATCH($D63, Option4!$G$106:$G$117,0)))*conv_2026*W$7</f>
        <v>0</v>
      </c>
      <c r="X63" s="31">
        <f>(INDEX(Option4!X$106:X$117, MATCH($D63, Option4!$G$106:$G$117,0)))*conv_2026*X$7</f>
        <v>0</v>
      </c>
      <c r="Y63" s="31">
        <f>(INDEX(Option4!Y$106:Y$117, MATCH($D63, Option4!$G$106:$G$117,0)))*conv_2026*Y$7</f>
        <v>0</v>
      </c>
      <c r="Z63" s="31">
        <f>(INDEX(Option4!Z$106:Z$117, MATCH($D63, Option4!$G$106:$G$117,0)))*conv_2026*Z$7</f>
        <v>0</v>
      </c>
      <c r="AA63" s="31">
        <f>(INDEX(Option4!AA$106:AA$117, MATCH($D63, Option4!$G$106:$G$117,0)))*conv_2026*AA$7</f>
        <v>0</v>
      </c>
      <c r="AB63" s="31">
        <f>(INDEX(Option4!AB$106:AB$117, MATCH($D63, Option4!$G$106:$G$117,0)))*conv_2026*AB$7</f>
        <v>0</v>
      </c>
      <c r="AC63" s="31">
        <f>(INDEX(Option4!AC$106:AC$117, MATCH($D63, Option4!$G$106:$G$117,0)))*conv_2026*AC$7</f>
        <v>0</v>
      </c>
      <c r="AD63" s="31">
        <f>(INDEX(Option4!AD$106:AD$117, MATCH($D63, Option4!$G$106:$G$117,0)))*conv_2026*AD$7</f>
        <v>0</v>
      </c>
      <c r="AE63" s="31">
        <f>(INDEX(Option4!AE$106:AE$117, MATCH($D63, Option4!$G$106:$G$117,0)))*conv_2026*AE$7</f>
        <v>0</v>
      </c>
      <c r="AF63" s="31">
        <f>(INDEX(Option4!AF$106:AF$117, MATCH($D63, Option4!$G$106:$G$117,0)))*conv_2026*AF$7</f>
        <v>0</v>
      </c>
      <c r="AG63" s="31">
        <f>(INDEX(Option4!AG$106:AG$117, MATCH($D63, Option4!$G$106:$G$117,0)))*conv_2026*AG$7</f>
        <v>0</v>
      </c>
    </row>
    <row r="64" spans="1:35" s="8" customFormat="1" x14ac:dyDescent="0.2">
      <c r="A64" s="254" t="s">
        <v>133</v>
      </c>
      <c r="B64" s="254" t="str">
        <f>Option4!A116</f>
        <v>sens</v>
      </c>
      <c r="C64" s="254">
        <f>Option4!C116</f>
        <v>0</v>
      </c>
      <c r="D64" s="254" t="str">
        <f t="shared" si="7"/>
        <v>Option 4sens</v>
      </c>
      <c r="E64" s="255"/>
      <c r="F64" s="31">
        <f t="shared" si="6"/>
        <v>0</v>
      </c>
      <c r="H64" s="31">
        <f>(INDEX(Option4!H$106:H$117, MATCH($D64, Option4!$G$106:$G$117,0)))*conv_2026*H$7</f>
        <v>0</v>
      </c>
      <c r="I64" s="31">
        <f>(INDEX(Option4!I$106:I$117, MATCH($D64, Option4!$G$106:$G$117,0)))*conv_2026*I$7</f>
        <v>0</v>
      </c>
      <c r="J64" s="31">
        <f>(INDEX(Option4!J$106:J$117, MATCH($D64, Option4!$G$106:$G$117,0)))*conv_2026*J$7</f>
        <v>0</v>
      </c>
      <c r="K64" s="31">
        <f>(INDEX(Option4!K$106:K$117, MATCH($D64, Option4!$G$106:$G$117,0)))*conv_2026*K$7</f>
        <v>0</v>
      </c>
      <c r="L64" s="31">
        <f>(INDEX(Option4!L$106:L$117, MATCH($D64, Option4!$G$106:$G$117,0)))*conv_2026*L$7</f>
        <v>0</v>
      </c>
      <c r="M64" s="31">
        <f>(INDEX(Option4!M$106:M$117, MATCH($D64, Option4!$G$106:$G$117,0)))*conv_2026*M$7</f>
        <v>0</v>
      </c>
      <c r="N64" s="31">
        <f>(INDEX(Option4!N$106:N$117, MATCH($D64, Option4!$G$106:$G$117,0)))*conv_2026*N$7</f>
        <v>0</v>
      </c>
      <c r="O64" s="31">
        <f>(INDEX(Option4!O$106:O$117, MATCH($D64, Option4!$G$106:$G$117,0)))*conv_2026*O$7</f>
        <v>0</v>
      </c>
      <c r="P64" s="31">
        <f>(INDEX(Option4!P$106:P$117, MATCH($D64, Option4!$G$106:$G$117,0)))*conv_2026*P$7</f>
        <v>0</v>
      </c>
      <c r="Q64" s="31">
        <f>(INDEX(Option4!Q$106:Q$117, MATCH($D64, Option4!$G$106:$G$117,0)))*conv_2026*Q$7</f>
        <v>0</v>
      </c>
      <c r="R64" s="31">
        <f>(INDEX(Option4!R$106:R$117, MATCH($D64, Option4!$G$106:$G$117,0)))*conv_2026*R$7</f>
        <v>0</v>
      </c>
      <c r="S64" s="31">
        <f>(INDEX(Option4!S$106:S$117, MATCH($D64, Option4!$G$106:$G$117,0)))*conv_2026*S$7</f>
        <v>0</v>
      </c>
      <c r="T64" s="31">
        <f>(INDEX(Option4!T$106:T$117, MATCH($D64, Option4!$G$106:$G$117,0)))*conv_2026*T$7</f>
        <v>0</v>
      </c>
      <c r="U64" s="31">
        <f>(INDEX(Option4!U$106:U$117, MATCH($D64, Option4!$G$106:$G$117,0)))*conv_2026*U$7</f>
        <v>0</v>
      </c>
      <c r="V64" s="31">
        <f>(INDEX(Option4!V$106:V$117, MATCH($D64, Option4!$G$106:$G$117,0)))*conv_2026*V$7</f>
        <v>0</v>
      </c>
      <c r="W64" s="31">
        <f>(INDEX(Option4!W$106:W$117, MATCH($D64, Option4!$G$106:$G$117,0)))*conv_2026*W$7</f>
        <v>0</v>
      </c>
      <c r="X64" s="31">
        <f>(INDEX(Option4!X$106:X$117, MATCH($D64, Option4!$G$106:$G$117,0)))*conv_2026*X$7</f>
        <v>0</v>
      </c>
      <c r="Y64" s="31">
        <f>(INDEX(Option4!Y$106:Y$117, MATCH($D64, Option4!$G$106:$G$117,0)))*conv_2026*Y$7</f>
        <v>0</v>
      </c>
      <c r="Z64" s="31">
        <f>(INDEX(Option4!Z$106:Z$117, MATCH($D64, Option4!$G$106:$G$117,0)))*conv_2026*Z$7</f>
        <v>0</v>
      </c>
      <c r="AA64" s="31">
        <f>(INDEX(Option4!AA$106:AA$117, MATCH($D64, Option4!$G$106:$G$117,0)))*conv_2026*AA$7</f>
        <v>0</v>
      </c>
      <c r="AB64" s="31">
        <f>(INDEX(Option4!AB$106:AB$117, MATCH($D64, Option4!$G$106:$G$117,0)))*conv_2026*AB$7</f>
        <v>0</v>
      </c>
      <c r="AC64" s="31">
        <f>(INDEX(Option4!AC$106:AC$117, MATCH($D64, Option4!$G$106:$G$117,0)))*conv_2026*AC$7</f>
        <v>0</v>
      </c>
      <c r="AD64" s="31">
        <f>(INDEX(Option4!AD$106:AD$117, MATCH($D64, Option4!$G$106:$G$117,0)))*conv_2026*AD$7</f>
        <v>0</v>
      </c>
      <c r="AE64" s="31">
        <f>(INDEX(Option4!AE$106:AE$117, MATCH($D64, Option4!$G$106:$G$117,0)))*conv_2026*AE$7</f>
        <v>0</v>
      </c>
      <c r="AF64" s="31">
        <f>(INDEX(Option4!AF$106:AF$117, MATCH($D64, Option4!$G$106:$G$117,0)))*conv_2026*AF$7</f>
        <v>0</v>
      </c>
      <c r="AG64" s="31">
        <f>(INDEX(Option4!AG$106:AG$117, MATCH($D64, Option4!$G$106:$G$117,0)))*conv_2026*AG$7</f>
        <v>0</v>
      </c>
    </row>
    <row r="65" spans="1:35" s="8" customFormat="1" x14ac:dyDescent="0.2">
      <c r="A65" s="254" t="s">
        <v>133</v>
      </c>
      <c r="B65" s="254" t="str">
        <f>Option4!A117</f>
        <v>sens</v>
      </c>
      <c r="C65" s="254">
        <f>Option4!C117</f>
        <v>0</v>
      </c>
      <c r="D65" s="254" t="str">
        <f t="shared" si="7"/>
        <v>Option 4sens</v>
      </c>
      <c r="E65" s="255"/>
      <c r="F65" s="31">
        <f t="shared" si="6"/>
        <v>0</v>
      </c>
      <c r="H65" s="31">
        <f>(INDEX(Option4!H$106:H$117, MATCH($D65, Option4!$G$106:$G$117,0)))*conv_2026*H$7</f>
        <v>0</v>
      </c>
      <c r="I65" s="31">
        <f>(INDEX(Option4!I$106:I$117, MATCH($D65, Option4!$G$106:$G$117,0)))*conv_2026*I$7</f>
        <v>0</v>
      </c>
      <c r="J65" s="31">
        <f>(INDEX(Option4!J$106:J$117, MATCH($D65, Option4!$G$106:$G$117,0)))*conv_2026*J$7</f>
        <v>0</v>
      </c>
      <c r="K65" s="31">
        <f>(INDEX(Option4!K$106:K$117, MATCH($D65, Option4!$G$106:$G$117,0)))*conv_2026*K$7</f>
        <v>0</v>
      </c>
      <c r="L65" s="31">
        <f>(INDEX(Option4!L$106:L$117, MATCH($D65, Option4!$G$106:$G$117,0)))*conv_2026*L$7</f>
        <v>0</v>
      </c>
      <c r="M65" s="31">
        <f>(INDEX(Option4!M$106:M$117, MATCH($D65, Option4!$G$106:$G$117,0)))*conv_2026*M$7</f>
        <v>0</v>
      </c>
      <c r="N65" s="31">
        <f>(INDEX(Option4!N$106:N$117, MATCH($D65, Option4!$G$106:$G$117,0)))*conv_2026*N$7</f>
        <v>0</v>
      </c>
      <c r="O65" s="31">
        <f>(INDEX(Option4!O$106:O$117, MATCH($D65, Option4!$G$106:$G$117,0)))*conv_2026*O$7</f>
        <v>0</v>
      </c>
      <c r="P65" s="31">
        <f>(INDEX(Option4!P$106:P$117, MATCH($D65, Option4!$G$106:$G$117,0)))*conv_2026*P$7</f>
        <v>0</v>
      </c>
      <c r="Q65" s="31">
        <f>(INDEX(Option4!Q$106:Q$117, MATCH($D65, Option4!$G$106:$G$117,0)))*conv_2026*Q$7</f>
        <v>0</v>
      </c>
      <c r="R65" s="31">
        <f>(INDEX(Option4!R$106:R$117, MATCH($D65, Option4!$G$106:$G$117,0)))*conv_2026*R$7</f>
        <v>0</v>
      </c>
      <c r="S65" s="31">
        <f>(INDEX(Option4!S$106:S$117, MATCH($D65, Option4!$G$106:$G$117,0)))*conv_2026*S$7</f>
        <v>0</v>
      </c>
      <c r="T65" s="31">
        <f>(INDEX(Option4!T$106:T$117, MATCH($D65, Option4!$G$106:$G$117,0)))*conv_2026*T$7</f>
        <v>0</v>
      </c>
      <c r="U65" s="31">
        <f>(INDEX(Option4!U$106:U$117, MATCH($D65, Option4!$G$106:$G$117,0)))*conv_2026*U$7</f>
        <v>0</v>
      </c>
      <c r="V65" s="31">
        <f>(INDEX(Option4!V$106:V$117, MATCH($D65, Option4!$G$106:$G$117,0)))*conv_2026*V$7</f>
        <v>0</v>
      </c>
      <c r="W65" s="31">
        <f>(INDEX(Option4!W$106:W$117, MATCH($D65, Option4!$G$106:$G$117,0)))*conv_2026*W$7</f>
        <v>0</v>
      </c>
      <c r="X65" s="31">
        <f>(INDEX(Option4!X$106:X$117, MATCH($D65, Option4!$G$106:$G$117,0)))*conv_2026*X$7</f>
        <v>0</v>
      </c>
      <c r="Y65" s="31">
        <f>(INDEX(Option4!Y$106:Y$117, MATCH($D65, Option4!$G$106:$G$117,0)))*conv_2026*Y$7</f>
        <v>0</v>
      </c>
      <c r="Z65" s="31">
        <f>(INDEX(Option4!Z$106:Z$117, MATCH($D65, Option4!$G$106:$G$117,0)))*conv_2026*Z$7</f>
        <v>0</v>
      </c>
      <c r="AA65" s="31">
        <f>(INDEX(Option4!AA$106:AA$117, MATCH($D65, Option4!$G$106:$G$117,0)))*conv_2026*AA$7</f>
        <v>0</v>
      </c>
      <c r="AB65" s="31">
        <f>(INDEX(Option4!AB$106:AB$117, MATCH($D65, Option4!$G$106:$G$117,0)))*conv_2026*AB$7</f>
        <v>0</v>
      </c>
      <c r="AC65" s="31">
        <f>(INDEX(Option4!AC$106:AC$117, MATCH($D65, Option4!$G$106:$G$117,0)))*conv_2026*AC$7</f>
        <v>0</v>
      </c>
      <c r="AD65" s="31">
        <f>(INDEX(Option4!AD$106:AD$117, MATCH($D65, Option4!$G$106:$G$117,0)))*conv_2026*AD$7</f>
        <v>0</v>
      </c>
      <c r="AE65" s="31">
        <f>(INDEX(Option4!AE$106:AE$117, MATCH($D65, Option4!$G$106:$G$117,0)))*conv_2026*AE$7</f>
        <v>0</v>
      </c>
      <c r="AF65" s="31">
        <f>(INDEX(Option4!AF$106:AF$117, MATCH($D65, Option4!$G$106:$G$117,0)))*conv_2026*AF$7</f>
        <v>0</v>
      </c>
      <c r="AG65" s="31">
        <f>(INDEX(Option4!AG$106:AG$117, MATCH($D65, Option4!$G$106:$G$117,0)))*conv_2026*AG$7</f>
        <v>0</v>
      </c>
    </row>
    <row r="66" spans="1:35" s="8" customFormat="1" x14ac:dyDescent="0.2">
      <c r="A66" s="254"/>
      <c r="B66" s="254"/>
      <c r="C66" s="254"/>
      <c r="D66" s="254"/>
      <c r="E66" s="254"/>
      <c r="F66" s="31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</row>
    <row r="67" spans="1:35" s="8" customFormat="1" x14ac:dyDescent="0.2">
      <c r="A67" s="254"/>
      <c r="B67" s="254"/>
      <c r="C67" s="254"/>
      <c r="D67" s="254"/>
      <c r="E67" s="254"/>
      <c r="F67" s="31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</row>
    <row r="68" spans="1:35" s="8" customFormat="1" x14ac:dyDescent="0.2">
      <c r="A68" s="254"/>
      <c r="B68" s="254"/>
      <c r="C68" s="254"/>
      <c r="D68" s="254"/>
      <c r="E68" s="254"/>
      <c r="F68" s="31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254"/>
      <c r="AF68" s="254"/>
      <c r="AG68" s="254"/>
    </row>
    <row r="69" spans="1:35" s="8" customFormat="1" x14ac:dyDescent="0.2">
      <c r="A69" s="254"/>
      <c r="B69" s="254"/>
      <c r="C69" s="254"/>
      <c r="D69" s="254"/>
      <c r="E69" s="254"/>
      <c r="F69" s="31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  <c r="AC69" s="254"/>
      <c r="AD69" s="254"/>
      <c r="AE69" s="254"/>
      <c r="AF69" s="254"/>
      <c r="AG69" s="254"/>
    </row>
    <row r="70" spans="1:35" s="8" customFormat="1" x14ac:dyDescent="0.2">
      <c r="A70" s="254" t="s">
        <v>158</v>
      </c>
      <c r="B70" s="254" t="s">
        <v>119</v>
      </c>
      <c r="C70" s="254" t="s">
        <v>192</v>
      </c>
      <c r="D70" s="254" t="str">
        <f>A70&amp;B70</f>
        <v>Option 5NPV</v>
      </c>
      <c r="E70" s="255"/>
      <c r="F70" s="31">
        <f t="shared" ref="F70:F79" si="8">SUMPRODUCT($H70:$AG70, $H$5:$AG$5)</f>
        <v>0</v>
      </c>
      <c r="G70" s="247"/>
      <c r="H70" s="31">
        <f>(INDEX(Option5!H$106:H$117, MATCH($D70, Option5!$G$106:$G$117,0)))*conv_2026*H$7</f>
        <v>0</v>
      </c>
      <c r="I70" s="31">
        <f>(INDEX(Option5!I$106:I$117, MATCH($D70, Option5!$G$106:$G$117,0)))*conv_2026*I$7</f>
        <v>0</v>
      </c>
      <c r="J70" s="31">
        <f>(INDEX(Option5!J$106:J$117, MATCH($D70, Option5!$G$106:$G$117,0)))*conv_2026*J$7</f>
        <v>0</v>
      </c>
      <c r="K70" s="31">
        <f>(INDEX(Option5!K$106:K$117, MATCH($D70, Option5!$G$106:$G$117,0)))*conv_2026*K$7</f>
        <v>0</v>
      </c>
      <c r="L70" s="31">
        <f>(INDEX(Option5!L$106:L$117, MATCH($D70, Option5!$G$106:$G$117,0)))*conv_2026*L$7</f>
        <v>0</v>
      </c>
      <c r="M70" s="31">
        <f>(INDEX(Option5!M$106:M$117, MATCH($D70, Option5!$G$106:$G$117,0)))*conv_2026*M$7</f>
        <v>0</v>
      </c>
      <c r="N70" s="31">
        <f>(INDEX(Option5!N$106:N$117, MATCH($D70, Option5!$G$106:$G$117,0)))*conv_2026*N$7</f>
        <v>0</v>
      </c>
      <c r="O70" s="31">
        <f>(INDEX(Option5!O$106:O$117, MATCH($D70, Option5!$G$106:$G$117,0)))*conv_2026*O$7</f>
        <v>0</v>
      </c>
      <c r="P70" s="31">
        <f>(INDEX(Option5!P$106:P$117, MATCH($D70, Option5!$G$106:$G$117,0)))*conv_2026*P$7</f>
        <v>0</v>
      </c>
      <c r="Q70" s="31">
        <f>(INDEX(Option5!Q$106:Q$117, MATCH($D70, Option5!$G$106:$G$117,0)))*conv_2026*Q$7</f>
        <v>0</v>
      </c>
      <c r="R70" s="31">
        <f>(INDEX(Option5!R$106:R$117, MATCH($D70, Option5!$G$106:$G$117,0)))*conv_2026*R$7</f>
        <v>0</v>
      </c>
      <c r="S70" s="31">
        <f>(INDEX(Option5!S$106:S$117, MATCH($D70, Option5!$G$106:$G$117,0)))*conv_2026*S$7</f>
        <v>0</v>
      </c>
      <c r="T70" s="31">
        <f>(INDEX(Option5!T$106:T$117, MATCH($D70, Option5!$G$106:$G$117,0)))*conv_2026*T$7</f>
        <v>0</v>
      </c>
      <c r="U70" s="31">
        <f>(INDEX(Option5!U$106:U$117, MATCH($D70, Option5!$G$106:$G$117,0)))*conv_2026*U$7</f>
        <v>0</v>
      </c>
      <c r="V70" s="31">
        <f>(INDEX(Option5!V$106:V$117, MATCH($D70, Option5!$G$106:$G$117,0)))*conv_2026*V$7</f>
        <v>0</v>
      </c>
      <c r="W70" s="31">
        <f>(INDEX(Option5!W$106:W$117, MATCH($D70, Option5!$G$106:$G$117,0)))*conv_2026*W$7</f>
        <v>0</v>
      </c>
      <c r="X70" s="31">
        <f>(INDEX(Option5!X$106:X$117, MATCH($D70, Option5!$G$106:$G$117,0)))*conv_2026*X$7</f>
        <v>0</v>
      </c>
      <c r="Y70" s="31">
        <f>(INDEX(Option5!Y$106:Y$117, MATCH($D70, Option5!$G$106:$G$117,0)))*conv_2026*Y$7</f>
        <v>0</v>
      </c>
      <c r="Z70" s="31">
        <f>(INDEX(Option5!Z$106:Z$117, MATCH($D70, Option5!$G$106:$G$117,0)))*conv_2026*Z$7</f>
        <v>0</v>
      </c>
      <c r="AA70" s="31">
        <f>(INDEX(Option5!AA$106:AA$117, MATCH($D70, Option5!$G$106:$G$117,0)))*conv_2026*AA$7</f>
        <v>0</v>
      </c>
      <c r="AB70" s="31">
        <f>(INDEX(Option5!AB$106:AB$117, MATCH($D70, Option5!$G$106:$G$117,0)))*conv_2026*AB$7</f>
        <v>0</v>
      </c>
      <c r="AC70" s="31">
        <f>(INDEX(Option5!AC$106:AC$117, MATCH($D70, Option5!$G$106:$G$117,0)))*conv_2026*AC$7</f>
        <v>0</v>
      </c>
      <c r="AD70" s="31">
        <f>(INDEX(Option5!AD$106:AD$117, MATCH($D70, Option5!$G$106:$G$117,0)))*conv_2026*AD$7</f>
        <v>0</v>
      </c>
      <c r="AE70" s="31">
        <f>(INDEX(Option5!AE$106:AE$117, MATCH($D70, Option5!$G$106:$G$117,0)))*conv_2026*AE$7</f>
        <v>0</v>
      </c>
      <c r="AF70" s="31">
        <f>(INDEX(Option5!AF$106:AF$117, MATCH($D70, Option5!$G$106:$G$117,0)))*conv_2026*AF$7</f>
        <v>0</v>
      </c>
      <c r="AG70" s="31">
        <f>(INDEX(Option5!AG$106:AG$117, MATCH($D70, Option5!$G$106:$G$117,0)))*conv_2026*AG$7</f>
        <v>0</v>
      </c>
      <c r="AH70" s="7"/>
      <c r="AI70" s="7"/>
    </row>
    <row r="71" spans="1:35" s="8" customFormat="1" x14ac:dyDescent="0.2">
      <c r="A71" s="246"/>
      <c r="B71" s="246"/>
      <c r="C71" s="246"/>
      <c r="D71" s="246"/>
      <c r="E71" s="246"/>
      <c r="F71" s="246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D71" s="247"/>
      <c r="AE71" s="247"/>
      <c r="AF71" s="247"/>
      <c r="AG71" s="247"/>
      <c r="AH71" s="7"/>
      <c r="AI71" s="7"/>
    </row>
    <row r="72" spans="1:35" s="8" customFormat="1" x14ac:dyDescent="0.2">
      <c r="A72" s="254" t="s">
        <v>158</v>
      </c>
      <c r="B72" s="254" t="str">
        <f>Option5!A110</f>
        <v>sens1</v>
      </c>
      <c r="C72" s="254" t="str">
        <f>Option5!C110</f>
        <v>Capex 10% higher</v>
      </c>
      <c r="D72" s="254" t="str">
        <f t="shared" ref="D72:D79" si="9">A72&amp;B72</f>
        <v>Option 5sens1</v>
      </c>
      <c r="E72" s="255"/>
      <c r="F72" s="31">
        <f t="shared" si="8"/>
        <v>0</v>
      </c>
      <c r="G72" s="247"/>
      <c r="H72" s="31">
        <f>(INDEX(Option5!H$106:H$117, MATCH($D72, Option5!$G$106:$G$117,0)))*conv_2026*H$7</f>
        <v>0</v>
      </c>
      <c r="I72" s="31">
        <f>(INDEX(Option5!I$106:I$117, MATCH($D72, Option5!$G$106:$G$117,0)))*conv_2026*I$7</f>
        <v>0</v>
      </c>
      <c r="J72" s="31">
        <f>(INDEX(Option5!J$106:J$117, MATCH($D72, Option5!$G$106:$G$117,0)))*conv_2026*J$7</f>
        <v>0</v>
      </c>
      <c r="K72" s="31">
        <f>(INDEX(Option5!K$106:K$117, MATCH($D72, Option5!$G$106:$G$117,0)))*conv_2026*K$7</f>
        <v>0</v>
      </c>
      <c r="L72" s="31">
        <f>(INDEX(Option5!L$106:L$117, MATCH($D72, Option5!$G$106:$G$117,0)))*conv_2026*L$7</f>
        <v>0</v>
      </c>
      <c r="M72" s="31">
        <f>(INDEX(Option5!M$106:M$117, MATCH($D72, Option5!$G$106:$G$117,0)))*conv_2026*M$7</f>
        <v>0</v>
      </c>
      <c r="N72" s="31">
        <f>(INDEX(Option5!N$106:N$117, MATCH($D72, Option5!$G$106:$G$117,0)))*conv_2026*N$7</f>
        <v>0</v>
      </c>
      <c r="O72" s="31">
        <f>(INDEX(Option5!O$106:O$117, MATCH($D72, Option5!$G$106:$G$117,0)))*conv_2026*O$7</f>
        <v>0</v>
      </c>
      <c r="P72" s="31">
        <f>(INDEX(Option5!P$106:P$117, MATCH($D72, Option5!$G$106:$G$117,0)))*conv_2026*P$7</f>
        <v>0</v>
      </c>
      <c r="Q72" s="31">
        <f>(INDEX(Option5!Q$106:Q$117, MATCH($D72, Option5!$G$106:$G$117,0)))*conv_2026*Q$7</f>
        <v>0</v>
      </c>
      <c r="R72" s="31">
        <f>(INDEX(Option5!R$106:R$117, MATCH($D72, Option5!$G$106:$G$117,0)))*conv_2026*R$7</f>
        <v>0</v>
      </c>
      <c r="S72" s="31">
        <f>(INDEX(Option5!S$106:S$117, MATCH($D72, Option5!$G$106:$G$117,0)))*conv_2026*S$7</f>
        <v>0</v>
      </c>
      <c r="T72" s="31">
        <f>(INDEX(Option5!T$106:T$117, MATCH($D72, Option5!$G$106:$G$117,0)))*conv_2026*T$7</f>
        <v>0</v>
      </c>
      <c r="U72" s="31">
        <f>(INDEX(Option5!U$106:U$117, MATCH($D72, Option5!$G$106:$G$117,0)))*conv_2026*U$7</f>
        <v>0</v>
      </c>
      <c r="V72" s="31">
        <f>(INDEX(Option5!V$106:V$117, MATCH($D72, Option5!$G$106:$G$117,0)))*conv_2026*V$7</f>
        <v>0</v>
      </c>
      <c r="W72" s="31">
        <f>(INDEX(Option5!W$106:W$117, MATCH($D72, Option5!$G$106:$G$117,0)))*conv_2026*W$7</f>
        <v>0</v>
      </c>
      <c r="X72" s="31">
        <f>(INDEX(Option5!X$106:X$117, MATCH($D72, Option5!$G$106:$G$117,0)))*conv_2026*X$7</f>
        <v>0</v>
      </c>
      <c r="Y72" s="31">
        <f>(INDEX(Option5!Y$106:Y$117, MATCH($D72, Option5!$G$106:$G$117,0)))*conv_2026*Y$7</f>
        <v>0</v>
      </c>
      <c r="Z72" s="31">
        <f>(INDEX(Option5!Z$106:Z$117, MATCH($D72, Option5!$G$106:$G$117,0)))*conv_2026*Z$7</f>
        <v>0</v>
      </c>
      <c r="AA72" s="31">
        <f>(INDEX(Option5!AA$106:AA$117, MATCH($D72, Option5!$G$106:$G$117,0)))*conv_2026*AA$7</f>
        <v>0</v>
      </c>
      <c r="AB72" s="31">
        <f>(INDEX(Option5!AB$106:AB$117, MATCH($D72, Option5!$G$106:$G$117,0)))*conv_2026*AB$7</f>
        <v>0</v>
      </c>
      <c r="AC72" s="31">
        <f>(INDEX(Option5!AC$106:AC$117, MATCH($D72, Option5!$G$106:$G$117,0)))*conv_2026*AC$7</f>
        <v>0</v>
      </c>
      <c r="AD72" s="31">
        <f>(INDEX(Option5!AD$106:AD$117, MATCH($D72, Option5!$G$106:$G$117,0)))*conv_2026*AD$7</f>
        <v>0</v>
      </c>
      <c r="AE72" s="31">
        <f>(INDEX(Option5!AE$106:AE$117, MATCH($D72, Option5!$G$106:$G$117,0)))*conv_2026*AE$7</f>
        <v>0</v>
      </c>
      <c r="AF72" s="31">
        <f>(INDEX(Option5!AF$106:AF$117, MATCH($D72, Option5!$G$106:$G$117,0)))*conv_2026*AF$7</f>
        <v>0</v>
      </c>
      <c r="AG72" s="31">
        <f>(INDEX(Option5!AG$106:AG$117, MATCH($D72, Option5!$G$106:$G$117,0)))*conv_2026*AG$7</f>
        <v>0</v>
      </c>
      <c r="AH72" s="7"/>
      <c r="AI72" s="7"/>
    </row>
    <row r="73" spans="1:35" s="8" customFormat="1" x14ac:dyDescent="0.2">
      <c r="A73" s="254" t="s">
        <v>158</v>
      </c>
      <c r="B73" s="254" t="str">
        <f>Option5!A111</f>
        <v>sens2</v>
      </c>
      <c r="C73" s="254" t="str">
        <f>Option5!C111</f>
        <v>Capex 10% lower</v>
      </c>
      <c r="D73" s="254" t="str">
        <f t="shared" si="9"/>
        <v>Option 5sens2</v>
      </c>
      <c r="E73" s="255"/>
      <c r="F73" s="31">
        <f t="shared" si="8"/>
        <v>0</v>
      </c>
      <c r="G73" s="254"/>
      <c r="H73" s="31">
        <f>(INDEX(Option5!H$106:H$117, MATCH($D73, Option5!$G$106:$G$117,0)))*conv_2026*H$7</f>
        <v>0</v>
      </c>
      <c r="I73" s="31">
        <f>(INDEX(Option5!I$106:I$117, MATCH($D73, Option5!$G$106:$G$117,0)))*conv_2026*I$7</f>
        <v>0</v>
      </c>
      <c r="J73" s="31">
        <f>(INDEX(Option5!J$106:J$117, MATCH($D73, Option5!$G$106:$G$117,0)))*conv_2026*J$7</f>
        <v>0</v>
      </c>
      <c r="K73" s="31">
        <f>(INDEX(Option5!K$106:K$117, MATCH($D73, Option5!$G$106:$G$117,0)))*conv_2026*K$7</f>
        <v>0</v>
      </c>
      <c r="L73" s="31">
        <f>(INDEX(Option5!L$106:L$117, MATCH($D73, Option5!$G$106:$G$117,0)))*conv_2026*L$7</f>
        <v>0</v>
      </c>
      <c r="M73" s="31">
        <f>(INDEX(Option5!M$106:M$117, MATCH($D73, Option5!$G$106:$G$117,0)))*conv_2026*M$7</f>
        <v>0</v>
      </c>
      <c r="N73" s="31">
        <f>(INDEX(Option5!N$106:N$117, MATCH($D73, Option5!$G$106:$G$117,0)))*conv_2026*N$7</f>
        <v>0</v>
      </c>
      <c r="O73" s="31">
        <f>(INDEX(Option5!O$106:O$117, MATCH($D73, Option5!$G$106:$G$117,0)))*conv_2026*O$7</f>
        <v>0</v>
      </c>
      <c r="P73" s="31">
        <f>(INDEX(Option5!P$106:P$117, MATCH($D73, Option5!$G$106:$G$117,0)))*conv_2026*P$7</f>
        <v>0</v>
      </c>
      <c r="Q73" s="31">
        <f>(INDEX(Option5!Q$106:Q$117, MATCH($D73, Option5!$G$106:$G$117,0)))*conv_2026*Q$7</f>
        <v>0</v>
      </c>
      <c r="R73" s="31">
        <f>(INDEX(Option5!R$106:R$117, MATCH($D73, Option5!$G$106:$G$117,0)))*conv_2026*R$7</f>
        <v>0</v>
      </c>
      <c r="S73" s="31">
        <f>(INDEX(Option5!S$106:S$117, MATCH($D73, Option5!$G$106:$G$117,0)))*conv_2026*S$7</f>
        <v>0</v>
      </c>
      <c r="T73" s="31">
        <f>(INDEX(Option5!T$106:T$117, MATCH($D73, Option5!$G$106:$G$117,0)))*conv_2026*T$7</f>
        <v>0</v>
      </c>
      <c r="U73" s="31">
        <f>(INDEX(Option5!U$106:U$117, MATCH($D73, Option5!$G$106:$G$117,0)))*conv_2026*U$7</f>
        <v>0</v>
      </c>
      <c r="V73" s="31">
        <f>(INDEX(Option5!V$106:V$117, MATCH($D73, Option5!$G$106:$G$117,0)))*conv_2026*V$7</f>
        <v>0</v>
      </c>
      <c r="W73" s="31">
        <f>(INDEX(Option5!W$106:W$117, MATCH($D73, Option5!$G$106:$G$117,0)))*conv_2026*W$7</f>
        <v>0</v>
      </c>
      <c r="X73" s="31">
        <f>(INDEX(Option5!X$106:X$117, MATCH($D73, Option5!$G$106:$G$117,0)))*conv_2026*X$7</f>
        <v>0</v>
      </c>
      <c r="Y73" s="31">
        <f>(INDEX(Option5!Y$106:Y$117, MATCH($D73, Option5!$G$106:$G$117,0)))*conv_2026*Y$7</f>
        <v>0</v>
      </c>
      <c r="Z73" s="31">
        <f>(INDEX(Option5!Z$106:Z$117, MATCH($D73, Option5!$G$106:$G$117,0)))*conv_2026*Z$7</f>
        <v>0</v>
      </c>
      <c r="AA73" s="31">
        <f>(INDEX(Option5!AA$106:AA$117, MATCH($D73, Option5!$G$106:$G$117,0)))*conv_2026*AA$7</f>
        <v>0</v>
      </c>
      <c r="AB73" s="31">
        <f>(INDEX(Option5!AB$106:AB$117, MATCH($D73, Option5!$G$106:$G$117,0)))*conv_2026*AB$7</f>
        <v>0</v>
      </c>
      <c r="AC73" s="31">
        <f>(INDEX(Option5!AC$106:AC$117, MATCH($D73, Option5!$G$106:$G$117,0)))*conv_2026*AC$7</f>
        <v>0</v>
      </c>
      <c r="AD73" s="31">
        <f>(INDEX(Option5!AD$106:AD$117, MATCH($D73, Option5!$G$106:$G$117,0)))*conv_2026*AD$7</f>
        <v>0</v>
      </c>
      <c r="AE73" s="31">
        <f>(INDEX(Option5!AE$106:AE$117, MATCH($D73, Option5!$G$106:$G$117,0)))*conv_2026*AE$7</f>
        <v>0</v>
      </c>
      <c r="AF73" s="31">
        <f>(INDEX(Option5!AF$106:AF$117, MATCH($D73, Option5!$G$106:$G$117,0)))*conv_2026*AF$7</f>
        <v>0</v>
      </c>
      <c r="AG73" s="31">
        <f>(INDEX(Option5!AG$106:AG$117, MATCH($D73, Option5!$G$106:$G$117,0)))*conv_2026*AG$7</f>
        <v>0</v>
      </c>
    </row>
    <row r="74" spans="1:35" s="8" customFormat="1" x14ac:dyDescent="0.2">
      <c r="A74" s="254" t="s">
        <v>158</v>
      </c>
      <c r="B74" s="254" t="str">
        <f>Option5!A112</f>
        <v>sens3</v>
      </c>
      <c r="C74" s="254" t="str">
        <f>Option5!C112</f>
        <v>Increasing wind escalation</v>
      </c>
      <c r="D74" s="254" t="str">
        <f t="shared" si="9"/>
        <v>Option 5sens3</v>
      </c>
      <c r="E74" s="255"/>
      <c r="F74" s="31">
        <f t="shared" si="8"/>
        <v>0</v>
      </c>
      <c r="H74" s="31">
        <f>(INDEX(Option5!H$106:H$117, MATCH($D74, Option5!$G$106:$G$117,0)))*conv_2026*H$7</f>
        <v>0</v>
      </c>
      <c r="I74" s="31">
        <f>(INDEX(Option5!I$106:I$117, MATCH($D74, Option5!$G$106:$G$117,0)))*conv_2026*I$7</f>
        <v>0</v>
      </c>
      <c r="J74" s="31">
        <f>(INDEX(Option5!J$106:J$117, MATCH($D74, Option5!$G$106:$G$117,0)))*conv_2026*J$7</f>
        <v>0</v>
      </c>
      <c r="K74" s="31">
        <f>(INDEX(Option5!K$106:K$117, MATCH($D74, Option5!$G$106:$G$117,0)))*conv_2026*K$7</f>
        <v>0</v>
      </c>
      <c r="L74" s="31">
        <f>(INDEX(Option5!L$106:L$117, MATCH($D74, Option5!$G$106:$G$117,0)))*conv_2026*L$7</f>
        <v>0</v>
      </c>
      <c r="M74" s="31">
        <f>(INDEX(Option5!M$106:M$117, MATCH($D74, Option5!$G$106:$G$117,0)))*conv_2026*M$7</f>
        <v>0</v>
      </c>
      <c r="N74" s="31">
        <f>(INDEX(Option5!N$106:N$117, MATCH($D74, Option5!$G$106:$G$117,0)))*conv_2026*N$7</f>
        <v>0</v>
      </c>
      <c r="O74" s="31">
        <f>(INDEX(Option5!O$106:O$117, MATCH($D74, Option5!$G$106:$G$117,0)))*conv_2026*O$7</f>
        <v>0</v>
      </c>
      <c r="P74" s="31">
        <f>(INDEX(Option5!P$106:P$117, MATCH($D74, Option5!$G$106:$G$117,0)))*conv_2026*P$7</f>
        <v>0</v>
      </c>
      <c r="Q74" s="31">
        <f>(INDEX(Option5!Q$106:Q$117, MATCH($D74, Option5!$G$106:$G$117,0)))*conv_2026*Q$7</f>
        <v>0</v>
      </c>
      <c r="R74" s="31">
        <f>(INDEX(Option5!R$106:R$117, MATCH($D74, Option5!$G$106:$G$117,0)))*conv_2026*R$7</f>
        <v>0</v>
      </c>
      <c r="S74" s="31">
        <f>(INDEX(Option5!S$106:S$117, MATCH($D74, Option5!$G$106:$G$117,0)))*conv_2026*S$7</f>
        <v>0</v>
      </c>
      <c r="T74" s="31">
        <f>(INDEX(Option5!T$106:T$117, MATCH($D74, Option5!$G$106:$G$117,0)))*conv_2026*T$7</f>
        <v>0</v>
      </c>
      <c r="U74" s="31">
        <f>(INDEX(Option5!U$106:U$117, MATCH($D74, Option5!$G$106:$G$117,0)))*conv_2026*U$7</f>
        <v>0</v>
      </c>
      <c r="V74" s="31">
        <f>(INDEX(Option5!V$106:V$117, MATCH($D74, Option5!$G$106:$G$117,0)))*conv_2026*V$7</f>
        <v>0</v>
      </c>
      <c r="W74" s="31">
        <f>(INDEX(Option5!W$106:W$117, MATCH($D74, Option5!$G$106:$G$117,0)))*conv_2026*W$7</f>
        <v>0</v>
      </c>
      <c r="X74" s="31">
        <f>(INDEX(Option5!X$106:X$117, MATCH($D74, Option5!$G$106:$G$117,0)))*conv_2026*X$7</f>
        <v>0</v>
      </c>
      <c r="Y74" s="31">
        <f>(INDEX(Option5!Y$106:Y$117, MATCH($D74, Option5!$G$106:$G$117,0)))*conv_2026*Y$7</f>
        <v>0</v>
      </c>
      <c r="Z74" s="31">
        <f>(INDEX(Option5!Z$106:Z$117, MATCH($D74, Option5!$G$106:$G$117,0)))*conv_2026*Z$7</f>
        <v>0</v>
      </c>
      <c r="AA74" s="31">
        <f>(INDEX(Option5!AA$106:AA$117, MATCH($D74, Option5!$G$106:$G$117,0)))*conv_2026*AA$7</f>
        <v>0</v>
      </c>
      <c r="AB74" s="31">
        <f>(INDEX(Option5!AB$106:AB$117, MATCH($D74, Option5!$G$106:$G$117,0)))*conv_2026*AB$7</f>
        <v>0</v>
      </c>
      <c r="AC74" s="31">
        <f>(INDEX(Option5!AC$106:AC$117, MATCH($D74, Option5!$G$106:$G$117,0)))*conv_2026*AC$7</f>
        <v>0</v>
      </c>
      <c r="AD74" s="31">
        <f>(INDEX(Option5!AD$106:AD$117, MATCH($D74, Option5!$G$106:$G$117,0)))*conv_2026*AD$7</f>
        <v>0</v>
      </c>
      <c r="AE74" s="31">
        <f>(INDEX(Option5!AE$106:AE$117, MATCH($D74, Option5!$G$106:$G$117,0)))*conv_2026*AE$7</f>
        <v>0</v>
      </c>
      <c r="AF74" s="31">
        <f>(INDEX(Option5!AF$106:AF$117, MATCH($D74, Option5!$G$106:$G$117,0)))*conv_2026*AF$7</f>
        <v>0</v>
      </c>
      <c r="AG74" s="31">
        <f>(INDEX(Option5!AG$106:AG$117, MATCH($D74, Option5!$G$106:$G$117,0)))*conv_2026*AG$7</f>
        <v>0</v>
      </c>
    </row>
    <row r="75" spans="1:35" s="8" customFormat="1" x14ac:dyDescent="0.2">
      <c r="A75" s="254" t="s">
        <v>158</v>
      </c>
      <c r="B75" s="254" t="str">
        <f>Option5!A113</f>
        <v>sens4</v>
      </c>
      <c r="C75" s="254" t="str">
        <f>Option5!C113</f>
        <v/>
      </c>
      <c r="D75" s="254" t="str">
        <f t="shared" si="9"/>
        <v>Option 5sens4</v>
      </c>
      <c r="E75" s="255"/>
      <c r="F75" s="31">
        <f t="shared" si="8"/>
        <v>0</v>
      </c>
      <c r="H75" s="31">
        <f>(INDEX(Option5!H$106:H$117, MATCH($D75, Option5!$G$106:$G$117,0)))*conv_2026*H$7</f>
        <v>0</v>
      </c>
      <c r="I75" s="31">
        <f>(INDEX(Option5!I$106:I$117, MATCH($D75, Option5!$G$106:$G$117,0)))*conv_2026*I$7</f>
        <v>0</v>
      </c>
      <c r="J75" s="31">
        <f>(INDEX(Option5!J$106:J$117, MATCH($D75, Option5!$G$106:$G$117,0)))*conv_2026*J$7</f>
        <v>0</v>
      </c>
      <c r="K75" s="31">
        <f>(INDEX(Option5!K$106:K$117, MATCH($D75, Option5!$G$106:$G$117,0)))*conv_2026*K$7</f>
        <v>0</v>
      </c>
      <c r="L75" s="31">
        <f>(INDEX(Option5!L$106:L$117, MATCH($D75, Option5!$G$106:$G$117,0)))*conv_2026*L$7</f>
        <v>0</v>
      </c>
      <c r="M75" s="31">
        <f>(INDEX(Option5!M$106:M$117, MATCH($D75, Option5!$G$106:$G$117,0)))*conv_2026*M$7</f>
        <v>0</v>
      </c>
      <c r="N75" s="31">
        <f>(INDEX(Option5!N$106:N$117, MATCH($D75, Option5!$G$106:$G$117,0)))*conv_2026*N$7</f>
        <v>0</v>
      </c>
      <c r="O75" s="31">
        <f>(INDEX(Option5!O$106:O$117, MATCH($D75, Option5!$G$106:$G$117,0)))*conv_2026*O$7</f>
        <v>0</v>
      </c>
      <c r="P75" s="31">
        <f>(INDEX(Option5!P$106:P$117, MATCH($D75, Option5!$G$106:$G$117,0)))*conv_2026*P$7</f>
        <v>0</v>
      </c>
      <c r="Q75" s="31">
        <f>(INDEX(Option5!Q$106:Q$117, MATCH($D75, Option5!$G$106:$G$117,0)))*conv_2026*Q$7</f>
        <v>0</v>
      </c>
      <c r="R75" s="31">
        <f>(INDEX(Option5!R$106:R$117, MATCH($D75, Option5!$G$106:$G$117,0)))*conv_2026*R$7</f>
        <v>0</v>
      </c>
      <c r="S75" s="31">
        <f>(INDEX(Option5!S$106:S$117, MATCH($D75, Option5!$G$106:$G$117,0)))*conv_2026*S$7</f>
        <v>0</v>
      </c>
      <c r="T75" s="31">
        <f>(INDEX(Option5!T$106:T$117, MATCH($D75, Option5!$G$106:$G$117,0)))*conv_2026*T$7</f>
        <v>0</v>
      </c>
      <c r="U75" s="31">
        <f>(INDEX(Option5!U$106:U$117, MATCH($D75, Option5!$G$106:$G$117,0)))*conv_2026*U$7</f>
        <v>0</v>
      </c>
      <c r="V75" s="31">
        <f>(INDEX(Option5!V$106:V$117, MATCH($D75, Option5!$G$106:$G$117,0)))*conv_2026*V$7</f>
        <v>0</v>
      </c>
      <c r="W75" s="31">
        <f>(INDEX(Option5!W$106:W$117, MATCH($D75, Option5!$G$106:$G$117,0)))*conv_2026*W$7</f>
        <v>0</v>
      </c>
      <c r="X75" s="31">
        <f>(INDEX(Option5!X$106:X$117, MATCH($D75, Option5!$G$106:$G$117,0)))*conv_2026*X$7</f>
        <v>0</v>
      </c>
      <c r="Y75" s="31">
        <f>(INDEX(Option5!Y$106:Y$117, MATCH($D75, Option5!$G$106:$G$117,0)))*conv_2026*Y$7</f>
        <v>0</v>
      </c>
      <c r="Z75" s="31">
        <f>(INDEX(Option5!Z$106:Z$117, MATCH($D75, Option5!$G$106:$G$117,0)))*conv_2026*Z$7</f>
        <v>0</v>
      </c>
      <c r="AA75" s="31">
        <f>(INDEX(Option5!AA$106:AA$117, MATCH($D75, Option5!$G$106:$G$117,0)))*conv_2026*AA$7</f>
        <v>0</v>
      </c>
      <c r="AB75" s="31">
        <f>(INDEX(Option5!AB$106:AB$117, MATCH($D75, Option5!$G$106:$G$117,0)))*conv_2026*AB$7</f>
        <v>0</v>
      </c>
      <c r="AC75" s="31">
        <f>(INDEX(Option5!AC$106:AC$117, MATCH($D75, Option5!$G$106:$G$117,0)))*conv_2026*AC$7</f>
        <v>0</v>
      </c>
      <c r="AD75" s="31">
        <f>(INDEX(Option5!AD$106:AD$117, MATCH($D75, Option5!$G$106:$G$117,0)))*conv_2026*AD$7</f>
        <v>0</v>
      </c>
      <c r="AE75" s="31">
        <f>(INDEX(Option5!AE$106:AE$117, MATCH($D75, Option5!$G$106:$G$117,0)))*conv_2026*AE$7</f>
        <v>0</v>
      </c>
      <c r="AF75" s="31">
        <f>(INDEX(Option5!AF$106:AF$117, MATCH($D75, Option5!$G$106:$G$117,0)))*conv_2026*AF$7</f>
        <v>0</v>
      </c>
      <c r="AG75" s="31">
        <f>(INDEX(Option5!AG$106:AG$117, MATCH($D75, Option5!$G$106:$G$117,0)))*conv_2026*AG$7</f>
        <v>0</v>
      </c>
    </row>
    <row r="76" spans="1:35" s="8" customFormat="1" x14ac:dyDescent="0.2">
      <c r="A76" s="254" t="s">
        <v>158</v>
      </c>
      <c r="B76" s="254" t="str">
        <f>Option5!A114</f>
        <v>sens5</v>
      </c>
      <c r="C76" s="254" t="str">
        <f>Option5!C114</f>
        <v/>
      </c>
      <c r="D76" s="254" t="str">
        <f t="shared" si="9"/>
        <v>Option 5sens5</v>
      </c>
      <c r="E76" s="255"/>
      <c r="F76" s="31">
        <f t="shared" si="8"/>
        <v>0</v>
      </c>
      <c r="H76" s="31">
        <f>(INDEX(Option5!H$106:H$117, MATCH($D76, Option5!$G$106:$G$117,0)))*conv_2026*H$7</f>
        <v>0</v>
      </c>
      <c r="I76" s="31">
        <f>(INDEX(Option5!I$106:I$117, MATCH($D76, Option5!$G$106:$G$117,0)))*conv_2026*I$7</f>
        <v>0</v>
      </c>
      <c r="J76" s="31">
        <f>(INDEX(Option5!J$106:J$117, MATCH($D76, Option5!$G$106:$G$117,0)))*conv_2026*J$7</f>
        <v>0</v>
      </c>
      <c r="K76" s="31">
        <f>(INDEX(Option5!K$106:K$117, MATCH($D76, Option5!$G$106:$G$117,0)))*conv_2026*K$7</f>
        <v>0</v>
      </c>
      <c r="L76" s="31">
        <f>(INDEX(Option5!L$106:L$117, MATCH($D76, Option5!$G$106:$G$117,0)))*conv_2026*L$7</f>
        <v>0</v>
      </c>
      <c r="M76" s="31">
        <f>(INDEX(Option5!M$106:M$117, MATCH($D76, Option5!$G$106:$G$117,0)))*conv_2026*M$7</f>
        <v>0</v>
      </c>
      <c r="N76" s="31">
        <f>(INDEX(Option5!N$106:N$117, MATCH($D76, Option5!$G$106:$G$117,0)))*conv_2026*N$7</f>
        <v>0</v>
      </c>
      <c r="O76" s="31">
        <f>(INDEX(Option5!O$106:O$117, MATCH($D76, Option5!$G$106:$G$117,0)))*conv_2026*O$7</f>
        <v>0</v>
      </c>
      <c r="P76" s="31">
        <f>(INDEX(Option5!P$106:P$117, MATCH($D76, Option5!$G$106:$G$117,0)))*conv_2026*P$7</f>
        <v>0</v>
      </c>
      <c r="Q76" s="31">
        <f>(INDEX(Option5!Q$106:Q$117, MATCH($D76, Option5!$G$106:$G$117,0)))*conv_2026*Q$7</f>
        <v>0</v>
      </c>
      <c r="R76" s="31">
        <f>(INDEX(Option5!R$106:R$117, MATCH($D76, Option5!$G$106:$G$117,0)))*conv_2026*R$7</f>
        <v>0</v>
      </c>
      <c r="S76" s="31">
        <f>(INDEX(Option5!S$106:S$117, MATCH($D76, Option5!$G$106:$G$117,0)))*conv_2026*S$7</f>
        <v>0</v>
      </c>
      <c r="T76" s="31">
        <f>(INDEX(Option5!T$106:T$117, MATCH($D76, Option5!$G$106:$G$117,0)))*conv_2026*T$7</f>
        <v>0</v>
      </c>
      <c r="U76" s="31">
        <f>(INDEX(Option5!U$106:U$117, MATCH($D76, Option5!$G$106:$G$117,0)))*conv_2026*U$7</f>
        <v>0</v>
      </c>
      <c r="V76" s="31">
        <f>(INDEX(Option5!V$106:V$117, MATCH($D76, Option5!$G$106:$G$117,0)))*conv_2026*V$7</f>
        <v>0</v>
      </c>
      <c r="W76" s="31">
        <f>(INDEX(Option5!W$106:W$117, MATCH($D76, Option5!$G$106:$G$117,0)))*conv_2026*W$7</f>
        <v>0</v>
      </c>
      <c r="X76" s="31">
        <f>(INDEX(Option5!X$106:X$117, MATCH($D76, Option5!$G$106:$G$117,0)))*conv_2026*X$7</f>
        <v>0</v>
      </c>
      <c r="Y76" s="31">
        <f>(INDEX(Option5!Y$106:Y$117, MATCH($D76, Option5!$G$106:$G$117,0)))*conv_2026*Y$7</f>
        <v>0</v>
      </c>
      <c r="Z76" s="31">
        <f>(INDEX(Option5!Z$106:Z$117, MATCH($D76, Option5!$G$106:$G$117,0)))*conv_2026*Z$7</f>
        <v>0</v>
      </c>
      <c r="AA76" s="31">
        <f>(INDEX(Option5!AA$106:AA$117, MATCH($D76, Option5!$G$106:$G$117,0)))*conv_2026*AA$7</f>
        <v>0</v>
      </c>
      <c r="AB76" s="31">
        <f>(INDEX(Option5!AB$106:AB$117, MATCH($D76, Option5!$G$106:$G$117,0)))*conv_2026*AB$7</f>
        <v>0</v>
      </c>
      <c r="AC76" s="31">
        <f>(INDEX(Option5!AC$106:AC$117, MATCH($D76, Option5!$G$106:$G$117,0)))*conv_2026*AC$7</f>
        <v>0</v>
      </c>
      <c r="AD76" s="31">
        <f>(INDEX(Option5!AD$106:AD$117, MATCH($D76, Option5!$G$106:$G$117,0)))*conv_2026*AD$7</f>
        <v>0</v>
      </c>
      <c r="AE76" s="31">
        <f>(INDEX(Option5!AE$106:AE$117, MATCH($D76, Option5!$G$106:$G$117,0)))*conv_2026*AE$7</f>
        <v>0</v>
      </c>
      <c r="AF76" s="31">
        <f>(INDEX(Option5!AF$106:AF$117, MATCH($D76, Option5!$G$106:$G$117,0)))*conv_2026*AF$7</f>
        <v>0</v>
      </c>
      <c r="AG76" s="31">
        <f>(INDEX(Option5!AG$106:AG$117, MATCH($D76, Option5!$G$106:$G$117,0)))*conv_2026*AG$7</f>
        <v>0</v>
      </c>
    </row>
    <row r="77" spans="1:35" s="8" customFormat="1" x14ac:dyDescent="0.2">
      <c r="A77" s="254" t="s">
        <v>158</v>
      </c>
      <c r="B77" s="254" t="str">
        <f>Option5!A115</f>
        <v>sens</v>
      </c>
      <c r="C77" s="254">
        <f>Option5!C115</f>
        <v>0</v>
      </c>
      <c r="D77" s="254" t="str">
        <f t="shared" si="9"/>
        <v>Option 5sens</v>
      </c>
      <c r="E77" s="255"/>
      <c r="F77" s="31">
        <f t="shared" si="8"/>
        <v>0</v>
      </c>
      <c r="H77" s="31">
        <f>(INDEX(Option5!H$106:H$117, MATCH($D77, Option5!$G$106:$G$117,0)))*conv_2026*H$7</f>
        <v>0</v>
      </c>
      <c r="I77" s="31">
        <f>(INDEX(Option5!I$106:I$117, MATCH($D77, Option5!$G$106:$G$117,0)))*conv_2026*I$7</f>
        <v>0</v>
      </c>
      <c r="J77" s="31">
        <f>(INDEX(Option5!J$106:J$117, MATCH($D77, Option5!$G$106:$G$117,0)))*conv_2026*J$7</f>
        <v>0</v>
      </c>
      <c r="K77" s="31">
        <f>(INDEX(Option5!K$106:K$117, MATCH($D77, Option5!$G$106:$G$117,0)))*conv_2026*K$7</f>
        <v>0</v>
      </c>
      <c r="L77" s="31">
        <f>(INDEX(Option5!L$106:L$117, MATCH($D77, Option5!$G$106:$G$117,0)))*conv_2026*L$7</f>
        <v>0</v>
      </c>
      <c r="M77" s="31">
        <f>(INDEX(Option5!M$106:M$117, MATCH($D77, Option5!$G$106:$G$117,0)))*conv_2026*M$7</f>
        <v>0</v>
      </c>
      <c r="N77" s="31">
        <f>(INDEX(Option5!N$106:N$117, MATCH($D77, Option5!$G$106:$G$117,0)))*conv_2026*N$7</f>
        <v>0</v>
      </c>
      <c r="O77" s="31">
        <f>(INDEX(Option5!O$106:O$117, MATCH($D77, Option5!$G$106:$G$117,0)))*conv_2026*O$7</f>
        <v>0</v>
      </c>
      <c r="P77" s="31">
        <f>(INDEX(Option5!P$106:P$117, MATCH($D77, Option5!$G$106:$G$117,0)))*conv_2026*P$7</f>
        <v>0</v>
      </c>
      <c r="Q77" s="31">
        <f>(INDEX(Option5!Q$106:Q$117, MATCH($D77, Option5!$G$106:$G$117,0)))*conv_2026*Q$7</f>
        <v>0</v>
      </c>
      <c r="R77" s="31">
        <f>(INDEX(Option5!R$106:R$117, MATCH($D77, Option5!$G$106:$G$117,0)))*conv_2026*R$7</f>
        <v>0</v>
      </c>
      <c r="S77" s="31">
        <f>(INDEX(Option5!S$106:S$117, MATCH($D77, Option5!$G$106:$G$117,0)))*conv_2026*S$7</f>
        <v>0</v>
      </c>
      <c r="T77" s="31">
        <f>(INDEX(Option5!T$106:T$117, MATCH($D77, Option5!$G$106:$G$117,0)))*conv_2026*T$7</f>
        <v>0</v>
      </c>
      <c r="U77" s="31">
        <f>(INDEX(Option5!U$106:U$117, MATCH($D77, Option5!$G$106:$G$117,0)))*conv_2026*U$7</f>
        <v>0</v>
      </c>
      <c r="V77" s="31">
        <f>(INDEX(Option5!V$106:V$117, MATCH($D77, Option5!$G$106:$G$117,0)))*conv_2026*V$7</f>
        <v>0</v>
      </c>
      <c r="W77" s="31">
        <f>(INDEX(Option5!W$106:W$117, MATCH($D77, Option5!$G$106:$G$117,0)))*conv_2026*W$7</f>
        <v>0</v>
      </c>
      <c r="X77" s="31">
        <f>(INDEX(Option5!X$106:X$117, MATCH($D77, Option5!$G$106:$G$117,0)))*conv_2026*X$7</f>
        <v>0</v>
      </c>
      <c r="Y77" s="31">
        <f>(INDEX(Option5!Y$106:Y$117, MATCH($D77, Option5!$G$106:$G$117,0)))*conv_2026*Y$7</f>
        <v>0</v>
      </c>
      <c r="Z77" s="31">
        <f>(INDEX(Option5!Z$106:Z$117, MATCH($D77, Option5!$G$106:$G$117,0)))*conv_2026*Z$7</f>
        <v>0</v>
      </c>
      <c r="AA77" s="31">
        <f>(INDEX(Option5!AA$106:AA$117, MATCH($D77, Option5!$G$106:$G$117,0)))*conv_2026*AA$7</f>
        <v>0</v>
      </c>
      <c r="AB77" s="31">
        <f>(INDEX(Option5!AB$106:AB$117, MATCH($D77, Option5!$G$106:$G$117,0)))*conv_2026*AB$7</f>
        <v>0</v>
      </c>
      <c r="AC77" s="31">
        <f>(INDEX(Option5!AC$106:AC$117, MATCH($D77, Option5!$G$106:$G$117,0)))*conv_2026*AC$7</f>
        <v>0</v>
      </c>
      <c r="AD77" s="31">
        <f>(INDEX(Option5!AD$106:AD$117, MATCH($D77, Option5!$G$106:$G$117,0)))*conv_2026*AD$7</f>
        <v>0</v>
      </c>
      <c r="AE77" s="31">
        <f>(INDEX(Option5!AE$106:AE$117, MATCH($D77, Option5!$G$106:$G$117,0)))*conv_2026*AE$7</f>
        <v>0</v>
      </c>
      <c r="AF77" s="31">
        <f>(INDEX(Option5!AF$106:AF$117, MATCH($D77, Option5!$G$106:$G$117,0)))*conv_2026*AF$7</f>
        <v>0</v>
      </c>
      <c r="AG77" s="31">
        <f>(INDEX(Option5!AG$106:AG$117, MATCH($D77, Option5!$G$106:$G$117,0)))*conv_2026*AG$7</f>
        <v>0</v>
      </c>
    </row>
    <row r="78" spans="1:35" s="8" customFormat="1" x14ac:dyDescent="0.2">
      <c r="A78" s="254" t="s">
        <v>158</v>
      </c>
      <c r="B78" s="254" t="str">
        <f>Option5!A116</f>
        <v>sens</v>
      </c>
      <c r="C78" s="254">
        <f>Option5!C116</f>
        <v>0</v>
      </c>
      <c r="D78" s="254" t="str">
        <f t="shared" si="9"/>
        <v>Option 5sens</v>
      </c>
      <c r="E78" s="255"/>
      <c r="F78" s="31">
        <f t="shared" si="8"/>
        <v>0</v>
      </c>
      <c r="H78" s="31">
        <f>(INDEX(Option5!H$106:H$117, MATCH($D78, Option5!$G$106:$G$117,0)))*conv_2026*H$7</f>
        <v>0</v>
      </c>
      <c r="I78" s="31">
        <f>(INDEX(Option5!I$106:I$117, MATCH($D78, Option5!$G$106:$G$117,0)))*conv_2026*I$7</f>
        <v>0</v>
      </c>
      <c r="J78" s="31">
        <f>(INDEX(Option5!J$106:J$117, MATCH($D78, Option5!$G$106:$G$117,0)))*conv_2026*J$7</f>
        <v>0</v>
      </c>
      <c r="K78" s="31">
        <f>(INDEX(Option5!K$106:K$117, MATCH($D78, Option5!$G$106:$G$117,0)))*conv_2026*K$7</f>
        <v>0</v>
      </c>
      <c r="L78" s="31">
        <f>(INDEX(Option5!L$106:L$117, MATCH($D78, Option5!$G$106:$G$117,0)))*conv_2026*L$7</f>
        <v>0</v>
      </c>
      <c r="M78" s="31">
        <f>(INDEX(Option5!M$106:M$117, MATCH($D78, Option5!$G$106:$G$117,0)))*conv_2026*M$7</f>
        <v>0</v>
      </c>
      <c r="N78" s="31">
        <f>(INDEX(Option5!N$106:N$117, MATCH($D78, Option5!$G$106:$G$117,0)))*conv_2026*N$7</f>
        <v>0</v>
      </c>
      <c r="O78" s="31">
        <f>(INDEX(Option5!O$106:O$117, MATCH($D78, Option5!$G$106:$G$117,0)))*conv_2026*O$7</f>
        <v>0</v>
      </c>
      <c r="P78" s="31">
        <f>(INDEX(Option5!P$106:P$117, MATCH($D78, Option5!$G$106:$G$117,0)))*conv_2026*P$7</f>
        <v>0</v>
      </c>
      <c r="Q78" s="31">
        <f>(INDEX(Option5!Q$106:Q$117, MATCH($D78, Option5!$G$106:$G$117,0)))*conv_2026*Q$7</f>
        <v>0</v>
      </c>
      <c r="R78" s="31">
        <f>(INDEX(Option5!R$106:R$117, MATCH($D78, Option5!$G$106:$G$117,0)))*conv_2026*R$7</f>
        <v>0</v>
      </c>
      <c r="S78" s="31">
        <f>(INDEX(Option5!S$106:S$117, MATCH($D78, Option5!$G$106:$G$117,0)))*conv_2026*S$7</f>
        <v>0</v>
      </c>
      <c r="T78" s="31">
        <f>(INDEX(Option5!T$106:T$117, MATCH($D78, Option5!$G$106:$G$117,0)))*conv_2026*T$7</f>
        <v>0</v>
      </c>
      <c r="U78" s="31">
        <f>(INDEX(Option5!U$106:U$117, MATCH($D78, Option5!$G$106:$G$117,0)))*conv_2026*U$7</f>
        <v>0</v>
      </c>
      <c r="V78" s="31">
        <f>(INDEX(Option5!V$106:V$117, MATCH($D78, Option5!$G$106:$G$117,0)))*conv_2026*V$7</f>
        <v>0</v>
      </c>
      <c r="W78" s="31">
        <f>(INDEX(Option5!W$106:W$117, MATCH($D78, Option5!$G$106:$G$117,0)))*conv_2026*W$7</f>
        <v>0</v>
      </c>
      <c r="X78" s="31">
        <f>(INDEX(Option5!X$106:X$117, MATCH($D78, Option5!$G$106:$G$117,0)))*conv_2026*X$7</f>
        <v>0</v>
      </c>
      <c r="Y78" s="31">
        <f>(INDEX(Option5!Y$106:Y$117, MATCH($D78, Option5!$G$106:$G$117,0)))*conv_2026*Y$7</f>
        <v>0</v>
      </c>
      <c r="Z78" s="31">
        <f>(INDEX(Option5!Z$106:Z$117, MATCH($D78, Option5!$G$106:$G$117,0)))*conv_2026*Z$7</f>
        <v>0</v>
      </c>
      <c r="AA78" s="31">
        <f>(INDEX(Option5!AA$106:AA$117, MATCH($D78, Option5!$G$106:$G$117,0)))*conv_2026*AA$7</f>
        <v>0</v>
      </c>
      <c r="AB78" s="31">
        <f>(INDEX(Option5!AB$106:AB$117, MATCH($D78, Option5!$G$106:$G$117,0)))*conv_2026*AB$7</f>
        <v>0</v>
      </c>
      <c r="AC78" s="31">
        <f>(INDEX(Option5!AC$106:AC$117, MATCH($D78, Option5!$G$106:$G$117,0)))*conv_2026*AC$7</f>
        <v>0</v>
      </c>
      <c r="AD78" s="31">
        <f>(INDEX(Option5!AD$106:AD$117, MATCH($D78, Option5!$G$106:$G$117,0)))*conv_2026*AD$7</f>
        <v>0</v>
      </c>
      <c r="AE78" s="31">
        <f>(INDEX(Option5!AE$106:AE$117, MATCH($D78, Option5!$G$106:$G$117,0)))*conv_2026*AE$7</f>
        <v>0</v>
      </c>
      <c r="AF78" s="31">
        <f>(INDEX(Option5!AF$106:AF$117, MATCH($D78, Option5!$G$106:$G$117,0)))*conv_2026*AF$7</f>
        <v>0</v>
      </c>
      <c r="AG78" s="31">
        <f>(INDEX(Option5!AG$106:AG$117, MATCH($D78, Option5!$G$106:$G$117,0)))*conv_2026*AG$7</f>
        <v>0</v>
      </c>
    </row>
    <row r="79" spans="1:35" s="8" customFormat="1" x14ac:dyDescent="0.2">
      <c r="A79" s="254" t="s">
        <v>158</v>
      </c>
      <c r="B79" s="254" t="str">
        <f>Option5!A117</f>
        <v>sens</v>
      </c>
      <c r="C79" s="254">
        <f>Option5!C117</f>
        <v>0</v>
      </c>
      <c r="D79" s="254" t="str">
        <f t="shared" si="9"/>
        <v>Option 5sens</v>
      </c>
      <c r="E79" s="255"/>
      <c r="F79" s="31">
        <f t="shared" si="8"/>
        <v>0</v>
      </c>
      <c r="H79" s="31">
        <f>(INDEX(Option5!H$106:H$117, MATCH($D79, Option5!$G$106:$G$117,0)))*conv_2026*H$7</f>
        <v>0</v>
      </c>
      <c r="I79" s="31">
        <f>(INDEX(Option5!I$106:I$117, MATCH($D79, Option5!$G$106:$G$117,0)))*conv_2026*I$7</f>
        <v>0</v>
      </c>
      <c r="J79" s="31">
        <f>(INDEX(Option5!J$106:J$117, MATCH($D79, Option5!$G$106:$G$117,0)))*conv_2026*J$7</f>
        <v>0</v>
      </c>
      <c r="K79" s="31">
        <f>(INDEX(Option5!K$106:K$117, MATCH($D79, Option5!$G$106:$G$117,0)))*conv_2026*K$7</f>
        <v>0</v>
      </c>
      <c r="L79" s="31">
        <f>(INDEX(Option5!L$106:L$117, MATCH($D79, Option5!$G$106:$G$117,0)))*conv_2026*L$7</f>
        <v>0</v>
      </c>
      <c r="M79" s="31">
        <f>(INDEX(Option5!M$106:M$117, MATCH($D79, Option5!$G$106:$G$117,0)))*conv_2026*M$7</f>
        <v>0</v>
      </c>
      <c r="N79" s="31">
        <f>(INDEX(Option5!N$106:N$117, MATCH($D79, Option5!$G$106:$G$117,0)))*conv_2026*N$7</f>
        <v>0</v>
      </c>
      <c r="O79" s="31">
        <f>(INDEX(Option5!O$106:O$117, MATCH($D79, Option5!$G$106:$G$117,0)))*conv_2026*O$7</f>
        <v>0</v>
      </c>
      <c r="P79" s="31">
        <f>(INDEX(Option5!P$106:P$117, MATCH($D79, Option5!$G$106:$G$117,0)))*conv_2026*P$7</f>
        <v>0</v>
      </c>
      <c r="Q79" s="31">
        <f>(INDEX(Option5!Q$106:Q$117, MATCH($D79, Option5!$G$106:$G$117,0)))*conv_2026*Q$7</f>
        <v>0</v>
      </c>
      <c r="R79" s="31">
        <f>(INDEX(Option5!R$106:R$117, MATCH($D79, Option5!$G$106:$G$117,0)))*conv_2026*R$7</f>
        <v>0</v>
      </c>
      <c r="S79" s="31">
        <f>(INDEX(Option5!S$106:S$117, MATCH($D79, Option5!$G$106:$G$117,0)))*conv_2026*S$7</f>
        <v>0</v>
      </c>
      <c r="T79" s="31">
        <f>(INDEX(Option5!T$106:T$117, MATCH($D79, Option5!$G$106:$G$117,0)))*conv_2026*T$7</f>
        <v>0</v>
      </c>
      <c r="U79" s="31">
        <f>(INDEX(Option5!U$106:U$117, MATCH($D79, Option5!$G$106:$G$117,0)))*conv_2026*U$7</f>
        <v>0</v>
      </c>
      <c r="V79" s="31">
        <f>(INDEX(Option5!V$106:V$117, MATCH($D79, Option5!$G$106:$G$117,0)))*conv_2026*V$7</f>
        <v>0</v>
      </c>
      <c r="W79" s="31">
        <f>(INDEX(Option5!W$106:W$117, MATCH($D79, Option5!$G$106:$G$117,0)))*conv_2026*W$7</f>
        <v>0</v>
      </c>
      <c r="X79" s="31">
        <f>(INDEX(Option5!X$106:X$117, MATCH($D79, Option5!$G$106:$G$117,0)))*conv_2026*X$7</f>
        <v>0</v>
      </c>
      <c r="Y79" s="31">
        <f>(INDEX(Option5!Y$106:Y$117, MATCH($D79, Option5!$G$106:$G$117,0)))*conv_2026*Y$7</f>
        <v>0</v>
      </c>
      <c r="Z79" s="31">
        <f>(INDEX(Option5!Z$106:Z$117, MATCH($D79, Option5!$G$106:$G$117,0)))*conv_2026*Z$7</f>
        <v>0</v>
      </c>
      <c r="AA79" s="31">
        <f>(INDEX(Option5!AA$106:AA$117, MATCH($D79, Option5!$G$106:$G$117,0)))*conv_2026*AA$7</f>
        <v>0</v>
      </c>
      <c r="AB79" s="31">
        <f>(INDEX(Option5!AB$106:AB$117, MATCH($D79, Option5!$G$106:$G$117,0)))*conv_2026*AB$7</f>
        <v>0</v>
      </c>
      <c r="AC79" s="31">
        <f>(INDEX(Option5!AC$106:AC$117, MATCH($D79, Option5!$G$106:$G$117,0)))*conv_2026*AC$7</f>
        <v>0</v>
      </c>
      <c r="AD79" s="31">
        <f>(INDEX(Option5!AD$106:AD$117, MATCH($D79, Option5!$G$106:$G$117,0)))*conv_2026*AD$7</f>
        <v>0</v>
      </c>
      <c r="AE79" s="31">
        <f>(INDEX(Option5!AE$106:AE$117, MATCH($D79, Option5!$G$106:$G$117,0)))*conv_2026*AE$7</f>
        <v>0</v>
      </c>
      <c r="AF79" s="31">
        <f>(INDEX(Option5!AF$106:AF$117, MATCH($D79, Option5!$G$106:$G$117,0)))*conv_2026*AF$7</f>
        <v>0</v>
      </c>
      <c r="AG79" s="31">
        <f>(INDEX(Option5!AG$106:AG$117, MATCH($D79, Option5!$G$106:$G$117,0)))*conv_2026*AG$7</f>
        <v>0</v>
      </c>
    </row>
    <row r="80" spans="1:35" s="8" customFormat="1" x14ac:dyDescent="0.2">
      <c r="F80" s="250"/>
    </row>
    <row r="81" spans="1:34" s="8" customFormat="1" x14ac:dyDescent="0.2">
      <c r="F81" s="250"/>
    </row>
    <row r="82" spans="1:34" s="8" customFormat="1" x14ac:dyDescent="0.2">
      <c r="F82" s="250"/>
    </row>
    <row r="83" spans="1:34" s="8" customFormat="1" x14ac:dyDescent="0.2">
      <c r="F83" s="250"/>
    </row>
    <row r="84" spans="1:34" s="8" customFormat="1" ht="15" x14ac:dyDescent="0.25">
      <c r="A84" s="203" t="s">
        <v>163</v>
      </c>
      <c r="B84" s="54"/>
      <c r="C84" s="19"/>
      <c r="D84" s="19"/>
      <c r="E84" s="83"/>
      <c r="F84" s="19"/>
      <c r="G84" s="224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10"/>
      <c r="AH84" s="10"/>
    </row>
    <row r="85" spans="1:34" s="8" customFormat="1" x14ac:dyDescent="0.2">
      <c r="F85" s="250"/>
    </row>
    <row r="86" spans="1:34" s="8" customFormat="1" x14ac:dyDescent="0.2">
      <c r="F86" s="250"/>
    </row>
    <row r="87" spans="1:34" s="8" customFormat="1" x14ac:dyDescent="0.2">
      <c r="E87" s="250"/>
    </row>
    <row r="88" spans="1:34" s="8" customFormat="1" x14ac:dyDescent="0.2">
      <c r="C88" s="276" t="b" cm="1">
        <f t="array" ref="C88:G88">TRANSPOSE(Data!F9:F13)</f>
        <v>0</v>
      </c>
      <c r="D88" s="276" t="b">
        <v>0</v>
      </c>
      <c r="E88" s="277" t="b">
        <v>0</v>
      </c>
      <c r="F88" s="276" t="b">
        <v>1</v>
      </c>
      <c r="G88" s="276" t="b">
        <v>1</v>
      </c>
      <c r="K88" s="8" t="b">
        <f>AND(_xlfn.ANCHORARRAY(C88))</f>
        <v>0</v>
      </c>
    </row>
    <row r="89" spans="1:34" s="8" customFormat="1" x14ac:dyDescent="0.2">
      <c r="A89" s="59"/>
      <c r="B89" s="59"/>
      <c r="C89" s="278" t="str" cm="1">
        <f t="array" ref="C89:G89">TRANSPOSE(options)</f>
        <v>Option 1 (base case)</v>
      </c>
      <c r="D89" s="278" t="str">
        <v>Option 2</v>
      </c>
      <c r="E89" s="278" t="str">
        <v>Option 3</v>
      </c>
      <c r="F89" s="278" t="str">
        <v>Option 4</v>
      </c>
      <c r="G89" s="278" t="str">
        <v>Option 5</v>
      </c>
      <c r="I89" s="278" t="s">
        <v>230</v>
      </c>
      <c r="K89" s="284" t="s">
        <v>231</v>
      </c>
    </row>
    <row r="90" spans="1:34" s="8" customFormat="1" x14ac:dyDescent="0.2">
      <c r="A90" s="262" t="s">
        <v>119</v>
      </c>
      <c r="B90" s="262" t="s">
        <v>221</v>
      </c>
      <c r="C90" s="105">
        <f t="shared" ref="C90:G98" si="10">IF(OR($B90=0,C$88),"", INDEX($F$14:$F$81, MATCH(C$89&amp;$A90,$D$14:$D$81,0))/10^6)</f>
        <v>0</v>
      </c>
      <c r="D90" s="105">
        <f t="shared" si="10"/>
        <v>4.4488172489603333</v>
      </c>
      <c r="E90" s="105">
        <f t="shared" si="10"/>
        <v>-0.4258265397466251</v>
      </c>
      <c r="F90" s="105" t="str">
        <f t="shared" si="10"/>
        <v/>
      </c>
      <c r="G90" s="105" t="str">
        <f t="shared" si="10"/>
        <v/>
      </c>
      <c r="H90" s="187"/>
      <c r="I90" s="105">
        <f t="shared" ref="I90:I98" si="11">_xlfn.MAXIFS(C90:G90,_xlfn.ANCHORARRAY( C$88),FALSE)</f>
        <v>4.4488172489603333</v>
      </c>
      <c r="K90" s="8" t="str">
        <f t="shared" ref="K90:K98" si="12">IF(OR(B90=0,$K$88),"", INDEX(_xlfn.ANCHORARRAY($C$89), MATCH(I90, $C90:$G90,0)))</f>
        <v>Option 2</v>
      </c>
    </row>
    <row r="91" spans="1:34" s="8" customFormat="1" x14ac:dyDescent="0.2">
      <c r="A91" s="262" t="str">
        <f>"sens"&amp;Assumptions!B115</f>
        <v>sens1</v>
      </c>
      <c r="B91" s="262" t="str">
        <f>Assumptions!C115</f>
        <v>Capex 10% higher</v>
      </c>
      <c r="C91" s="105">
        <f t="shared" si="10"/>
        <v>0</v>
      </c>
      <c r="D91" s="105">
        <f t="shared" si="10"/>
        <v>4.1556435107475513</v>
      </c>
      <c r="E91" s="105">
        <f t="shared" si="10"/>
        <v>-1.0774993594130955</v>
      </c>
      <c r="F91" s="105" t="str">
        <f t="shared" si="10"/>
        <v/>
      </c>
      <c r="G91" s="105" t="str">
        <f t="shared" si="10"/>
        <v/>
      </c>
      <c r="H91" s="187"/>
      <c r="I91" s="105">
        <f t="shared" si="11"/>
        <v>4.1556435107475513</v>
      </c>
      <c r="K91" s="8" t="str">
        <f t="shared" si="12"/>
        <v>Option 2</v>
      </c>
    </row>
    <row r="92" spans="1:34" s="8" customFormat="1" x14ac:dyDescent="0.2">
      <c r="A92" s="262" t="str">
        <f>"sens"&amp;Assumptions!B116</f>
        <v>sens2</v>
      </c>
      <c r="B92" s="262" t="str">
        <f>Assumptions!C116</f>
        <v>Capex 10% lower</v>
      </c>
      <c r="C92" s="105">
        <f t="shared" si="10"/>
        <v>0</v>
      </c>
      <c r="D92" s="105">
        <f t="shared" si="10"/>
        <v>4.7419909871731178</v>
      </c>
      <c r="E92" s="105">
        <f t="shared" si="10"/>
        <v>0.22584627991984516</v>
      </c>
      <c r="F92" s="105" t="str">
        <f t="shared" si="10"/>
        <v/>
      </c>
      <c r="G92" s="105" t="str">
        <f t="shared" si="10"/>
        <v/>
      </c>
      <c r="H92" s="187"/>
      <c r="I92" s="105">
        <f t="shared" si="11"/>
        <v>4.7419909871731178</v>
      </c>
      <c r="K92" s="8" t="str">
        <f t="shared" si="12"/>
        <v>Option 2</v>
      </c>
    </row>
    <row r="93" spans="1:34" s="8" customFormat="1" x14ac:dyDescent="0.2">
      <c r="A93" s="262" t="str">
        <f>"sens"&amp;Assumptions!B117</f>
        <v>sens3</v>
      </c>
      <c r="B93" s="262" t="str">
        <f>Assumptions!C117</f>
        <v>Increasing wind escalation</v>
      </c>
      <c r="C93" s="105">
        <f t="shared" si="10"/>
        <v>0</v>
      </c>
      <c r="D93" s="105">
        <f t="shared" si="10"/>
        <v>4.4842176913862479</v>
      </c>
      <c r="E93" s="105">
        <f t="shared" si="10"/>
        <v>-0.39042609732071148</v>
      </c>
      <c r="F93" s="105" t="str">
        <f t="shared" si="10"/>
        <v/>
      </c>
      <c r="G93" s="105" t="str">
        <f t="shared" si="10"/>
        <v/>
      </c>
      <c r="H93" s="187"/>
      <c r="I93" s="105">
        <f t="shared" si="11"/>
        <v>4.4842176913862479</v>
      </c>
      <c r="K93" s="8" t="str">
        <f t="shared" si="12"/>
        <v>Option 2</v>
      </c>
    </row>
    <row r="94" spans="1:34" s="8" customFormat="1" x14ac:dyDescent="0.2">
      <c r="A94" s="262" t="str">
        <f>"sens"&amp;Assumptions!B118</f>
        <v>sens4</v>
      </c>
      <c r="B94" s="262" t="str">
        <f>Assumptions!C118</f>
        <v/>
      </c>
      <c r="C94" s="105">
        <f t="shared" si="10"/>
        <v>0</v>
      </c>
      <c r="D94" s="105">
        <f t="shared" si="10"/>
        <v>4.4488172489603333</v>
      </c>
      <c r="E94" s="105">
        <f t="shared" si="10"/>
        <v>-0.4258265397466251</v>
      </c>
      <c r="F94" s="105" t="str">
        <f t="shared" si="10"/>
        <v/>
      </c>
      <c r="G94" s="105" t="str">
        <f t="shared" si="10"/>
        <v/>
      </c>
      <c r="H94" s="187"/>
      <c r="I94" s="105">
        <f t="shared" si="11"/>
        <v>4.4488172489603333</v>
      </c>
      <c r="K94" s="8" t="str">
        <f t="shared" si="12"/>
        <v>Option 2</v>
      </c>
    </row>
    <row r="95" spans="1:34" s="8" customFormat="1" x14ac:dyDescent="0.2">
      <c r="A95" s="262" t="str">
        <f>"sens"&amp;Assumptions!B119</f>
        <v>sens5</v>
      </c>
      <c r="B95" s="262" t="str">
        <f>Assumptions!C119</f>
        <v/>
      </c>
      <c r="C95" s="105">
        <f t="shared" si="10"/>
        <v>0</v>
      </c>
      <c r="D95" s="105">
        <f t="shared" si="10"/>
        <v>4.4488172489603333</v>
      </c>
      <c r="E95" s="105">
        <f t="shared" si="10"/>
        <v>-0.4258265397466251</v>
      </c>
      <c r="F95" s="105" t="str">
        <f t="shared" si="10"/>
        <v/>
      </c>
      <c r="G95" s="105" t="str">
        <f t="shared" si="10"/>
        <v/>
      </c>
      <c r="H95" s="187"/>
      <c r="I95" s="105">
        <f t="shared" si="11"/>
        <v>4.4488172489603333</v>
      </c>
      <c r="K95" s="8" t="str">
        <f t="shared" si="12"/>
        <v>Option 2</v>
      </c>
    </row>
    <row r="96" spans="1:34" s="8" customFormat="1" x14ac:dyDescent="0.2">
      <c r="A96" s="262" t="str">
        <f>"sens"&amp;Assumptions!B120</f>
        <v>sens</v>
      </c>
      <c r="B96" s="262">
        <f>Assumptions!C120</f>
        <v>0</v>
      </c>
      <c r="C96" s="105" t="str">
        <f t="shared" si="10"/>
        <v/>
      </c>
      <c r="D96" s="105" t="str">
        <f t="shared" si="10"/>
        <v/>
      </c>
      <c r="E96" s="105" t="str">
        <f t="shared" si="10"/>
        <v/>
      </c>
      <c r="F96" s="105" t="str">
        <f t="shared" si="10"/>
        <v/>
      </c>
      <c r="G96" s="105" t="str">
        <f t="shared" si="10"/>
        <v/>
      </c>
      <c r="H96" s="187"/>
      <c r="I96" s="105">
        <f t="shared" si="11"/>
        <v>0</v>
      </c>
      <c r="K96" s="8" t="str">
        <f t="shared" si="12"/>
        <v/>
      </c>
    </row>
    <row r="97" spans="1:11" x14ac:dyDescent="0.2">
      <c r="A97" s="262" t="str">
        <f>"sens"&amp;Assumptions!B121</f>
        <v>sens</v>
      </c>
      <c r="B97" s="262">
        <f>Assumptions!C121</f>
        <v>0</v>
      </c>
      <c r="C97" s="105" t="str">
        <f t="shared" si="10"/>
        <v/>
      </c>
      <c r="D97" s="105" t="str">
        <f t="shared" si="10"/>
        <v/>
      </c>
      <c r="E97" s="105" t="str">
        <f t="shared" si="10"/>
        <v/>
      </c>
      <c r="F97" s="105" t="str">
        <f t="shared" si="10"/>
        <v/>
      </c>
      <c r="G97" s="105" t="str">
        <f t="shared" si="10"/>
        <v/>
      </c>
      <c r="H97" s="283"/>
      <c r="I97" s="105">
        <f t="shared" si="11"/>
        <v>0</v>
      </c>
      <c r="K97" s="8" t="str">
        <f t="shared" si="12"/>
        <v/>
      </c>
    </row>
    <row r="98" spans="1:11" x14ac:dyDescent="0.2">
      <c r="A98" s="262" t="str">
        <f>"sens"&amp;Assumptions!B122</f>
        <v>sens</v>
      </c>
      <c r="B98" s="262">
        <f>Assumptions!C122</f>
        <v>0</v>
      </c>
      <c r="C98" s="105" t="str">
        <f t="shared" si="10"/>
        <v/>
      </c>
      <c r="D98" s="105" t="str">
        <f t="shared" si="10"/>
        <v/>
      </c>
      <c r="E98" s="105" t="str">
        <f t="shared" si="10"/>
        <v/>
      </c>
      <c r="F98" s="105" t="str">
        <f t="shared" si="10"/>
        <v/>
      </c>
      <c r="G98" s="105" t="str">
        <f t="shared" si="10"/>
        <v/>
      </c>
      <c r="H98" s="283"/>
      <c r="I98" s="105">
        <f t="shared" si="11"/>
        <v>0</v>
      </c>
      <c r="K98" s="8" t="str">
        <f t="shared" si="12"/>
        <v/>
      </c>
    </row>
    <row r="99" spans="1:11" x14ac:dyDescent="0.2">
      <c r="C99" s="31"/>
      <c r="E99"/>
      <c r="F99" s="10"/>
    </row>
    <row r="100" spans="1:11" x14ac:dyDescent="0.2">
      <c r="E100"/>
      <c r="F100" s="10"/>
    </row>
    <row r="101" spans="1:11" x14ac:dyDescent="0.2">
      <c r="E101"/>
      <c r="F101" s="10"/>
    </row>
    <row r="102" spans="1:11" x14ac:dyDescent="0.2">
      <c r="E102"/>
      <c r="F102" s="10"/>
    </row>
    <row r="103" spans="1:11" x14ac:dyDescent="0.2">
      <c r="E103"/>
      <c r="F103" s="10"/>
    </row>
    <row r="104" spans="1:11" x14ac:dyDescent="0.2">
      <c r="E104"/>
      <c r="F104" s="10"/>
    </row>
    <row r="105" spans="1:11" x14ac:dyDescent="0.2">
      <c r="E105"/>
      <c r="F105" s="10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D94DF-4BA3-4282-8C08-1C9DB42D834F}">
  <sheetPr codeName="Sheet4">
    <tabColor rgb="FFFFFF00"/>
  </sheetPr>
  <dimension ref="A1:AQ83"/>
  <sheetViews>
    <sheetView showGridLines="0" topLeftCell="C1" workbookViewId="0">
      <selection activeCell="E31" sqref="E31"/>
    </sheetView>
  </sheetViews>
  <sheetFormatPr defaultColWidth="8" defaultRowHeight="12.75" x14ac:dyDescent="0.2"/>
  <cols>
    <col min="1" max="1" width="2.625" style="1" customWidth="1"/>
    <col min="2" max="2" width="5.25" style="1" customWidth="1"/>
    <col min="3" max="3" width="10.75" style="1" customWidth="1"/>
    <col min="4" max="4" width="7.625" style="1" customWidth="1"/>
    <col min="5" max="5" width="25" style="1" customWidth="1"/>
    <col min="6" max="6" width="15.125" style="1" customWidth="1"/>
    <col min="7" max="7" width="14" style="1" customWidth="1"/>
    <col min="8" max="8" width="14.75" style="1" customWidth="1"/>
    <col min="9" max="28" width="8.625" style="1" customWidth="1"/>
    <col min="29" max="16384" width="8" style="1"/>
  </cols>
  <sheetData>
    <row r="1" spans="1:39" ht="18.75" x14ac:dyDescent="0.3">
      <c r="A1" s="15" t="str">
        <f>bus</f>
        <v>Powercor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39" ht="18.75" x14ac:dyDescent="0.3">
      <c r="A2" s="56" t="str">
        <f>proj</f>
        <v>Donald microgrid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9" ht="18.75" x14ac:dyDescent="0.3">
      <c r="A3" s="5" t="s">
        <v>279</v>
      </c>
      <c r="B3" s="323"/>
      <c r="C3" s="5"/>
      <c r="D3" s="5"/>
    </row>
    <row r="5" spans="1:39" ht="15" x14ac:dyDescent="0.2">
      <c r="A5" s="324"/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</row>
    <row r="6" spans="1:39" x14ac:dyDescent="0.2">
      <c r="C6" s="3"/>
      <c r="D6" s="3"/>
    </row>
    <row r="8" spans="1:39" s="168" customFormat="1" x14ac:dyDescent="0.2">
      <c r="A8" s="115"/>
      <c r="B8" s="115"/>
      <c r="C8" s="115" t="s">
        <v>289</v>
      </c>
      <c r="E8" s="364" t="s">
        <v>290</v>
      </c>
      <c r="I8" s="365">
        <v>1.0115062381435884</v>
      </c>
      <c r="J8" s="365">
        <v>0.99168977424422777</v>
      </c>
      <c r="K8" s="365">
        <v>0.98705481033712572</v>
      </c>
      <c r="L8" s="365">
        <v>0.98924147122445771</v>
      </c>
      <c r="M8" s="365">
        <v>0.98847034079489293</v>
      </c>
      <c r="N8" s="365">
        <v>0.98033986366535864</v>
      </c>
      <c r="O8" s="365">
        <v>0.97545063686438116</v>
      </c>
      <c r="P8" s="365">
        <v>0.97590871111893207</v>
      </c>
      <c r="Q8" s="365">
        <v>0.97940727228772573</v>
      </c>
      <c r="R8" s="365">
        <v>0.97104699604432598</v>
      </c>
      <c r="S8" s="365">
        <v>0.97104699604432598</v>
      </c>
      <c r="T8" s="365">
        <v>0.97104699604432598</v>
      </c>
      <c r="U8" s="365">
        <v>0.97104699604432598</v>
      </c>
      <c r="V8" s="365">
        <v>0.97104699604432598</v>
      </c>
      <c r="W8" s="365">
        <v>0.97104699604432598</v>
      </c>
      <c r="X8" s="365">
        <v>0.97104699604432598</v>
      </c>
      <c r="Y8" s="365">
        <v>0.97104699604432598</v>
      </c>
      <c r="Z8" s="365">
        <v>0.97104699604432598</v>
      </c>
      <c r="AA8" s="365">
        <v>0.97104699604432598</v>
      </c>
      <c r="AB8" s="365">
        <v>0.97104699604432598</v>
      </c>
      <c r="AC8" s="365">
        <v>0.97104699604432598</v>
      </c>
      <c r="AD8" s="365">
        <v>0.97104699604432598</v>
      </c>
      <c r="AE8" s="365">
        <v>0.97104699604432598</v>
      </c>
      <c r="AF8" s="365">
        <v>0.97104699604432598</v>
      </c>
      <c r="AG8" s="365">
        <v>0.97104699604432598</v>
      </c>
      <c r="AH8" s="168">
        <v>0.97104699604432598</v>
      </c>
    </row>
    <row r="10" spans="1:39" x14ac:dyDescent="0.2">
      <c r="C10" s="8" t="s">
        <v>291</v>
      </c>
      <c r="F10" s="345">
        <v>0.68</v>
      </c>
    </row>
    <row r="11" spans="1:39" x14ac:dyDescent="0.2">
      <c r="C11" s="326" t="s">
        <v>282</v>
      </c>
      <c r="D11" s="327"/>
      <c r="F11" s="330">
        <v>0</v>
      </c>
    </row>
    <row r="12" spans="1:39" s="8" customFormat="1" x14ac:dyDescent="0.2">
      <c r="I12" s="66"/>
      <c r="J12" s="66"/>
    </row>
    <row r="13" spans="1:39" s="8" customFormat="1" x14ac:dyDescent="0.2">
      <c r="C13" s="8" t="s">
        <v>310</v>
      </c>
      <c r="F13" s="347">
        <f>F10*(1+solar_demand_correction)</f>
        <v>0.68</v>
      </c>
      <c r="H13" s="43"/>
      <c r="I13" s="43"/>
      <c r="J13" s="43"/>
    </row>
    <row r="14" spans="1:39" s="8" customFormat="1" x14ac:dyDescent="0.2">
      <c r="C14" s="8" t="s">
        <v>309</v>
      </c>
      <c r="F14" s="348">
        <v>810</v>
      </c>
      <c r="H14" s="43"/>
      <c r="I14" s="43"/>
      <c r="J14" s="43"/>
    </row>
    <row r="15" spans="1:39" s="8" customFormat="1" x14ac:dyDescent="0.2">
      <c r="C15" s="8" t="s">
        <v>292</v>
      </c>
      <c r="D15" s="14"/>
      <c r="F15" s="348">
        <v>2</v>
      </c>
      <c r="G15" s="346" t="s">
        <v>293</v>
      </c>
      <c r="H15" s="43"/>
      <c r="I15" s="43"/>
      <c r="J15" s="43"/>
    </row>
    <row r="16" spans="1:39" x14ac:dyDescent="0.2">
      <c r="C16" s="6"/>
      <c r="D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</row>
    <row r="17" spans="1:43" x14ac:dyDescent="0.2">
      <c r="C17" s="6"/>
      <c r="D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</row>
    <row r="18" spans="1:43" ht="12.75" customHeight="1" x14ac:dyDescent="0.2">
      <c r="A18" s="325"/>
      <c r="B18" s="325"/>
      <c r="C18" s="326" t="s">
        <v>284</v>
      </c>
      <c r="D18" s="343"/>
      <c r="F18" s="349">
        <v>25.1</v>
      </c>
      <c r="G18" s="344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3"/>
      <c r="Y18" s="343"/>
      <c r="Z18" s="343"/>
      <c r="AA18" s="343"/>
      <c r="AB18" s="343"/>
      <c r="AC18" s="343"/>
      <c r="AD18" s="343"/>
      <c r="AE18" s="343"/>
      <c r="AF18" s="343"/>
      <c r="AG18" s="343"/>
      <c r="AH18" s="8"/>
      <c r="AI18" s="8"/>
      <c r="AJ18" s="8"/>
      <c r="AK18" s="8"/>
      <c r="AL18" s="8"/>
      <c r="AM18" s="8"/>
      <c r="AN18"/>
      <c r="AO18"/>
      <c r="AP18"/>
      <c r="AQ18"/>
    </row>
    <row r="19" spans="1:43" ht="12.75" customHeight="1" x14ac:dyDescent="0.2">
      <c r="A19" s="325"/>
      <c r="B19" s="325"/>
      <c r="C19" s="326" t="s">
        <v>285</v>
      </c>
      <c r="D19" s="343"/>
      <c r="F19" s="350">
        <f>'Reliability data'!K4/60</f>
        <v>15.360000000000001</v>
      </c>
      <c r="G19" s="344"/>
      <c r="H19" s="343"/>
      <c r="I19" s="343"/>
      <c r="J19" s="343"/>
      <c r="K19" s="343"/>
      <c r="L19" s="343"/>
      <c r="M19" s="343"/>
      <c r="N19" s="343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43"/>
      <c r="AA19" s="343"/>
      <c r="AB19" s="343"/>
      <c r="AC19" s="343"/>
      <c r="AD19" s="343"/>
      <c r="AE19" s="343"/>
      <c r="AF19" s="343"/>
      <c r="AG19" s="343"/>
      <c r="AH19" s="8"/>
      <c r="AI19" s="8"/>
      <c r="AJ19" s="8"/>
      <c r="AK19" s="8"/>
      <c r="AL19" s="8"/>
      <c r="AM19" s="8"/>
      <c r="AN19"/>
      <c r="AO19"/>
      <c r="AP19"/>
      <c r="AQ19"/>
    </row>
    <row r="20" spans="1:43" ht="12.75" customHeight="1" x14ac:dyDescent="0.2">
      <c r="A20" s="325"/>
      <c r="B20" s="325"/>
      <c r="C20" s="343"/>
      <c r="D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3"/>
      <c r="AE20" s="343"/>
      <c r="AF20" s="343"/>
      <c r="AG20" s="343"/>
      <c r="AH20" s="8"/>
      <c r="AI20" s="8"/>
      <c r="AJ20" s="8"/>
      <c r="AK20" s="8"/>
      <c r="AL20" s="8"/>
      <c r="AM20" s="8"/>
      <c r="AN20"/>
      <c r="AO20"/>
      <c r="AP20"/>
      <c r="AQ20"/>
    </row>
    <row r="21" spans="1:43" ht="12.75" customHeight="1" x14ac:dyDescent="0.2">
      <c r="A21" s="325"/>
      <c r="B21" s="325"/>
      <c r="C21" s="326" t="s">
        <v>283</v>
      </c>
      <c r="D21" s="343"/>
      <c r="F21" s="330">
        <v>0</v>
      </c>
      <c r="G21" s="6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343"/>
      <c r="T21" s="343"/>
      <c r="U21" s="343"/>
      <c r="V21" s="343"/>
      <c r="W21" s="343"/>
      <c r="X21" s="343"/>
      <c r="Y21" s="343"/>
      <c r="Z21" s="343"/>
      <c r="AA21" s="343"/>
      <c r="AB21" s="343"/>
      <c r="AC21" s="343"/>
      <c r="AD21" s="343"/>
      <c r="AE21" s="343"/>
      <c r="AF21" s="343"/>
      <c r="AG21" s="343"/>
      <c r="AH21" s="8"/>
      <c r="AI21" s="8"/>
      <c r="AJ21" s="8"/>
      <c r="AK21" s="8"/>
      <c r="AL21" s="8"/>
      <c r="AM21" s="8"/>
      <c r="AN21"/>
      <c r="AO21"/>
      <c r="AP21"/>
      <c r="AQ21"/>
    </row>
    <row r="22" spans="1:43" x14ac:dyDescent="0.2">
      <c r="C22" s="6"/>
      <c r="D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</row>
    <row r="23" spans="1:43" x14ac:dyDescent="0.2">
      <c r="C23" s="6"/>
      <c r="D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</row>
    <row r="24" spans="1:43" x14ac:dyDescent="0.2">
      <c r="C24" s="30"/>
      <c r="D24" s="30"/>
      <c r="E24" s="30"/>
      <c r="F24" s="30"/>
      <c r="G24" s="30"/>
      <c r="H24" s="30"/>
      <c r="I24" s="70" t="str">
        <f>'Option1 (base case)'!I$9</f>
        <v>2026-27</v>
      </c>
      <c r="J24" s="70" t="str">
        <f>'Option1 (base case)'!J$9</f>
        <v>2027-28</v>
      </c>
      <c r="K24" s="70" t="str">
        <f>'Option1 (base case)'!K$9</f>
        <v>2028-29</v>
      </c>
      <c r="L24" s="70" t="str">
        <f>'Option1 (base case)'!L$9</f>
        <v>2029-30</v>
      </c>
      <c r="M24" s="70" t="str">
        <f>'Option1 (base case)'!M$9</f>
        <v>2030-31</v>
      </c>
      <c r="N24" s="70" t="str">
        <f>'Option1 (base case)'!N$9</f>
        <v>2031-32</v>
      </c>
      <c r="O24" s="70" t="str">
        <f>'Option1 (base case)'!O$9</f>
        <v>2032-33</v>
      </c>
      <c r="P24" s="70" t="str">
        <f>'Option1 (base case)'!P$9</f>
        <v>2033-34</v>
      </c>
      <c r="Q24" s="70" t="str">
        <f>'Option1 (base case)'!Q$9</f>
        <v>2034-35</v>
      </c>
      <c r="R24" s="70" t="str">
        <f>'Option1 (base case)'!R$9</f>
        <v>2035-36</v>
      </c>
      <c r="S24" s="70" t="str">
        <f>'Option1 (base case)'!S$9</f>
        <v>2036-37</v>
      </c>
      <c r="T24" s="70" t="str">
        <f>'Option1 (base case)'!T$9</f>
        <v>2037-38</v>
      </c>
      <c r="U24" s="70" t="str">
        <f>'Option1 (base case)'!U$9</f>
        <v>2038-39</v>
      </c>
      <c r="V24" s="70" t="str">
        <f>'Option1 (base case)'!V$9</f>
        <v>2039-40</v>
      </c>
      <c r="W24" s="70" t="str">
        <f>'Option1 (base case)'!W$9</f>
        <v>2040-41</v>
      </c>
      <c r="X24" s="70" t="str">
        <f>'Option1 (base case)'!X$9</f>
        <v>2041-42</v>
      </c>
      <c r="Y24" s="70" t="str">
        <f>'Option1 (base case)'!Y$9</f>
        <v>2042-43</v>
      </c>
      <c r="Z24" s="70" t="str">
        <f>'Option1 (base case)'!Z$9</f>
        <v>2043-44</v>
      </c>
      <c r="AA24" s="70" t="str">
        <f>'Option1 (base case)'!AA$9</f>
        <v>2044-45</v>
      </c>
      <c r="AB24" s="70" t="str">
        <f>'Option1 (base case)'!AB$9</f>
        <v>2045-46</v>
      </c>
      <c r="AC24" s="70" t="str">
        <f>'Option1 (base case)'!AC$9</f>
        <v>2046-47</v>
      </c>
      <c r="AD24" s="70" t="str">
        <f>'Option1 (base case)'!AD$9</f>
        <v>2047-48</v>
      </c>
      <c r="AE24" s="70" t="str">
        <f>'Option1 (base case)'!AE$9</f>
        <v>2048-49</v>
      </c>
      <c r="AF24" s="70" t="str">
        <f>'Option1 (base case)'!AF$9</f>
        <v>2049-50</v>
      </c>
      <c r="AG24" s="70" t="str">
        <f>'Option1 (base case)'!AG$9</f>
        <v>2050-51</v>
      </c>
      <c r="AH24" s="6"/>
      <c r="AI24" s="6"/>
      <c r="AJ24" s="6"/>
      <c r="AK24" s="6"/>
      <c r="AL24" s="6"/>
      <c r="AM24" s="6"/>
    </row>
    <row r="25" spans="1:43" ht="12.75" customHeight="1" x14ac:dyDescent="0.2">
      <c r="C25" s="353" t="s">
        <v>286</v>
      </c>
      <c r="D25" s="351"/>
      <c r="E25" s="351"/>
      <c r="F25" s="351"/>
      <c r="G25" s="254"/>
      <c r="H25" s="351"/>
      <c r="I25" s="254">
        <v>1</v>
      </c>
      <c r="J25" s="254">
        <f t="shared" ref="J25:AG25" si="0">I25+$F$21/(2046-2026)</f>
        <v>1</v>
      </c>
      <c r="K25" s="254">
        <f t="shared" si="0"/>
        <v>1</v>
      </c>
      <c r="L25" s="254">
        <f t="shared" si="0"/>
        <v>1</v>
      </c>
      <c r="M25" s="254">
        <f t="shared" si="0"/>
        <v>1</v>
      </c>
      <c r="N25" s="254">
        <f t="shared" si="0"/>
        <v>1</v>
      </c>
      <c r="O25" s="254">
        <f t="shared" si="0"/>
        <v>1</v>
      </c>
      <c r="P25" s="254">
        <f t="shared" si="0"/>
        <v>1</v>
      </c>
      <c r="Q25" s="254">
        <f t="shared" si="0"/>
        <v>1</v>
      </c>
      <c r="R25" s="254">
        <f t="shared" si="0"/>
        <v>1</v>
      </c>
      <c r="S25" s="254">
        <f t="shared" si="0"/>
        <v>1</v>
      </c>
      <c r="T25" s="254">
        <f t="shared" si="0"/>
        <v>1</v>
      </c>
      <c r="U25" s="254">
        <f t="shared" si="0"/>
        <v>1</v>
      </c>
      <c r="V25" s="254">
        <f t="shared" si="0"/>
        <v>1</v>
      </c>
      <c r="W25" s="254">
        <f t="shared" si="0"/>
        <v>1</v>
      </c>
      <c r="X25" s="254">
        <f t="shared" si="0"/>
        <v>1</v>
      </c>
      <c r="Y25" s="254">
        <f t="shared" si="0"/>
        <v>1</v>
      </c>
      <c r="Z25" s="254">
        <f t="shared" si="0"/>
        <v>1</v>
      </c>
      <c r="AA25" s="254">
        <f t="shared" si="0"/>
        <v>1</v>
      </c>
      <c r="AB25" s="254">
        <f t="shared" si="0"/>
        <v>1</v>
      </c>
      <c r="AC25" s="254">
        <f t="shared" si="0"/>
        <v>1</v>
      </c>
      <c r="AD25" s="254">
        <f t="shared" si="0"/>
        <v>1</v>
      </c>
      <c r="AE25" s="254">
        <f t="shared" si="0"/>
        <v>1</v>
      </c>
      <c r="AF25" s="254">
        <f t="shared" si="0"/>
        <v>1</v>
      </c>
      <c r="AG25" s="254">
        <f t="shared" si="0"/>
        <v>1</v>
      </c>
      <c r="AH25" s="8"/>
      <c r="AI25" s="8"/>
      <c r="AJ25" s="8"/>
      <c r="AK25" s="8"/>
      <c r="AL25" s="8"/>
      <c r="AM25" s="8"/>
      <c r="AN25"/>
      <c r="AO25"/>
      <c r="AP25"/>
      <c r="AQ25"/>
    </row>
    <row r="26" spans="1:43" ht="12.75" customHeight="1" x14ac:dyDescent="0.2">
      <c r="A26" s="325"/>
      <c r="B26" s="325"/>
      <c r="C26" s="353" t="s">
        <v>287</v>
      </c>
      <c r="D26" s="254"/>
      <c r="E26" s="351"/>
      <c r="F26" s="352"/>
      <c r="G26" s="254"/>
      <c r="H26" s="351"/>
      <c r="I26" s="354">
        <v>5.1714757428571421E-3</v>
      </c>
      <c r="J26" s="354">
        <v>5.2025000571428561E-3</v>
      </c>
      <c r="K26" s="354">
        <v>5.23352437142857E-3</v>
      </c>
      <c r="L26" s="354">
        <v>5.2645486857142839E-3</v>
      </c>
      <c r="M26" s="354">
        <v>5.2955729999999979E-3</v>
      </c>
      <c r="N26" s="354">
        <v>5.2991695999999979E-3</v>
      </c>
      <c r="O26" s="354">
        <v>5.3027661999999979E-3</v>
      </c>
      <c r="P26" s="354">
        <v>5.3063627999999979E-3</v>
      </c>
      <c r="Q26" s="354">
        <v>5.3099593999999979E-3</v>
      </c>
      <c r="R26" s="354">
        <v>5.3135559999999979E-3</v>
      </c>
      <c r="S26" s="354">
        <v>5.3171525999999979E-3</v>
      </c>
      <c r="T26" s="354">
        <v>5.320749199999998E-3</v>
      </c>
      <c r="U26" s="354">
        <v>5.324345799999998E-3</v>
      </c>
      <c r="V26" s="354">
        <v>5.327942399999998E-3</v>
      </c>
      <c r="W26" s="354">
        <v>5.331538999999998E-3</v>
      </c>
      <c r="X26" s="354">
        <v>5.335135599999998E-3</v>
      </c>
      <c r="Y26" s="354">
        <v>5.338732199999998E-3</v>
      </c>
      <c r="Z26" s="354">
        <v>5.342328799999998E-3</v>
      </c>
      <c r="AA26" s="354">
        <v>5.345925399999998E-3</v>
      </c>
      <c r="AB26" s="354">
        <v>5.349521999999998E-3</v>
      </c>
      <c r="AC26" s="354">
        <v>5.3531185999999981E-3</v>
      </c>
      <c r="AD26" s="354">
        <v>5.3567151999999981E-3</v>
      </c>
      <c r="AE26" s="354">
        <v>5.3603117999999981E-3</v>
      </c>
      <c r="AF26" s="354">
        <v>5.3639083999999981E-3</v>
      </c>
      <c r="AG26" s="354">
        <v>5.3675049999999981E-3</v>
      </c>
      <c r="AH26" s="8"/>
      <c r="AI26" s="8"/>
      <c r="AJ26" s="8"/>
      <c r="AK26" s="8"/>
      <c r="AL26" s="8"/>
      <c r="AM26" s="8"/>
      <c r="AN26"/>
      <c r="AO26"/>
      <c r="AP26"/>
      <c r="AQ26"/>
    </row>
    <row r="27" spans="1:43" ht="12.75" customHeight="1" x14ac:dyDescent="0.2">
      <c r="A27" s="325"/>
      <c r="B27" s="325"/>
      <c r="C27" s="353" t="s">
        <v>288</v>
      </c>
      <c r="D27" s="254"/>
      <c r="E27" s="351"/>
      <c r="F27" s="254"/>
      <c r="G27" s="351"/>
      <c r="H27" s="351"/>
      <c r="I27" s="355">
        <v>1</v>
      </c>
      <c r="J27" s="355">
        <v>1.0008534386006929</v>
      </c>
      <c r="K27" s="355">
        <v>1.0017068772013857</v>
      </c>
      <c r="L27" s="355">
        <v>1.0025603158020788</v>
      </c>
      <c r="M27" s="355">
        <v>1.0034137544027719</v>
      </c>
      <c r="N27" s="355">
        <v>1.0034391671792147</v>
      </c>
      <c r="O27" s="355">
        <v>1.0034645799556572</v>
      </c>
      <c r="P27" s="355">
        <v>1.0034899927320999</v>
      </c>
      <c r="Q27" s="355">
        <v>1.0035154055085427</v>
      </c>
      <c r="R27" s="355">
        <v>1.0035408182849852</v>
      </c>
      <c r="S27" s="355">
        <v>1.0035662310614279</v>
      </c>
      <c r="T27" s="355">
        <v>1.0035916438378707</v>
      </c>
      <c r="U27" s="355">
        <v>1.0036170566143134</v>
      </c>
      <c r="V27" s="355">
        <v>1.003642469390756</v>
      </c>
      <c r="W27" s="355">
        <v>1.0036678821671987</v>
      </c>
      <c r="X27" s="355">
        <v>1.0036932949436415</v>
      </c>
      <c r="Y27" s="355">
        <v>1.003718707720084</v>
      </c>
      <c r="Z27" s="355">
        <v>1.0037441204965267</v>
      </c>
      <c r="AA27" s="355">
        <v>1.0037695332729695</v>
      </c>
      <c r="AB27" s="355">
        <v>1.0037949460494122</v>
      </c>
      <c r="AC27" s="355">
        <v>1.0038203588258547</v>
      </c>
      <c r="AD27" s="355">
        <v>1.0038457716022975</v>
      </c>
      <c r="AE27" s="355">
        <v>1.0038711843787402</v>
      </c>
      <c r="AF27" s="355">
        <v>1.0038965971551828</v>
      </c>
      <c r="AG27" s="355">
        <v>1.0039220099316255</v>
      </c>
      <c r="AH27" s="8"/>
      <c r="AI27" s="8"/>
      <c r="AJ27" s="8"/>
      <c r="AK27" s="8"/>
      <c r="AL27" s="8"/>
      <c r="AM27" s="8"/>
      <c r="AN27"/>
      <c r="AO27"/>
      <c r="AP27"/>
      <c r="AQ27"/>
    </row>
    <row r="28" spans="1:43" x14ac:dyDescent="0.2">
      <c r="C28" s="351" t="s">
        <v>311</v>
      </c>
      <c r="D28" s="351"/>
      <c r="E28" s="64"/>
      <c r="F28" s="351"/>
      <c r="G28" s="351"/>
      <c r="H28" s="351"/>
      <c r="I28" s="351"/>
      <c r="J28" s="351">
        <f>J25/J27-1</f>
        <v>-8.5271086432603393E-4</v>
      </c>
      <c r="K28" s="351">
        <f t="shared" ref="K28:AG28" si="1">K25/K27-1</f>
        <v>-1.703968735998429E-3</v>
      </c>
      <c r="L28" s="351">
        <f t="shared" si="1"/>
        <v>-2.5537773256369967E-3</v>
      </c>
      <c r="M28" s="351">
        <f t="shared" si="1"/>
        <v>-3.4021403312373133E-3</v>
      </c>
      <c r="N28" s="351">
        <f t="shared" si="1"/>
        <v>-3.4273798469344197E-3</v>
      </c>
      <c r="O28" s="351">
        <f t="shared" si="1"/>
        <v>-3.4526180842480159E-3</v>
      </c>
      <c r="P28" s="351">
        <f t="shared" si="1"/>
        <v>-3.4778550432755795E-3</v>
      </c>
      <c r="Q28" s="351">
        <f t="shared" si="1"/>
        <v>-3.503090724114255E-3</v>
      </c>
      <c r="R28" s="351">
        <f t="shared" si="1"/>
        <v>-3.5283251268606319E-3</v>
      </c>
      <c r="S28" s="351">
        <f t="shared" si="1"/>
        <v>-3.5535582516124098E-3</v>
      </c>
      <c r="T28" s="351">
        <f t="shared" si="1"/>
        <v>-3.5787900984665111E-3</v>
      </c>
      <c r="U28" s="351">
        <f t="shared" si="1"/>
        <v>-3.6040206675198583E-3</v>
      </c>
      <c r="V28" s="351">
        <f t="shared" si="1"/>
        <v>-3.6292499588693738E-3</v>
      </c>
      <c r="W28" s="351">
        <f t="shared" si="1"/>
        <v>-3.6544779726125354E-3</v>
      </c>
      <c r="X28" s="351">
        <f t="shared" si="1"/>
        <v>-3.6797047088461543E-3</v>
      </c>
      <c r="Y28" s="351">
        <f t="shared" si="1"/>
        <v>-3.7049301676671531E-3</v>
      </c>
      <c r="Z28" s="351">
        <f t="shared" si="1"/>
        <v>-3.7301543491727873E-3</v>
      </c>
      <c r="AA28" s="351">
        <f t="shared" si="1"/>
        <v>-3.7553772534599794E-3</v>
      </c>
      <c r="AB28" s="351">
        <f t="shared" si="1"/>
        <v>-3.7805988806257629E-3</v>
      </c>
      <c r="AC28" s="351">
        <f t="shared" si="1"/>
        <v>-3.8058192307668381E-3</v>
      </c>
      <c r="AD28" s="351">
        <f t="shared" si="1"/>
        <v>-3.8310383039806828E-3</v>
      </c>
      <c r="AE28" s="351">
        <f t="shared" si="1"/>
        <v>-3.8562561003641083E-3</v>
      </c>
      <c r="AF28" s="351">
        <f t="shared" si="1"/>
        <v>-3.881472620013704E-3</v>
      </c>
      <c r="AG28" s="351">
        <f t="shared" si="1"/>
        <v>-3.9066878630269475E-3</v>
      </c>
      <c r="AH28" s="6"/>
      <c r="AI28" s="6"/>
      <c r="AJ28" s="6"/>
      <c r="AK28" s="6"/>
      <c r="AL28" s="6"/>
      <c r="AM28" s="6"/>
    </row>
    <row r="29" spans="1:43" x14ac:dyDescent="0.2">
      <c r="C29" s="6"/>
      <c r="D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</row>
    <row r="30" spans="1:43" x14ac:dyDescent="0.2">
      <c r="C30" s="6"/>
      <c r="D30" s="6"/>
      <c r="F30" s="6"/>
      <c r="G30" s="6"/>
      <c r="H30" s="6"/>
      <c r="AH30" s="6"/>
      <c r="AI30" s="6"/>
      <c r="AJ30" s="6"/>
      <c r="AK30" s="6"/>
      <c r="AL30" s="6"/>
      <c r="AM30" s="6"/>
    </row>
    <row r="31" spans="1:43" x14ac:dyDescent="0.2">
      <c r="C31" s="6" t="s">
        <v>280</v>
      </c>
      <c r="D31" s="6"/>
      <c r="F31" s="6"/>
      <c r="G31" s="6"/>
      <c r="H31" s="6"/>
      <c r="I31" s="356">
        <f>'Reliability data'!$K$8*Workings_risks!I27</f>
        <v>706.8</v>
      </c>
      <c r="J31" s="356">
        <f>'Reliability data'!$K$8*Workings_risks!J27</f>
        <v>707.40321040296965</v>
      </c>
      <c r="K31" s="356">
        <f>'Reliability data'!$K$8*Workings_risks!K27</f>
        <v>708.00642080593934</v>
      </c>
      <c r="L31" s="356">
        <f>'Reliability data'!$K$8*Workings_risks!L27</f>
        <v>708.60963120890926</v>
      </c>
      <c r="M31" s="356">
        <f>'Reliability data'!$K$8*Workings_risks!M27</f>
        <v>709.21284161187918</v>
      </c>
      <c r="N31" s="356">
        <f>'Reliability data'!$K$8*Workings_risks!N27</f>
        <v>709.23080336226883</v>
      </c>
      <c r="O31" s="356">
        <f>'Reliability data'!$K$8*Workings_risks!O27</f>
        <v>709.24876511265848</v>
      </c>
      <c r="P31" s="356">
        <f>'Reliability data'!$K$8*Workings_risks!P27</f>
        <v>709.26672686304823</v>
      </c>
      <c r="Q31" s="356">
        <f>'Reliability data'!$K$8*Workings_risks!Q27</f>
        <v>709.28468861343788</v>
      </c>
      <c r="R31" s="356">
        <f>'Reliability data'!$K$8*Workings_risks!R27</f>
        <v>709.30265036382752</v>
      </c>
      <c r="S31" s="356">
        <f>'Reliability data'!$K$8*Workings_risks!S27</f>
        <v>709.32061211421728</v>
      </c>
      <c r="T31" s="356">
        <f>'Reliability data'!$K$8*Workings_risks!T27</f>
        <v>709.33857386460693</v>
      </c>
      <c r="U31" s="356">
        <f>'Reliability data'!$K$8*Workings_risks!U27</f>
        <v>709.35653561499669</v>
      </c>
      <c r="V31" s="356">
        <f>'Reliability data'!$K$8*Workings_risks!V27</f>
        <v>709.37449736538622</v>
      </c>
      <c r="W31" s="356">
        <f>'Reliability data'!$K$8*Workings_risks!W27</f>
        <v>709.39245911577598</v>
      </c>
      <c r="X31" s="356">
        <f>'Reliability data'!$K$8*Workings_risks!X27</f>
        <v>709.41042086616574</v>
      </c>
      <c r="Y31" s="356">
        <f>'Reliability data'!$K$8*Workings_risks!Y27</f>
        <v>709.42838261655527</v>
      </c>
      <c r="Z31" s="356">
        <f>'Reliability data'!$K$8*Workings_risks!Z27</f>
        <v>709.44634436694503</v>
      </c>
      <c r="AA31" s="356">
        <f>'Reliability data'!$K$8*Workings_risks!AA27</f>
        <v>709.46430611733479</v>
      </c>
      <c r="AB31" s="356">
        <f>'Reliability data'!$K$8*Workings_risks!AB27</f>
        <v>709.48226786772454</v>
      </c>
      <c r="AC31" s="356">
        <f>'Reliability data'!$K$8*Workings_risks!AC27</f>
        <v>709.50022961811408</v>
      </c>
      <c r="AD31" s="356">
        <f>'Reliability data'!$K$8*Workings_risks!AD27</f>
        <v>709.51819136850384</v>
      </c>
      <c r="AE31" s="356">
        <f>'Reliability data'!$K$8*Workings_risks!AE27</f>
        <v>709.53615311889359</v>
      </c>
      <c r="AF31" s="356">
        <f>'Reliability data'!$K$8*Workings_risks!AF27</f>
        <v>709.55411486928313</v>
      </c>
      <c r="AG31" s="356">
        <f>'Reliability data'!$K$8*Workings_risks!AG27</f>
        <v>709.57207661967288</v>
      </c>
      <c r="AH31" s="6"/>
      <c r="AI31" s="6"/>
      <c r="AJ31" s="6"/>
      <c r="AK31" s="6"/>
      <c r="AL31" s="6"/>
      <c r="AM31" s="6"/>
    </row>
    <row r="32" spans="1:43" x14ac:dyDescent="0.2">
      <c r="C32" s="6" t="s">
        <v>281</v>
      </c>
      <c r="D32" s="6"/>
      <c r="F32" s="6"/>
      <c r="G32" s="6"/>
      <c r="H32" s="6"/>
      <c r="I32" s="356">
        <f>'Reliability data'!$K$8*Workings_risks!I25</f>
        <v>706.8</v>
      </c>
      <c r="J32" s="356">
        <f>'Reliability data'!$K$8*Workings_risks!J25</f>
        <v>706.8</v>
      </c>
      <c r="K32" s="356">
        <f>'Reliability data'!$K$8*Workings_risks!K25</f>
        <v>706.8</v>
      </c>
      <c r="L32" s="356">
        <f>'Reliability data'!$K$8*Workings_risks!L25</f>
        <v>706.8</v>
      </c>
      <c r="M32" s="356">
        <f>'Reliability data'!$K$8*Workings_risks!M25</f>
        <v>706.8</v>
      </c>
      <c r="N32" s="356">
        <f>'Reliability data'!$K$8*Workings_risks!N25</f>
        <v>706.8</v>
      </c>
      <c r="O32" s="356">
        <f>'Reliability data'!$K$8*Workings_risks!O25</f>
        <v>706.8</v>
      </c>
      <c r="P32" s="356">
        <f>'Reliability data'!$K$8*Workings_risks!P25</f>
        <v>706.8</v>
      </c>
      <c r="Q32" s="356">
        <f>'Reliability data'!$K$8*Workings_risks!Q25</f>
        <v>706.8</v>
      </c>
      <c r="R32" s="356">
        <f>'Reliability data'!$K$8*Workings_risks!R25</f>
        <v>706.8</v>
      </c>
      <c r="S32" s="356">
        <f>'Reliability data'!$K$8*Workings_risks!S25</f>
        <v>706.8</v>
      </c>
      <c r="T32" s="356">
        <f>'Reliability data'!$K$8*Workings_risks!T25</f>
        <v>706.8</v>
      </c>
      <c r="U32" s="356">
        <f>'Reliability data'!$K$8*Workings_risks!U25</f>
        <v>706.8</v>
      </c>
      <c r="V32" s="356">
        <f>'Reliability data'!$K$8*Workings_risks!V25</f>
        <v>706.8</v>
      </c>
      <c r="W32" s="356">
        <f>'Reliability data'!$K$8*Workings_risks!W25</f>
        <v>706.8</v>
      </c>
      <c r="X32" s="356">
        <f>'Reliability data'!$K$8*Workings_risks!X25</f>
        <v>706.8</v>
      </c>
      <c r="Y32" s="356">
        <f>'Reliability data'!$K$8*Workings_risks!Y25</f>
        <v>706.8</v>
      </c>
      <c r="Z32" s="356">
        <f>'Reliability data'!$K$8*Workings_risks!Z25</f>
        <v>706.8</v>
      </c>
      <c r="AA32" s="356">
        <f>'Reliability data'!$K$8*Workings_risks!AA25</f>
        <v>706.8</v>
      </c>
      <c r="AB32" s="356">
        <f>'Reliability data'!$K$8*Workings_risks!AB25</f>
        <v>706.8</v>
      </c>
      <c r="AC32" s="356">
        <f>'Reliability data'!$K$8*Workings_risks!AC25</f>
        <v>706.8</v>
      </c>
      <c r="AD32" s="356">
        <f>'Reliability data'!$K$8*Workings_risks!AD25</f>
        <v>706.8</v>
      </c>
      <c r="AE32" s="356">
        <f>'Reliability data'!$K$8*Workings_risks!AE25</f>
        <v>706.8</v>
      </c>
      <c r="AF32" s="356">
        <f>'Reliability data'!$K$8*Workings_risks!AF25</f>
        <v>706.8</v>
      </c>
      <c r="AG32" s="356">
        <f>'Reliability data'!$K$8*Workings_risks!AG25</f>
        <v>706.8</v>
      </c>
      <c r="AH32" s="6"/>
      <c r="AI32" s="6"/>
      <c r="AJ32" s="6"/>
      <c r="AK32" s="6"/>
      <c r="AL32" s="6"/>
      <c r="AM32" s="6"/>
    </row>
    <row r="33" spans="3:39" x14ac:dyDescent="0.2">
      <c r="C33" s="6"/>
      <c r="D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</row>
    <row r="34" spans="3:39" x14ac:dyDescent="0.2">
      <c r="C34" s="6"/>
      <c r="D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</row>
    <row r="35" spans="3:39" x14ac:dyDescent="0.2">
      <c r="C35" s="6"/>
      <c r="D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</row>
    <row r="36" spans="3:39" x14ac:dyDescent="0.2"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</row>
    <row r="37" spans="3:39" x14ac:dyDescent="0.2"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</row>
    <row r="38" spans="3:39" x14ac:dyDescent="0.2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</row>
    <row r="39" spans="3:39" x14ac:dyDescent="0.2"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</row>
    <row r="40" spans="3:39" x14ac:dyDescent="0.2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</row>
    <row r="41" spans="3:39" x14ac:dyDescent="0.2"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</row>
    <row r="42" spans="3:39" x14ac:dyDescent="0.2"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</row>
    <row r="43" spans="3:39" x14ac:dyDescent="0.2"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</row>
    <row r="44" spans="3:39" x14ac:dyDescent="0.2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</row>
    <row r="45" spans="3:39" x14ac:dyDescent="0.2"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</row>
    <row r="46" spans="3:39" x14ac:dyDescent="0.2"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</row>
    <row r="47" spans="3:39" x14ac:dyDescent="0.2"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</row>
    <row r="48" spans="3:39" x14ac:dyDescent="0.2"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</row>
    <row r="49" spans="3:39" x14ac:dyDescent="0.2"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</row>
    <row r="50" spans="3:39" x14ac:dyDescent="0.2"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</row>
    <row r="51" spans="3:39" x14ac:dyDescent="0.2"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</row>
    <row r="52" spans="3:39" x14ac:dyDescent="0.2"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</row>
    <row r="53" spans="3:39" x14ac:dyDescent="0.2"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</row>
    <row r="54" spans="3:39" x14ac:dyDescent="0.2"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</row>
    <row r="55" spans="3:39" x14ac:dyDescent="0.2"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</row>
    <row r="56" spans="3:39" x14ac:dyDescent="0.2"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</row>
    <row r="57" spans="3:39" x14ac:dyDescent="0.2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</row>
    <row r="58" spans="3:39" x14ac:dyDescent="0.2"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</row>
    <row r="59" spans="3:39" x14ac:dyDescent="0.2"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</row>
    <row r="60" spans="3:39" x14ac:dyDescent="0.2"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</row>
    <row r="61" spans="3:39" x14ac:dyDescent="0.2"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</row>
    <row r="62" spans="3:39" x14ac:dyDescent="0.2"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</row>
    <row r="63" spans="3:39" x14ac:dyDescent="0.2"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</row>
    <row r="64" spans="3:39" x14ac:dyDescent="0.2"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</row>
    <row r="65" spans="3:39" x14ac:dyDescent="0.2"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</row>
    <row r="66" spans="3:39" x14ac:dyDescent="0.2"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</row>
    <row r="67" spans="3:39" x14ac:dyDescent="0.2"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</row>
    <row r="68" spans="3:39" x14ac:dyDescent="0.2"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</row>
    <row r="69" spans="3:39" x14ac:dyDescent="0.2"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</row>
    <row r="70" spans="3:39" x14ac:dyDescent="0.2"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</row>
    <row r="71" spans="3:39" x14ac:dyDescent="0.2"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</row>
    <row r="72" spans="3:39" x14ac:dyDescent="0.2"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</row>
    <row r="73" spans="3:39" x14ac:dyDescent="0.2"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</row>
    <row r="74" spans="3:39" x14ac:dyDescent="0.2"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</row>
    <row r="75" spans="3:39" x14ac:dyDescent="0.2"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</row>
    <row r="76" spans="3:39" x14ac:dyDescent="0.2"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</row>
    <row r="77" spans="3:39" x14ac:dyDescent="0.2"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</row>
    <row r="78" spans="3:39" x14ac:dyDescent="0.2"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</row>
    <row r="79" spans="3:39" x14ac:dyDescent="0.2"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</row>
    <row r="80" spans="3:39" x14ac:dyDescent="0.2"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</row>
    <row r="81" spans="3:39" x14ac:dyDescent="0.2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</row>
    <row r="82" spans="3:39" x14ac:dyDescent="0.2"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</row>
    <row r="83" spans="3:39" x14ac:dyDescent="0.2"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7FF3F-DF2E-4A90-9A01-5DEC80DA1C20}">
  <sheetPr codeName="Sheet10"/>
  <dimension ref="A3:K57"/>
  <sheetViews>
    <sheetView showGridLines="0" topLeftCell="G1" zoomScaleNormal="100" workbookViewId="0">
      <selection activeCell="L4" sqref="L4"/>
    </sheetView>
  </sheetViews>
  <sheetFormatPr defaultRowHeight="12.75" x14ac:dyDescent="0.2"/>
  <cols>
    <col min="1" max="2" width="15.875" style="257" bestFit="1" customWidth="1"/>
    <col min="3" max="3" width="10.625" style="257" bestFit="1" customWidth="1"/>
    <col min="4" max="4" width="29.625" style="257" bestFit="1" customWidth="1"/>
    <col min="5" max="5" width="9.125" style="257" bestFit="1" customWidth="1"/>
    <col min="6" max="6" width="17.125" style="257" customWidth="1"/>
    <col min="7" max="9" width="9" style="257"/>
    <col min="10" max="10" width="52.625" style="257" bestFit="1" customWidth="1"/>
    <col min="11" max="12" width="9" style="257"/>
    <col min="13" max="13" width="34.625" style="257" customWidth="1"/>
    <col min="14" max="14" width="18.5" style="257" customWidth="1"/>
    <col min="15" max="16384" width="9" style="257"/>
  </cols>
  <sheetData>
    <row r="3" spans="1:11" x14ac:dyDescent="0.2">
      <c r="A3" s="341" t="s">
        <v>247</v>
      </c>
      <c r="B3" s="341" t="s">
        <v>248</v>
      </c>
      <c r="C3" s="341" t="s">
        <v>249</v>
      </c>
      <c r="D3" s="341" t="s">
        <v>250</v>
      </c>
      <c r="E3" s="342" t="s">
        <v>308</v>
      </c>
      <c r="F3" s="342" t="s">
        <v>307</v>
      </c>
      <c r="J3" s="260" t="s">
        <v>251</v>
      </c>
    </row>
    <row r="4" spans="1:11" x14ac:dyDescent="0.2">
      <c r="A4" s="339" t="s">
        <v>315</v>
      </c>
      <c r="B4" s="339" t="s">
        <v>316</v>
      </c>
      <c r="C4" s="339" t="s">
        <v>256</v>
      </c>
      <c r="D4" s="339" t="s">
        <v>278</v>
      </c>
      <c r="E4" s="340">
        <v>1158</v>
      </c>
      <c r="F4" s="340">
        <v>1158</v>
      </c>
      <c r="J4" s="257" t="s">
        <v>254</v>
      </c>
      <c r="K4" s="257">
        <f>SUM(F4:F57)/5</f>
        <v>921.6</v>
      </c>
    </row>
    <row r="5" spans="1:11" x14ac:dyDescent="0.2">
      <c r="A5" s="339" t="s">
        <v>317</v>
      </c>
      <c r="B5" s="339" t="s">
        <v>318</v>
      </c>
      <c r="C5" s="339" t="s">
        <v>252</v>
      </c>
      <c r="D5" s="339" t="s">
        <v>253</v>
      </c>
      <c r="E5" s="340">
        <v>362</v>
      </c>
      <c r="F5" s="340">
        <v>362</v>
      </c>
    </row>
    <row r="6" spans="1:11" x14ac:dyDescent="0.2">
      <c r="A6" s="339" t="s">
        <v>319</v>
      </c>
      <c r="B6" s="339" t="s">
        <v>320</v>
      </c>
      <c r="C6" s="339" t="s">
        <v>262</v>
      </c>
      <c r="D6" s="339" t="s">
        <v>277</v>
      </c>
      <c r="E6" s="340">
        <v>31</v>
      </c>
      <c r="F6" s="340">
        <v>31</v>
      </c>
      <c r="J6" s="260"/>
    </row>
    <row r="7" spans="1:11" x14ac:dyDescent="0.2">
      <c r="A7" s="339" t="s">
        <v>321</v>
      </c>
      <c r="B7" s="339" t="s">
        <v>322</v>
      </c>
      <c r="C7" s="339" t="s">
        <v>323</v>
      </c>
      <c r="D7" s="339" t="s">
        <v>324</v>
      </c>
      <c r="E7" s="340">
        <v>5</v>
      </c>
      <c r="F7" s="340">
        <v>5</v>
      </c>
      <c r="J7" s="337" t="s">
        <v>257</v>
      </c>
      <c r="K7" s="336"/>
    </row>
    <row r="8" spans="1:11" x14ac:dyDescent="0.2">
      <c r="A8" s="339" t="s">
        <v>325</v>
      </c>
      <c r="B8" s="339" t="s">
        <v>326</v>
      </c>
      <c r="C8" s="339" t="s">
        <v>256</v>
      </c>
      <c r="D8" s="339" t="s">
        <v>264</v>
      </c>
      <c r="E8" s="340">
        <v>2</v>
      </c>
      <c r="F8" s="340">
        <v>2</v>
      </c>
      <c r="J8" s="357" t="s">
        <v>260</v>
      </c>
      <c r="K8" s="357">
        <f>(SUMIF(F4:F57,"&lt;720")+COUNTIF(F4:F57,"&gt;720")*720)/5</f>
        <v>706.8</v>
      </c>
    </row>
    <row r="9" spans="1:11" x14ac:dyDescent="0.2">
      <c r="A9" s="339" t="s">
        <v>327</v>
      </c>
      <c r="B9" s="339" t="s">
        <v>328</v>
      </c>
      <c r="C9" s="339" t="s">
        <v>256</v>
      </c>
      <c r="D9" s="339" t="s">
        <v>264</v>
      </c>
      <c r="E9" s="340">
        <v>47</v>
      </c>
      <c r="F9" s="340">
        <v>47</v>
      </c>
      <c r="J9" s="338" t="s">
        <v>261</v>
      </c>
      <c r="K9" s="338">
        <f>K8-500</f>
        <v>206.79999999999995</v>
      </c>
    </row>
    <row r="10" spans="1:11" x14ac:dyDescent="0.2">
      <c r="A10" s="339" t="s">
        <v>329</v>
      </c>
      <c r="B10" s="339" t="s">
        <v>330</v>
      </c>
      <c r="C10" s="339" t="s">
        <v>256</v>
      </c>
      <c r="D10" s="339" t="s">
        <v>271</v>
      </c>
      <c r="E10" s="340">
        <v>34</v>
      </c>
      <c r="F10" s="340">
        <v>34</v>
      </c>
      <c r="J10" s="338" t="s">
        <v>263</v>
      </c>
      <c r="K10" s="338">
        <f>K9/60</f>
        <v>3.4466666666666659</v>
      </c>
    </row>
    <row r="11" spans="1:11" x14ac:dyDescent="0.2">
      <c r="A11" s="339" t="s">
        <v>331</v>
      </c>
      <c r="B11" s="339" t="s">
        <v>332</v>
      </c>
      <c r="C11" s="339" t="s">
        <v>256</v>
      </c>
      <c r="D11" s="339" t="s">
        <v>271</v>
      </c>
      <c r="E11" s="340">
        <v>138</v>
      </c>
      <c r="F11" s="340">
        <v>138</v>
      </c>
      <c r="J11" s="338"/>
      <c r="K11" s="338"/>
    </row>
    <row r="12" spans="1:11" x14ac:dyDescent="0.2">
      <c r="A12" s="339" t="s">
        <v>333</v>
      </c>
      <c r="B12" s="339" t="s">
        <v>334</v>
      </c>
      <c r="C12" s="339" t="s">
        <v>256</v>
      </c>
      <c r="D12" s="339" t="s">
        <v>271</v>
      </c>
      <c r="E12" s="340">
        <v>1</v>
      </c>
      <c r="F12" s="340">
        <v>1</v>
      </c>
      <c r="J12" s="338"/>
      <c r="K12" s="338"/>
    </row>
    <row r="13" spans="1:11" x14ac:dyDescent="0.2">
      <c r="A13" s="339" t="s">
        <v>335</v>
      </c>
      <c r="B13" s="339" t="s">
        <v>336</v>
      </c>
      <c r="C13" s="339" t="s">
        <v>256</v>
      </c>
      <c r="D13" s="339" t="s">
        <v>312</v>
      </c>
      <c r="E13" s="340">
        <v>263</v>
      </c>
      <c r="F13" s="340">
        <v>263</v>
      </c>
      <c r="J13" s="337" t="s">
        <v>265</v>
      </c>
      <c r="K13" s="336"/>
    </row>
    <row r="14" spans="1:11" x14ac:dyDescent="0.2">
      <c r="A14" s="339" t="s">
        <v>337</v>
      </c>
      <c r="B14" s="339" t="s">
        <v>338</v>
      </c>
      <c r="C14" s="339" t="s">
        <v>252</v>
      </c>
      <c r="D14" s="339" t="s">
        <v>276</v>
      </c>
      <c r="E14" s="340">
        <v>210</v>
      </c>
      <c r="F14" s="340">
        <v>210</v>
      </c>
      <c r="J14" s="338" t="s">
        <v>267</v>
      </c>
      <c r="K14" s="358">
        <f>(SUMIF(F4:F57,"&gt;=720")-COUNTIF(F4:F57,"&gt;=720")*720)/5</f>
        <v>214.8</v>
      </c>
    </row>
    <row r="15" spans="1:11" x14ac:dyDescent="0.2">
      <c r="A15" s="339" t="s">
        <v>339</v>
      </c>
      <c r="B15" s="339" t="s">
        <v>340</v>
      </c>
      <c r="C15" s="339" t="s">
        <v>252</v>
      </c>
      <c r="D15" s="339" t="s">
        <v>253</v>
      </c>
      <c r="E15" s="340">
        <v>21</v>
      </c>
      <c r="F15" s="340">
        <v>21</v>
      </c>
      <c r="J15" s="338" t="s">
        <v>268</v>
      </c>
      <c r="K15" s="358">
        <f>K14-K16</f>
        <v>214.8</v>
      </c>
    </row>
    <row r="16" spans="1:11" x14ac:dyDescent="0.2">
      <c r="A16" s="339" t="s">
        <v>341</v>
      </c>
      <c r="B16" s="339" t="s">
        <v>342</v>
      </c>
      <c r="C16" s="339" t="s">
        <v>252</v>
      </c>
      <c r="D16" s="339" t="s">
        <v>253</v>
      </c>
      <c r="E16" s="340">
        <v>20</v>
      </c>
      <c r="F16" s="340">
        <v>20</v>
      </c>
      <c r="J16" s="338" t="s">
        <v>269</v>
      </c>
      <c r="K16" s="358">
        <f>(SUMIF(F4:F57,"&gt;1440")-COUNTIF(F4:F57,"&gt;1440")*1440)/5</f>
        <v>0</v>
      </c>
    </row>
    <row r="17" spans="1:11" x14ac:dyDescent="0.2">
      <c r="A17" s="339" t="s">
        <v>343</v>
      </c>
      <c r="B17" s="339" t="s">
        <v>344</v>
      </c>
      <c r="C17" s="339" t="s">
        <v>252</v>
      </c>
      <c r="D17" s="339" t="s">
        <v>253</v>
      </c>
      <c r="E17" s="340">
        <v>11</v>
      </c>
      <c r="F17" s="340">
        <v>11</v>
      </c>
      <c r="J17" s="338" t="s">
        <v>270</v>
      </c>
      <c r="K17" s="358">
        <f>(SUMIF(F4:F57,"&gt;4320")-COUNTIF(F4:F57,"&gt;4320")*4320)/5</f>
        <v>0</v>
      </c>
    </row>
    <row r="18" spans="1:11" x14ac:dyDescent="0.2">
      <c r="A18" s="339" t="s">
        <v>345</v>
      </c>
      <c r="B18" s="339" t="s">
        <v>346</v>
      </c>
      <c r="C18" s="339" t="s">
        <v>256</v>
      </c>
      <c r="D18" s="339" t="s">
        <v>266</v>
      </c>
      <c r="E18" s="340">
        <v>8</v>
      </c>
      <c r="F18" s="340">
        <v>8</v>
      </c>
      <c r="J18" s="338"/>
      <c r="K18" s="358"/>
    </row>
    <row r="19" spans="1:11" x14ac:dyDescent="0.2">
      <c r="A19" s="339" t="s">
        <v>347</v>
      </c>
      <c r="B19" s="339" t="s">
        <v>348</v>
      </c>
      <c r="C19" s="339" t="s">
        <v>349</v>
      </c>
      <c r="D19" s="339" t="s">
        <v>350</v>
      </c>
      <c r="E19" s="340">
        <v>172</v>
      </c>
      <c r="F19" s="340">
        <v>172</v>
      </c>
      <c r="J19" s="338" t="s">
        <v>272</v>
      </c>
      <c r="K19" s="362">
        <f>K15/60</f>
        <v>3.58</v>
      </c>
    </row>
    <row r="20" spans="1:11" x14ac:dyDescent="0.2">
      <c r="A20" s="339" t="s">
        <v>351</v>
      </c>
      <c r="B20" s="339" t="s">
        <v>352</v>
      </c>
      <c r="C20" s="339" t="s">
        <v>256</v>
      </c>
      <c r="D20" s="339" t="s">
        <v>264</v>
      </c>
      <c r="E20" s="340">
        <v>433</v>
      </c>
      <c r="F20" s="340">
        <v>433</v>
      </c>
      <c r="J20" s="338" t="s">
        <v>273</v>
      </c>
      <c r="K20" s="358">
        <f>SUM(K16:K17)/60</f>
        <v>0</v>
      </c>
    </row>
    <row r="21" spans="1:11" x14ac:dyDescent="0.2">
      <c r="A21" s="339" t="s">
        <v>353</v>
      </c>
      <c r="B21" s="339" t="s">
        <v>354</v>
      </c>
      <c r="C21" s="339" t="s">
        <v>258</v>
      </c>
      <c r="D21" s="339" t="s">
        <v>259</v>
      </c>
      <c r="E21" s="340">
        <v>154</v>
      </c>
      <c r="F21" s="340">
        <v>154</v>
      </c>
      <c r="J21" s="338"/>
      <c r="K21" s="358"/>
    </row>
    <row r="22" spans="1:11" x14ac:dyDescent="0.2">
      <c r="A22" s="339" t="s">
        <v>355</v>
      </c>
      <c r="B22" s="339" t="s">
        <v>356</v>
      </c>
      <c r="C22" s="339" t="s">
        <v>252</v>
      </c>
      <c r="D22" s="339" t="s">
        <v>276</v>
      </c>
      <c r="E22" s="340">
        <v>20</v>
      </c>
      <c r="F22" s="340">
        <v>20</v>
      </c>
      <c r="J22" s="338" t="s">
        <v>274</v>
      </c>
      <c r="K22" s="362">
        <f>K15/60</f>
        <v>3.58</v>
      </c>
    </row>
    <row r="23" spans="1:11" x14ac:dyDescent="0.2">
      <c r="A23" s="339" t="s">
        <v>357</v>
      </c>
      <c r="B23" s="339" t="s">
        <v>358</v>
      </c>
      <c r="C23" s="339" t="s">
        <v>252</v>
      </c>
      <c r="D23" s="339" t="s">
        <v>253</v>
      </c>
      <c r="E23" s="340">
        <v>1356</v>
      </c>
      <c r="F23" s="340">
        <v>1356</v>
      </c>
      <c r="J23" s="359" t="s">
        <v>275</v>
      </c>
      <c r="K23" s="360">
        <f>K17/60</f>
        <v>0</v>
      </c>
    </row>
    <row r="24" spans="1:11" x14ac:dyDescent="0.2">
      <c r="A24" s="339" t="s">
        <v>359</v>
      </c>
      <c r="B24" s="339" t="s">
        <v>360</v>
      </c>
      <c r="C24" s="339" t="s">
        <v>252</v>
      </c>
      <c r="D24" s="339" t="s">
        <v>255</v>
      </c>
      <c r="E24" s="340">
        <v>96</v>
      </c>
      <c r="F24" s="340">
        <v>96</v>
      </c>
    </row>
    <row r="25" spans="1:11" x14ac:dyDescent="0.2">
      <c r="A25" s="339" t="s">
        <v>361</v>
      </c>
      <c r="B25" s="339" t="s">
        <v>362</v>
      </c>
      <c r="C25" s="339" t="s">
        <v>258</v>
      </c>
      <c r="D25" s="339" t="s">
        <v>259</v>
      </c>
      <c r="E25" s="340">
        <v>66</v>
      </c>
      <c r="F25" s="340">
        <v>66</v>
      </c>
    </row>
    <row r="26" spans="1:11" x14ac:dyDescent="0.2">
      <c r="A26" s="339"/>
      <c r="B26" s="339"/>
      <c r="C26" s="339"/>
      <c r="D26" s="339"/>
      <c r="E26" s="340"/>
      <c r="F26" s="340"/>
    </row>
    <row r="27" spans="1:11" x14ac:dyDescent="0.2">
      <c r="A27" s="339"/>
      <c r="B27" s="339"/>
      <c r="C27" s="339"/>
      <c r="D27" s="339"/>
      <c r="E27" s="340"/>
      <c r="F27" s="340"/>
    </row>
    <row r="28" spans="1:11" x14ac:dyDescent="0.2">
      <c r="A28" s="339"/>
      <c r="B28" s="339"/>
      <c r="C28" s="339"/>
      <c r="D28" s="339"/>
      <c r="E28" s="340"/>
      <c r="F28" s="340"/>
    </row>
    <row r="29" spans="1:11" x14ac:dyDescent="0.2">
      <c r="A29" s="339"/>
      <c r="B29" s="339"/>
      <c r="C29" s="339"/>
      <c r="D29" s="339"/>
      <c r="E29" s="340"/>
      <c r="F29" s="340"/>
    </row>
    <row r="30" spans="1:11" x14ac:dyDescent="0.2">
      <c r="A30" s="339"/>
      <c r="B30" s="339"/>
      <c r="C30" s="339"/>
      <c r="D30" s="339"/>
      <c r="E30" s="340"/>
      <c r="F30" s="340"/>
    </row>
    <row r="31" spans="1:11" x14ac:dyDescent="0.2">
      <c r="A31" s="339"/>
      <c r="B31" s="339"/>
      <c r="C31" s="339"/>
      <c r="D31" s="339"/>
      <c r="E31" s="340"/>
      <c r="F31" s="340"/>
    </row>
    <row r="32" spans="1:11" x14ac:dyDescent="0.2">
      <c r="A32" s="339"/>
      <c r="B32" s="339"/>
      <c r="C32" s="339"/>
      <c r="D32" s="339"/>
      <c r="E32" s="340"/>
      <c r="F32" s="340"/>
    </row>
    <row r="33" spans="1:6" x14ac:dyDescent="0.2">
      <c r="A33" s="339"/>
      <c r="B33" s="339"/>
      <c r="C33" s="339"/>
      <c r="D33" s="339"/>
      <c r="E33" s="340"/>
      <c r="F33" s="340"/>
    </row>
    <row r="34" spans="1:6" x14ac:dyDescent="0.2">
      <c r="A34" s="339"/>
      <c r="B34" s="339"/>
      <c r="C34" s="339"/>
      <c r="D34" s="339"/>
      <c r="E34" s="340"/>
      <c r="F34" s="340"/>
    </row>
    <row r="35" spans="1:6" x14ac:dyDescent="0.2">
      <c r="A35" s="339"/>
      <c r="B35" s="339"/>
      <c r="C35" s="339"/>
      <c r="D35" s="339"/>
      <c r="E35" s="340"/>
      <c r="F35" s="340"/>
    </row>
    <row r="36" spans="1:6" x14ac:dyDescent="0.2">
      <c r="A36" s="339"/>
      <c r="B36" s="339"/>
      <c r="C36" s="339"/>
      <c r="D36" s="339"/>
      <c r="E36" s="340"/>
      <c r="F36" s="340"/>
    </row>
    <row r="37" spans="1:6" x14ac:dyDescent="0.2">
      <c r="A37" s="339"/>
      <c r="B37" s="339"/>
      <c r="C37" s="339"/>
      <c r="D37" s="339"/>
      <c r="E37" s="340"/>
      <c r="F37" s="340"/>
    </row>
    <row r="38" spans="1:6" x14ac:dyDescent="0.2">
      <c r="A38" s="339"/>
      <c r="B38" s="339"/>
      <c r="C38" s="339"/>
      <c r="D38" s="339"/>
      <c r="E38" s="340"/>
      <c r="F38" s="340"/>
    </row>
    <row r="39" spans="1:6" x14ac:dyDescent="0.2">
      <c r="A39" s="339"/>
      <c r="B39" s="339"/>
      <c r="C39" s="339"/>
      <c r="D39" s="339"/>
      <c r="E39" s="340"/>
      <c r="F39" s="340"/>
    </row>
    <row r="40" spans="1:6" x14ac:dyDescent="0.2">
      <c r="A40" s="339"/>
      <c r="B40" s="339"/>
      <c r="C40" s="339"/>
      <c r="D40" s="339"/>
      <c r="E40" s="340"/>
      <c r="F40" s="340"/>
    </row>
    <row r="41" spans="1:6" x14ac:dyDescent="0.2">
      <c r="A41" s="339"/>
      <c r="B41" s="339"/>
      <c r="C41" s="339"/>
      <c r="D41" s="339"/>
      <c r="E41" s="340"/>
      <c r="F41" s="340"/>
    </row>
    <row r="42" spans="1:6" x14ac:dyDescent="0.2">
      <c r="A42" s="339"/>
      <c r="B42" s="339"/>
      <c r="C42" s="339"/>
      <c r="D42" s="339"/>
      <c r="E42" s="340"/>
      <c r="F42" s="340"/>
    </row>
    <row r="43" spans="1:6" x14ac:dyDescent="0.2">
      <c r="A43" s="339"/>
      <c r="B43" s="339"/>
      <c r="C43" s="339"/>
      <c r="D43" s="339"/>
      <c r="E43" s="340"/>
      <c r="F43" s="340"/>
    </row>
    <row r="44" spans="1:6" x14ac:dyDescent="0.2">
      <c r="A44" s="339"/>
      <c r="B44" s="339"/>
      <c r="C44" s="339"/>
      <c r="D44" s="339"/>
      <c r="E44" s="340"/>
      <c r="F44" s="340"/>
    </row>
    <row r="45" spans="1:6" x14ac:dyDescent="0.2">
      <c r="A45" s="339"/>
      <c r="B45" s="339"/>
      <c r="C45" s="339"/>
      <c r="D45" s="339"/>
      <c r="E45" s="340"/>
      <c r="F45" s="340"/>
    </row>
    <row r="46" spans="1:6" x14ac:dyDescent="0.2">
      <c r="A46" s="339"/>
      <c r="B46" s="339"/>
      <c r="C46" s="339"/>
      <c r="D46" s="339"/>
      <c r="E46" s="340"/>
      <c r="F46" s="340"/>
    </row>
    <row r="47" spans="1:6" x14ac:dyDescent="0.2">
      <c r="A47" s="339"/>
      <c r="B47" s="339"/>
      <c r="C47" s="339"/>
      <c r="D47" s="339"/>
      <c r="E47" s="340"/>
      <c r="F47" s="340"/>
    </row>
    <row r="48" spans="1:6" x14ac:dyDescent="0.2">
      <c r="A48" s="339"/>
      <c r="B48" s="339"/>
      <c r="C48" s="339"/>
      <c r="D48" s="339"/>
      <c r="E48" s="340"/>
      <c r="F48" s="340"/>
    </row>
    <row r="49" spans="1:6" x14ac:dyDescent="0.2">
      <c r="A49" s="339"/>
      <c r="B49" s="339"/>
      <c r="C49" s="339"/>
      <c r="D49" s="339"/>
      <c r="E49" s="340"/>
      <c r="F49" s="340"/>
    </row>
    <row r="50" spans="1:6" x14ac:dyDescent="0.2">
      <c r="A50" s="339"/>
      <c r="B50" s="339"/>
      <c r="C50" s="339"/>
      <c r="D50" s="339"/>
      <c r="E50" s="340"/>
      <c r="F50" s="340"/>
    </row>
    <row r="51" spans="1:6" x14ac:dyDescent="0.2">
      <c r="A51" s="339"/>
      <c r="B51" s="339"/>
      <c r="C51" s="339"/>
      <c r="D51" s="339"/>
      <c r="E51" s="340"/>
      <c r="F51" s="340"/>
    </row>
    <row r="52" spans="1:6" x14ac:dyDescent="0.2">
      <c r="A52" s="339"/>
      <c r="B52" s="339"/>
      <c r="C52" s="339"/>
      <c r="D52" s="339"/>
      <c r="E52" s="340"/>
      <c r="F52" s="340"/>
    </row>
    <row r="53" spans="1:6" x14ac:dyDescent="0.2">
      <c r="A53" s="339"/>
      <c r="B53" s="339"/>
      <c r="C53" s="339"/>
      <c r="D53" s="339"/>
      <c r="E53" s="340"/>
      <c r="F53" s="340"/>
    </row>
    <row r="54" spans="1:6" x14ac:dyDescent="0.2">
      <c r="A54" s="339"/>
      <c r="B54" s="339"/>
      <c r="C54" s="339"/>
      <c r="D54" s="339"/>
      <c r="E54" s="340"/>
      <c r="F54" s="340"/>
    </row>
    <row r="55" spans="1:6" x14ac:dyDescent="0.2">
      <c r="A55" s="339"/>
      <c r="B55" s="339"/>
      <c r="C55" s="339"/>
      <c r="D55" s="339"/>
      <c r="E55" s="340"/>
      <c r="F55" s="340"/>
    </row>
    <row r="56" spans="1:6" x14ac:dyDescent="0.2">
      <c r="A56" s="339"/>
      <c r="B56" s="339"/>
      <c r="C56" s="339"/>
      <c r="D56" s="339"/>
      <c r="E56" s="340"/>
      <c r="F56" s="340"/>
    </row>
    <row r="57" spans="1:6" x14ac:dyDescent="0.2">
      <c r="A57" s="339"/>
      <c r="B57" s="339"/>
      <c r="C57" s="339"/>
      <c r="D57" s="339"/>
      <c r="E57" s="340"/>
      <c r="F57" s="340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/>
  </sheetViews>
  <sheetFormatPr defaultRowHeight="12.75" x14ac:dyDescent="0.2"/>
  <cols>
    <col min="2" max="2" width="21.375" customWidth="1"/>
    <col min="3" max="3" width="20.5" customWidth="1"/>
    <col min="4" max="4" width="14.5" style="49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23" ht="18.75" x14ac:dyDescent="0.3">
      <c r="A1" s="15" t="str">
        <f>bus</f>
        <v>Powercor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3" ht="18.75" x14ac:dyDescent="0.3">
      <c r="A2" s="56" t="str">
        <f>proj</f>
        <v>Donald microgrid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3" ht="15.75" x14ac:dyDescent="0.25">
      <c r="A3" s="5"/>
    </row>
    <row r="4" spans="1:23" s="1" customFormat="1" ht="15" x14ac:dyDescent="0.2">
      <c r="A4" s="18" t="s">
        <v>205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</row>
    <row r="5" spans="1:23" s="1" customFormat="1" x14ac:dyDescent="0.2"/>
    <row r="6" spans="1:23" s="1" customFormat="1" x14ac:dyDescent="0.2">
      <c r="B6" s="77" t="s">
        <v>128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x14ac:dyDescent="0.2">
      <c r="D7" s="51"/>
      <c r="N7" s="1"/>
      <c r="O7"/>
      <c r="P7"/>
      <c r="Q7"/>
      <c r="R7"/>
      <c r="S7"/>
      <c r="T7"/>
      <c r="U7"/>
      <c r="V7"/>
      <c r="W7"/>
    </row>
    <row r="8" spans="1:23" s="22" customFormat="1" x14ac:dyDescent="0.2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2">
      <c r="D9" s="12"/>
      <c r="O9"/>
      <c r="P9"/>
      <c r="Q9"/>
      <c r="R9"/>
      <c r="S9"/>
      <c r="T9"/>
      <c r="U9"/>
      <c r="V9"/>
      <c r="W9"/>
    </row>
    <row r="10" spans="1:23" s="1" customFormat="1" x14ac:dyDescent="0.2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x14ac:dyDescent="0.2">
      <c r="A11"/>
      <c r="B11" s="22" t="s">
        <v>74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x14ac:dyDescent="0.2">
      <c r="A12"/>
      <c r="B12" s="22" t="s">
        <v>75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x14ac:dyDescent="0.2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x14ac:dyDescent="0.2">
      <c r="A15"/>
      <c r="B15" s="22" t="s">
        <v>76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x14ac:dyDescent="0.2">
      <c r="A16"/>
      <c r="B16" s="80" t="s">
        <v>190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x14ac:dyDescent="0.2">
      <c r="A17"/>
      <c r="B17" s="80" t="s">
        <v>191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81" t="s">
        <v>77</v>
      </c>
      <c r="D19" s="41">
        <f>D17/D16</f>
        <v>1.1129126464165968</v>
      </c>
      <c r="L19" s="293"/>
    </row>
    <row r="20" spans="1:34" x14ac:dyDescent="0.2">
      <c r="B20" s="81"/>
      <c r="D20" s="41"/>
    </row>
    <row r="21" spans="1:34" x14ac:dyDescent="0.2">
      <c r="B21" s="80" t="s">
        <v>214</v>
      </c>
      <c r="C21" s="67">
        <f>vcr_date</f>
        <v>45291</v>
      </c>
      <c r="D21" s="41">
        <f>INDEX(hy_escalation, MATCH(C21,hy_dates,0))</f>
        <v>1.0839971599793141</v>
      </c>
    </row>
    <row r="22" spans="1:34" x14ac:dyDescent="0.2">
      <c r="B22" s="80" t="s">
        <v>215</v>
      </c>
      <c r="C22" s="67">
        <f>input_dollars</f>
        <v>45291</v>
      </c>
      <c r="D22" s="41">
        <f>INDEX(hy_escalation, MATCH(C22,hy_dates,0))</f>
        <v>1.0839971599793141</v>
      </c>
    </row>
    <row r="23" spans="1:34" x14ac:dyDescent="0.2">
      <c r="B23" s="81" t="s">
        <v>216</v>
      </c>
      <c r="D23" s="41">
        <f>D22/D21</f>
        <v>1</v>
      </c>
    </row>
    <row r="25" spans="1:34" x14ac:dyDescent="0.2">
      <c r="B25" s="81" t="s">
        <v>240</v>
      </c>
      <c r="C25" s="8" t="str">
        <f>start</f>
        <v>2026-27</v>
      </c>
    </row>
    <row r="28" spans="1:34" s="1" customFormat="1" ht="15" x14ac:dyDescent="0.2">
      <c r="A28" s="18" t="s">
        <v>212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</row>
    <row r="31" spans="1:34" x14ac:dyDescent="0.2">
      <c r="B31" s="193" t="s">
        <v>1</v>
      </c>
      <c r="C31" s="194" t="s">
        <v>197</v>
      </c>
      <c r="D31" s="195" t="s">
        <v>204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">
      <c r="B32" s="136" t="s">
        <v>131</v>
      </c>
      <c r="C32" s="192">
        <f>Option2!$G$92</f>
        <v>2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">
      <c r="B33" s="136" t="s">
        <v>132</v>
      </c>
      <c r="C33" s="192">
        <f>Option3!$G$92</f>
        <v>2</v>
      </c>
      <c r="D33" s="10" t="b">
        <f>NOT(Data!C11)</f>
        <v>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">
      <c r="B34" s="136" t="s">
        <v>133</v>
      </c>
      <c r="C34" s="192" t="str">
        <f>Option4!$G$92</f>
        <v>Not used</v>
      </c>
      <c r="D34" s="10" t="b">
        <f>NOT(Data!C12)</f>
        <v>0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B35" s="136" t="s">
        <v>158</v>
      </c>
      <c r="C35" s="192" t="str">
        <f>Option5!$G$92</f>
        <v>Not used</v>
      </c>
      <c r="D35" s="10" t="b">
        <f>NOT(Data!C13)</f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">
      <c r="B38" s="196" t="s">
        <v>197</v>
      </c>
      <c r="C38" s="196" cm="1">
        <f t="array" ref="C38">IF(OR(NOT(Data!$C$10:$C$13)), _xlfn.MINIFS($C$32:$C$35,$D$32:$D$35,TRUE), 0)</f>
        <v>2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2">
      <c r="A40" s="10"/>
      <c r="B40" s="10"/>
      <c r="C40" s="84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B41" t="str">
        <f>Assumptions!E41</f>
        <v>Weighted average VCR</v>
      </c>
      <c r="D41"/>
    </row>
    <row r="42" spans="1:34" x14ac:dyDescent="0.2">
      <c r="D42"/>
    </row>
    <row r="43" spans="1:34" x14ac:dyDescent="0.2">
      <c r="B43" t="str">
        <f>IF(B41=0,0, INDEX(Data!$D$107:$D$109, MATCH(bus, Data!$B$107:$B$109,0))&amp;Assumptions!E41)</f>
        <v>PAL:Weighted average VCR</v>
      </c>
      <c r="C43" s="132" t="e">
        <f>IF(B43=0,0,INDEX(#REF!,MATCH($B43,#REF!, 0)))</f>
        <v>#REF!</v>
      </c>
      <c r="D43"/>
    </row>
    <row r="44" spans="1:34" x14ac:dyDescent="0.2">
      <c r="D44"/>
    </row>
    <row r="45" spans="1:34" x14ac:dyDescent="0.2">
      <c r="D45"/>
    </row>
    <row r="46" spans="1:34" s="1" customFormat="1" ht="15" x14ac:dyDescent="0.2">
      <c r="A46" s="18" t="s">
        <v>246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</row>
    <row r="49" spans="2:4" x14ac:dyDescent="0.2">
      <c r="B49" t="s">
        <v>147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131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132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133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158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168</v>
      </c>
      <c r="B70" s="240" t="s">
        <v>213</v>
      </c>
    </row>
    <row r="74" spans="1:4" x14ac:dyDescent="0.2">
      <c r="B74" s="239" t="str">
        <f>IF(AND(SUM(E73:AC73)&lt;&gt;0, A74=0), "!", "")</f>
        <v/>
      </c>
    </row>
    <row r="76" spans="1:4" x14ac:dyDescent="0.2">
      <c r="B76" t="s">
        <v>211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topLeftCell="A48" zoomScale="80" zoomScaleNormal="80" workbookViewId="0">
      <selection activeCell="A48" sqref="A48"/>
    </sheetView>
  </sheetViews>
  <sheetFormatPr defaultColWidth="9" defaultRowHeight="12.75" x14ac:dyDescent="0.2"/>
  <cols>
    <col min="1" max="1" width="5.375" style="8" customWidth="1"/>
    <col min="2" max="2" width="24.5" style="8" customWidth="1"/>
    <col min="3" max="3" width="9" style="8"/>
    <col min="4" max="4" width="9.875" style="8" bestFit="1" customWidth="1"/>
    <col min="5" max="5" width="10.875" style="8" customWidth="1"/>
    <col min="6" max="14" width="9" style="8"/>
    <col min="15" max="15" width="30.125" style="8" customWidth="1"/>
    <col min="16" max="16" width="43.25" style="8" customWidth="1"/>
    <col min="17" max="20" width="9" style="8"/>
    <col min="21" max="21" width="11.375" style="8" bestFit="1" customWidth="1"/>
    <col min="22" max="26" width="9" style="8"/>
    <col min="27" max="27" width="19.125" style="8" customWidth="1"/>
    <col min="28" max="16384" width="9" style="8"/>
  </cols>
  <sheetData>
    <row r="1" spans="1:27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7"/>
      <c r="V1"/>
      <c r="W1"/>
    </row>
    <row r="2" spans="1:27" ht="18.75" x14ac:dyDescent="0.3">
      <c r="A2" s="56" t="str">
        <f>proj</f>
        <v>Donald microgrid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27" x14ac:dyDescent="0.2">
      <c r="T4"/>
      <c r="U4"/>
      <c r="V4"/>
    </row>
    <row r="5" spans="1:27" ht="15" x14ac:dyDescent="0.25">
      <c r="A5" s="19" t="s">
        <v>51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x14ac:dyDescent="0.2">
      <c r="T6"/>
      <c r="U6"/>
      <c r="V6"/>
    </row>
    <row r="7" spans="1:27" x14ac:dyDescent="0.2">
      <c r="A7" s="14" t="s">
        <v>80</v>
      </c>
      <c r="T7"/>
      <c r="U7"/>
      <c r="V7"/>
    </row>
    <row r="8" spans="1:27" x14ac:dyDescent="0.2">
      <c r="A8" s="59"/>
      <c r="B8" s="59"/>
      <c r="C8" s="53" t="s">
        <v>83</v>
      </c>
      <c r="D8" s="53" t="s">
        <v>203</v>
      </c>
      <c r="F8" s="8" t="s">
        <v>229</v>
      </c>
      <c r="T8"/>
      <c r="U8"/>
      <c r="V8"/>
    </row>
    <row r="9" spans="1:27" x14ac:dyDescent="0.2">
      <c r="A9" s="27" t="s">
        <v>148</v>
      </c>
      <c r="B9" s="86" t="s">
        <v>147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0</v>
      </c>
      <c r="T9"/>
      <c r="U9"/>
      <c r="V9"/>
      <c r="W9"/>
    </row>
    <row r="10" spans="1:27" x14ac:dyDescent="0.2">
      <c r="A10" s="27" t="s">
        <v>149</v>
      </c>
      <c r="B10" s="86" t="s">
        <v>131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x14ac:dyDescent="0.2">
      <c r="A11" s="27" t="s">
        <v>150</v>
      </c>
      <c r="B11" s="86" t="s">
        <v>132</v>
      </c>
      <c r="C11" s="87" t="b">
        <f>SUM(Option3!I$17:AB$17, Option3!I$19:AB$19)=0</f>
        <v>0</v>
      </c>
      <c r="D11" s="8" t="str">
        <f>IF(C11, $C$8, "")</f>
        <v/>
      </c>
      <c r="F11" s="8" t="b">
        <f>C11</f>
        <v>0</v>
      </c>
      <c r="T11"/>
      <c r="U11"/>
      <c r="V11"/>
      <c r="W11"/>
      <c r="Z11"/>
      <c r="AA11"/>
    </row>
    <row r="12" spans="1:27" x14ac:dyDescent="0.2">
      <c r="A12" s="27" t="s">
        <v>151</v>
      </c>
      <c r="B12" s="86" t="s">
        <v>133</v>
      </c>
      <c r="C12" s="87" t="b">
        <f>SUM(Option4!I$17:AB$17, Option4!I$19:AB$19)=0</f>
        <v>1</v>
      </c>
      <c r="D12" s="8" t="str">
        <f>IF(C12, $C$8, "")</f>
        <v>Not used</v>
      </c>
      <c r="F12" s="8" t="b">
        <f>C12</f>
        <v>1</v>
      </c>
      <c r="T12"/>
      <c r="U12"/>
      <c r="V12"/>
      <c r="W12"/>
      <c r="Z12"/>
      <c r="AA12"/>
    </row>
    <row r="13" spans="1:27" x14ac:dyDescent="0.2">
      <c r="A13" s="27" t="s">
        <v>159</v>
      </c>
      <c r="B13" s="86" t="s">
        <v>158</v>
      </c>
      <c r="C13" s="87" t="b">
        <f>SUM(Option5!I$17:AB$17, Option5!I$19:AB$19)=0</f>
        <v>1</v>
      </c>
      <c r="D13" s="8" t="str">
        <f>IF(C13, $C$8, "")</f>
        <v>Not used</v>
      </c>
      <c r="F13" s="8" t="b">
        <f>C13</f>
        <v>1</v>
      </c>
      <c r="T13"/>
      <c r="U13"/>
      <c r="V13"/>
      <c r="W13"/>
      <c r="Z13"/>
      <c r="AA13"/>
    </row>
    <row r="14" spans="1:27" x14ac:dyDescent="0.2">
      <c r="T14"/>
      <c r="U14"/>
      <c r="V14"/>
      <c r="W14"/>
      <c r="Z14"/>
      <c r="AA14"/>
    </row>
    <row r="15" spans="1:27" x14ac:dyDescent="0.2">
      <c r="T15"/>
      <c r="U15"/>
      <c r="V15"/>
      <c r="W15"/>
      <c r="Z15"/>
      <c r="AA15"/>
    </row>
    <row r="16" spans="1:27" x14ac:dyDescent="0.2">
      <c r="A16" s="8" t="s">
        <v>225</v>
      </c>
      <c r="D16" s="23" t="s">
        <v>227</v>
      </c>
      <c r="E16" s="8" t="b">
        <f>Assumptions!E20=Data!D16</f>
        <v>0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86" t="s">
        <v>58</v>
      </c>
      <c r="C19" s="87"/>
      <c r="T19"/>
      <c r="U19"/>
      <c r="V19"/>
      <c r="W19"/>
      <c r="Z19"/>
      <c r="AA19"/>
    </row>
    <row r="20" spans="1:27" x14ac:dyDescent="0.2">
      <c r="B20" s="86" t="s">
        <v>95</v>
      </c>
      <c r="C20" s="87"/>
      <c r="T20"/>
      <c r="U20"/>
      <c r="V20"/>
      <c r="W20"/>
      <c r="Z20"/>
      <c r="AA20"/>
    </row>
    <row r="21" spans="1:27" x14ac:dyDescent="0.2">
      <c r="B21" s="86" t="s">
        <v>96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8" t="s">
        <v>223</v>
      </c>
      <c r="B24" s="102"/>
      <c r="T24"/>
      <c r="U24"/>
      <c r="V24"/>
      <c r="W24"/>
    </row>
    <row r="25" spans="1:27" x14ac:dyDescent="0.2">
      <c r="B25" s="23" t="s">
        <v>57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4" t="s">
        <v>85</v>
      </c>
      <c r="T28"/>
      <c r="U28"/>
      <c r="V28"/>
      <c r="W28"/>
    </row>
    <row r="29" spans="1:27" x14ac:dyDescent="0.2">
      <c r="A29" s="14"/>
      <c r="B29" s="53"/>
      <c r="C29" s="53" t="s">
        <v>87</v>
      </c>
      <c r="T29"/>
      <c r="U29"/>
      <c r="V29"/>
      <c r="W29"/>
    </row>
    <row r="30" spans="1:27" x14ac:dyDescent="0.2">
      <c r="B30" s="23" t="s">
        <v>30</v>
      </c>
      <c r="C30" s="23">
        <v>-1</v>
      </c>
      <c r="T30"/>
      <c r="U30"/>
      <c r="V30"/>
      <c r="W30"/>
    </row>
    <row r="31" spans="1:27" x14ac:dyDescent="0.2">
      <c r="B31" s="23" t="s">
        <v>91</v>
      </c>
      <c r="C31" s="23">
        <v>-1</v>
      </c>
      <c r="T31"/>
      <c r="U31"/>
      <c r="V31"/>
      <c r="W31"/>
      <c r="AA31" s="66"/>
    </row>
    <row r="32" spans="1:27" x14ac:dyDescent="0.2">
      <c r="B32" s="23" t="s">
        <v>31</v>
      </c>
      <c r="C32" s="23">
        <v>-1</v>
      </c>
      <c r="T32"/>
      <c r="U32"/>
      <c r="V32"/>
      <c r="W32"/>
      <c r="AA32" s="66"/>
    </row>
    <row r="33" spans="1:23" x14ac:dyDescent="0.2">
      <c r="B33" s="23" t="s">
        <v>142</v>
      </c>
      <c r="C33" s="23">
        <v>1</v>
      </c>
      <c r="T33"/>
      <c r="U33"/>
      <c r="V33"/>
      <c r="W33"/>
    </row>
    <row r="34" spans="1:23" x14ac:dyDescent="0.2">
      <c r="B34" s="23" t="s">
        <v>122</v>
      </c>
      <c r="C34" s="23">
        <v>1</v>
      </c>
      <c r="T34"/>
      <c r="U34"/>
      <c r="V34"/>
      <c r="W34"/>
    </row>
    <row r="35" spans="1:23" x14ac:dyDescent="0.2">
      <c r="B35" s="23" t="s">
        <v>192</v>
      </c>
      <c r="C35" s="23">
        <v>1</v>
      </c>
      <c r="T35"/>
      <c r="U35"/>
      <c r="V35"/>
      <c r="W35"/>
    </row>
    <row r="36" spans="1:23" x14ac:dyDescent="0.2">
      <c r="B36" s="23" t="s">
        <v>176</v>
      </c>
      <c r="C36" s="23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4" t="s">
        <v>54</v>
      </c>
      <c r="T41"/>
      <c r="U41"/>
      <c r="V41"/>
      <c r="W41"/>
    </row>
    <row r="42" spans="1:23" x14ac:dyDescent="0.2">
      <c r="A42" s="59"/>
      <c r="B42" s="59"/>
      <c r="C42" s="53" t="s">
        <v>87</v>
      </c>
      <c r="D42" s="53" t="s">
        <v>81</v>
      </c>
      <c r="E42" s="53" t="s">
        <v>25</v>
      </c>
      <c r="F42" s="8" t="s">
        <v>110</v>
      </c>
      <c r="T42"/>
      <c r="U42"/>
      <c r="V42"/>
      <c r="W42"/>
    </row>
    <row r="43" spans="1:23" x14ac:dyDescent="0.2">
      <c r="A43" s="27">
        <v>1</v>
      </c>
      <c r="B43" s="27" t="s">
        <v>106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x14ac:dyDescent="0.2">
      <c r="A44" s="27">
        <f>A43+1</f>
        <v>2</v>
      </c>
      <c r="B44" s="27" t="s">
        <v>97</v>
      </c>
      <c r="C44" s="27" t="s">
        <v>97</v>
      </c>
      <c r="D44" s="27" t="b">
        <v>0</v>
      </c>
      <c r="E44" s="23" t="s">
        <v>104</v>
      </c>
      <c r="F44" s="27" t="b">
        <v>1</v>
      </c>
      <c r="T44"/>
      <c r="U44"/>
      <c r="V44"/>
      <c r="W44"/>
    </row>
    <row r="45" spans="1:23" x14ac:dyDescent="0.2">
      <c r="A45" s="27">
        <f t="shared" ref="A45:A55" si="0">A44+1</f>
        <v>3</v>
      </c>
      <c r="B45" s="27" t="s">
        <v>108</v>
      </c>
      <c r="C45" s="27" t="s">
        <v>107</v>
      </c>
      <c r="D45" s="27" t="b">
        <v>0</v>
      </c>
      <c r="E45" s="23" t="s">
        <v>104</v>
      </c>
      <c r="F45" s="27" t="b">
        <v>1</v>
      </c>
      <c r="T45"/>
      <c r="U45"/>
      <c r="V45"/>
      <c r="W45"/>
    </row>
    <row r="46" spans="1:23" x14ac:dyDescent="0.2">
      <c r="A46" s="27">
        <f t="shared" si="0"/>
        <v>4</v>
      </c>
      <c r="B46" s="27" t="s">
        <v>105</v>
      </c>
      <c r="C46" s="27" t="s">
        <v>109</v>
      </c>
      <c r="D46" s="27" t="b">
        <v>0</v>
      </c>
      <c r="E46" s="23" t="s">
        <v>104</v>
      </c>
      <c r="F46" s="27" t="b">
        <v>1</v>
      </c>
      <c r="T46"/>
      <c r="U46"/>
      <c r="V46"/>
      <c r="W46"/>
    </row>
    <row r="47" spans="1:23" ht="13.5" x14ac:dyDescent="0.25">
      <c r="A47" s="27">
        <f t="shared" si="0"/>
        <v>5</v>
      </c>
      <c r="B47" s="27" t="s">
        <v>59</v>
      </c>
      <c r="C47" s="27" t="s">
        <v>60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x14ac:dyDescent="0.2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I48"/>
      <c r="T48"/>
      <c r="U48"/>
      <c r="V48"/>
      <c r="W48"/>
    </row>
    <row r="49" spans="1:23" x14ac:dyDescent="0.2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x14ac:dyDescent="0.2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x14ac:dyDescent="0.2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x14ac:dyDescent="0.2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82</v>
      </c>
      <c r="F52" s="27" t="b">
        <v>0</v>
      </c>
      <c r="T52"/>
      <c r="U52"/>
      <c r="V52"/>
      <c r="W52"/>
    </row>
    <row r="53" spans="1:23" x14ac:dyDescent="0.2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82</v>
      </c>
      <c r="F53" s="27" t="b">
        <v>0</v>
      </c>
      <c r="T53"/>
      <c r="U53"/>
      <c r="V53"/>
      <c r="W53"/>
    </row>
    <row r="54" spans="1:23" x14ac:dyDescent="0.2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O57"/>
      <c r="P57"/>
      <c r="Q57"/>
      <c r="R57"/>
      <c r="S57"/>
      <c r="T57"/>
      <c r="U57"/>
      <c r="V57"/>
      <c r="W57"/>
    </row>
    <row r="58" spans="1:23" x14ac:dyDescent="0.2">
      <c r="A58" s="14" t="s">
        <v>84</v>
      </c>
      <c r="O58"/>
      <c r="P58"/>
      <c r="Q58"/>
      <c r="R58"/>
      <c r="S58"/>
      <c r="T58"/>
      <c r="U58"/>
      <c r="V58"/>
      <c r="W58"/>
    </row>
    <row r="59" spans="1:23" x14ac:dyDescent="0.2">
      <c r="A59" s="53"/>
      <c r="B59" s="53"/>
      <c r="C59" s="88"/>
      <c r="D59" s="53" t="s">
        <v>3</v>
      </c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7" t="s">
        <v>14</v>
      </c>
      <c r="C60" s="27" t="s">
        <v>53</v>
      </c>
      <c r="D60" s="96">
        <v>151432.81740793545</v>
      </c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7" t="s">
        <v>4</v>
      </c>
      <c r="C61" s="27" t="s">
        <v>53</v>
      </c>
      <c r="D61" s="96">
        <v>24590</v>
      </c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7" t="s">
        <v>5</v>
      </c>
      <c r="C62" s="27" t="s">
        <v>53</v>
      </c>
      <c r="D62" s="96">
        <v>88.357719508603083</v>
      </c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7" t="s">
        <v>15</v>
      </c>
      <c r="C63" s="27" t="s">
        <v>34</v>
      </c>
      <c r="D63" s="96">
        <v>0</v>
      </c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7" t="s">
        <v>9</v>
      </c>
      <c r="C64" s="27" t="s">
        <v>33</v>
      </c>
      <c r="D64" s="96">
        <v>0.35181336539087127</v>
      </c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7" t="s">
        <v>10</v>
      </c>
      <c r="C65" s="27" t="s">
        <v>33</v>
      </c>
      <c r="D65" s="96">
        <v>0.35181336539087127</v>
      </c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7" t="s">
        <v>6</v>
      </c>
      <c r="C66" s="27" t="s">
        <v>34</v>
      </c>
      <c r="D66" s="96">
        <v>0</v>
      </c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7" t="s">
        <v>7</v>
      </c>
      <c r="C67" s="27" t="s">
        <v>34</v>
      </c>
      <c r="D67" s="96">
        <v>0</v>
      </c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8" t="s">
        <v>164</v>
      </c>
      <c r="O69"/>
      <c r="P69"/>
      <c r="Q69"/>
      <c r="R69"/>
      <c r="S69"/>
      <c r="T69"/>
      <c r="U69"/>
      <c r="V69"/>
      <c r="W69"/>
    </row>
    <row r="70" spans="1:23" x14ac:dyDescent="0.2">
      <c r="B70" s="8" t="s">
        <v>165</v>
      </c>
      <c r="C70" s="95">
        <v>1000</v>
      </c>
      <c r="O70"/>
      <c r="P70"/>
      <c r="Q70"/>
      <c r="R70"/>
      <c r="S70"/>
      <c r="T70"/>
      <c r="U70"/>
      <c r="V70"/>
      <c r="W70"/>
    </row>
    <row r="71" spans="1:23" x14ac:dyDescent="0.2">
      <c r="B71" s="8" t="s">
        <v>166</v>
      </c>
      <c r="C71" s="95">
        <v>1000000</v>
      </c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8" t="s">
        <v>168</v>
      </c>
      <c r="O74"/>
      <c r="P74"/>
      <c r="Q74"/>
      <c r="R74"/>
      <c r="S74"/>
      <c r="T74"/>
      <c r="U74"/>
      <c r="V74"/>
      <c r="W74"/>
    </row>
    <row r="75" spans="1:23" x14ac:dyDescent="0.2">
      <c r="B75" s="8" t="s">
        <v>168</v>
      </c>
      <c r="C75" s="154" t="s">
        <v>167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8" t="s">
        <v>195</v>
      </c>
      <c r="C78" s="8" t="s">
        <v>196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4" t="s">
        <v>98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4"/>
      <c r="B84" s="63" t="s">
        <v>50</v>
      </c>
      <c r="F84" s="156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8" t="s">
        <v>99</v>
      </c>
      <c r="F85" s="156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8" t="s">
        <v>100</v>
      </c>
      <c r="F86" s="156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8" t="s">
        <v>101</v>
      </c>
      <c r="F87" s="156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8" t="s">
        <v>102</v>
      </c>
      <c r="F88" s="156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8" t="s">
        <v>111</v>
      </c>
      <c r="F89" s="156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8" t="s">
        <v>103</v>
      </c>
      <c r="F90" s="156">
        <v>3</v>
      </c>
      <c r="K90" s="1"/>
      <c r="L90" s="1"/>
      <c r="M90" s="1"/>
      <c r="N90" s="1"/>
      <c r="O90" s="1"/>
    </row>
    <row r="91" spans="1:23" x14ac:dyDescent="0.2">
      <c r="A91" s="1"/>
      <c r="B91" s="8" t="s">
        <v>112</v>
      </c>
      <c r="F91" s="156">
        <v>6</v>
      </c>
      <c r="K91" s="1"/>
      <c r="L91" s="1"/>
      <c r="M91" s="1"/>
      <c r="N91" s="1"/>
      <c r="O91" s="1"/>
    </row>
    <row r="92" spans="1:23" x14ac:dyDescent="0.2">
      <c r="A92" s="1"/>
      <c r="B92" s="8" t="s">
        <v>182</v>
      </c>
      <c r="F92" s="156">
        <v>6</v>
      </c>
      <c r="K92" s="1"/>
      <c r="L92" s="1"/>
      <c r="M92" s="1"/>
      <c r="N92" s="1"/>
      <c r="O92" s="1"/>
    </row>
    <row r="93" spans="1:23" x14ac:dyDescent="0.2">
      <c r="A93" s="1"/>
      <c r="B93" s="8" t="s">
        <v>183</v>
      </c>
      <c r="F93" s="156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46" t="s">
        <v>161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46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46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9" t="s">
        <v>86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2">
      <c r="U105"/>
      <c r="V105"/>
      <c r="W105"/>
      <c r="X105"/>
      <c r="Y105"/>
    </row>
    <row r="106" spans="1:25" x14ac:dyDescent="0.2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164</v>
      </c>
      <c r="R106" s="8" t="s">
        <v>27</v>
      </c>
      <c r="T106" s="8" t="s">
        <v>226</v>
      </c>
      <c r="U106"/>
      <c r="V106" s="8" t="s">
        <v>237</v>
      </c>
      <c r="W106"/>
      <c r="Y106"/>
    </row>
    <row r="107" spans="1:25" x14ac:dyDescent="0.2">
      <c r="B107" s="25" t="s">
        <v>42</v>
      </c>
      <c r="C107" s="131" t="s">
        <v>136</v>
      </c>
      <c r="D107" s="131" t="s">
        <v>232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83</v>
      </c>
      <c r="Q107" s="24"/>
      <c r="R107" s="23">
        <v>2026</v>
      </c>
      <c r="T107" s="23" t="s">
        <v>228</v>
      </c>
      <c r="U107"/>
      <c r="V107" s="23" t="s">
        <v>19</v>
      </c>
      <c r="W107"/>
    </row>
    <row r="108" spans="1:25" x14ac:dyDescent="0.2">
      <c r="B108" s="25" t="s">
        <v>3</v>
      </c>
      <c r="C108" s="131" t="s">
        <v>137</v>
      </c>
      <c r="D108" s="131" t="s">
        <v>233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>R107-1</f>
        <v>2025</v>
      </c>
      <c r="T108" s="23" t="s">
        <v>227</v>
      </c>
      <c r="U108"/>
      <c r="V108" s="23" t="s">
        <v>47</v>
      </c>
      <c r="W108"/>
    </row>
    <row r="109" spans="1:25" x14ac:dyDescent="0.2">
      <c r="B109" s="25" t="s">
        <v>43</v>
      </c>
      <c r="C109" s="131" t="s">
        <v>139</v>
      </c>
      <c r="D109" s="131" t="s">
        <v>234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96</v>
      </c>
      <c r="U109"/>
      <c r="V109" s="23" t="s">
        <v>238</v>
      </c>
      <c r="W109"/>
      <c r="X109"/>
      <c r="Y109"/>
    </row>
    <row r="110" spans="1:25" x14ac:dyDescent="0.2">
      <c r="C110" s="127"/>
      <c r="D110" s="127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2">
      <c r="C111" s="127"/>
      <c r="D111" s="127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2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2">
      <c r="R113" s="23">
        <f t="shared" si="1"/>
        <v>2020</v>
      </c>
      <c r="U113"/>
      <c r="V113" s="251"/>
      <c r="W113"/>
      <c r="X113"/>
      <c r="Y113"/>
    </row>
    <row r="114" spans="18:25" x14ac:dyDescent="0.2">
      <c r="R114" s="23"/>
      <c r="U114"/>
      <c r="V114" s="251"/>
      <c r="W114"/>
      <c r="X114"/>
      <c r="Y114"/>
    </row>
    <row r="115" spans="18:25" x14ac:dyDescent="0.2">
      <c r="U115"/>
      <c r="V115" s="251"/>
      <c r="W115"/>
      <c r="X115"/>
      <c r="Y115"/>
    </row>
    <row r="116" spans="18:25" x14ac:dyDescent="0.2">
      <c r="U116"/>
      <c r="V116" s="252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6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25</vt:i4>
      </vt:variant>
    </vt:vector>
  </HeadingPairs>
  <TitlesOfParts>
    <vt:vector size="39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Workings_risks</vt:lpstr>
      <vt:lpstr>Reliability data</vt:lpstr>
      <vt:lpstr>Misc_calcs</vt:lpstr>
      <vt:lpstr>Data</vt:lpstr>
      <vt:lpstr>bus</vt:lpstr>
      <vt:lpstr>bushfire_outage_duration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solar_demand_correction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2025-01-26T10:38:37Z</dcterms:modified>
</cp:coreProperties>
</file>