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660918C6-AE27-4373-AA39-3A6CA14518A1}" xr6:coauthVersionLast="47" xr6:coauthVersionMax="47" xr10:uidLastSave="{00000000-0000-0000-0000-000000000000}"/>
  <bookViews>
    <workbookView xWindow="28680" yWindow="-1755" windowWidth="29040" windowHeight="15720" tabRatio="896" activeTab="1" xr2:uid="{00000000-000D-0000-FFFF-FFFF00000000}"/>
  </bookViews>
  <sheets>
    <sheet name="Cover" sheetId="90" r:id="rId1"/>
    <sheet name="Powercor summary" sheetId="70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>Assumptions!$B$8</definedName>
    <definedName name="business_case_dollars">Assumptions!$C$37</definedName>
    <definedName name="_xlnm.Print_Area" localSheetId="1">'Powercor summary'!$A$1:$J$39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70" l="1"/>
  <c r="I34" i="70"/>
  <c r="H34" i="70"/>
  <c r="G34" i="70"/>
  <c r="F34" i="70"/>
  <c r="J33" i="70"/>
  <c r="I33" i="70"/>
  <c r="H33" i="70"/>
  <c r="G33" i="70"/>
  <c r="F33" i="70"/>
  <c r="J23" i="70"/>
  <c r="I23" i="70"/>
  <c r="H23" i="70"/>
  <c r="G23" i="70"/>
  <c r="F23" i="70"/>
  <c r="J22" i="70"/>
  <c r="I22" i="70"/>
  <c r="H22" i="70"/>
  <c r="G22" i="70"/>
  <c r="F22" i="70"/>
  <c r="J12" i="70"/>
  <c r="I12" i="70"/>
  <c r="H12" i="70"/>
  <c r="G12" i="70"/>
  <c r="F12" i="70"/>
  <c r="J11" i="70"/>
  <c r="I11" i="70"/>
  <c r="H11" i="70"/>
  <c r="G11" i="70"/>
  <c r="F11" i="70"/>
  <c r="D6" i="90" l="1" a="1"/>
  <c r="D6" i="90" s="1"/>
  <c r="C5" i="90" a="1"/>
  <c r="C5" i="90" s="1"/>
  <c r="T80" i="85"/>
  <c r="S80" i="85"/>
  <c r="R80" i="85"/>
  <c r="Q80" i="85"/>
  <c r="P80" i="85"/>
  <c r="T79" i="85"/>
  <c r="S79" i="85"/>
  <c r="R79" i="85"/>
  <c r="Q79" i="85"/>
  <c r="P79" i="85"/>
  <c r="T78" i="85"/>
  <c r="S78" i="85"/>
  <c r="R78" i="85"/>
  <c r="Q78" i="85"/>
  <c r="P78" i="85"/>
  <c r="T80" i="84"/>
  <c r="S80" i="84"/>
  <c r="R80" i="84"/>
  <c r="Q80" i="84"/>
  <c r="P80" i="84"/>
  <c r="T79" i="84"/>
  <c r="S79" i="84"/>
  <c r="R79" i="84"/>
  <c r="Q79" i="84"/>
  <c r="P79" i="84"/>
  <c r="Q78" i="84"/>
  <c r="R78" i="84"/>
  <c r="S78" i="84"/>
  <c r="T78" i="84"/>
  <c r="P78" i="84"/>
  <c r="K13" i="70" l="1"/>
  <c r="C83" i="85" l="1"/>
  <c r="C83" i="84"/>
  <c r="C67" i="85"/>
  <c r="C67" i="84"/>
  <c r="B14" i="74" l="1"/>
  <c r="D6" i="82" l="1"/>
  <c r="C50" i="82"/>
  <c r="C35" i="82"/>
  <c r="C20" i="82"/>
  <c r="A3" i="82"/>
  <c r="B21" i="74" l="1"/>
  <c r="C85" i="85" l="1"/>
  <c r="C70" i="85"/>
  <c r="H54" i="85"/>
  <c r="G54" i="85"/>
  <c r="H53" i="85"/>
  <c r="G53" i="85"/>
  <c r="T53" i="85" s="1"/>
  <c r="H52" i="85"/>
  <c r="G52" i="85"/>
  <c r="T52" i="85" s="1"/>
  <c r="H51" i="85"/>
  <c r="G51" i="85"/>
  <c r="S51" i="85" s="1"/>
  <c r="H50" i="85"/>
  <c r="G50" i="85"/>
  <c r="H49" i="85"/>
  <c r="G49" i="85"/>
  <c r="R48" i="85"/>
  <c r="H48" i="85"/>
  <c r="G48" i="85"/>
  <c r="P48" i="85" s="1"/>
  <c r="T47" i="85"/>
  <c r="S47" i="85"/>
  <c r="R47" i="85"/>
  <c r="Q47" i="85"/>
  <c r="P47" i="85"/>
  <c r="H47" i="85"/>
  <c r="G47" i="85"/>
  <c r="H46" i="85"/>
  <c r="G46" i="85"/>
  <c r="H45" i="85"/>
  <c r="G45" i="85"/>
  <c r="H44" i="85"/>
  <c r="G44" i="85"/>
  <c r="T44" i="85" s="1"/>
  <c r="H43" i="85"/>
  <c r="G43" i="85"/>
  <c r="S43" i="85" s="1"/>
  <c r="H42" i="85"/>
  <c r="G42" i="85"/>
  <c r="H41" i="85"/>
  <c r="G41" i="85"/>
  <c r="H40" i="85"/>
  <c r="G40" i="85"/>
  <c r="H39" i="85"/>
  <c r="G39" i="85"/>
  <c r="T38" i="85"/>
  <c r="S38" i="85"/>
  <c r="Q38" i="85"/>
  <c r="P38" i="85"/>
  <c r="H38" i="85"/>
  <c r="G38" i="85"/>
  <c r="R38" i="85" s="1"/>
  <c r="H37" i="85"/>
  <c r="G37" i="85"/>
  <c r="H36" i="85"/>
  <c r="G36" i="85"/>
  <c r="T36" i="85" s="1"/>
  <c r="H35" i="85"/>
  <c r="G35" i="85"/>
  <c r="H34" i="85"/>
  <c r="G34" i="85"/>
  <c r="H33" i="85"/>
  <c r="G33" i="85"/>
  <c r="H32" i="85"/>
  <c r="G32" i="85"/>
  <c r="H31" i="85"/>
  <c r="G31" i="85"/>
  <c r="T31" i="85" s="1"/>
  <c r="T30" i="85"/>
  <c r="Q30" i="85"/>
  <c r="P30" i="85"/>
  <c r="H30" i="85"/>
  <c r="G30" i="85"/>
  <c r="S30" i="85" s="1"/>
  <c r="H29" i="85"/>
  <c r="G29" i="85"/>
  <c r="H28" i="85"/>
  <c r="G28" i="85"/>
  <c r="T28" i="85" s="1"/>
  <c r="H27" i="85"/>
  <c r="G27" i="85"/>
  <c r="S27" i="85" s="1"/>
  <c r="H26" i="85"/>
  <c r="G26" i="85"/>
  <c r="H25" i="85"/>
  <c r="G25" i="85"/>
  <c r="H24" i="85"/>
  <c r="G24" i="85"/>
  <c r="H23" i="85"/>
  <c r="G23" i="85"/>
  <c r="T23" i="85" s="1"/>
  <c r="Q22" i="85"/>
  <c r="P22" i="85"/>
  <c r="H22" i="85"/>
  <c r="G22" i="85"/>
  <c r="T22" i="85" s="1"/>
  <c r="H21" i="85"/>
  <c r="G21" i="85"/>
  <c r="H20" i="85"/>
  <c r="G20" i="85"/>
  <c r="T20" i="85" s="1"/>
  <c r="H19" i="85"/>
  <c r="G19" i="85"/>
  <c r="T19" i="85" s="1"/>
  <c r="H18" i="85"/>
  <c r="G18" i="85"/>
  <c r="T18" i="85" s="1"/>
  <c r="H17" i="85"/>
  <c r="G17" i="85"/>
  <c r="H16" i="85"/>
  <c r="G16" i="85"/>
  <c r="H15" i="85"/>
  <c r="G15" i="85"/>
  <c r="P15" i="85" s="1"/>
  <c r="R14" i="85"/>
  <c r="H14" i="85"/>
  <c r="G14" i="85"/>
  <c r="S14" i="85" s="1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85" i="84"/>
  <c r="C70" i="84"/>
  <c r="H54" i="84"/>
  <c r="G54" i="84"/>
  <c r="R54" i="84" s="1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H51" i="84"/>
  <c r="G51" i="84"/>
  <c r="H50" i="84"/>
  <c r="G50" i="84"/>
  <c r="H49" i="84"/>
  <c r="G49" i="84"/>
  <c r="Q49" i="84" s="1"/>
  <c r="H48" i="84"/>
  <c r="G48" i="84"/>
  <c r="T47" i="84"/>
  <c r="S47" i="84"/>
  <c r="R47" i="84"/>
  <c r="Q47" i="84"/>
  <c r="P47" i="84"/>
  <c r="H47" i="84"/>
  <c r="G47" i="84"/>
  <c r="T46" i="84"/>
  <c r="S46" i="84"/>
  <c r="R46" i="84"/>
  <c r="Q46" i="84"/>
  <c r="P46" i="84"/>
  <c r="H46" i="84"/>
  <c r="G46" i="84"/>
  <c r="T45" i="84"/>
  <c r="S45" i="84"/>
  <c r="R45" i="84"/>
  <c r="Q45" i="84"/>
  <c r="P45" i="84"/>
  <c r="H45" i="84"/>
  <c r="G45" i="84"/>
  <c r="T44" i="84"/>
  <c r="S44" i="84"/>
  <c r="R44" i="84"/>
  <c r="Q44" i="84"/>
  <c r="P44" i="84"/>
  <c r="H44" i="84"/>
  <c r="G44" i="84"/>
  <c r="T43" i="84"/>
  <c r="S43" i="84"/>
  <c r="R43" i="84"/>
  <c r="Q43" i="84"/>
  <c r="P43" i="84"/>
  <c r="H43" i="84"/>
  <c r="G43" i="84"/>
  <c r="T42" i="84"/>
  <c r="S42" i="84"/>
  <c r="R42" i="84"/>
  <c r="Q42" i="84"/>
  <c r="P42" i="84"/>
  <c r="H42" i="84"/>
  <c r="G42" i="84"/>
  <c r="T41" i="84"/>
  <c r="S41" i="84"/>
  <c r="R41" i="84"/>
  <c r="Q41" i="84"/>
  <c r="P41" i="84"/>
  <c r="H41" i="84"/>
  <c r="G41" i="84"/>
  <c r="T40" i="84"/>
  <c r="S40" i="84"/>
  <c r="R40" i="84"/>
  <c r="Q40" i="84"/>
  <c r="P40" i="84"/>
  <c r="H40" i="84"/>
  <c r="G40" i="84"/>
  <c r="T39" i="84"/>
  <c r="S39" i="84"/>
  <c r="R39" i="84"/>
  <c r="Q39" i="84"/>
  <c r="P39" i="84"/>
  <c r="H39" i="84"/>
  <c r="G39" i="84"/>
  <c r="H38" i="84"/>
  <c r="G38" i="84"/>
  <c r="T37" i="84"/>
  <c r="S37" i="84"/>
  <c r="R37" i="84"/>
  <c r="Q37" i="84"/>
  <c r="P37" i="84"/>
  <c r="H37" i="84"/>
  <c r="G37" i="84"/>
  <c r="H36" i="84"/>
  <c r="G36" i="84"/>
  <c r="T36" i="84" s="1"/>
  <c r="H35" i="84"/>
  <c r="G35" i="84"/>
  <c r="T35" i="84" s="1"/>
  <c r="H34" i="84"/>
  <c r="G34" i="84"/>
  <c r="H33" i="84"/>
  <c r="G33" i="84"/>
  <c r="T32" i="84"/>
  <c r="S32" i="84"/>
  <c r="R32" i="84"/>
  <c r="Q32" i="84"/>
  <c r="P32" i="84"/>
  <c r="H32" i="84"/>
  <c r="G32" i="84"/>
  <c r="T31" i="84"/>
  <c r="S31" i="84"/>
  <c r="R31" i="84"/>
  <c r="Q31" i="84"/>
  <c r="P31" i="84"/>
  <c r="H31" i="84"/>
  <c r="G31" i="84"/>
  <c r="H30" i="84"/>
  <c r="G30" i="84"/>
  <c r="T30" i="84" s="1"/>
  <c r="T29" i="84"/>
  <c r="S29" i="84"/>
  <c r="R29" i="84"/>
  <c r="Q29" i="84"/>
  <c r="H29" i="84"/>
  <c r="G29" i="84"/>
  <c r="P29" i="84" s="1"/>
  <c r="H28" i="84"/>
  <c r="G28" i="84"/>
  <c r="H27" i="84"/>
  <c r="G27" i="84"/>
  <c r="H26" i="84"/>
  <c r="G26" i="84"/>
  <c r="S26" i="84" s="1"/>
  <c r="H25" i="84"/>
  <c r="G25" i="84"/>
  <c r="T25" i="84" s="1"/>
  <c r="T24" i="84"/>
  <c r="S24" i="84"/>
  <c r="R24" i="84"/>
  <c r="Q24" i="84"/>
  <c r="P24" i="84"/>
  <c r="H24" i="84"/>
  <c r="G24" i="84"/>
  <c r="T23" i="84"/>
  <c r="S23" i="84"/>
  <c r="R23" i="84"/>
  <c r="Q23" i="84"/>
  <c r="P23" i="84"/>
  <c r="H23" i="84"/>
  <c r="G23" i="84"/>
  <c r="H22" i="84"/>
  <c r="G22" i="84"/>
  <c r="T21" i="84"/>
  <c r="S21" i="84"/>
  <c r="R21" i="84"/>
  <c r="Q21" i="84"/>
  <c r="P21" i="84"/>
  <c r="H21" i="84"/>
  <c r="G21" i="84"/>
  <c r="H20" i="84"/>
  <c r="G20" i="84"/>
  <c r="T20" i="84" s="1"/>
  <c r="H19" i="84"/>
  <c r="G19" i="84"/>
  <c r="T19" i="84" s="1"/>
  <c r="H18" i="84"/>
  <c r="G18" i="84"/>
  <c r="T17" i="84"/>
  <c r="S17" i="84"/>
  <c r="R17" i="84"/>
  <c r="Q17" i="84"/>
  <c r="H17" i="84"/>
  <c r="G17" i="84"/>
  <c r="P17" i="84" s="1"/>
  <c r="T16" i="84"/>
  <c r="S16" i="84"/>
  <c r="R16" i="84"/>
  <c r="Q16" i="84"/>
  <c r="P16" i="84"/>
  <c r="H16" i="84"/>
  <c r="G16" i="84"/>
  <c r="H15" i="84"/>
  <c r="G15" i="84"/>
  <c r="T14" i="84"/>
  <c r="S14" i="84"/>
  <c r="R14" i="84"/>
  <c r="Q14" i="84"/>
  <c r="P14" i="84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85" i="79"/>
  <c r="C83" i="79"/>
  <c r="C36" i="74"/>
  <c r="C37" i="74" s="1"/>
  <c r="T15" i="84" l="1"/>
  <c r="S15" i="84"/>
  <c r="R15" i="84"/>
  <c r="Q15" i="84"/>
  <c r="P15" i="84"/>
  <c r="Q18" i="84"/>
  <c r="T18" i="84"/>
  <c r="R18" i="84"/>
  <c r="T22" i="84"/>
  <c r="P22" i="84"/>
  <c r="T27" i="84"/>
  <c r="S27" i="84"/>
  <c r="R27" i="84"/>
  <c r="Q27" i="84"/>
  <c r="P27" i="84"/>
  <c r="Q28" i="84"/>
  <c r="T28" i="84"/>
  <c r="S28" i="84"/>
  <c r="R28" i="84"/>
  <c r="R33" i="84"/>
  <c r="S33" i="84"/>
  <c r="S34" i="84"/>
  <c r="T34" i="84"/>
  <c r="T38" i="84"/>
  <c r="P38" i="84"/>
  <c r="S48" i="84"/>
  <c r="P48" i="84"/>
  <c r="T50" i="84"/>
  <c r="S50" i="84"/>
  <c r="R50" i="84"/>
  <c r="Q50" i="84"/>
  <c r="P50" i="84"/>
  <c r="P51" i="84"/>
  <c r="R51" i="84"/>
  <c r="P16" i="85"/>
  <c r="S16" i="85"/>
  <c r="R16" i="85"/>
  <c r="T17" i="85"/>
  <c r="S17" i="85"/>
  <c r="R17" i="85"/>
  <c r="R21" i="85"/>
  <c r="T21" i="85"/>
  <c r="S21" i="85"/>
  <c r="P21" i="85"/>
  <c r="P24" i="85"/>
  <c r="S24" i="85"/>
  <c r="R24" i="85"/>
  <c r="Q25" i="85"/>
  <c r="T25" i="85"/>
  <c r="S25" i="85"/>
  <c r="P25" i="85"/>
  <c r="T26" i="85"/>
  <c r="P26" i="85"/>
  <c r="R29" i="85"/>
  <c r="T29" i="85"/>
  <c r="S29" i="85"/>
  <c r="P29" i="85"/>
  <c r="P32" i="85"/>
  <c r="S32" i="85"/>
  <c r="R32" i="85"/>
  <c r="Q33" i="85"/>
  <c r="T33" i="85"/>
  <c r="S33" i="85"/>
  <c r="P33" i="85"/>
  <c r="R34" i="85"/>
  <c r="T34" i="85"/>
  <c r="Q34" i="85"/>
  <c r="P34" i="85"/>
  <c r="S35" i="85"/>
  <c r="R35" i="85"/>
  <c r="T37" i="85"/>
  <c r="S37" i="85"/>
  <c r="R37" i="85"/>
  <c r="Q37" i="85"/>
  <c r="P37" i="85"/>
  <c r="T39" i="85"/>
  <c r="Q39" i="85"/>
  <c r="P40" i="85"/>
  <c r="S40" i="85"/>
  <c r="R40" i="85"/>
  <c r="Q41" i="85"/>
  <c r="T41" i="85"/>
  <c r="S41" i="85"/>
  <c r="P41" i="85"/>
  <c r="R42" i="85"/>
  <c r="T42" i="85"/>
  <c r="Q42" i="85"/>
  <c r="T45" i="85"/>
  <c r="S45" i="85"/>
  <c r="R45" i="85"/>
  <c r="Q45" i="85"/>
  <c r="P45" i="85"/>
  <c r="T46" i="85"/>
  <c r="S46" i="85"/>
  <c r="R46" i="85"/>
  <c r="Q46" i="85"/>
  <c r="P46" i="85"/>
  <c r="Q49" i="85"/>
  <c r="S49" i="85"/>
  <c r="R50" i="85"/>
  <c r="T50" i="85"/>
  <c r="T54" i="85"/>
  <c r="T62" i="85" s="1"/>
  <c r="P54" i="85"/>
  <c r="Q51" i="84"/>
  <c r="S51" i="84"/>
  <c r="T51" i="84"/>
  <c r="S54" i="84"/>
  <c r="T54" i="84"/>
  <c r="T62" i="84" s="1"/>
  <c r="Q54" i="84"/>
  <c r="P54" i="84"/>
  <c r="T33" i="84"/>
  <c r="Q38" i="84"/>
  <c r="P36" i="84"/>
  <c r="R38" i="84"/>
  <c r="P35" i="84"/>
  <c r="Q36" i="84"/>
  <c r="S38" i="84"/>
  <c r="P34" i="84"/>
  <c r="Q35" i="84"/>
  <c r="R36" i="84"/>
  <c r="P33" i="84"/>
  <c r="Q34" i="84"/>
  <c r="R35" i="84"/>
  <c r="S36" i="84"/>
  <c r="Q33" i="84"/>
  <c r="R34" i="84"/>
  <c r="S35" i="84"/>
  <c r="P28" i="84"/>
  <c r="P30" i="84"/>
  <c r="Q30" i="84"/>
  <c r="R30" i="84"/>
  <c r="S30" i="84"/>
  <c r="P26" i="84"/>
  <c r="Q26" i="84"/>
  <c r="R26" i="84"/>
  <c r="S25" i="84"/>
  <c r="T26" i="84"/>
  <c r="P25" i="84"/>
  <c r="Q25" i="84"/>
  <c r="R25" i="84"/>
  <c r="Q22" i="84"/>
  <c r="P20" i="84"/>
  <c r="R22" i="84"/>
  <c r="P19" i="84"/>
  <c r="Q20" i="84"/>
  <c r="S22" i="84"/>
  <c r="Q19" i="84"/>
  <c r="R20" i="84"/>
  <c r="R19" i="84"/>
  <c r="S20" i="84"/>
  <c r="S19" i="84"/>
  <c r="S18" i="84"/>
  <c r="R49" i="84"/>
  <c r="T49" i="84"/>
  <c r="S49" i="84"/>
  <c r="P49" i="84"/>
  <c r="T48" i="84"/>
  <c r="Q48" i="84"/>
  <c r="R48" i="84"/>
  <c r="Q26" i="85"/>
  <c r="R26" i="85"/>
  <c r="P28" i="85"/>
  <c r="S26" i="85"/>
  <c r="Q28" i="85"/>
  <c r="Q31" i="85"/>
  <c r="R28" i="85"/>
  <c r="S28" i="85"/>
  <c r="R27" i="85"/>
  <c r="P19" i="85"/>
  <c r="Q19" i="85"/>
  <c r="R19" i="85"/>
  <c r="S19" i="85"/>
  <c r="T14" i="85"/>
  <c r="T59" i="85" s="1"/>
  <c r="Q16" i="85"/>
  <c r="P23" i="85"/>
  <c r="Q24" i="85"/>
  <c r="R25" i="85"/>
  <c r="T27" i="85"/>
  <c r="P31" i="85"/>
  <c r="Q32" i="85"/>
  <c r="R33" i="85"/>
  <c r="S34" i="85"/>
  <c r="T35" i="85"/>
  <c r="P39" i="85"/>
  <c r="Q40" i="85"/>
  <c r="R41" i="85"/>
  <c r="S42" i="85"/>
  <c r="T43" i="85"/>
  <c r="Q48" i="85"/>
  <c r="Q64" i="85" s="1"/>
  <c r="R49" i="85"/>
  <c r="S50" i="85"/>
  <c r="T51" i="85"/>
  <c r="R23" i="85"/>
  <c r="R31" i="85"/>
  <c r="R39" i="85"/>
  <c r="S48" i="85"/>
  <c r="S64" i="85" s="1"/>
  <c r="T49" i="85"/>
  <c r="P53" i="85"/>
  <c r="Q54" i="85"/>
  <c r="Q23" i="85"/>
  <c r="Q15" i="85"/>
  <c r="T16" i="85"/>
  <c r="P20" i="85"/>
  <c r="Q21" i="85"/>
  <c r="R22" i="85"/>
  <c r="S23" i="85"/>
  <c r="T24" i="85"/>
  <c r="Q29" i="85"/>
  <c r="R30" i="85"/>
  <c r="R59" i="85" s="1"/>
  <c r="S31" i="85"/>
  <c r="T32" i="85"/>
  <c r="P36" i="85"/>
  <c r="S39" i="85"/>
  <c r="T40" i="85"/>
  <c r="P44" i="85"/>
  <c r="T48" i="85"/>
  <c r="P52" i="85"/>
  <c r="Q53" i="85"/>
  <c r="R54" i="85"/>
  <c r="P14" i="85"/>
  <c r="P59" i="85" s="1"/>
  <c r="T15" i="85"/>
  <c r="Q20" i="85"/>
  <c r="S22" i="85"/>
  <c r="S59" i="85" s="1"/>
  <c r="P27" i="85"/>
  <c r="P35" i="85"/>
  <c r="Q36" i="85"/>
  <c r="P43" i="85"/>
  <c r="Q44" i="85"/>
  <c r="P51" i="85"/>
  <c r="Q52" i="85"/>
  <c r="R53" i="85"/>
  <c r="S54" i="85"/>
  <c r="Q14" i="85"/>
  <c r="Q59" i="85" s="1"/>
  <c r="R20" i="85"/>
  <c r="R60" i="85" s="1"/>
  <c r="Q27" i="85"/>
  <c r="Q35" i="85"/>
  <c r="R36" i="85"/>
  <c r="P42" i="85"/>
  <c r="Q43" i="85"/>
  <c r="R44" i="85"/>
  <c r="P50" i="85"/>
  <c r="Q51" i="85"/>
  <c r="R52" i="85"/>
  <c r="S53" i="85"/>
  <c r="R43" i="85"/>
  <c r="S44" i="85"/>
  <c r="P49" i="85"/>
  <c r="Q50" i="85"/>
  <c r="R51" i="85"/>
  <c r="S52" i="85"/>
  <c r="S20" i="85"/>
  <c r="S36" i="85"/>
  <c r="P18" i="84"/>
  <c r="R18" i="85"/>
  <c r="P18" i="85"/>
  <c r="Q18" i="85"/>
  <c r="S18" i="85"/>
  <c r="Q17" i="85"/>
  <c r="P17" i="85"/>
  <c r="R15" i="85"/>
  <c r="S15" i="85"/>
  <c r="T64" i="84"/>
  <c r="R64" i="84"/>
  <c r="S63" i="85"/>
  <c r="R63" i="85"/>
  <c r="T63" i="85"/>
  <c r="P63" i="85"/>
  <c r="Q63" i="85"/>
  <c r="P63" i="84"/>
  <c r="T63" i="84"/>
  <c r="R63" i="84"/>
  <c r="S63" i="84"/>
  <c r="Q63" i="84"/>
  <c r="T11" i="85"/>
  <c r="P13" i="84"/>
  <c r="T13" i="84"/>
  <c r="S10" i="85"/>
  <c r="Q10" i="84"/>
  <c r="Q60" i="84" s="1"/>
  <c r="T10" i="85"/>
  <c r="T60" i="85" s="1"/>
  <c r="R11" i="84"/>
  <c r="R62" i="84" s="1"/>
  <c r="R10" i="84"/>
  <c r="R59" i="84" s="1"/>
  <c r="Q59" i="84"/>
  <c r="S12" i="84"/>
  <c r="S10" i="84"/>
  <c r="S60" i="84" s="1"/>
  <c r="T10" i="84"/>
  <c r="T59" i="84" s="1"/>
  <c r="P60" i="84"/>
  <c r="P12" i="85"/>
  <c r="Q13" i="85"/>
  <c r="P13" i="85"/>
  <c r="P11" i="85"/>
  <c r="P64" i="85" s="1"/>
  <c r="Q12" i="85"/>
  <c r="R13" i="85"/>
  <c r="P10" i="85"/>
  <c r="Q11" i="85"/>
  <c r="R12" i="85"/>
  <c r="S13" i="85"/>
  <c r="Q10" i="85"/>
  <c r="Q60" i="85" s="1"/>
  <c r="R11" i="85"/>
  <c r="S12" i="85"/>
  <c r="P12" i="84"/>
  <c r="Q13" i="84"/>
  <c r="P11" i="84"/>
  <c r="P59" i="84" s="1"/>
  <c r="Q12" i="84"/>
  <c r="R13" i="84"/>
  <c r="Q11" i="84"/>
  <c r="Q64" i="84" s="1"/>
  <c r="R12" i="84"/>
  <c r="S11" i="84"/>
  <c r="S64" i="84" s="1"/>
  <c r="T64" i="85" l="1"/>
  <c r="Q62" i="85"/>
  <c r="H30" i="82"/>
  <c r="S62" i="84"/>
  <c r="P62" i="84"/>
  <c r="Q62" i="84"/>
  <c r="J30" i="82"/>
  <c r="P60" i="85"/>
  <c r="S60" i="85"/>
  <c r="P62" i="85"/>
  <c r="F45" i="82" s="1"/>
  <c r="R62" i="85"/>
  <c r="S62" i="85"/>
  <c r="R60" i="84"/>
  <c r="G32" i="82"/>
  <c r="T60" i="84"/>
  <c r="P64" i="84"/>
  <c r="I47" i="82"/>
  <c r="F47" i="82"/>
  <c r="J45" i="82"/>
  <c r="R64" i="85"/>
  <c r="U64" i="85" s="1"/>
  <c r="G47" i="82"/>
  <c r="S59" i="84"/>
  <c r="U59" i="84" s="1"/>
  <c r="J32" i="82"/>
  <c r="H32" i="82"/>
  <c r="I32" i="82"/>
  <c r="U63" i="84"/>
  <c r="U63" i="85"/>
  <c r="F46" i="82"/>
  <c r="T65" i="85"/>
  <c r="T65" i="84"/>
  <c r="R65" i="84"/>
  <c r="F31" i="82"/>
  <c r="T58" i="84"/>
  <c r="S58" i="84"/>
  <c r="T58" i="85"/>
  <c r="R58" i="84"/>
  <c r="Q58" i="84"/>
  <c r="R58" i="85"/>
  <c r="P58" i="84"/>
  <c r="S58" i="85"/>
  <c r="Q58" i="85"/>
  <c r="U59" i="85"/>
  <c r="P58" i="85"/>
  <c r="C70" i="79"/>
  <c r="Q65" i="85" l="1"/>
  <c r="G45" i="82"/>
  <c r="J47" i="82"/>
  <c r="S65" i="84"/>
  <c r="I30" i="82"/>
  <c r="Q65" i="84"/>
  <c r="F30" i="82"/>
  <c r="G30" i="82"/>
  <c r="U62" i="84"/>
  <c r="U60" i="85"/>
  <c r="S65" i="85"/>
  <c r="I45" i="82"/>
  <c r="H45" i="82"/>
  <c r="U62" i="85"/>
  <c r="U65" i="85" s="1"/>
  <c r="P65" i="85"/>
  <c r="U60" i="84"/>
  <c r="U64" i="84"/>
  <c r="F32" i="82"/>
  <c r="K32" i="82" s="1"/>
  <c r="P65" i="84"/>
  <c r="R65" i="85"/>
  <c r="Q81" i="85"/>
  <c r="G46" i="82"/>
  <c r="G48" i="82" s="1"/>
  <c r="T81" i="84"/>
  <c r="J31" i="82"/>
  <c r="J33" i="82" s="1"/>
  <c r="J46" i="82"/>
  <c r="I31" i="82"/>
  <c r="R81" i="84"/>
  <c r="H31" i="82"/>
  <c r="H33" i="82" s="1"/>
  <c r="F48" i="82"/>
  <c r="G31" i="82"/>
  <c r="I46" i="82"/>
  <c r="H46" i="82"/>
  <c r="U79" i="85"/>
  <c r="P81" i="85"/>
  <c r="U79" i="84"/>
  <c r="Q61" i="85"/>
  <c r="Q67" i="85" s="1"/>
  <c r="Q68" i="85" s="1"/>
  <c r="R61" i="85"/>
  <c r="P61" i="85"/>
  <c r="S61" i="85"/>
  <c r="T61" i="85"/>
  <c r="T67" i="85" s="1"/>
  <c r="T68" i="85" s="1"/>
  <c r="Q61" i="84"/>
  <c r="R61" i="84"/>
  <c r="R67" i="84" s="1"/>
  <c r="R68" i="84" s="1"/>
  <c r="T61" i="84"/>
  <c r="T67" i="84" s="1"/>
  <c r="T68" i="84" s="1"/>
  <c r="P61" i="84"/>
  <c r="S61" i="84"/>
  <c r="U58" i="84"/>
  <c r="U58" i="85"/>
  <c r="A1" i="70"/>
  <c r="A2" i="79"/>
  <c r="A1" i="79"/>
  <c r="A2" i="74"/>
  <c r="A1" i="74"/>
  <c r="C67" i="79"/>
  <c r="H54" i="79"/>
  <c r="G54" i="79"/>
  <c r="T54" i="79" s="1"/>
  <c r="H53" i="79"/>
  <c r="G53" i="79"/>
  <c r="T53" i="79" s="1"/>
  <c r="H52" i="79"/>
  <c r="G52" i="79"/>
  <c r="R52" i="79" s="1"/>
  <c r="H51" i="79"/>
  <c r="G51" i="79"/>
  <c r="P51" i="79" s="1"/>
  <c r="H50" i="79"/>
  <c r="G50" i="79"/>
  <c r="T50" i="79" s="1"/>
  <c r="H49" i="79"/>
  <c r="G49" i="79"/>
  <c r="T49" i="79" s="1"/>
  <c r="H48" i="79"/>
  <c r="G48" i="79"/>
  <c r="P48" i="79" s="1"/>
  <c r="H47" i="79"/>
  <c r="G47" i="79"/>
  <c r="T47" i="79" s="1"/>
  <c r="H46" i="79"/>
  <c r="G46" i="79"/>
  <c r="Q46" i="79" s="1"/>
  <c r="H45" i="79"/>
  <c r="G45" i="79"/>
  <c r="S45" i="79" s="1"/>
  <c r="H44" i="79"/>
  <c r="G44" i="79"/>
  <c r="R44" i="79" s="1"/>
  <c r="H43" i="79"/>
  <c r="G43" i="79"/>
  <c r="Q43" i="79" s="1"/>
  <c r="H42" i="79"/>
  <c r="G42" i="79"/>
  <c r="S42" i="79" s="1"/>
  <c r="H41" i="79"/>
  <c r="G41" i="79"/>
  <c r="T41" i="79" s="1"/>
  <c r="H40" i="79"/>
  <c r="G40" i="79"/>
  <c r="T40" i="79" s="1"/>
  <c r="H39" i="79"/>
  <c r="G39" i="79"/>
  <c r="S39" i="79" s="1"/>
  <c r="H38" i="79"/>
  <c r="G38" i="79"/>
  <c r="T38" i="79" s="1"/>
  <c r="H37" i="79"/>
  <c r="G37" i="79"/>
  <c r="S37" i="79" s="1"/>
  <c r="H36" i="79"/>
  <c r="G36" i="79"/>
  <c r="R36" i="79" s="1"/>
  <c r="H35" i="79"/>
  <c r="G35" i="79"/>
  <c r="R35" i="79" s="1"/>
  <c r="H34" i="79"/>
  <c r="G34" i="79"/>
  <c r="Q34" i="79" s="1"/>
  <c r="H33" i="79"/>
  <c r="G33" i="79"/>
  <c r="P33" i="79" s="1"/>
  <c r="H32" i="79"/>
  <c r="G32" i="79"/>
  <c r="P32" i="79" s="1"/>
  <c r="H31" i="79"/>
  <c r="G31" i="79"/>
  <c r="S31" i="79" s="1"/>
  <c r="H30" i="79"/>
  <c r="G30" i="79"/>
  <c r="T30" i="79" s="1"/>
  <c r="H29" i="79"/>
  <c r="G29" i="79"/>
  <c r="P29" i="79" s="1"/>
  <c r="H28" i="79"/>
  <c r="G28" i="79"/>
  <c r="R28" i="79" s="1"/>
  <c r="H27" i="79"/>
  <c r="G27" i="79"/>
  <c r="Q27" i="79" s="1"/>
  <c r="H26" i="79"/>
  <c r="G26" i="79"/>
  <c r="S26" i="79" s="1"/>
  <c r="H25" i="79"/>
  <c r="G25" i="79"/>
  <c r="S25" i="79" s="1"/>
  <c r="H24" i="79"/>
  <c r="G24" i="79"/>
  <c r="P24" i="79" s="1"/>
  <c r="H23" i="79"/>
  <c r="G23" i="79"/>
  <c r="P23" i="79" s="1"/>
  <c r="H22" i="79"/>
  <c r="G22" i="79"/>
  <c r="T22" i="79" s="1"/>
  <c r="H21" i="79"/>
  <c r="G21" i="79"/>
  <c r="T21" i="79" s="1"/>
  <c r="H20" i="79"/>
  <c r="G20" i="79"/>
  <c r="T20" i="79" s="1"/>
  <c r="H19" i="79"/>
  <c r="G19" i="79"/>
  <c r="S19" i="79" s="1"/>
  <c r="H18" i="79"/>
  <c r="G18" i="79"/>
  <c r="S18" i="79" s="1"/>
  <c r="H17" i="79"/>
  <c r="G17" i="79"/>
  <c r="S17" i="79" s="1"/>
  <c r="H16" i="79"/>
  <c r="G16" i="79"/>
  <c r="T16" i="79" s="1"/>
  <c r="H15" i="79"/>
  <c r="G15" i="79"/>
  <c r="R15" i="79" s="1"/>
  <c r="H14" i="79"/>
  <c r="G14" i="79"/>
  <c r="R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T81" i="85" l="1"/>
  <c r="J48" i="82"/>
  <c r="S67" i="84"/>
  <c r="S68" i="84" s="1"/>
  <c r="Q67" i="84"/>
  <c r="Q68" i="84" s="1"/>
  <c r="I33" i="82"/>
  <c r="S81" i="84"/>
  <c r="U78" i="84"/>
  <c r="G33" i="82"/>
  <c r="Q81" i="84"/>
  <c r="U65" i="84"/>
  <c r="K30" i="82"/>
  <c r="U61" i="85"/>
  <c r="S81" i="85"/>
  <c r="K45" i="82"/>
  <c r="I48" i="82"/>
  <c r="S67" i="85"/>
  <c r="S68" i="85" s="1"/>
  <c r="R81" i="85"/>
  <c r="U78" i="85"/>
  <c r="P67" i="85"/>
  <c r="U80" i="84"/>
  <c r="U61" i="84"/>
  <c r="P50" i="79"/>
  <c r="Q50" i="79"/>
  <c r="Q23" i="79"/>
  <c r="S27" i="79"/>
  <c r="R34" i="79"/>
  <c r="T27" i="79"/>
  <c r="R50" i="79"/>
  <c r="Q36" i="79"/>
  <c r="S50" i="79"/>
  <c r="P31" i="79"/>
  <c r="Q48" i="79"/>
  <c r="Q52" i="79"/>
  <c r="T31" i="79"/>
  <c r="S34" i="79"/>
  <c r="S48" i="79"/>
  <c r="S52" i="79"/>
  <c r="R23" i="79"/>
  <c r="Q31" i="79"/>
  <c r="R48" i="79"/>
  <c r="S23" i="79"/>
  <c r="R27" i="79"/>
  <c r="P67" i="84"/>
  <c r="D70" i="84" s="1"/>
  <c r="P81" i="84"/>
  <c r="F33" i="82"/>
  <c r="R67" i="85"/>
  <c r="R68" i="85" s="1"/>
  <c r="H47" i="82"/>
  <c r="K47" i="82" s="1"/>
  <c r="U80" i="85"/>
  <c r="T48" i="79"/>
  <c r="R46" i="79"/>
  <c r="S46" i="79"/>
  <c r="T46" i="79"/>
  <c r="P46" i="79"/>
  <c r="T44" i="79"/>
  <c r="S44" i="79"/>
  <c r="P44" i="79"/>
  <c r="Q44" i="79"/>
  <c r="R43" i="79"/>
  <c r="S43" i="79"/>
  <c r="T43" i="79"/>
  <c r="P43" i="79"/>
  <c r="T34" i="79"/>
  <c r="P34" i="79"/>
  <c r="Q33" i="79"/>
  <c r="R33" i="79"/>
  <c r="T33" i="79"/>
  <c r="S33" i="79"/>
  <c r="Q29" i="79"/>
  <c r="R29" i="79"/>
  <c r="S29" i="79"/>
  <c r="T29" i="79"/>
  <c r="P26" i="79"/>
  <c r="Q26" i="79"/>
  <c r="R26" i="79"/>
  <c r="T26" i="79"/>
  <c r="P25" i="79"/>
  <c r="R25" i="79"/>
  <c r="Q25" i="79"/>
  <c r="T25" i="79"/>
  <c r="T15" i="79"/>
  <c r="S15" i="79"/>
  <c r="P35" i="79"/>
  <c r="Q35" i="79"/>
  <c r="S35" i="79"/>
  <c r="T35" i="79"/>
  <c r="P20" i="79"/>
  <c r="Q20" i="79"/>
  <c r="R20" i="79"/>
  <c r="S20" i="79"/>
  <c r="P17" i="79"/>
  <c r="Q17" i="79"/>
  <c r="T17" i="79"/>
  <c r="R17" i="79"/>
  <c r="P42" i="79"/>
  <c r="Q42" i="79"/>
  <c r="R42" i="79"/>
  <c r="T42" i="79"/>
  <c r="P54" i="79"/>
  <c r="Q54" i="79"/>
  <c r="R54" i="79"/>
  <c r="S54" i="79"/>
  <c r="P53" i="79"/>
  <c r="Q53" i="79"/>
  <c r="R53" i="79"/>
  <c r="S53" i="79"/>
  <c r="T52" i="79"/>
  <c r="P52" i="79"/>
  <c r="Q51" i="79"/>
  <c r="R51" i="79"/>
  <c r="S51" i="79"/>
  <c r="T51" i="79"/>
  <c r="Q49" i="79"/>
  <c r="R49" i="79"/>
  <c r="P49" i="79"/>
  <c r="S49" i="79"/>
  <c r="P47" i="79"/>
  <c r="Q47" i="79"/>
  <c r="R47" i="79"/>
  <c r="S47" i="79"/>
  <c r="T45" i="79"/>
  <c r="P45" i="79"/>
  <c r="Q45" i="79"/>
  <c r="R45" i="79"/>
  <c r="T39" i="79"/>
  <c r="R39" i="79"/>
  <c r="P39" i="79"/>
  <c r="Q39" i="79"/>
  <c r="Q41" i="79"/>
  <c r="P41" i="79"/>
  <c r="R41" i="79"/>
  <c r="S41" i="79"/>
  <c r="P40" i="79"/>
  <c r="Q40" i="79"/>
  <c r="R40" i="79"/>
  <c r="S40" i="79"/>
  <c r="P38" i="79"/>
  <c r="Q38" i="79"/>
  <c r="S38" i="79"/>
  <c r="R38" i="79"/>
  <c r="T37" i="79"/>
  <c r="P37" i="79"/>
  <c r="Q37" i="79"/>
  <c r="R37" i="79"/>
  <c r="S36" i="79"/>
  <c r="T36" i="79"/>
  <c r="P36" i="79"/>
  <c r="Q32" i="79"/>
  <c r="S32" i="79"/>
  <c r="T32" i="79"/>
  <c r="R32" i="79"/>
  <c r="R31" i="79"/>
  <c r="Q30" i="79"/>
  <c r="P30" i="79"/>
  <c r="R30" i="79"/>
  <c r="S30" i="79"/>
  <c r="Q28" i="79"/>
  <c r="S28" i="79"/>
  <c r="S60" i="79" s="1"/>
  <c r="P28" i="79"/>
  <c r="P60" i="79" s="1"/>
  <c r="T28" i="79"/>
  <c r="P27" i="79"/>
  <c r="T23" i="79"/>
  <c r="Q22" i="79"/>
  <c r="R22" i="79"/>
  <c r="P22" i="79"/>
  <c r="S22" i="79"/>
  <c r="P19" i="79"/>
  <c r="Q19" i="79"/>
  <c r="T19" i="79"/>
  <c r="R19" i="79"/>
  <c r="Q18" i="79"/>
  <c r="P18" i="79"/>
  <c r="R18" i="79"/>
  <c r="T18" i="79"/>
  <c r="Q16" i="79"/>
  <c r="P16" i="79"/>
  <c r="R16" i="79"/>
  <c r="S16" i="79"/>
  <c r="P15" i="79"/>
  <c r="Q15" i="79"/>
  <c r="S14" i="79"/>
  <c r="T14" i="79"/>
  <c r="P14" i="79"/>
  <c r="Q14" i="79"/>
  <c r="K31" i="82"/>
  <c r="K46" i="82"/>
  <c r="T63" i="79"/>
  <c r="S12" i="79"/>
  <c r="T12" i="79"/>
  <c r="T24" i="79"/>
  <c r="S24" i="79"/>
  <c r="Q24" i="79"/>
  <c r="R24" i="79"/>
  <c r="Q12" i="79"/>
  <c r="R12" i="79"/>
  <c r="Q60" i="79"/>
  <c r="Q21" i="79"/>
  <c r="P21" i="79"/>
  <c r="S21" i="79"/>
  <c r="R21" i="79"/>
  <c r="T60" i="79"/>
  <c r="P10" i="79"/>
  <c r="P63" i="79" s="1"/>
  <c r="T59" i="79"/>
  <c r="T11" i="79"/>
  <c r="S10" i="79"/>
  <c r="S63" i="79" s="1"/>
  <c r="R11" i="79"/>
  <c r="Q10" i="79"/>
  <c r="Q63" i="79" s="1"/>
  <c r="R10" i="79"/>
  <c r="R63" i="79" s="1"/>
  <c r="Q11" i="79"/>
  <c r="P13" i="79"/>
  <c r="Q13" i="79"/>
  <c r="P11" i="79"/>
  <c r="R13" i="79"/>
  <c r="S13" i="79"/>
  <c r="K34" i="70" l="1"/>
  <c r="K35" i="70"/>
  <c r="K23" i="70"/>
  <c r="P68" i="85"/>
  <c r="D70" i="85"/>
  <c r="U67" i="84"/>
  <c r="U68" i="84" s="1"/>
  <c r="U81" i="84"/>
  <c r="K33" i="82"/>
  <c r="U81" i="85"/>
  <c r="P68" i="84"/>
  <c r="P62" i="79"/>
  <c r="P78" i="79" s="1"/>
  <c r="F15" i="82" s="1"/>
  <c r="R60" i="79"/>
  <c r="Q62" i="79"/>
  <c r="Q78" i="79" s="1"/>
  <c r="G15" i="82" s="1"/>
  <c r="U67" i="85"/>
  <c r="H48" i="82"/>
  <c r="K48" i="82"/>
  <c r="T64" i="79"/>
  <c r="T80" i="79" s="1"/>
  <c r="J17" i="82" s="1"/>
  <c r="T62" i="79"/>
  <c r="T78" i="79" s="1"/>
  <c r="J15" i="82" s="1"/>
  <c r="S62" i="79"/>
  <c r="R62" i="79"/>
  <c r="R78" i="79" s="1"/>
  <c r="H15" i="82" s="1"/>
  <c r="P64" i="79"/>
  <c r="S64" i="79"/>
  <c r="R64" i="79"/>
  <c r="R80" i="79" s="1"/>
  <c r="H17" i="82" s="1"/>
  <c r="Q64" i="79"/>
  <c r="R79" i="79"/>
  <c r="S79" i="79"/>
  <c r="T79" i="79"/>
  <c r="Q79" i="79"/>
  <c r="U63" i="79"/>
  <c r="P79" i="79"/>
  <c r="P59" i="79"/>
  <c r="R59" i="79"/>
  <c r="T58" i="79"/>
  <c r="S59" i="79"/>
  <c r="P58" i="79"/>
  <c r="R58" i="79"/>
  <c r="Q58" i="79"/>
  <c r="Q59" i="79"/>
  <c r="S58" i="79"/>
  <c r="K24" i="70" l="1"/>
  <c r="V68" i="84"/>
  <c r="U60" i="79"/>
  <c r="Q65" i="79"/>
  <c r="U68" i="85"/>
  <c r="V68" i="85" s="1"/>
  <c r="T65" i="79"/>
  <c r="S78" i="79"/>
  <c r="I15" i="82" s="1"/>
  <c r="K15" i="82" s="1"/>
  <c r="U62" i="79"/>
  <c r="S65" i="79"/>
  <c r="P65" i="79"/>
  <c r="S80" i="79"/>
  <c r="I17" i="82" s="1"/>
  <c r="P80" i="79"/>
  <c r="F17" i="82" s="1"/>
  <c r="R65" i="79"/>
  <c r="U64" i="79"/>
  <c r="Q80" i="79"/>
  <c r="G17" i="82" s="1"/>
  <c r="I16" i="82"/>
  <c r="G16" i="82"/>
  <c r="R81" i="79"/>
  <c r="H16" i="82"/>
  <c r="H18" i="82" s="1"/>
  <c r="J16" i="82"/>
  <c r="J18" i="82" s="1"/>
  <c r="T81" i="79"/>
  <c r="U79" i="79"/>
  <c r="F16" i="82"/>
  <c r="P61" i="79"/>
  <c r="S61" i="79"/>
  <c r="T61" i="79"/>
  <c r="Q61" i="79"/>
  <c r="R61" i="79"/>
  <c r="U59" i="79"/>
  <c r="U58" i="79"/>
  <c r="Q67" i="79" l="1"/>
  <c r="Q68" i="79" s="1"/>
  <c r="T67" i="79"/>
  <c r="T68" i="79" s="1"/>
  <c r="U78" i="79"/>
  <c r="U65" i="79"/>
  <c r="R67" i="79"/>
  <c r="R68" i="79" s="1"/>
  <c r="P67" i="79"/>
  <c r="S67" i="79"/>
  <c r="S68" i="79" s="1"/>
  <c r="S81" i="79"/>
  <c r="P81" i="79"/>
  <c r="K12" i="70" s="1"/>
  <c r="K17" i="82"/>
  <c r="I18" i="82"/>
  <c r="U80" i="79"/>
  <c r="G18" i="82"/>
  <c r="Q81" i="79"/>
  <c r="K16" i="82"/>
  <c r="F18" i="82"/>
  <c r="U61" i="79"/>
  <c r="P68" i="79" l="1"/>
  <c r="D70" i="79"/>
  <c r="U81" i="79"/>
  <c r="U67" i="79"/>
  <c r="U68" i="79" s="1"/>
  <c r="K18" i="82"/>
  <c r="F21" i="70"/>
  <c r="G21" i="70"/>
  <c r="H21" i="70"/>
  <c r="I21" i="70"/>
  <c r="J21" i="70"/>
  <c r="V68" i="79" l="1"/>
  <c r="J32" i="70"/>
  <c r="I32" i="70"/>
  <c r="H32" i="70"/>
  <c r="G32" i="70"/>
  <c r="F32" i="70"/>
  <c r="T76" i="85" l="1"/>
  <c r="P76" i="85"/>
  <c r="F43" i="82" s="1"/>
  <c r="P76" i="84"/>
  <c r="F28" i="82" s="1"/>
  <c r="R75" i="85"/>
  <c r="Q75" i="84"/>
  <c r="T74" i="84"/>
  <c r="R76" i="85"/>
  <c r="Q76" i="85"/>
  <c r="P75" i="85"/>
  <c r="F42" i="82" s="1"/>
  <c r="T75" i="85"/>
  <c r="S76" i="84"/>
  <c r="P75" i="84"/>
  <c r="F27" i="82" s="1"/>
  <c r="R75" i="84"/>
  <c r="T75" i="84"/>
  <c r="T74" i="85"/>
  <c r="Q76" i="84"/>
  <c r="S75" i="84"/>
  <c r="S75" i="85"/>
  <c r="R76" i="84"/>
  <c r="S76" i="85"/>
  <c r="Q75" i="85"/>
  <c r="T76" i="84"/>
  <c r="S74" i="84"/>
  <c r="R74" i="84"/>
  <c r="Q74" i="85"/>
  <c r="S74" i="85"/>
  <c r="Q74" i="84"/>
  <c r="P74" i="84"/>
  <c r="R74" i="85"/>
  <c r="P74" i="85"/>
  <c r="T76" i="79"/>
  <c r="J13" i="82" s="1"/>
  <c r="P76" i="79"/>
  <c r="F13" i="82" s="1"/>
  <c r="Q76" i="79"/>
  <c r="G13" i="82" s="1"/>
  <c r="R76" i="79"/>
  <c r="H13" i="82" s="1"/>
  <c r="S76" i="79"/>
  <c r="I13" i="82" s="1"/>
  <c r="T75" i="79"/>
  <c r="J12" i="82" s="1"/>
  <c r="T74" i="79"/>
  <c r="S75" i="79"/>
  <c r="I12" i="82" s="1"/>
  <c r="P75" i="79"/>
  <c r="F12" i="82" s="1"/>
  <c r="R75" i="79"/>
  <c r="H12" i="82" s="1"/>
  <c r="S74" i="79"/>
  <c r="Q74" i="79"/>
  <c r="R74" i="79"/>
  <c r="P74" i="79"/>
  <c r="Q75" i="79"/>
  <c r="G12" i="82" s="1"/>
  <c r="S77" i="85" l="1"/>
  <c r="Q77" i="85"/>
  <c r="J41" i="82"/>
  <c r="T77" i="85"/>
  <c r="F41" i="82"/>
  <c r="F44" i="82" s="1"/>
  <c r="F50" i="82" s="1"/>
  <c r="P77" i="85"/>
  <c r="R77" i="85"/>
  <c r="S77" i="84"/>
  <c r="R77" i="84"/>
  <c r="T77" i="84"/>
  <c r="Q77" i="84"/>
  <c r="F26" i="82"/>
  <c r="F29" i="82" s="1"/>
  <c r="F35" i="82" s="1"/>
  <c r="P77" i="84"/>
  <c r="J11" i="82"/>
  <c r="J14" i="82" s="1"/>
  <c r="T77" i="79"/>
  <c r="F11" i="82"/>
  <c r="F14" i="82" s="1"/>
  <c r="P77" i="79"/>
  <c r="H11" i="82"/>
  <c r="H14" i="82" s="1"/>
  <c r="R77" i="79"/>
  <c r="G11" i="82"/>
  <c r="G14" i="82" s="1"/>
  <c r="Q77" i="79"/>
  <c r="I11" i="82"/>
  <c r="I14" i="82" s="1"/>
  <c r="S77" i="79"/>
  <c r="H43" i="82"/>
  <c r="G43" i="82"/>
  <c r="I43" i="82"/>
  <c r="H42" i="82"/>
  <c r="G42" i="82"/>
  <c r="J42" i="82"/>
  <c r="I42" i="82"/>
  <c r="J43" i="82"/>
  <c r="J26" i="82"/>
  <c r="G27" i="82"/>
  <c r="G28" i="82"/>
  <c r="J27" i="82"/>
  <c r="H27" i="82"/>
  <c r="G26" i="82"/>
  <c r="I26" i="82"/>
  <c r="I28" i="82"/>
  <c r="H26" i="82"/>
  <c r="J28" i="82"/>
  <c r="H28" i="82"/>
  <c r="I27" i="82"/>
  <c r="G41" i="82"/>
  <c r="I41" i="82"/>
  <c r="H41" i="82"/>
  <c r="U74" i="85"/>
  <c r="U74" i="84"/>
  <c r="U75" i="84"/>
  <c r="U76" i="84"/>
  <c r="U76" i="85"/>
  <c r="U75" i="85"/>
  <c r="U76" i="79"/>
  <c r="U75" i="79"/>
  <c r="U74" i="79"/>
  <c r="S83" i="79" l="1"/>
  <c r="S84" i="79" s="1"/>
  <c r="I14" i="70"/>
  <c r="T83" i="84"/>
  <c r="T84" i="84" s="1"/>
  <c r="J25" i="70"/>
  <c r="Q83" i="79"/>
  <c r="Q84" i="79" s="1"/>
  <c r="G14" i="70"/>
  <c r="S83" i="84"/>
  <c r="S84" i="84" s="1"/>
  <c r="I25" i="70"/>
  <c r="R83" i="85"/>
  <c r="R84" i="85" s="1"/>
  <c r="H36" i="70"/>
  <c r="P83" i="85"/>
  <c r="P84" i="85" s="1"/>
  <c r="Q83" i="84"/>
  <c r="Q84" i="84" s="1"/>
  <c r="G25" i="70"/>
  <c r="R83" i="79"/>
  <c r="R84" i="79" s="1"/>
  <c r="H14" i="70"/>
  <c r="P83" i="79"/>
  <c r="R83" i="84"/>
  <c r="R84" i="84" s="1"/>
  <c r="H25" i="70"/>
  <c r="T83" i="85"/>
  <c r="T84" i="85" s="1"/>
  <c r="J36" i="70"/>
  <c r="T83" i="79"/>
  <c r="T84" i="79" s="1"/>
  <c r="J14" i="70"/>
  <c r="Q83" i="85"/>
  <c r="Q84" i="85" s="1"/>
  <c r="G36" i="70"/>
  <c r="P83" i="84"/>
  <c r="P84" i="84" s="1"/>
  <c r="S83" i="85"/>
  <c r="S84" i="85" s="1"/>
  <c r="I36" i="70"/>
  <c r="P84" i="79"/>
  <c r="F20" i="82"/>
  <c r="J20" i="82"/>
  <c r="G20" i="82"/>
  <c r="H20" i="82"/>
  <c r="I20" i="82"/>
  <c r="H29" i="82"/>
  <c r="H35" i="82" s="1"/>
  <c r="I44" i="82"/>
  <c r="I50" i="82" s="1"/>
  <c r="J44" i="82"/>
  <c r="J50" i="82" s="1"/>
  <c r="G44" i="82"/>
  <c r="G50" i="82" s="1"/>
  <c r="J29" i="82"/>
  <c r="J35" i="82" s="1"/>
  <c r="H44" i="82"/>
  <c r="H50" i="82" s="1"/>
  <c r="I29" i="82"/>
  <c r="I35" i="82" s="1"/>
  <c r="G29" i="82"/>
  <c r="G35" i="82" s="1"/>
  <c r="U77" i="85"/>
  <c r="U83" i="85"/>
  <c r="U84" i="85" s="1"/>
  <c r="U77" i="84"/>
  <c r="U83" i="84"/>
  <c r="U84" i="84" s="1"/>
  <c r="U77" i="79"/>
  <c r="K11" i="82"/>
  <c r="K12" i="82"/>
  <c r="K13" i="82"/>
  <c r="K42" i="82"/>
  <c r="K41" i="82"/>
  <c r="K43" i="82"/>
  <c r="K33" i="70" l="1"/>
  <c r="K36" i="70" s="1"/>
  <c r="F36" i="70"/>
  <c r="F38" i="70" s="1"/>
  <c r="D85" i="84"/>
  <c r="D85" i="85"/>
  <c r="F14" i="70"/>
  <c r="F16" i="70" s="1"/>
  <c r="K11" i="70"/>
  <c r="K14" i="70" s="1"/>
  <c r="U83" i="79"/>
  <c r="D85" i="79"/>
  <c r="K22" i="70"/>
  <c r="K25" i="70" s="1"/>
  <c r="F25" i="70"/>
  <c r="F27" i="70" s="1"/>
  <c r="F52" i="82"/>
  <c r="F37" i="82"/>
  <c r="F22" i="82"/>
  <c r="U84" i="79"/>
  <c r="V84" i="79" s="1"/>
  <c r="K44" i="82"/>
  <c r="K50" i="82" s="1"/>
  <c r="K14" i="82"/>
  <c r="K20" i="82" s="1"/>
  <c r="V84" i="85"/>
  <c r="V84" i="84"/>
  <c r="L20" i="82" l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<sst xmlns="http://schemas.openxmlformats.org/spreadsheetml/2006/main" count="612" uniqueCount="123">
  <si>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</si>
  <si>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</si>
  <si>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</si>
  <si>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</si>
  <si>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</si>
  <si>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</si>
  <si>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</si>
  <si>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</si>
  <si>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</si>
  <si>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</si>
  <si>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</si>
  <si>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</si>
  <si>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</si>
  <si>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</si>
  <si>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</si>
  <si>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</si>
  <si>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</si>
  <si>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</si>
  <si>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</si>
  <si>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</si>
  <si>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</si>
  <si>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</si>
  <si>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</si>
  <si>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</si>
  <si>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</si>
  <si>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</si>
  <si>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</si>
  <si>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</si>
  <si>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</si>
  <si>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</si>
  <si>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</si>
  <si>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</si>
  <si>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</si>
  <si>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</si>
  <si>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</si>
  <si>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</si>
  <si>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</si>
  <si>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</si>
  <si>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$ 2018 (2021-26 reset)</t>
  </si>
  <si>
    <t>$ 2022/23</t>
  </si>
  <si>
    <t>$ 2023/24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</si>
  <si>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</si>
  <si>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</si>
  <si>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</si>
  <si>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</si>
  <si>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</si>
  <si>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</si>
  <si>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</si>
  <si>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</si>
  <si>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Capex</t>
  </si>
  <si>
    <t>Summary</t>
  </si>
  <si>
    <t>Capex &amp; Opex</t>
  </si>
  <si>
    <t>Check</t>
  </si>
  <si>
    <t>Summary for Regulation - for Business Case</t>
  </si>
  <si>
    <t>CapEx</t>
  </si>
  <si>
    <t>Outage validation &amp; faults data</t>
  </si>
  <si>
    <t>Outage validation &amp; faults data - Requirements, High Level Design</t>
  </si>
  <si>
    <t>Outage validation &amp; faults data - Detailed Design and Implementation -Internal</t>
  </si>
  <si>
    <t>Faults Prioritisation - Systems and Data Integration</t>
  </si>
  <si>
    <t>Faults Prioritisation -  IT Infrastructure</t>
  </si>
  <si>
    <t>Faults Prioritisation - Project Management</t>
  </si>
  <si>
    <t>Community restoration priorities</t>
  </si>
  <si>
    <t>Community restoration priorities - Requirements, High Level Design</t>
  </si>
  <si>
    <t>Community restoration priorities - Detailed Design and Implementation -Internal</t>
  </si>
  <si>
    <t>Community restoration priorities  - Systems and Data Integration</t>
  </si>
  <si>
    <t>Community restoration priorities -  IT Infrastructure</t>
  </si>
  <si>
    <t>Community restoration priorities - Project Management</t>
  </si>
  <si>
    <t xml:space="preserve">Faults simulation </t>
  </si>
  <si>
    <t>Faults simulation - Requirements, High Level Design</t>
  </si>
  <si>
    <t>Faults simulation - Detailed Design and Implementation -Internal</t>
  </si>
  <si>
    <t>Faults simulation - Detailed Design and Implementation - Vendor</t>
  </si>
  <si>
    <t>Faults simulation - Systems and Data Integration</t>
  </si>
  <si>
    <t>Faults simulation -  IT Infrastructure</t>
  </si>
  <si>
    <t>Faults simulation - Project Management</t>
  </si>
  <si>
    <t xml:space="preserve">Faults prioritisation engine </t>
  </si>
  <si>
    <t>Faults prioritisation engine - Requirements, High Level Design</t>
  </si>
  <si>
    <t>Faults prioritisation engine - Detailed Design and Implementation -Internal</t>
  </si>
  <si>
    <t>Faults prioritisation engine - Detailed Design and Implementation - Vendor</t>
  </si>
  <si>
    <t>Faults prioritisation engine - Systems and Data Integration</t>
  </si>
  <si>
    <t>Faults prioritisation engine -  IT Infrastructure</t>
  </si>
  <si>
    <t>Faults prioritisation engine - Project Management</t>
  </si>
  <si>
    <t>Dispatch</t>
  </si>
  <si>
    <t>Dispatch - Requirements, High Level Design</t>
  </si>
  <si>
    <t>Dispatch - Detailed Design and Implementation -Internal</t>
  </si>
  <si>
    <t>Dispatch - Systems and Data Integration</t>
  </si>
  <si>
    <t>Dispatch -  IT Infrastructure</t>
  </si>
  <si>
    <t>Dispatch - Project Management</t>
  </si>
  <si>
    <t>Mapinsights Visualisations</t>
  </si>
  <si>
    <t>fault prioritisation &amp; dispatch outcomes views</t>
  </si>
  <si>
    <t>Community priorities for restoration, critical community assets &amp; vulnerable communities view</t>
  </si>
  <si>
    <t>Resilience KPIs &amp; extreme emergency event performance visualisation</t>
  </si>
  <si>
    <t>IT support team (1 person)</t>
  </si>
  <si>
    <t>Community restoration priorities - Detailed Design and Implementation -Vendor</t>
  </si>
  <si>
    <t xml:space="preserve">Visualisation platform (Internal &amp; External)							</t>
  </si>
  <si>
    <t>High level design platform (foundation)</t>
  </si>
  <si>
    <t>Detailed design &amp; implementation (platform) (foundation)</t>
  </si>
  <si>
    <t>UI design (foundation)</t>
  </si>
  <si>
    <t>Integration &amp; onboarding of core data layers (foundation)</t>
  </si>
  <si>
    <t xml:space="preserve">Development of insights							</t>
  </si>
  <si>
    <t>Base case (no investment)</t>
  </si>
  <si>
    <t>Enhanced capability</t>
  </si>
  <si>
    <t>Further enhanced capability with public view</t>
  </si>
  <si>
    <t>Regulatory proposal 2026-31</t>
  </si>
  <si>
    <t>Model number:</t>
  </si>
  <si>
    <t>Situational awareness</t>
  </si>
  <si>
    <t>June 2023</t>
  </si>
  <si>
    <t>June 2024</t>
  </si>
  <si>
    <t>June 2025</t>
  </si>
  <si>
    <t>June 2026</t>
  </si>
  <si>
    <t>Lagged conversion to Jun 26</t>
  </si>
  <si>
    <t xml:space="preserve">Escalation: </t>
  </si>
  <si>
    <t>Summary ($ June 2026)</t>
  </si>
  <si>
    <t>United Energy &amp; Powercor</t>
  </si>
  <si>
    <t>Opex (excl real price escalation)</t>
  </si>
  <si>
    <t xml:space="preserve">Opex (incl real price escalation) * </t>
  </si>
  <si>
    <t>Totex</t>
  </si>
  <si>
    <t>($ June 2026)</t>
  </si>
  <si>
    <t>Opex (incl real price escalation) **</t>
  </si>
  <si>
    <t>applied to opex</t>
  </si>
  <si>
    <t>incorrect series applied to capex, will be updated in the revised proposal</t>
  </si>
  <si>
    <t>Investment decision support for climate &amp; resilience vulnerabilities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</si>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</sst>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0074AF"/>
      <name val="Segoe UI Semilight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2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0" fillId="0" borderId="2" xfId="0" applyBorder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0" fontId="24" fillId="0" borderId="2" xfId="0" applyFont="1" applyBorder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0" fontId="0" fillId="0" borderId="0" xfId="0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34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1" fillId="0" borderId="5" xfId="0" applyFont="1" applyBorder="1"/>
    <xf numFmtId="0" fontId="42" fillId="2" borderId="6" xfId="0" applyFont="1" applyFill="1" applyBorder="1" applyAlignment="1" applyProtection="1">
      <alignment vertical="center"/>
      <protection locked="0"/>
    </xf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173" fontId="49" fillId="0" borderId="0" xfId="33" applyNumberFormat="1" applyFont="1" applyAlignment="1">
      <alignment horizontal="left"/>
    </xf>
    <xf numFmtId="0" fontId="50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3" fillId="0" borderId="0" xfId="0" applyNumberFormat="1" applyFont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0" fontId="51" fillId="0" borderId="5" xfId="0" applyFont="1" applyBorder="1"/>
    <xf numFmtId="6" fontId="51" fillId="0" borderId="5" xfId="0" applyNumberFormat="1" applyFont="1" applyBorder="1"/>
    <xf numFmtId="0" fontId="26" fillId="0" borderId="0" xfId="0" applyFont="1" applyAlignment="1">
      <alignment horizontal="left"/>
    </xf>
    <xf numFmtId="0" fontId="52" fillId="0" borderId="0" xfId="0" applyFont="1"/>
    <xf numFmtId="0" fontId="53" fillId="0" borderId="0" xfId="0" applyFont="1"/>
    <xf numFmtId="0" fontId="26" fillId="0" borderId="0" xfId="0" applyFont="1" applyAlignment="1">
      <alignment horizontal="right"/>
    </xf>
    <xf numFmtId="169" fontId="26" fillId="0" borderId="0" xfId="0" applyNumberFormat="1" applyFont="1" applyAlignment="1">
      <alignment horizontal="right"/>
    </xf>
    <xf numFmtId="10" fontId="30" fillId="0" borderId="0" xfId="26" applyNumberFormat="1" applyFont="1" applyFill="1"/>
    <xf numFmtId="174" fontId="47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0DAC4700-A7D3-4DB4-9D2D-F1270E9402BD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6B1B6446-3DAB-45AE-9226-1BBBA0A878A7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DAA63EA3-39B9-46E7-9AAF-FA431CFF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9EE4-6255-4D3B-AA7D-0E8C067C1944}">
  <sheetPr>
    <tabColor theme="1" tint="0.34998626667073579"/>
  </sheetPr>
  <dimension ref="A1:K43"/>
  <sheetViews>
    <sheetView showGridLines="0" workbookViewId="0">
      <selection activeCell="C31" sqref="C31"/>
    </sheetView>
  </sheetViews>
  <sheetFormatPr defaultColWidth="0" defaultRowHeight="12.75" customHeight="1" zeroHeight="1" x14ac:dyDescent="0.2"/>
  <cols>
    <col min="1" max="1" width="12.42578125" style="118" customWidth="1"/>
    <col min="2" max="2" width="2.42578125" style="118" customWidth="1"/>
    <col min="3" max="3" width="16.28515625" style="118" customWidth="1"/>
    <col min="4" max="11" width="10.28515625" style="118" customWidth="1"/>
    <col min="12" max="16384" width="10.28515625" style="118" hidden="1"/>
  </cols>
  <sheetData>
    <row r="1" spans="1:11" ht="15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3.25" x14ac:dyDescent="0.35">
      <c r="A2" s="116"/>
      <c r="B2" s="117"/>
      <c r="C2" s="119" t="s">
        <v>1</v>
      </c>
      <c r="D2" s="120"/>
      <c r="E2" s="120"/>
      <c r="F2" s="117"/>
      <c r="G2" s="117"/>
      <c r="H2" s="117"/>
      <c r="I2" s="117"/>
      <c r="J2" s="117"/>
      <c r="K2" s="117"/>
    </row>
    <row r="3" spans="1:11" ht="15.75" x14ac:dyDescent="0.25">
      <c r="A3" s="116"/>
      <c r="B3" s="117"/>
      <c r="C3" s="121" t="s">
        <v>102</v>
      </c>
      <c r="D3" s="120"/>
      <c r="E3" s="120"/>
      <c r="F3" s="117"/>
      <c r="G3" s="117"/>
      <c r="H3" s="117"/>
      <c r="I3" s="117"/>
      <c r="J3" s="117"/>
      <c r="K3" s="117"/>
    </row>
    <row r="4" spans="1:11" ht="15" x14ac:dyDescent="0.25">
      <c r="A4" s="116"/>
      <c r="B4" s="117"/>
      <c r="C4" s="117"/>
      <c r="D4" s="120"/>
      <c r="E4" s="120"/>
      <c r="F4" s="117"/>
      <c r="G4" s="117"/>
      <c r="H4" s="117"/>
      <c r="I4" s="117"/>
      <c r="J4" s="117"/>
      <c r="K4" s="117"/>
    </row>
    <row r="5" spans="1:11" ht="15" x14ac:dyDescent="0.25">
      <c r="A5" s="116"/>
      <c r="B5" s="117"/>
      <c r="C5" s="122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Situational awareness cost</v>
      </c>
      <c r="D5" s="117"/>
      <c r="E5" s="117"/>
      <c r="F5" s="117"/>
      <c r="G5" s="117"/>
      <c r="H5" s="117"/>
      <c r="I5" s="117"/>
      <c r="J5" s="117"/>
      <c r="K5" s="117"/>
    </row>
    <row r="6" spans="1:11" ht="15" x14ac:dyDescent="0.25">
      <c r="A6" s="116"/>
      <c r="B6" s="117"/>
      <c r="C6" s="123" t="s">
        <v>103</v>
      </c>
      <c r="D6" s="142" t="str" cm="1">
        <f t="array" aca="1" ref="D6" ca="1">LEFT(_xlfn.TEXTAFTER(CELL("filename")," MOD "),FIND(" - ",_xlfn.TEXTAFTER(CELL("filename")," MOD "),1)-1)</f>
        <v>5.08</v>
      </c>
      <c r="E6" s="123"/>
      <c r="F6" s="117"/>
      <c r="G6" s="117"/>
      <c r="H6" s="117"/>
      <c r="I6" s="117"/>
      <c r="J6" s="117"/>
      <c r="K6" s="117"/>
    </row>
    <row r="7" spans="1:11" ht="15" x14ac:dyDescent="0.25">
      <c r="A7" s="116"/>
      <c r="B7" s="117"/>
      <c r="C7" s="117"/>
      <c r="D7" s="117"/>
      <c r="E7" s="117"/>
      <c r="F7" s="124"/>
      <c r="G7" s="124"/>
      <c r="H7" s="124"/>
      <c r="I7" s="117"/>
      <c r="J7" s="124"/>
      <c r="K7" s="124"/>
    </row>
    <row r="8" spans="1:11" ht="15" x14ac:dyDescent="0.25">
      <c r="A8" s="116"/>
      <c r="B8" s="117"/>
      <c r="C8" s="125">
        <v>45688</v>
      </c>
      <c r="D8" s="117"/>
      <c r="E8" s="117"/>
      <c r="F8" s="124"/>
      <c r="G8" s="124"/>
      <c r="H8" s="124"/>
      <c r="I8" s="117"/>
      <c r="J8" s="124"/>
      <c r="K8" s="124"/>
    </row>
    <row r="9" spans="1:11" ht="15" x14ac:dyDescent="0.25">
      <c r="A9" s="116"/>
      <c r="B9" s="117"/>
      <c r="C9" s="126"/>
      <c r="D9" s="126"/>
      <c r="E9" s="117"/>
      <c r="F9" s="124"/>
      <c r="G9" s="124"/>
      <c r="H9" s="124"/>
      <c r="I9" s="124"/>
      <c r="J9" s="124"/>
      <c r="K9" s="124"/>
    </row>
    <row r="10" spans="1:11" ht="15" x14ac:dyDescent="0.25">
      <c r="A10" s="116"/>
      <c r="B10" s="117"/>
      <c r="C10" s="126"/>
      <c r="D10" s="126"/>
      <c r="E10" s="117"/>
      <c r="F10" s="124"/>
      <c r="G10" s="124"/>
      <c r="H10" s="124"/>
      <c r="I10" s="124"/>
      <c r="J10" s="124"/>
      <c r="K10" s="124"/>
    </row>
    <row r="11" spans="1:11" ht="15" x14ac:dyDescent="0.25">
      <c r="A11" s="116"/>
      <c r="B11" s="117"/>
      <c r="C11" s="126"/>
      <c r="D11" s="126"/>
      <c r="E11" s="117"/>
      <c r="F11" s="124"/>
      <c r="G11" s="124"/>
      <c r="H11" s="124"/>
      <c r="I11" s="124"/>
      <c r="J11" s="124"/>
      <c r="K11" s="124"/>
    </row>
    <row r="12" spans="1:11" ht="15" x14ac:dyDescent="0.25">
      <c r="A12" s="116"/>
      <c r="B12" s="117"/>
      <c r="C12" s="126"/>
      <c r="D12" s="126"/>
      <c r="E12" s="117"/>
      <c r="F12" s="124"/>
      <c r="G12" s="124"/>
      <c r="H12" s="124"/>
      <c r="I12" s="124"/>
      <c r="J12" s="124"/>
      <c r="K12" s="124"/>
    </row>
    <row r="13" spans="1:11" ht="15" x14ac:dyDescent="0.25">
      <c r="A13" s="116"/>
      <c r="B13" s="117"/>
      <c r="C13" s="126"/>
      <c r="D13" s="126"/>
      <c r="E13" s="117"/>
      <c r="F13" s="124"/>
      <c r="G13" s="124"/>
      <c r="H13" s="124"/>
      <c r="I13" s="124"/>
      <c r="J13" s="124"/>
      <c r="K13" s="124"/>
    </row>
    <row r="14" spans="1:11" ht="15" x14ac:dyDescent="0.25">
      <c r="A14" s="116"/>
      <c r="B14" s="117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15" x14ac:dyDescent="0.25">
      <c r="A15" s="116"/>
      <c r="B15" s="117"/>
      <c r="C15" s="122"/>
      <c r="D15" s="124"/>
      <c r="E15" s="124"/>
      <c r="F15" s="124"/>
      <c r="G15" s="124"/>
      <c r="H15" s="124"/>
      <c r="I15" s="124"/>
      <c r="J15" s="124"/>
      <c r="K15" s="124"/>
    </row>
    <row r="16" spans="1:11" ht="15" x14ac:dyDescent="0.25">
      <c r="A16" s="116"/>
      <c r="B16" s="117"/>
      <c r="C16" s="122"/>
      <c r="D16" s="124"/>
      <c r="E16" s="124"/>
      <c r="F16" s="124"/>
      <c r="G16" s="124"/>
      <c r="H16" s="124"/>
      <c r="I16" s="124"/>
      <c r="J16" s="124"/>
      <c r="K16" s="124"/>
    </row>
    <row r="17" spans="1:11" ht="15" x14ac:dyDescent="0.25">
      <c r="A17" s="116"/>
      <c r="B17" s="117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ht="15" x14ac:dyDescent="0.25">
      <c r="A18" s="116"/>
      <c r="B18" s="117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15" x14ac:dyDescent="0.25">
      <c r="A19" s="116"/>
      <c r="B19" s="117"/>
      <c r="C19" s="124"/>
      <c r="D19" s="124"/>
      <c r="E19" s="124"/>
      <c r="F19" s="124"/>
      <c r="H19" s="124"/>
      <c r="I19" s="124"/>
      <c r="J19" s="124"/>
      <c r="K19" s="124"/>
    </row>
    <row r="20" spans="1:11" ht="15" x14ac:dyDescent="0.25">
      <c r="A20" s="116"/>
      <c r="B20" s="117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ht="15" x14ac:dyDescent="0.25">
      <c r="A21" s="116"/>
      <c r="B21" s="117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15" x14ac:dyDescent="0.25">
      <c r="A22" s="116"/>
      <c r="B22" s="117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ht="15" x14ac:dyDescent="0.25">
      <c r="A23" s="116"/>
      <c r="B23" s="117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ht="15" x14ac:dyDescent="0.25">
      <c r="A24" s="116"/>
      <c r="B24" s="117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15" x14ac:dyDescent="0.25">
      <c r="A25" s="116"/>
      <c r="B25" s="117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ht="15" x14ac:dyDescent="0.25">
      <c r="A26" s="116"/>
      <c r="B26" s="117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ht="15" x14ac:dyDescent="0.25">
      <c r="A27" s="116"/>
      <c r="B27" s="117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15" x14ac:dyDescent="0.25">
      <c r="A28" s="116"/>
      <c r="B28" s="117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" x14ac:dyDescent="0.25">
      <c r="A29" s="116"/>
      <c r="B29" s="117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15" x14ac:dyDescent="0.25">
      <c r="A30" s="116"/>
      <c r="B30" s="117"/>
      <c r="C30" s="124"/>
      <c r="D30" s="117"/>
      <c r="E30" s="124"/>
      <c r="F30" s="124"/>
      <c r="G30" s="124"/>
      <c r="H30" s="124"/>
      <c r="I30" s="124"/>
      <c r="J30" s="124"/>
      <c r="K30" s="124"/>
    </row>
    <row r="31" spans="1:11" ht="15" x14ac:dyDescent="0.25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/>
    </row>
    <row r="32" spans="1:11" ht="15" x14ac:dyDescent="0.25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 ht="15" x14ac:dyDescent="0.2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15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ht="15" x14ac:dyDescent="0.2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15" x14ac:dyDescent="0.2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15" x14ac:dyDescent="0.2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15" x14ac:dyDescent="0.2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7"/>
    </row>
    <row r="39" spans="1:11" ht="15" x14ac:dyDescent="0.2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1" ht="15" x14ac:dyDescent="0.2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1" ht="15" x14ac:dyDescent="0.25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15" x14ac:dyDescent="0.2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7"/>
    </row>
    <row r="43" spans="1:11" ht="15" x14ac:dyDescent="0.2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40"/>
  <sheetViews>
    <sheetView showGridLines="0" tabSelected="1" zoomScale="85" zoomScaleNormal="85" workbookViewId="0">
      <selection activeCell="O24" sqref="O24"/>
    </sheetView>
  </sheetViews>
  <sheetFormatPr defaultColWidth="9.140625" defaultRowHeight="12.75" x14ac:dyDescent="0.2"/>
  <cols>
    <col min="1" max="1" width="4.28515625" style="1" customWidth="1"/>
    <col min="2" max="2" width="9.7109375" style="1" customWidth="1"/>
    <col min="3" max="3" width="18.85546875" style="1" bestFit="1" customWidth="1"/>
    <col min="4" max="4" width="13.85546875" style="1" customWidth="1"/>
    <col min="5" max="5" width="2.85546875" style="1" customWidth="1"/>
    <col min="6" max="11" width="12.42578125" style="1" customWidth="1"/>
    <col min="12" max="12" width="2.42578125" style="1" customWidth="1"/>
    <col min="13" max="13" width="5.85546875" style="1" customWidth="1"/>
    <col min="14" max="16384" width="9.140625" style="1"/>
  </cols>
  <sheetData>
    <row r="1" spans="1:16" ht="21" x14ac:dyDescent="0.35">
      <c r="A1" s="14" t="str">
        <f>Project_name</f>
        <v>Situational awareness</v>
      </c>
      <c r="B1" s="14"/>
      <c r="C1" s="11"/>
      <c r="D1" s="11"/>
      <c r="E1" s="11"/>
      <c r="F1" s="11"/>
      <c r="G1" s="11"/>
      <c r="H1" s="11"/>
      <c r="I1" s="14"/>
      <c r="J1" s="14"/>
      <c r="K1" s="14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3"/>
      <c r="J2" s="13"/>
      <c r="K2" s="13"/>
    </row>
    <row r="3" spans="1:16" s="18" customFormat="1" ht="15.75" x14ac:dyDescent="0.25">
      <c r="A3" s="30" t="s">
        <v>111</v>
      </c>
      <c r="B3" s="28"/>
      <c r="C3" s="29"/>
      <c r="D3" s="29"/>
      <c r="E3" s="29"/>
      <c r="F3" s="29"/>
      <c r="G3" s="29"/>
      <c r="H3" s="29"/>
      <c r="I3" s="13"/>
      <c r="J3" s="13"/>
      <c r="K3" s="13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49</v>
      </c>
      <c r="D11" s="110"/>
      <c r="E11" s="2"/>
      <c r="F11" s="6">
        <f>'Option 1'!P77*Assumptions!$B$18</f>
        <v>0</v>
      </c>
      <c r="G11" s="6">
        <f>'Option 1'!Q77*Assumptions!$B$18</f>
        <v>0</v>
      </c>
      <c r="H11" s="6">
        <f>'Option 1'!R77*Assumptions!$B$18</f>
        <v>0</v>
      </c>
      <c r="I11" s="6">
        <f>'Option 1'!S77*Assumptions!$B$18</f>
        <v>0</v>
      </c>
      <c r="J11" s="6">
        <f>'Option 1'!T77*Assumptions!$B$18</f>
        <v>0</v>
      </c>
      <c r="K11" s="6">
        <f>SUM(F11:J11)</f>
        <v>0</v>
      </c>
      <c r="P11"/>
    </row>
    <row r="12" spans="1:16" ht="12.75" customHeight="1" x14ac:dyDescent="0.25">
      <c r="C12" s="1" t="s">
        <v>113</v>
      </c>
      <c r="D12" s="110"/>
      <c r="E12" s="2"/>
      <c r="F12" s="6">
        <f>'Option 1'!P78*Assumptions!$B$18</f>
        <v>0</v>
      </c>
      <c r="G12" s="6">
        <f>'Option 1'!Q78*Assumptions!$B$18</f>
        <v>0</v>
      </c>
      <c r="H12" s="6">
        <f>'Option 1'!R78*Assumptions!$B$18</f>
        <v>0</v>
      </c>
      <c r="I12" s="6">
        <f>'Option 1'!S78*Assumptions!$B$18</f>
        <v>0</v>
      </c>
      <c r="J12" s="6">
        <f>'Option 1'!T78*Assumptions!$B$18</f>
        <v>0</v>
      </c>
      <c r="K12" s="6">
        <f>SUM(F12:J12)</f>
        <v>0</v>
      </c>
      <c r="P12"/>
    </row>
    <row r="13" spans="1:16" ht="12.75" customHeight="1" x14ac:dyDescent="0.2">
      <c r="C13" s="1" t="s">
        <v>114</v>
      </c>
      <c r="D13" s="110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</row>
    <row r="14" spans="1:16" ht="12.75" customHeight="1" x14ac:dyDescent="0.2">
      <c r="C14" s="104" t="s">
        <v>115</v>
      </c>
      <c r="D14" s="134" t="s">
        <v>116</v>
      </c>
      <c r="E14" s="104"/>
      <c r="F14" s="108">
        <f>F11+F13</f>
        <v>0</v>
      </c>
      <c r="G14" s="108">
        <f t="shared" ref="G14:K14" si="0">G11+G13</f>
        <v>0</v>
      </c>
      <c r="H14" s="108">
        <f t="shared" si="0"/>
        <v>0</v>
      </c>
      <c r="I14" s="108">
        <f t="shared" si="0"/>
        <v>0</v>
      </c>
      <c r="J14" s="108">
        <f t="shared" si="0"/>
        <v>0</v>
      </c>
      <c r="K14" s="108">
        <f t="shared" si="0"/>
        <v>0</v>
      </c>
    </row>
    <row r="15" spans="1:16" ht="12.75" customHeight="1" x14ac:dyDescent="0.2">
      <c r="D15" s="110"/>
      <c r="F15" s="6"/>
      <c r="G15" s="6"/>
      <c r="H15" s="6"/>
      <c r="I15" s="6"/>
      <c r="J15" s="6"/>
      <c r="K15" s="6"/>
    </row>
    <row r="16" spans="1:16" ht="12.75" customHeight="1" x14ac:dyDescent="0.2">
      <c r="C16" s="104" t="s">
        <v>18</v>
      </c>
      <c r="D16" s="134"/>
      <c r="E16" s="134"/>
      <c r="F16" s="135">
        <f>NPV(Real_Discount_rate,F14:J14)</f>
        <v>0</v>
      </c>
      <c r="G16" s="6"/>
      <c r="H16" s="6"/>
      <c r="I16" s="6"/>
      <c r="J16" s="6"/>
      <c r="K16" s="6"/>
    </row>
    <row r="17" spans="2:11" ht="12.75" customHeight="1" x14ac:dyDescent="0.2">
      <c r="D17" s="110"/>
      <c r="F17" s="6"/>
      <c r="G17" s="6"/>
      <c r="H17" s="6"/>
      <c r="I17" s="6"/>
      <c r="J17" s="6"/>
      <c r="K17" s="6"/>
    </row>
    <row r="18" spans="2:11" ht="12.75" customHeight="1" x14ac:dyDescent="0.2">
      <c r="B18" s="4"/>
      <c r="C18" s="1" t="s">
        <v>121</v>
      </c>
      <c r="D18" s="4"/>
      <c r="E18" s="4"/>
      <c r="F18" s="23"/>
      <c r="G18" s="23"/>
      <c r="H18" s="23"/>
      <c r="I18" s="23"/>
      <c r="J18" s="23"/>
      <c r="K18" s="23"/>
    </row>
    <row r="19" spans="2:11" ht="12.75" customHeight="1" x14ac:dyDescent="0.2">
      <c r="B19" s="4"/>
      <c r="C19" s="4"/>
      <c r="D19" s="4"/>
      <c r="E19" s="4"/>
      <c r="F19" s="23"/>
      <c r="G19" s="23"/>
      <c r="H19" s="23"/>
      <c r="I19" s="23"/>
      <c r="J19" s="23"/>
      <c r="K19" s="23"/>
    </row>
    <row r="20" spans="2:11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1" ht="12.75" customHeight="1" x14ac:dyDescent="0.2">
      <c r="B21" s="36" t="s">
        <v>19</v>
      </c>
      <c r="C21" s="36" t="s">
        <v>5</v>
      </c>
      <c r="D21" s="36"/>
      <c r="E21" s="37"/>
      <c r="F21" s="38" t="str">
        <f>F$10</f>
        <v>2026/27</v>
      </c>
      <c r="G21" s="38" t="str">
        <f t="shared" ref="G21:J21" si="1">G$10</f>
        <v>2027/28</v>
      </c>
      <c r="H21" s="38" t="str">
        <f t="shared" si="1"/>
        <v>2028/29</v>
      </c>
      <c r="I21" s="38" t="str">
        <f t="shared" si="1"/>
        <v>2029/30</v>
      </c>
      <c r="J21" s="38" t="str">
        <f t="shared" si="1"/>
        <v>2030/31</v>
      </c>
      <c r="K21" s="75" t="s">
        <v>0</v>
      </c>
    </row>
    <row r="22" spans="2:11" ht="12.75" customHeight="1" x14ac:dyDescent="0.2">
      <c r="C22" s="1" t="s">
        <v>49</v>
      </c>
      <c r="D22" s="110"/>
      <c r="E22" s="2"/>
      <c r="F22" s="6">
        <f>'Option 2'!P77*Assumptions!$B$18</f>
        <v>1504771.2496160665</v>
      </c>
      <c r="G22" s="6">
        <f>'Option 2'!Q77*Assumptions!$B$18</f>
        <v>0</v>
      </c>
      <c r="H22" s="6">
        <f>'Option 2'!R77*Assumptions!$B$18</f>
        <v>0</v>
      </c>
      <c r="I22" s="6">
        <f>'Option 2'!S77*Assumptions!$B$18</f>
        <v>0</v>
      </c>
      <c r="J22" s="6">
        <f>'Option 2'!T77*Assumptions!$B$18</f>
        <v>0</v>
      </c>
      <c r="K22" s="6">
        <f>SUM(F22:J22)</f>
        <v>1504771.2496160665</v>
      </c>
    </row>
    <row r="23" spans="2:11" x14ac:dyDescent="0.2">
      <c r="C23" s="1" t="s">
        <v>113</v>
      </c>
      <c r="D23" s="110"/>
      <c r="E23" s="2"/>
      <c r="F23" s="6">
        <f>'Option 2'!P81*Assumptions!$B$18</f>
        <v>64895.00881517784</v>
      </c>
      <c r="G23" s="6">
        <f>'Option 2'!Q81*Assumptions!$B$18</f>
        <v>129790.01763035568</v>
      </c>
      <c r="H23" s="6">
        <f>'Option 2'!R81*Assumptions!$B$18</f>
        <v>129790.01763035568</v>
      </c>
      <c r="I23" s="6">
        <f>'Option 2'!S81*Assumptions!$B$18</f>
        <v>129790.01763035568</v>
      </c>
      <c r="J23" s="6">
        <f>'Option 2'!T81*Assumptions!$B$18</f>
        <v>129790.01763035568</v>
      </c>
      <c r="K23" s="6">
        <f>SUM(F23:J23)</f>
        <v>584055.07933660061</v>
      </c>
    </row>
    <row r="24" spans="2:11" x14ac:dyDescent="0.2">
      <c r="C24" s="1" t="s">
        <v>117</v>
      </c>
      <c r="D24" s="110"/>
      <c r="F24" s="6">
        <v>67478.187400378432</v>
      </c>
      <c r="G24" s="6">
        <v>136037.95900832518</v>
      </c>
      <c r="H24" s="6">
        <v>137286.0774952278</v>
      </c>
      <c r="I24" s="6">
        <v>138677.28129219869</v>
      </c>
      <c r="J24" s="6">
        <v>140020.36706237809</v>
      </c>
      <c r="K24" s="6">
        <f>SUM(F24:J24)</f>
        <v>619499.87225850823</v>
      </c>
    </row>
    <row r="25" spans="2:11" x14ac:dyDescent="0.2">
      <c r="C25" s="104" t="s">
        <v>115</v>
      </c>
      <c r="D25" s="134" t="s">
        <v>116</v>
      </c>
      <c r="E25" s="104"/>
      <c r="F25" s="108">
        <f>F22+F24</f>
        <v>1572249.437016445</v>
      </c>
      <c r="G25" s="108">
        <f t="shared" ref="G25:K25" si="2">G22+G24</f>
        <v>136037.95900832518</v>
      </c>
      <c r="H25" s="108">
        <f t="shared" si="2"/>
        <v>137286.0774952278</v>
      </c>
      <c r="I25" s="108">
        <f t="shared" si="2"/>
        <v>138677.28129219869</v>
      </c>
      <c r="J25" s="108">
        <f t="shared" si="2"/>
        <v>140020.36706237809</v>
      </c>
      <c r="K25" s="108">
        <f t="shared" si="2"/>
        <v>2124271.1218745746</v>
      </c>
    </row>
    <row r="26" spans="2:11" x14ac:dyDescent="0.2">
      <c r="D26" s="110"/>
      <c r="F26" s="6"/>
      <c r="G26" s="6"/>
      <c r="H26" s="6"/>
      <c r="I26" s="6"/>
      <c r="J26" s="6"/>
      <c r="K26" s="6"/>
    </row>
    <row r="27" spans="2:11" x14ac:dyDescent="0.2">
      <c r="C27" s="104" t="s">
        <v>18</v>
      </c>
      <c r="D27" s="134"/>
      <c r="E27" s="134"/>
      <c r="F27" s="135">
        <f>NPV(Real_Discount_rate,F25:J25)</f>
        <v>2008641.279055933</v>
      </c>
      <c r="G27" s="6"/>
      <c r="H27" s="6"/>
      <c r="I27" s="6"/>
      <c r="J27" s="6"/>
      <c r="K27" s="6"/>
    </row>
    <row r="28" spans="2:11" x14ac:dyDescent="0.2">
      <c r="D28" s="110"/>
      <c r="F28" s="6"/>
      <c r="G28" s="6"/>
      <c r="H28" s="6"/>
      <c r="I28" s="6"/>
      <c r="J28" s="6"/>
      <c r="K28" s="6"/>
    </row>
    <row r="29" spans="2:11" x14ac:dyDescent="0.2">
      <c r="C29" s="1" t="s">
        <v>122</v>
      </c>
    </row>
    <row r="32" spans="2:11" x14ac:dyDescent="0.2">
      <c r="B32" s="36" t="s">
        <v>3</v>
      </c>
      <c r="C32" s="36" t="s">
        <v>5</v>
      </c>
      <c r="D32" s="36"/>
      <c r="E32" s="37"/>
      <c r="F32" s="38" t="str">
        <f>F$10</f>
        <v>2026/27</v>
      </c>
      <c r="G32" s="38" t="str">
        <f t="shared" ref="G32:J32" si="3">G$10</f>
        <v>2027/28</v>
      </c>
      <c r="H32" s="38" t="str">
        <f t="shared" si="3"/>
        <v>2028/29</v>
      </c>
      <c r="I32" s="38" t="str">
        <f t="shared" si="3"/>
        <v>2029/30</v>
      </c>
      <c r="J32" s="38" t="str">
        <f t="shared" si="3"/>
        <v>2030/31</v>
      </c>
      <c r="K32" s="75" t="s">
        <v>0</v>
      </c>
    </row>
    <row r="33" spans="3:11" x14ac:dyDescent="0.2">
      <c r="C33" s="1" t="s">
        <v>49</v>
      </c>
      <c r="D33" s="110"/>
      <c r="E33" s="2"/>
      <c r="F33" s="6">
        <f>'Option 3'!P77*Assumptions!$B$18</f>
        <v>2852134.1478012735</v>
      </c>
      <c r="G33" s="6">
        <f>'Option 3'!Q77*Assumptions!$B$18</f>
        <v>231852.47367245361</v>
      </c>
      <c r="H33" s="6">
        <f>'Option 3'!R77*Assumptions!$B$18</f>
        <v>0</v>
      </c>
      <c r="I33" s="6">
        <f>'Option 3'!S77*Assumptions!$B$18</f>
        <v>0</v>
      </c>
      <c r="J33" s="6">
        <f>'Option 3'!T77*Assumptions!$B$18</f>
        <v>0</v>
      </c>
      <c r="K33" s="6">
        <f>SUM(F33:J33)</f>
        <v>3083986.6214737273</v>
      </c>
    </row>
    <row r="34" spans="3:11" x14ac:dyDescent="0.2">
      <c r="C34" s="1" t="s">
        <v>113</v>
      </c>
      <c r="D34" s="110"/>
      <c r="E34" s="2"/>
      <c r="F34" s="6">
        <f>'Option 3'!P81*Assumptions!$B$18</f>
        <v>482237.25122140156</v>
      </c>
      <c r="G34" s="6">
        <f>'Option 3'!Q81*Assumptions!$B$18</f>
        <v>547132.26003657945</v>
      </c>
      <c r="H34" s="6">
        <f>'Option 3'!R81*Assumptions!$B$18</f>
        <v>547132.26003657945</v>
      </c>
      <c r="I34" s="6">
        <f>'Option 3'!S81*Assumptions!$B$18</f>
        <v>547132.26003657945</v>
      </c>
      <c r="J34" s="6">
        <f>'Option 3'!T81*Assumptions!$B$18</f>
        <v>547132.26003657945</v>
      </c>
      <c r="K34" s="6">
        <f>SUM(F34:J34)</f>
        <v>2670766.2913677189</v>
      </c>
    </row>
    <row r="35" spans="3:11" x14ac:dyDescent="0.2">
      <c r="C35" s="1" t="s">
        <v>114</v>
      </c>
      <c r="D35" s="110"/>
      <c r="F35" s="6">
        <v>501432.94844195229</v>
      </c>
      <c r="G35" s="6">
        <v>573470.57440864714</v>
      </c>
      <c r="H35" s="6">
        <v>578732.04136119306</v>
      </c>
      <c r="I35" s="6">
        <v>584596.68712906702</v>
      </c>
      <c r="J35" s="6">
        <v>590258.4904501366</v>
      </c>
      <c r="K35" s="6">
        <f>SUM(F35:J35)</f>
        <v>2828490.7417909959</v>
      </c>
    </row>
    <row r="36" spans="3:11" x14ac:dyDescent="0.2">
      <c r="C36" s="104" t="s">
        <v>115</v>
      </c>
      <c r="D36" s="134" t="s">
        <v>116</v>
      </c>
      <c r="E36" s="104"/>
      <c r="F36" s="108">
        <f>F33+F35</f>
        <v>3353567.096243226</v>
      </c>
      <c r="G36" s="108">
        <f t="shared" ref="G36:K36" si="4">G33+G35</f>
        <v>805323.04808110069</v>
      </c>
      <c r="H36" s="108">
        <f t="shared" si="4"/>
        <v>578732.04136119306</v>
      </c>
      <c r="I36" s="108">
        <f t="shared" si="4"/>
        <v>584596.68712906702</v>
      </c>
      <c r="J36" s="108">
        <f t="shared" si="4"/>
        <v>590258.4904501366</v>
      </c>
      <c r="K36" s="108">
        <f t="shared" si="4"/>
        <v>5912477.3632647227</v>
      </c>
    </row>
    <row r="37" spans="3:11" x14ac:dyDescent="0.2">
      <c r="D37" s="110"/>
      <c r="F37" s="6"/>
      <c r="G37" s="6"/>
      <c r="H37" s="6"/>
      <c r="I37" s="6"/>
      <c r="J37" s="6"/>
      <c r="K37" s="6"/>
    </row>
    <row r="38" spans="3:11" x14ac:dyDescent="0.2">
      <c r="C38" s="104" t="s">
        <v>18</v>
      </c>
      <c r="D38" s="134"/>
      <c r="E38" s="134"/>
      <c r="F38" s="135">
        <f>NPV(Real_Discount_rate,F36:J36)</f>
        <v>5520346.321329508</v>
      </c>
      <c r="G38" s="6"/>
      <c r="H38" s="6"/>
      <c r="I38" s="6"/>
      <c r="J38" s="6"/>
      <c r="K38" s="6"/>
    </row>
    <row r="39" spans="3:11" x14ac:dyDescent="0.2">
      <c r="D39" s="110"/>
      <c r="F39" s="6"/>
      <c r="G39" s="6"/>
      <c r="H39" s="6"/>
      <c r="I39" s="6"/>
      <c r="J39" s="6"/>
      <c r="K39" s="6"/>
    </row>
    <row r="40" spans="3:11" x14ac:dyDescent="0.2">
      <c r="C40" s="1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topLeftCell="A2" zoomScale="85" zoomScaleNormal="85" workbookViewId="0">
      <selection activeCell="F26" sqref="F26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Situational awareness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United Energy &amp; Powercor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8" t="str">
        <f>'Powercor summary'!$D$6</f>
        <v>Option 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5" t="s">
        <v>0</v>
      </c>
      <c r="P10"/>
    </row>
    <row r="11" spans="1:16" ht="12.75" customHeight="1" x14ac:dyDescent="0.25">
      <c r="C11" s="1" t="s">
        <v>11</v>
      </c>
      <c r="D11" s="110" t="s">
        <v>12</v>
      </c>
      <c r="E11" s="2"/>
      <c r="F11" s="6">
        <f>'Option 1'!P74</f>
        <v>0</v>
      </c>
      <c r="G11" s="6">
        <f>'Option 1'!Q74</f>
        <v>0</v>
      </c>
      <c r="H11" s="6">
        <f>'Option 1'!R74</f>
        <v>0</v>
      </c>
      <c r="I11" s="6">
        <f>'Option 1'!S74</f>
        <v>0</v>
      </c>
      <c r="J11" s="6">
        <f>'Option 1'!T74</f>
        <v>0</v>
      </c>
      <c r="K11" s="6">
        <f>SUM(F11:J11)</f>
        <v>0</v>
      </c>
      <c r="M11" s="101"/>
      <c r="P11"/>
    </row>
    <row r="12" spans="1:16" ht="12.75" customHeight="1" x14ac:dyDescent="0.25">
      <c r="C12" s="1" t="s">
        <v>13</v>
      </c>
      <c r="D12" s="110" t="s">
        <v>12</v>
      </c>
      <c r="E12" s="2"/>
      <c r="F12" s="6">
        <f>'Option 1'!P75</f>
        <v>0</v>
      </c>
      <c r="G12" s="6">
        <f>'Option 1'!Q75</f>
        <v>0</v>
      </c>
      <c r="H12" s="6">
        <f>'Option 1'!R75</f>
        <v>0</v>
      </c>
      <c r="I12" s="6">
        <f>'Option 1'!S75</f>
        <v>0</v>
      </c>
      <c r="J12" s="6">
        <f>'Option 1'!T75</f>
        <v>0</v>
      </c>
      <c r="K12" s="6">
        <f t="shared" ref="K12:K13" si="0">SUM(F12:J12)</f>
        <v>0</v>
      </c>
      <c r="M12" s="101"/>
      <c r="P12"/>
    </row>
    <row r="13" spans="1:16" ht="12.75" customHeight="1" x14ac:dyDescent="0.2">
      <c r="C13" s="1" t="s">
        <v>14</v>
      </c>
      <c r="D13" s="110" t="s">
        <v>12</v>
      </c>
      <c r="F13" s="6">
        <f>'Option 1'!P76</f>
        <v>0</v>
      </c>
      <c r="G13" s="6">
        <f>'Option 1'!Q76</f>
        <v>0</v>
      </c>
      <c r="H13" s="6">
        <f>'Option 1'!R76</f>
        <v>0</v>
      </c>
      <c r="I13" s="6">
        <f>'Option 1'!S76</f>
        <v>0</v>
      </c>
      <c r="J13" s="6">
        <f>'Option 1'!T76</f>
        <v>0</v>
      </c>
      <c r="K13" s="6">
        <f t="shared" si="0"/>
        <v>0</v>
      </c>
      <c r="M13" s="101"/>
    </row>
    <row r="14" spans="1:16" ht="12.75" customHeight="1" x14ac:dyDescent="0.2">
      <c r="C14" s="104" t="s">
        <v>15</v>
      </c>
      <c r="D14" s="111"/>
      <c r="E14" s="104"/>
      <c r="F14" s="108">
        <f>SUM(F11:F13)</f>
        <v>0</v>
      </c>
      <c r="G14" s="108">
        <f t="shared" ref="G14:K14" si="1">SUM(G11:G13)</f>
        <v>0</v>
      </c>
      <c r="H14" s="108">
        <f t="shared" si="1"/>
        <v>0</v>
      </c>
      <c r="I14" s="108">
        <f t="shared" si="1"/>
        <v>0</v>
      </c>
      <c r="J14" s="108">
        <f t="shared" si="1"/>
        <v>0</v>
      </c>
      <c r="K14" s="108">
        <f t="shared" si="1"/>
        <v>0</v>
      </c>
      <c r="M14" s="101"/>
    </row>
    <row r="15" spans="1:16" ht="12.75" customHeight="1" x14ac:dyDescent="0.2">
      <c r="C15" s="1" t="s">
        <v>11</v>
      </c>
      <c r="D15" s="110" t="s">
        <v>16</v>
      </c>
      <c r="F15" s="6">
        <f>'Option 1'!P78</f>
        <v>0</v>
      </c>
      <c r="G15" s="6">
        <f>'Option 1'!Q78</f>
        <v>0</v>
      </c>
      <c r="H15" s="6">
        <f>'Option 1'!R78</f>
        <v>0</v>
      </c>
      <c r="I15" s="6">
        <f>'Option 1'!S78</f>
        <v>0</v>
      </c>
      <c r="J15" s="6">
        <f>'Option 1'!T78</f>
        <v>0</v>
      </c>
      <c r="K15" s="6">
        <f>SUM(F15:J15)</f>
        <v>0</v>
      </c>
      <c r="M15" s="101"/>
    </row>
    <row r="16" spans="1:16" ht="12.75" customHeight="1" x14ac:dyDescent="0.2">
      <c r="C16" s="1" t="s">
        <v>13</v>
      </c>
      <c r="D16" s="110" t="s">
        <v>16</v>
      </c>
      <c r="F16" s="6">
        <f>'Option 1'!P79</f>
        <v>0</v>
      </c>
      <c r="G16" s="6">
        <f>'Option 1'!Q79</f>
        <v>0</v>
      </c>
      <c r="H16" s="6">
        <f>'Option 1'!R79</f>
        <v>0</v>
      </c>
      <c r="I16" s="6">
        <f>'Option 1'!S79</f>
        <v>0</v>
      </c>
      <c r="J16" s="6">
        <f>'Option 1'!T79</f>
        <v>0</v>
      </c>
      <c r="K16" s="6">
        <f t="shared" ref="K16:K17" si="2">SUM(F16:J16)</f>
        <v>0</v>
      </c>
      <c r="M16" s="101"/>
    </row>
    <row r="17" spans="2:13" ht="12.75" customHeight="1" x14ac:dyDescent="0.2">
      <c r="C17" s="1" t="s">
        <v>14</v>
      </c>
      <c r="D17" s="110" t="s">
        <v>16</v>
      </c>
      <c r="F17" s="6">
        <f>'Option 1'!P80</f>
        <v>0</v>
      </c>
      <c r="G17" s="6">
        <f>'Option 1'!Q80</f>
        <v>0</v>
      </c>
      <c r="H17" s="6">
        <f>'Option 1'!R80</f>
        <v>0</v>
      </c>
      <c r="I17" s="6">
        <f>'Option 1'!S80</f>
        <v>0</v>
      </c>
      <c r="J17" s="6">
        <f>'Option 1'!T80</f>
        <v>0</v>
      </c>
      <c r="K17" s="6">
        <f t="shared" si="2"/>
        <v>0</v>
      </c>
      <c r="M17" s="101"/>
    </row>
    <row r="18" spans="2:13" ht="12.75" customHeight="1" x14ac:dyDescent="0.2">
      <c r="C18" s="104" t="s">
        <v>17</v>
      </c>
      <c r="D18" s="111"/>
      <c r="E18" s="104"/>
      <c r="F18" s="108">
        <f>SUM(F15:F17)</f>
        <v>0</v>
      </c>
      <c r="G18" s="108">
        <f t="shared" ref="G18:K18" si="3">SUM(G15:G17)</f>
        <v>0</v>
      </c>
      <c r="H18" s="108">
        <f t="shared" si="3"/>
        <v>0</v>
      </c>
      <c r="I18" s="108">
        <f t="shared" si="3"/>
        <v>0</v>
      </c>
      <c r="J18" s="108">
        <f t="shared" si="3"/>
        <v>0</v>
      </c>
      <c r="K18" s="108">
        <f t="shared" si="3"/>
        <v>0</v>
      </c>
      <c r="M18" s="101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101"/>
    </row>
    <row r="20" spans="2:13" ht="12.75" customHeight="1" x14ac:dyDescent="0.2">
      <c r="C20" s="114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9">
        <f>K20-'Option 1'!$U$83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5" t="s">
        <v>0</v>
      </c>
    </row>
    <row r="26" spans="2:13" ht="12.75" customHeight="1" x14ac:dyDescent="0.2">
      <c r="C26" s="1" t="s">
        <v>11</v>
      </c>
      <c r="D26" s="110" t="s">
        <v>12</v>
      </c>
      <c r="E26" s="2"/>
      <c r="F26" s="6">
        <f>'Option 2'!P74</f>
        <v>2741608.6307306038</v>
      </c>
      <c r="G26" s="6">
        <f>'Option 2'!Q74</f>
        <v>0</v>
      </c>
      <c r="H26" s="6">
        <f>'Option 2'!R74</f>
        <v>0</v>
      </c>
      <c r="I26" s="6">
        <f>'Option 2'!S74</f>
        <v>0</v>
      </c>
      <c r="J26" s="6">
        <f>'Option 2'!T74</f>
        <v>0</v>
      </c>
      <c r="K26" s="6">
        <f>SUM(F26:J26)</f>
        <v>2741608.6307306038</v>
      </c>
      <c r="M26" s="101"/>
    </row>
    <row r="27" spans="2:13" x14ac:dyDescent="0.2">
      <c r="C27" s="1" t="s">
        <v>13</v>
      </c>
      <c r="D27" s="110" t="s">
        <v>12</v>
      </c>
      <c r="E27" s="2"/>
      <c r="F27" s="6">
        <f>'Option 2'!P75</f>
        <v>267933.86850152886</v>
      </c>
      <c r="G27" s="6">
        <f>'Option 2'!Q75</f>
        <v>0</v>
      </c>
      <c r="H27" s="6">
        <f>'Option 2'!R75</f>
        <v>0</v>
      </c>
      <c r="I27" s="6">
        <f>'Option 2'!S75</f>
        <v>0</v>
      </c>
      <c r="J27" s="6">
        <f>'Option 2'!T75</f>
        <v>0</v>
      </c>
      <c r="K27" s="6">
        <f t="shared" ref="K27:K28" si="6">SUM(F27:J27)</f>
        <v>267933.86850152886</v>
      </c>
      <c r="M27" s="101"/>
    </row>
    <row r="28" spans="2:13" x14ac:dyDescent="0.2">
      <c r="C28" s="1" t="s">
        <v>14</v>
      </c>
      <c r="D28" s="110" t="s">
        <v>12</v>
      </c>
      <c r="F28" s="6">
        <f>'Option 2'!P76</f>
        <v>0</v>
      </c>
      <c r="G28" s="6">
        <f>'Option 2'!Q76</f>
        <v>0</v>
      </c>
      <c r="H28" s="6">
        <f>'Option 2'!R76</f>
        <v>0</v>
      </c>
      <c r="I28" s="6">
        <f>'Option 2'!S76</f>
        <v>0</v>
      </c>
      <c r="J28" s="6">
        <f>'Option 2'!T76</f>
        <v>0</v>
      </c>
      <c r="K28" s="6">
        <f t="shared" si="6"/>
        <v>0</v>
      </c>
      <c r="M28" s="101"/>
    </row>
    <row r="29" spans="2:13" x14ac:dyDescent="0.2">
      <c r="C29" s="104" t="s">
        <v>15</v>
      </c>
      <c r="D29" s="111"/>
      <c r="E29" s="104"/>
      <c r="F29" s="108">
        <f>SUM(F26:F28)</f>
        <v>3009542.4992321329</v>
      </c>
      <c r="G29" s="108">
        <f t="shared" ref="G29" si="7">SUM(G26:G28)</f>
        <v>0</v>
      </c>
      <c r="H29" s="108">
        <f t="shared" ref="H29" si="8">SUM(H26:H28)</f>
        <v>0</v>
      </c>
      <c r="I29" s="108">
        <f t="shared" ref="I29" si="9">SUM(I26:I28)</f>
        <v>0</v>
      </c>
      <c r="J29" s="108">
        <f t="shared" ref="J29" si="10">SUM(J26:J28)</f>
        <v>0</v>
      </c>
      <c r="K29" s="108">
        <f t="shared" ref="K29" si="11">SUM(K26:K28)</f>
        <v>3009542.4992321329</v>
      </c>
      <c r="M29" s="101"/>
    </row>
    <row r="30" spans="2:13" x14ac:dyDescent="0.2">
      <c r="C30" s="1" t="s">
        <v>11</v>
      </c>
      <c r="D30" s="110" t="s">
        <v>16</v>
      </c>
      <c r="F30" s="6">
        <f>'Option 2'!P78</f>
        <v>129790.01763035568</v>
      </c>
      <c r="G30" s="6">
        <f>'Option 2'!Q78</f>
        <v>259580.03526071136</v>
      </c>
      <c r="H30" s="6">
        <f>'Option 2'!R78</f>
        <v>259580.03526071136</v>
      </c>
      <c r="I30" s="6">
        <f>'Option 2'!S78</f>
        <v>259580.03526071136</v>
      </c>
      <c r="J30" s="6">
        <f>'Option 2'!T78</f>
        <v>259580.03526071136</v>
      </c>
      <c r="K30" s="6">
        <f>SUM(F30:J30)</f>
        <v>1168110.1586732012</v>
      </c>
      <c r="M30" s="101"/>
    </row>
    <row r="31" spans="2:13" x14ac:dyDescent="0.2">
      <c r="C31" s="1" t="s">
        <v>13</v>
      </c>
      <c r="D31" s="110" t="s">
        <v>16</v>
      </c>
      <c r="F31" s="6">
        <f>'Option 2'!P79</f>
        <v>0</v>
      </c>
      <c r="G31" s="6">
        <f>'Option 2'!Q79</f>
        <v>0</v>
      </c>
      <c r="H31" s="6">
        <f>'Option 2'!R79</f>
        <v>0</v>
      </c>
      <c r="I31" s="6">
        <f>'Option 2'!S79</f>
        <v>0</v>
      </c>
      <c r="J31" s="6">
        <f>'Option 2'!T79</f>
        <v>0</v>
      </c>
      <c r="K31" s="6">
        <f t="shared" ref="K31:K32" si="12">SUM(F31:J31)</f>
        <v>0</v>
      </c>
      <c r="M31" s="101"/>
    </row>
    <row r="32" spans="2:13" x14ac:dyDescent="0.2">
      <c r="C32" s="1" t="s">
        <v>14</v>
      </c>
      <c r="D32" s="110" t="s">
        <v>16</v>
      </c>
      <c r="F32" s="6">
        <f>'Option 2'!P80</f>
        <v>0</v>
      </c>
      <c r="G32" s="6">
        <f>'Option 2'!Q80</f>
        <v>0</v>
      </c>
      <c r="H32" s="6">
        <f>'Option 2'!R80</f>
        <v>0</v>
      </c>
      <c r="I32" s="6">
        <f>'Option 2'!S80</f>
        <v>0</v>
      </c>
      <c r="J32" s="6">
        <f>'Option 2'!T80</f>
        <v>0</v>
      </c>
      <c r="K32" s="6">
        <f t="shared" si="12"/>
        <v>0</v>
      </c>
      <c r="M32" s="101"/>
    </row>
    <row r="33" spans="2:13" x14ac:dyDescent="0.2">
      <c r="C33" s="104" t="s">
        <v>17</v>
      </c>
      <c r="D33" s="111"/>
      <c r="E33" s="104"/>
      <c r="F33" s="108">
        <f>SUM(F30:F32)</f>
        <v>129790.01763035568</v>
      </c>
      <c r="G33" s="108">
        <f t="shared" ref="G33" si="13">SUM(G30:G32)</f>
        <v>259580.03526071136</v>
      </c>
      <c r="H33" s="108">
        <f t="shared" ref="H33" si="14">SUM(H30:H32)</f>
        <v>259580.03526071136</v>
      </c>
      <c r="I33" s="108">
        <f t="shared" ref="I33" si="15">SUM(I30:I32)</f>
        <v>259580.03526071136</v>
      </c>
      <c r="J33" s="108">
        <f t="shared" ref="J33" si="16">SUM(J30:J32)</f>
        <v>259580.03526071136</v>
      </c>
      <c r="K33" s="108">
        <f t="shared" ref="K33" si="17">SUM(K30:K32)</f>
        <v>1168110.1586732012</v>
      </c>
      <c r="M33" s="101"/>
    </row>
    <row r="34" spans="2:13" x14ac:dyDescent="0.2">
      <c r="D34" s="49"/>
      <c r="F34" s="6"/>
      <c r="G34" s="6"/>
      <c r="H34" s="6"/>
      <c r="I34" s="6"/>
      <c r="J34" s="6"/>
      <c r="K34" s="6"/>
      <c r="M34" s="101"/>
    </row>
    <row r="35" spans="2:13" x14ac:dyDescent="0.2">
      <c r="C35" s="114" t="str">
        <f>"Total Cost ($ "&amp;Assumptions!$C$35&amp;")"</f>
        <v>Total Cost ($ June 2026)</v>
      </c>
      <c r="D35" s="21"/>
      <c r="E35" s="21"/>
      <c r="F35" s="22">
        <f t="shared" ref="F35:K35" si="18">F29+F33</f>
        <v>3139332.5168624888</v>
      </c>
      <c r="G35" s="22">
        <f t="shared" si="18"/>
        <v>259580.03526071136</v>
      </c>
      <c r="H35" s="22">
        <f t="shared" si="18"/>
        <v>259580.03526071136</v>
      </c>
      <c r="I35" s="22">
        <f t="shared" si="18"/>
        <v>259580.03526071136</v>
      </c>
      <c r="J35" s="22">
        <f t="shared" si="18"/>
        <v>259580.03526071136</v>
      </c>
      <c r="K35" s="22">
        <f t="shared" si="18"/>
        <v>4177652.6579053341</v>
      </c>
      <c r="L35" s="59">
        <f>K35-'Option 2'!$U$83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3954387.0022699866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5" t="s">
        <v>0</v>
      </c>
    </row>
    <row r="41" spans="2:13" x14ac:dyDescent="0.2">
      <c r="C41" s="1" t="s">
        <v>11</v>
      </c>
      <c r="D41" s="110" t="s">
        <v>12</v>
      </c>
      <c r="E41" s="2"/>
      <c r="F41" s="6">
        <f>'Option 3'!P74</f>
        <v>5061227.0111988774</v>
      </c>
      <c r="G41" s="6">
        <f>'Option 3'!Q74</f>
        <v>463704.94734490721</v>
      </c>
      <c r="H41" s="6">
        <f>'Option 3'!R74</f>
        <v>0</v>
      </c>
      <c r="I41" s="6">
        <f>'Option 3'!S74</f>
        <v>0</v>
      </c>
      <c r="J41" s="6">
        <f>'Option 3'!T74</f>
        <v>0</v>
      </c>
      <c r="K41" s="6">
        <f>SUM(F41:J41)</f>
        <v>5524931.9585437849</v>
      </c>
      <c r="M41" s="101"/>
    </row>
    <row r="42" spans="2:13" x14ac:dyDescent="0.2">
      <c r="C42" s="1" t="s">
        <v>13</v>
      </c>
      <c r="D42" s="110" t="s">
        <v>12</v>
      </c>
      <c r="E42" s="2"/>
      <c r="F42" s="6">
        <f>'Option 3'!P75</f>
        <v>643041.2844036693</v>
      </c>
      <c r="G42" s="6">
        <f>'Option 3'!Q75</f>
        <v>0</v>
      </c>
      <c r="H42" s="6">
        <f>'Option 3'!R75</f>
        <v>0</v>
      </c>
      <c r="I42" s="6">
        <f>'Option 3'!S75</f>
        <v>0</v>
      </c>
      <c r="J42" s="6">
        <f>'Option 3'!T75</f>
        <v>0</v>
      </c>
      <c r="K42" s="6">
        <f t="shared" ref="K42:K43" si="20">SUM(F42:J42)</f>
        <v>643041.2844036693</v>
      </c>
      <c r="M42" s="101"/>
    </row>
    <row r="43" spans="2:13" x14ac:dyDescent="0.2">
      <c r="C43" s="1" t="s">
        <v>14</v>
      </c>
      <c r="D43" s="110" t="s">
        <v>12</v>
      </c>
      <c r="F43" s="6">
        <f>'Option 3'!P76</f>
        <v>0</v>
      </c>
      <c r="G43" s="6">
        <f>'Option 3'!Q76</f>
        <v>0</v>
      </c>
      <c r="H43" s="6">
        <f>'Option 3'!R76</f>
        <v>0</v>
      </c>
      <c r="I43" s="6">
        <f>'Option 3'!S76</f>
        <v>0</v>
      </c>
      <c r="J43" s="6">
        <f>'Option 3'!T76</f>
        <v>0</v>
      </c>
      <c r="K43" s="6">
        <f t="shared" si="20"/>
        <v>0</v>
      </c>
      <c r="M43" s="101"/>
    </row>
    <row r="44" spans="2:13" x14ac:dyDescent="0.2">
      <c r="C44" s="104" t="s">
        <v>15</v>
      </c>
      <c r="D44" s="111"/>
      <c r="E44" s="104"/>
      <c r="F44" s="108">
        <f>SUM(F41:F43)</f>
        <v>5704268.295602547</v>
      </c>
      <c r="G44" s="108">
        <f t="shared" ref="G44" si="21">SUM(G41:G43)</f>
        <v>463704.94734490721</v>
      </c>
      <c r="H44" s="108">
        <f t="shared" ref="H44" si="22">SUM(H41:H43)</f>
        <v>0</v>
      </c>
      <c r="I44" s="108">
        <f t="shared" ref="I44" si="23">SUM(I41:I43)</f>
        <v>0</v>
      </c>
      <c r="J44" s="108">
        <f t="shared" ref="J44" si="24">SUM(J41:J43)</f>
        <v>0</v>
      </c>
      <c r="K44" s="108">
        <f t="shared" ref="K44" si="25">SUM(K41:K43)</f>
        <v>6167973.2429474546</v>
      </c>
      <c r="M44" s="101"/>
    </row>
    <row r="45" spans="2:13" x14ac:dyDescent="0.2">
      <c r="C45" s="1" t="s">
        <v>11</v>
      </c>
      <c r="D45" s="110" t="s">
        <v>16</v>
      </c>
      <c r="F45" s="6">
        <f>'Option 3'!P78</f>
        <v>129790.01763035568</v>
      </c>
      <c r="G45" s="6">
        <f>'Option 3'!Q78</f>
        <v>259580.03526071136</v>
      </c>
      <c r="H45" s="6">
        <f>'Option 3'!R78</f>
        <v>259580.03526071136</v>
      </c>
      <c r="I45" s="6">
        <f>'Option 3'!S78</f>
        <v>259580.03526071136</v>
      </c>
      <c r="J45" s="6">
        <f>'Option 3'!T78</f>
        <v>259580.03526071136</v>
      </c>
      <c r="K45" s="6">
        <f>SUM(F45:J45)</f>
        <v>1168110.1586732012</v>
      </c>
      <c r="M45" s="101"/>
    </row>
    <row r="46" spans="2:13" x14ac:dyDescent="0.2">
      <c r="C46" s="1" t="s">
        <v>13</v>
      </c>
      <c r="D46" s="110" t="s">
        <v>16</v>
      </c>
      <c r="F46" s="6">
        <f>'Option 3'!P79</f>
        <v>0</v>
      </c>
      <c r="G46" s="6">
        <f>'Option 3'!Q79</f>
        <v>0</v>
      </c>
      <c r="H46" s="6">
        <f>'Option 3'!R79</f>
        <v>0</v>
      </c>
      <c r="I46" s="6">
        <f>'Option 3'!S79</f>
        <v>0</v>
      </c>
      <c r="J46" s="6">
        <f>'Option 3'!T79</f>
        <v>0</v>
      </c>
      <c r="K46" s="6">
        <f t="shared" ref="K46:K47" si="26">SUM(F46:J46)</f>
        <v>0</v>
      </c>
      <c r="M46" s="101"/>
    </row>
    <row r="47" spans="2:13" x14ac:dyDescent="0.2">
      <c r="C47" s="1" t="s">
        <v>14</v>
      </c>
      <c r="D47" s="110" t="s">
        <v>16</v>
      </c>
      <c r="F47" s="6">
        <f>'Option 3'!P80</f>
        <v>834684.48481244745</v>
      </c>
      <c r="G47" s="6">
        <f>'Option 3'!Q80</f>
        <v>834684.48481244745</v>
      </c>
      <c r="H47" s="6">
        <f>'Option 3'!R80</f>
        <v>834684.48481244745</v>
      </c>
      <c r="I47" s="6">
        <f>'Option 3'!S80</f>
        <v>834684.48481244745</v>
      </c>
      <c r="J47" s="6">
        <f>'Option 3'!T80</f>
        <v>834684.48481244745</v>
      </c>
      <c r="K47" s="6">
        <f t="shared" si="26"/>
        <v>4173422.4240622371</v>
      </c>
      <c r="M47" s="101"/>
    </row>
    <row r="48" spans="2:13" x14ac:dyDescent="0.2">
      <c r="C48" s="104" t="s">
        <v>17</v>
      </c>
      <c r="D48" s="111"/>
      <c r="E48" s="104"/>
      <c r="F48" s="108">
        <f>SUM(F45:F47)</f>
        <v>964474.50244280312</v>
      </c>
      <c r="G48" s="108">
        <f t="shared" ref="G48" si="27">SUM(G45:G47)</f>
        <v>1094264.5200731589</v>
      </c>
      <c r="H48" s="108">
        <f t="shared" ref="H48" si="28">SUM(H45:H47)</f>
        <v>1094264.5200731589</v>
      </c>
      <c r="I48" s="108">
        <f t="shared" ref="I48" si="29">SUM(I45:I47)</f>
        <v>1094264.5200731589</v>
      </c>
      <c r="J48" s="108">
        <f t="shared" ref="J48" si="30">SUM(J45:J47)</f>
        <v>1094264.5200731589</v>
      </c>
      <c r="K48" s="108">
        <f t="shared" ref="K48" si="31">SUM(K45:K47)</f>
        <v>5341532.5827354379</v>
      </c>
      <c r="M48" s="101"/>
    </row>
    <row r="49" spans="2:13" x14ac:dyDescent="0.2">
      <c r="D49" s="49"/>
      <c r="F49" s="6"/>
      <c r="G49" s="6"/>
      <c r="H49" s="6"/>
      <c r="I49" s="6"/>
      <c r="J49" s="6"/>
      <c r="K49" s="6"/>
      <c r="M49" s="101"/>
    </row>
    <row r="50" spans="2:13" x14ac:dyDescent="0.2">
      <c r="C50" s="114" t="str">
        <f>"Total Cost ($ "&amp;Assumptions!$C35&amp;")"</f>
        <v>Total Cost ($ June 2026)</v>
      </c>
      <c r="D50" s="21"/>
      <c r="E50" s="21"/>
      <c r="F50" s="22">
        <f t="shared" ref="F50:K50" si="32">F44+F48</f>
        <v>6668742.7980453502</v>
      </c>
      <c r="G50" s="22">
        <f t="shared" si="32"/>
        <v>1557969.4674180662</v>
      </c>
      <c r="H50" s="22">
        <f t="shared" si="32"/>
        <v>1094264.5200731589</v>
      </c>
      <c r="I50" s="22">
        <f t="shared" si="32"/>
        <v>1094264.5200731589</v>
      </c>
      <c r="J50" s="22">
        <f t="shared" si="32"/>
        <v>1094264.5200731589</v>
      </c>
      <c r="K50" s="22">
        <f t="shared" si="32"/>
        <v>11509505.825682893</v>
      </c>
      <c r="L50" s="59">
        <f>K50-'Option 3'!$U$83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10759504.501606755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3"/>
  <sheetViews>
    <sheetView showGridLines="0" zoomScale="90" zoomScaleNormal="90" workbookViewId="0">
      <selection activeCell="C14" sqref="C14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3" max="3" width="11.85546875" bestFit="1" customWidth="1"/>
    <col min="4" max="4" width="2.7109375" customWidth="1"/>
    <col min="5" max="8" width="9" bestFit="1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Situational awareness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United Energy &amp; Powercor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8" t="s">
        <v>104</v>
      </c>
      <c r="C6" s="78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8" t="s">
        <v>112</v>
      </c>
      <c r="C8" s="78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27">
        <v>3.5000000000000003E-2</v>
      </c>
      <c r="C10" s="43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3" t="s">
        <v>27</v>
      </c>
      <c r="B12" s="79" t="s">
        <v>106</v>
      </c>
      <c r="C12" s="43" t="s">
        <v>28</v>
      </c>
      <c r="D12" s="27"/>
    </row>
    <row r="13" spans="1:35" ht="12.75" customHeight="1" x14ac:dyDescent="0.25">
      <c r="A13" s="43"/>
      <c r="B13" s="62"/>
      <c r="C13" s="43"/>
      <c r="D13" s="43"/>
      <c r="E13" s="43"/>
    </row>
    <row r="14" spans="1:35" ht="12.75" customHeight="1" x14ac:dyDescent="0.25">
      <c r="A14" s="43" t="s">
        <v>29</v>
      </c>
      <c r="B14" s="128">
        <f>IF(B12="2022/23",C42,C43)</f>
        <v>145.77740900000001</v>
      </c>
      <c r="C14" s="43"/>
      <c r="D14" s="43"/>
      <c r="E14" s="43"/>
    </row>
    <row r="15" spans="1:35" ht="12.75" customHeight="1" x14ac:dyDescent="0.25">
      <c r="A15" s="85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3" t="s">
        <v>30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  <row r="18" spans="1:12" ht="12.75" customHeight="1" x14ac:dyDescent="0.25">
      <c r="A18" s="43" t="s">
        <v>1</v>
      </c>
      <c r="B18" s="94">
        <v>0.5</v>
      </c>
    </row>
    <row r="19" spans="1:12" ht="12.75" customHeight="1" x14ac:dyDescent="0.25">
      <c r="A19" s="43"/>
      <c r="B19" s="94"/>
      <c r="D19" s="43"/>
      <c r="E19" s="43"/>
    </row>
    <row r="20" spans="1:12" ht="12.75" customHeight="1" x14ac:dyDescent="0.25">
      <c r="A20" s="43" t="s">
        <v>31</v>
      </c>
      <c r="B20" s="95">
        <v>0.5</v>
      </c>
      <c r="D20" s="43"/>
      <c r="E20" s="43"/>
    </row>
    <row r="21" spans="1:12" ht="12.75" customHeight="1" x14ac:dyDescent="0.25">
      <c r="A21" s="43"/>
      <c r="B21" s="96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3" t="s">
        <v>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2" ht="12.75" customHeight="1" x14ac:dyDescent="0.25">
      <c r="A24" s="43" t="s">
        <v>4</v>
      </c>
      <c r="B24" s="86" t="s">
        <v>99</v>
      </c>
      <c r="C24" s="87"/>
      <c r="D24" s="87"/>
      <c r="E24" s="87"/>
      <c r="F24" s="87"/>
      <c r="G24" s="88"/>
    </row>
    <row r="25" spans="1:12" ht="12.75" customHeight="1" x14ac:dyDescent="0.25">
      <c r="A25" s="43" t="s">
        <v>19</v>
      </c>
      <c r="B25" s="89" t="s">
        <v>100</v>
      </c>
      <c r="C25" s="90"/>
      <c r="D25" s="90"/>
      <c r="E25" s="90"/>
      <c r="F25" s="90"/>
      <c r="G25" s="91"/>
    </row>
    <row r="26" spans="1:12" ht="12.75" customHeight="1" x14ac:dyDescent="0.25">
      <c r="A26" s="43" t="s">
        <v>3</v>
      </c>
      <c r="B26" s="89" t="s">
        <v>101</v>
      </c>
      <c r="C26" s="90"/>
      <c r="D26" s="90"/>
      <c r="E26" s="90"/>
      <c r="F26" s="90"/>
      <c r="G26" s="91"/>
    </row>
    <row r="27" spans="1:12" ht="12.75" customHeight="1" x14ac:dyDescent="0.25">
      <c r="A27" s="43"/>
      <c r="B27" s="93"/>
      <c r="C27" s="93"/>
      <c r="D27" s="93"/>
      <c r="E27" s="93"/>
      <c r="F27" s="93"/>
      <c r="G27" s="93"/>
    </row>
    <row r="28" spans="1:12" ht="12.75" customHeight="1" x14ac:dyDescent="0.25">
      <c r="A28" s="43"/>
      <c r="B28" s="93"/>
      <c r="C28" s="93"/>
      <c r="D28" s="93"/>
      <c r="E28" s="93"/>
      <c r="F28" s="93"/>
      <c r="G28" s="93"/>
    </row>
    <row r="29" spans="1:12" ht="12.75" customHeight="1" x14ac:dyDescent="0.25">
      <c r="A29" s="39" t="s">
        <v>110</v>
      </c>
      <c r="B29" s="39"/>
      <c r="C29" s="39"/>
      <c r="D29" s="40"/>
      <c r="E29" s="129" t="s">
        <v>105</v>
      </c>
      <c r="F29" s="129" t="s">
        <v>106</v>
      </c>
      <c r="G29" s="129" t="s">
        <v>107</v>
      </c>
      <c r="H29" s="129" t="s">
        <v>108</v>
      </c>
      <c r="I29" s="103"/>
      <c r="J29" s="40"/>
      <c r="K29" s="40"/>
    </row>
    <row r="30" spans="1:12" ht="12.75" customHeight="1" x14ac:dyDescent="0.25">
      <c r="A30" s="133" t="s">
        <v>109</v>
      </c>
      <c r="B30" s="24"/>
      <c r="C30" s="46"/>
      <c r="D30" s="58"/>
      <c r="E30" s="132">
        <v>1.1556718878812853</v>
      </c>
      <c r="F30" s="132">
        <v>1.0717354740061156</v>
      </c>
      <c r="G30" s="132">
        <v>1.0299999999999996</v>
      </c>
      <c r="H30" s="132">
        <v>1</v>
      </c>
      <c r="I30" s="141" t="s">
        <v>119</v>
      </c>
      <c r="J30" s="58"/>
      <c r="K30" s="58"/>
      <c r="L30" s="64"/>
    </row>
    <row r="31" spans="1:12" ht="12.75" customHeight="1" x14ac:dyDescent="0.25">
      <c r="A31" s="136" t="s">
        <v>109</v>
      </c>
      <c r="B31" s="137"/>
      <c r="C31" s="138"/>
      <c r="D31" s="139"/>
      <c r="E31" s="140">
        <v>1.1757125218136175</v>
      </c>
      <c r="F31" s="140">
        <v>1.1129126464165966</v>
      </c>
      <c r="G31" s="140">
        <v>1.050660524730181</v>
      </c>
      <c r="H31" s="140">
        <v>1.014889156509222</v>
      </c>
      <c r="I31" s="141" t="s">
        <v>118</v>
      </c>
      <c r="J31" s="57"/>
      <c r="K31" s="57"/>
    </row>
    <row r="32" spans="1:12" ht="12.75" customHeight="1" x14ac:dyDescent="0.25">
      <c r="A32" s="92"/>
      <c r="B32" s="92"/>
      <c r="C32" s="92"/>
      <c r="D32" s="92"/>
      <c r="E32" s="92"/>
      <c r="F32" s="92"/>
      <c r="G32" s="92"/>
      <c r="H32" s="92"/>
      <c r="I32" s="71"/>
      <c r="J32" s="71"/>
      <c r="K32" s="71"/>
    </row>
    <row r="33" spans="1:11" ht="12.7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2.75" customHeight="1" x14ac:dyDescent="0.25"/>
    <row r="35" spans="1:11" ht="12.75" customHeight="1" x14ac:dyDescent="0.25">
      <c r="A35" s="43" t="s">
        <v>33</v>
      </c>
      <c r="C35" s="131" t="s">
        <v>108</v>
      </c>
      <c r="D35" t="s">
        <v>28</v>
      </c>
    </row>
    <row r="36" spans="1:11" ht="12.75" customHeight="1" x14ac:dyDescent="0.25">
      <c r="A36" s="43" t="s">
        <v>34</v>
      </c>
      <c r="C36" s="42" t="str">
        <f>$B$12</f>
        <v>June 2024</v>
      </c>
    </row>
    <row r="37" spans="1:11" ht="12.75" customHeight="1" x14ac:dyDescent="0.25">
      <c r="A37" s="43" t="s">
        <v>35</v>
      </c>
      <c r="C37" s="97">
        <f>INDEX($E$30:$H$30,MATCH(C36,E29:H29))</f>
        <v>1.0717354740061156</v>
      </c>
    </row>
    <row r="38" spans="1:11" ht="12.75" customHeight="1" x14ac:dyDescent="0.25"/>
    <row r="39" spans="1:11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2.75" customHeight="1" x14ac:dyDescent="0.25"/>
    <row r="41" spans="1:11" ht="12.75" customHeight="1" x14ac:dyDescent="0.25">
      <c r="A41" s="43" t="s">
        <v>36</v>
      </c>
      <c r="C41" s="130" t="s">
        <v>37</v>
      </c>
      <c r="D41" t="s">
        <v>38</v>
      </c>
    </row>
    <row r="42" spans="1:11" ht="12.75" customHeight="1" x14ac:dyDescent="0.25">
      <c r="A42" s="43" t="s">
        <v>34</v>
      </c>
      <c r="C42" s="99">
        <v>135.1896002</v>
      </c>
      <c r="D42" t="s">
        <v>39</v>
      </c>
    </row>
    <row r="43" spans="1:11" ht="12.75" customHeight="1" x14ac:dyDescent="0.25">
      <c r="A43" s="43" t="s">
        <v>35</v>
      </c>
      <c r="C43" s="100">
        <v>145.77740900000001</v>
      </c>
      <c r="D43" t="s">
        <v>40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>
      <c r="A47" s="43"/>
      <c r="B47" s="43"/>
      <c r="C47" s="43"/>
      <c r="D47" s="43"/>
      <c r="E47" s="43"/>
    </row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90" zoomScaleNormal="90" workbookViewId="0"/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/>
      <c r="D10" s="82"/>
      <c r="E10" s="80"/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/>
      <c r="D11" s="82"/>
      <c r="E11" s="80"/>
      <c r="F11" s="2"/>
      <c r="G11" s="65">
        <f>IF($E11="Labour",Assumptions!$B$14,)</f>
        <v>0</v>
      </c>
      <c r="H11" s="9" t="str">
        <f t="shared" ref="H11:H54" si="5">IF($E11="Labour","Hours","$")</f>
        <v>$</v>
      </c>
      <c r="I11" s="2"/>
      <c r="J11" s="83"/>
      <c r="K11" s="83"/>
      <c r="L11" s="83"/>
      <c r="M11" s="83"/>
      <c r="N11" s="83"/>
      <c r="O11" s="2"/>
      <c r="P11" s="5">
        <f t="shared" si="0"/>
        <v>0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/>
      <c r="D12" s="82"/>
      <c r="E12" s="80"/>
      <c r="F12" s="2"/>
      <c r="G12" s="65">
        <f>IF($E12="Labour",Assumptions!$B$14,)</f>
        <v>0</v>
      </c>
      <c r="H12" s="9" t="str">
        <f t="shared" si="5"/>
        <v>$</v>
      </c>
      <c r="I12" s="2"/>
      <c r="J12" s="83"/>
      <c r="K12" s="83"/>
      <c r="L12" s="83"/>
      <c r="M12" s="83"/>
      <c r="N12" s="83"/>
      <c r="O12" s="2"/>
      <c r="P12" s="5">
        <f t="shared" si="0"/>
        <v>0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/>
      <c r="D13" s="82"/>
      <c r="E13" s="80"/>
      <c r="F13" s="2"/>
      <c r="G13" s="65">
        <f>IF($E13="Labour",Assumptions!$B$14,)</f>
        <v>0</v>
      </c>
      <c r="H13" s="9" t="str">
        <f t="shared" si="5"/>
        <v>$</v>
      </c>
      <c r="I13" s="2"/>
      <c r="J13" s="83"/>
      <c r="K13" s="83"/>
      <c r="L13" s="83"/>
      <c r="M13" s="83"/>
      <c r="N13" s="83"/>
      <c r="O13" s="2"/>
      <c r="P13" s="5">
        <f t="shared" si="0"/>
        <v>0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/>
      <c r="D14" s="82"/>
      <c r="E14" s="80"/>
      <c r="F14" s="2"/>
      <c r="G14" s="65">
        <f>IF($E14="Labour",Assumptions!$B$14,)</f>
        <v>0</v>
      </c>
      <c r="H14" s="9" t="str">
        <f t="shared" si="5"/>
        <v>$</v>
      </c>
      <c r="I14" s="2"/>
      <c r="J14" s="83"/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/>
      <c r="D15" s="82"/>
      <c r="E15" s="80"/>
      <c r="F15" s="2"/>
      <c r="G15" s="65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5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5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5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5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5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5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5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5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5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5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5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5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5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5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5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5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5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5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5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5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5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5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5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5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5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5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5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/>
      <c r="D43" s="82"/>
      <c r="E43" s="80"/>
      <c r="G43" s="65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/>
      <c r="D44" s="82"/>
      <c r="E44" s="80"/>
      <c r="G44" s="65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/>
      <c r="D45" s="82"/>
      <c r="E45" s="80"/>
      <c r="G45" s="65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/>
      <c r="E46" s="80"/>
      <c r="G46" s="65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/>
      <c r="E47" s="80"/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/>
      <c r="D48" s="82"/>
      <c r="E48" s="80"/>
      <c r="G48" s="65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0"/>
        <v>0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/>
      <c r="D49" s="82"/>
      <c r="E49" s="80"/>
      <c r="G49" s="65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0"/>
        <v>0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/>
      <c r="D50" s="82"/>
      <c r="E50" s="80"/>
      <c r="G50" s="65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0"/>
        <v>0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/>
      <c r="D51" s="82"/>
      <c r="E51" s="80"/>
      <c r="G51" s="65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0"/>
        <v>0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/>
      <c r="E52" s="80"/>
      <c r="G52" s="65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/>
      <c r="E53" s="80"/>
      <c r="G53" s="65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/>
      <c r="D54" s="82"/>
      <c r="E54" s="80"/>
      <c r="G54" s="65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0"/>
        <v>0</v>
      </c>
      <c r="Q54" s="5">
        <f t="shared" si="1"/>
        <v>0</v>
      </c>
      <c r="R54" s="5">
        <f t="shared" si="2"/>
        <v>0</v>
      </c>
      <c r="S54" s="5">
        <f t="shared" si="3"/>
        <v>0</v>
      </c>
      <c r="T54" s="5">
        <f t="shared" si="4"/>
        <v>0</v>
      </c>
      <c r="U54" s="109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49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0</v>
      </c>
    </row>
    <row r="59" spans="1:25" ht="12.75" customHeight="1" x14ac:dyDescent="0.2">
      <c r="C59" s="1" t="s">
        <v>13</v>
      </c>
      <c r="D59" s="1" t="s">
        <v>49</v>
      </c>
      <c r="F59" s="2"/>
      <c r="G59" s="69"/>
      <c r="I59" s="2"/>
      <c r="O59" s="2"/>
      <c r="P59" s="6">
        <f t="shared" ref="P59:P60" si="7">SUMIFS(P$10:P$54,$E$10:$E$54,$C59,$D$10:$D$54,$D59)</f>
        <v>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7" si="8">SUM(P59:T59)</f>
        <v>0</v>
      </c>
    </row>
    <row r="60" spans="1:25" ht="12.75" customHeight="1" x14ac:dyDescent="0.2">
      <c r="C60" s="1" t="s">
        <v>14</v>
      </c>
      <c r="D60" s="1" t="s">
        <v>49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0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0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0</v>
      </c>
      <c r="Q62" s="6">
        <f t="shared" si="10"/>
        <v>0</v>
      </c>
      <c r="R62" s="6">
        <f t="shared" si="10"/>
        <v>0</v>
      </c>
      <c r="S62" s="6">
        <f t="shared" si="10"/>
        <v>0</v>
      </c>
      <c r="T62" s="6">
        <f t="shared" si="10"/>
        <v>0</v>
      </c>
      <c r="U62" s="73">
        <f t="shared" si="8"/>
        <v>0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0</v>
      </c>
      <c r="Q65" s="22">
        <f t="shared" ref="Q65" si="11">SUM(Q62:Q64)</f>
        <v>0</v>
      </c>
      <c r="R65" s="22">
        <f t="shared" ref="R65" si="12">SUM(R62:R64)</f>
        <v>0</v>
      </c>
      <c r="S65" s="22">
        <f t="shared" ref="S65" si="13">SUM(S62:S64)</f>
        <v>0</v>
      </c>
      <c r="T65" s="22">
        <f t="shared" ref="T65" si="14">SUM(T62:T64)</f>
        <v>0</v>
      </c>
      <c r="U65" s="22">
        <f t="shared" ref="U65" si="15">SUM(U62:U64)</f>
        <v>0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0</v>
      </c>
      <c r="Q67" s="8">
        <f t="shared" ref="Q67:T67" si="16">Q61+Q65</f>
        <v>0</v>
      </c>
      <c r="R67" s="8">
        <f t="shared" si="16"/>
        <v>0</v>
      </c>
      <c r="S67" s="8">
        <f t="shared" si="16"/>
        <v>0</v>
      </c>
      <c r="T67" s="8">
        <f t="shared" si="16"/>
        <v>0</v>
      </c>
      <c r="U67" s="74">
        <f t="shared" si="8"/>
        <v>0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7">Q67-SUM(Q$10:Q$54)</f>
        <v>0</v>
      </c>
      <c r="R68" s="45">
        <f t="shared" si="17"/>
        <v>0</v>
      </c>
      <c r="S68" s="45">
        <f t="shared" si="17"/>
        <v>0</v>
      </c>
      <c r="T68" s="45">
        <f t="shared" si="17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0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34">
        <f t="shared" ref="P74:T76" si="18">P58*business_case_dollars</f>
        <v>0</v>
      </c>
      <c r="Q74" s="34">
        <f t="shared" si="18"/>
        <v>0</v>
      </c>
      <c r="R74" s="34">
        <f t="shared" si="18"/>
        <v>0</v>
      </c>
      <c r="S74" s="34">
        <f t="shared" si="18"/>
        <v>0</v>
      </c>
      <c r="T74" s="34">
        <f t="shared" si="18"/>
        <v>0</v>
      </c>
      <c r="U74" s="72">
        <f>SUM(P74:T74)</f>
        <v>0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8"/>
        <v>0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73">
        <f t="shared" ref="U75:U83" si="19">SUM(P75:T75)</f>
        <v>0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73">
        <f t="shared" si="19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0</v>
      </c>
      <c r="Q77" s="22">
        <f t="shared" ref="Q77" si="20">SUM(Q74:Q76)</f>
        <v>0</v>
      </c>
      <c r="R77" s="22">
        <f t="shared" ref="R77" si="21">SUM(R74:R76)</f>
        <v>0</v>
      </c>
      <c r="S77" s="22">
        <f t="shared" ref="S77" si="22">SUM(S74:S76)</f>
        <v>0</v>
      </c>
      <c r="T77" s="22">
        <f t="shared" ref="T77" si="23">SUM(T74:T76)</f>
        <v>0</v>
      </c>
      <c r="U77" s="22">
        <f t="shared" ref="U77" si="24">SUM(U74:U76)</f>
        <v>0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34">
        <f t="shared" ref="P78:T80" si="25">P62*business_case_dollars</f>
        <v>0</v>
      </c>
      <c r="Q78" s="34">
        <f t="shared" si="25"/>
        <v>0</v>
      </c>
      <c r="R78" s="34">
        <f t="shared" si="25"/>
        <v>0</v>
      </c>
      <c r="S78" s="34">
        <f t="shared" si="25"/>
        <v>0</v>
      </c>
      <c r="T78" s="34">
        <f t="shared" si="25"/>
        <v>0</v>
      </c>
      <c r="U78" s="72">
        <f>SUM(P78:T78)</f>
        <v>0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 t="shared" si="25"/>
        <v>0</v>
      </c>
      <c r="Q79" s="6">
        <f t="shared" si="25"/>
        <v>0</v>
      </c>
      <c r="R79" s="6">
        <f t="shared" si="25"/>
        <v>0</v>
      </c>
      <c r="S79" s="6">
        <f t="shared" si="25"/>
        <v>0</v>
      </c>
      <c r="T79" s="6">
        <f t="shared" si="25"/>
        <v>0</v>
      </c>
      <c r="U79" s="73">
        <f t="shared" ref="U79:U80" si="26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 t="shared" si="25"/>
        <v>0</v>
      </c>
      <c r="Q80" s="6">
        <f t="shared" si="25"/>
        <v>0</v>
      </c>
      <c r="R80" s="6">
        <f t="shared" si="25"/>
        <v>0</v>
      </c>
      <c r="S80" s="6">
        <f t="shared" si="25"/>
        <v>0</v>
      </c>
      <c r="T80" s="6">
        <f t="shared" si="25"/>
        <v>0</v>
      </c>
      <c r="U80" s="73">
        <f t="shared" si="26"/>
        <v>0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0</v>
      </c>
      <c r="Q81" s="22">
        <f t="shared" ref="Q81" si="27">SUM(Q78:Q80)</f>
        <v>0</v>
      </c>
      <c r="R81" s="22">
        <f t="shared" ref="R81" si="28">SUM(R78:R80)</f>
        <v>0</v>
      </c>
      <c r="S81" s="22">
        <f t="shared" ref="S81" si="29">SUM(S78:S80)</f>
        <v>0</v>
      </c>
      <c r="T81" s="22">
        <f t="shared" ref="T81" si="30">SUM(T78:T80)</f>
        <v>0</v>
      </c>
      <c r="U81" s="22">
        <f t="shared" ref="U81" si="31">SUM(U78:U80)</f>
        <v>0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0</v>
      </c>
      <c r="Q83" s="8">
        <f t="shared" ref="Q83:T83" si="32">Q77+Q81</f>
        <v>0</v>
      </c>
      <c r="R83" s="8">
        <f t="shared" si="32"/>
        <v>0</v>
      </c>
      <c r="S83" s="8">
        <f t="shared" si="32"/>
        <v>0</v>
      </c>
      <c r="T83" s="8">
        <f t="shared" si="32"/>
        <v>0</v>
      </c>
      <c r="U83" s="74">
        <f t="shared" si="19"/>
        <v>0</v>
      </c>
    </row>
    <row r="84" spans="3:22" x14ac:dyDescent="0.2">
      <c r="F84" s="2"/>
      <c r="I84" s="2"/>
      <c r="O84" s="2"/>
      <c r="P84" s="45">
        <f>SUM(P10:P54)*business_case_dollars-P83</f>
        <v>0</v>
      </c>
      <c r="Q84" s="45">
        <f>SUM(Q10:Q54)*business_case_dollars-Q83</f>
        <v>0</v>
      </c>
      <c r="R84" s="45">
        <f>SUM(R10:R54)*business_case_dollars-R83</f>
        <v>0</v>
      </c>
      <c r="S84" s="45">
        <f>SUM(S10:S54)*business_case_dollars-S83</f>
        <v>0</v>
      </c>
      <c r="T84" s="45">
        <f>SUM(T10:T54)*business_case_dollars-T83</f>
        <v>0</v>
      </c>
      <c r="U84" s="45">
        <f>SUM(P10:T54)*business_case_dollars-U83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0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22" priority="8">
      <formula>$E10="Contracts"</formula>
    </cfRule>
    <cfRule type="expression" dxfId="21" priority="9">
      <formula>$E10="Materials"</formula>
    </cfRule>
    <cfRule type="expression" dxfId="20" priority="10">
      <formula>$E10="Labour"</formula>
    </cfRule>
  </conditionalFormatting>
  <conditionalFormatting sqref="P68:U68">
    <cfRule type="expression" dxfId="19" priority="1">
      <formula>ABS(P68)&gt;0.001</formula>
    </cfRule>
  </conditionalFormatting>
  <conditionalFormatting sqref="P84:U84">
    <cfRule type="expression" dxfId="18" priority="2">
      <formula>ABS(P84)&gt;0.001</formula>
    </cfRule>
  </conditionalFormatting>
  <conditionalFormatting sqref="V68">
    <cfRule type="expression" dxfId="17" priority="14">
      <formula>ABS(V68)&gt;0.001</formula>
    </cfRule>
  </conditionalFormatting>
  <conditionalFormatting sqref="V84">
    <cfRule type="expression" dxfId="16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85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55</v>
      </c>
      <c r="D10" s="82" t="s">
        <v>49</v>
      </c>
      <c r="E10" s="80" t="s">
        <v>14</v>
      </c>
      <c r="F10" s="2"/>
      <c r="G10" s="65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 t="s">
        <v>56</v>
      </c>
      <c r="D11" s="82" t="s">
        <v>49</v>
      </c>
      <c r="E11" s="80" t="s">
        <v>11</v>
      </c>
      <c r="F11" s="2"/>
      <c r="G11" s="65">
        <f>IF($E11="Labour",Assumptions!$B$14,)</f>
        <v>145.77740900000001</v>
      </c>
      <c r="H11" s="9" t="str">
        <f t="shared" ref="H11:H54" si="5">IF($E11="Labour","Hours","$")</f>
        <v>Hours</v>
      </c>
      <c r="I11" s="2"/>
      <c r="J11" s="83">
        <v>175</v>
      </c>
      <c r="K11" s="83"/>
      <c r="L11" s="83"/>
      <c r="M11" s="83"/>
      <c r="N11" s="83"/>
      <c r="O11" s="2"/>
      <c r="P11" s="5">
        <f t="shared" si="0"/>
        <v>25511.046575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 t="s">
        <v>57</v>
      </c>
      <c r="D12" s="82" t="s">
        <v>49</v>
      </c>
      <c r="E12" s="80" t="s">
        <v>11</v>
      </c>
      <c r="F12" s="2"/>
      <c r="G12" s="65">
        <f>IF($E12="Labour",Assumptions!$B$14,)</f>
        <v>145.77740900000001</v>
      </c>
      <c r="H12" s="9" t="str">
        <f t="shared" si="5"/>
        <v>Hours</v>
      </c>
      <c r="I12" s="2"/>
      <c r="J12" s="83">
        <v>300</v>
      </c>
      <c r="K12" s="83"/>
      <c r="L12" s="83"/>
      <c r="M12" s="83"/>
      <c r="N12" s="83"/>
      <c r="O12" s="2"/>
      <c r="P12" s="5">
        <f t="shared" si="0"/>
        <v>43733.222699999998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 t="s">
        <v>58</v>
      </c>
      <c r="D13" s="82" t="s">
        <v>49</v>
      </c>
      <c r="E13" s="80" t="s">
        <v>11</v>
      </c>
      <c r="F13" s="2"/>
      <c r="G13" s="65">
        <f>IF($E13="Labour",Assumptions!$B$14,)</f>
        <v>145.77740900000001</v>
      </c>
      <c r="H13" s="9" t="str">
        <f t="shared" si="5"/>
        <v>Hours</v>
      </c>
      <c r="I13" s="2"/>
      <c r="J13" s="83">
        <v>600</v>
      </c>
      <c r="K13" s="83"/>
      <c r="L13" s="83"/>
      <c r="M13" s="83"/>
      <c r="N13" s="83"/>
      <c r="O13" s="2"/>
      <c r="P13" s="5">
        <f t="shared" si="0"/>
        <v>87466.445399999997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 t="s">
        <v>59</v>
      </c>
      <c r="D14" s="82" t="s">
        <v>49</v>
      </c>
      <c r="E14" s="80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3">
        <v>0</v>
      </c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 t="s">
        <v>60</v>
      </c>
      <c r="D15" s="82" t="s">
        <v>49</v>
      </c>
      <c r="E15" s="80" t="s">
        <v>11</v>
      </c>
      <c r="F15" s="2"/>
      <c r="G15" s="65">
        <f>IF($E15="Labour",Assumptions!$B$14,)</f>
        <v>145.77740900000001</v>
      </c>
      <c r="H15" s="9" t="str">
        <f t="shared" si="5"/>
        <v>Hours</v>
      </c>
      <c r="I15" s="2"/>
      <c r="J15" s="83">
        <v>302</v>
      </c>
      <c r="K15" s="83"/>
      <c r="L15" s="83"/>
      <c r="M15" s="83"/>
      <c r="N15" s="83"/>
      <c r="O15" s="2"/>
      <c r="P15" s="5">
        <f t="shared" si="0"/>
        <v>44024.777518000003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 t="s">
        <v>49</v>
      </c>
      <c r="E16" s="80" t="s">
        <v>13</v>
      </c>
      <c r="F16" s="2"/>
      <c r="G16" s="65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 t="s">
        <v>61</v>
      </c>
      <c r="D17" s="82" t="s">
        <v>49</v>
      </c>
      <c r="E17" s="80" t="s">
        <v>14</v>
      </c>
      <c r="F17" s="2"/>
      <c r="G17" s="65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 t="s">
        <v>62</v>
      </c>
      <c r="D18" s="82" t="s">
        <v>49</v>
      </c>
      <c r="E18" s="80" t="s">
        <v>11</v>
      </c>
      <c r="F18" s="2"/>
      <c r="G18" s="65">
        <f>IF($E18="Labour",Assumptions!$B$14,)</f>
        <v>145.77740900000001</v>
      </c>
      <c r="H18" s="9" t="str">
        <f t="shared" si="5"/>
        <v>Hours</v>
      </c>
      <c r="I18" s="2"/>
      <c r="J18" s="83">
        <v>350</v>
      </c>
      <c r="K18" s="83"/>
      <c r="L18" s="83"/>
      <c r="M18" s="83"/>
      <c r="N18" s="83"/>
      <c r="O18" s="2"/>
      <c r="P18" s="5">
        <f t="shared" si="0"/>
        <v>51022.093150000001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 t="s">
        <v>63</v>
      </c>
      <c r="D19" s="82" t="s">
        <v>49</v>
      </c>
      <c r="E19" s="80" t="s">
        <v>11</v>
      </c>
      <c r="F19" s="2"/>
      <c r="G19" s="65">
        <f>IF($E19="Labour",Assumptions!$B$14,)</f>
        <v>145.77740900000001</v>
      </c>
      <c r="H19" s="9" t="str">
        <f t="shared" si="5"/>
        <v>Hours</v>
      </c>
      <c r="I19" s="2"/>
      <c r="J19" s="83">
        <v>700</v>
      </c>
      <c r="K19" s="83"/>
      <c r="L19" s="83"/>
      <c r="M19" s="83"/>
      <c r="N19" s="83"/>
      <c r="O19" s="2"/>
      <c r="P19" s="5">
        <f t="shared" si="0"/>
        <v>102044.1863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 t="s">
        <v>64</v>
      </c>
      <c r="D20" s="82" t="s">
        <v>49</v>
      </c>
      <c r="E20" s="80" t="s">
        <v>11</v>
      </c>
      <c r="F20" s="2"/>
      <c r="G20" s="65">
        <f>IF($E20="Labour",Assumptions!$B$14,)</f>
        <v>145.77740900000001</v>
      </c>
      <c r="H20" s="9" t="str">
        <f t="shared" si="5"/>
        <v>Hours</v>
      </c>
      <c r="I20" s="2"/>
      <c r="J20" s="83">
        <v>1000</v>
      </c>
      <c r="K20" s="83"/>
      <c r="L20" s="83"/>
      <c r="M20" s="83"/>
      <c r="N20" s="83"/>
      <c r="O20" s="2"/>
      <c r="P20" s="5">
        <f t="shared" si="0"/>
        <v>145777.40900000001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65</v>
      </c>
      <c r="D21" s="82" t="s">
        <v>49</v>
      </c>
      <c r="E21" s="80" t="s">
        <v>13</v>
      </c>
      <c r="F21" s="2"/>
      <c r="G21" s="65">
        <f>IF($E21="Labour",Assumptions!$B$14,)</f>
        <v>0</v>
      </c>
      <c r="H21" s="9" t="str">
        <f t="shared" si="5"/>
        <v>$</v>
      </c>
      <c r="I21" s="2"/>
      <c r="J21" s="83">
        <v>0</v>
      </c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 t="s">
        <v>66</v>
      </c>
      <c r="D22" s="82" t="s">
        <v>49</v>
      </c>
      <c r="E22" s="80" t="s">
        <v>11</v>
      </c>
      <c r="F22" s="2"/>
      <c r="G22" s="65">
        <f>IF($E22="Labour",Assumptions!$B$14,)</f>
        <v>145.77740900000001</v>
      </c>
      <c r="H22" s="9" t="str">
        <f t="shared" si="5"/>
        <v>Hours</v>
      </c>
      <c r="I22" s="2"/>
      <c r="J22" s="83">
        <v>703</v>
      </c>
      <c r="K22" s="83"/>
      <c r="L22" s="83"/>
      <c r="M22" s="83"/>
      <c r="N22" s="83"/>
      <c r="O22" s="2"/>
      <c r="P22" s="5">
        <f t="shared" si="0"/>
        <v>102481.51852700001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 t="s">
        <v>49</v>
      </c>
      <c r="E23" s="80" t="s">
        <v>13</v>
      </c>
      <c r="F23" s="2"/>
      <c r="G23" s="65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13</v>
      </c>
      <c r="F24" s="2"/>
      <c r="G24" s="65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5">
        <f>IF($E25="Labour",Assumptions!$B$14,)</f>
        <v>145.77740900000001</v>
      </c>
      <c r="H25" s="9" t="str">
        <f t="shared" si="5"/>
        <v>Hours</v>
      </c>
      <c r="I25" s="2"/>
      <c r="J25" s="83">
        <v>200</v>
      </c>
      <c r="K25" s="83"/>
      <c r="L25" s="83"/>
      <c r="M25" s="83"/>
      <c r="N25" s="83"/>
      <c r="O25" s="2"/>
      <c r="P25" s="5">
        <f t="shared" si="0"/>
        <v>29155.481800000001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5">
        <f>IF($E26="Labour",Assumptions!$B$14,)</f>
        <v>145.77740900000001</v>
      </c>
      <c r="H26" s="9" t="str">
        <f t="shared" si="5"/>
        <v>Hours</v>
      </c>
      <c r="I26" s="2"/>
      <c r="J26" s="83">
        <v>400</v>
      </c>
      <c r="K26" s="83"/>
      <c r="L26" s="83"/>
      <c r="M26" s="83"/>
      <c r="N26" s="83"/>
      <c r="O26" s="2"/>
      <c r="P26" s="5">
        <f t="shared" si="0"/>
        <v>58310.963600000003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5">
        <f>IF($E27="Labour",Assumptions!$B$14,)</f>
        <v>145.77740900000001</v>
      </c>
      <c r="H27" s="9" t="str">
        <f t="shared" si="5"/>
        <v>Hours</v>
      </c>
      <c r="I27" s="2"/>
      <c r="J27" s="83">
        <v>400</v>
      </c>
      <c r="K27" s="83"/>
      <c r="L27" s="83"/>
      <c r="M27" s="83"/>
      <c r="N27" s="83"/>
      <c r="O27" s="2"/>
      <c r="P27" s="5">
        <f t="shared" si="0"/>
        <v>58310.963600000003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5">
        <f>IF($E28="Labour",Assumptions!$B$14,)</f>
        <v>145.77740900000001</v>
      </c>
      <c r="H28" s="9" t="str">
        <f t="shared" si="5"/>
        <v>Hours</v>
      </c>
      <c r="I28" s="2"/>
      <c r="J28" s="83">
        <v>400</v>
      </c>
      <c r="K28" s="83"/>
      <c r="L28" s="83"/>
      <c r="M28" s="83"/>
      <c r="N28" s="83"/>
      <c r="O28" s="2"/>
      <c r="P28" s="5">
        <f t="shared" si="0"/>
        <v>58310.963600000003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13</v>
      </c>
      <c r="F29" s="2"/>
      <c r="G29" s="65">
        <f>IF($E29="Labour",Assumptions!$B$14,)</f>
        <v>0</v>
      </c>
      <c r="H29" s="9" t="str">
        <f t="shared" si="5"/>
        <v>$</v>
      </c>
      <c r="I29" s="2"/>
      <c r="J29" s="83">
        <v>0</v>
      </c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5">
        <f>IF($E30="Labour",Assumptions!$B$14,)</f>
        <v>145.77740900000001</v>
      </c>
      <c r="H30" s="9" t="str">
        <f t="shared" si="5"/>
        <v>Hours</v>
      </c>
      <c r="I30" s="2"/>
      <c r="J30" s="83">
        <v>321</v>
      </c>
      <c r="K30" s="83"/>
      <c r="L30" s="83"/>
      <c r="M30" s="83"/>
      <c r="N30" s="83"/>
      <c r="O30" s="2"/>
      <c r="P30" s="5">
        <f t="shared" si="0"/>
        <v>46794.548288999998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 t="s">
        <v>49</v>
      </c>
      <c r="E31" s="80" t="s">
        <v>13</v>
      </c>
      <c r="F31" s="2"/>
      <c r="G31" s="65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 t="s">
        <v>74</v>
      </c>
      <c r="D32" s="82" t="s">
        <v>49</v>
      </c>
      <c r="E32" s="80" t="s">
        <v>13</v>
      </c>
      <c r="F32" s="2"/>
      <c r="G32" s="65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5">
        <f>IF($E33="Labour",Assumptions!$B$14,)</f>
        <v>145.77740900000001</v>
      </c>
      <c r="H33" s="9" t="str">
        <f t="shared" si="5"/>
        <v>Hours</v>
      </c>
      <c r="I33" s="2"/>
      <c r="J33" s="83">
        <v>400</v>
      </c>
      <c r="K33" s="83"/>
      <c r="L33" s="83"/>
      <c r="M33" s="83"/>
      <c r="N33" s="83"/>
      <c r="O33" s="2"/>
      <c r="P33" s="5">
        <f t="shared" si="0"/>
        <v>58310.963600000003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 t="s">
        <v>76</v>
      </c>
      <c r="D34" s="82" t="s">
        <v>49</v>
      </c>
      <c r="E34" s="80" t="s">
        <v>11</v>
      </c>
      <c r="F34" s="2"/>
      <c r="G34" s="65">
        <f>IF($E34="Labour",Assumptions!$B$14,)</f>
        <v>145.77740900000001</v>
      </c>
      <c r="H34" s="9" t="str">
        <f t="shared" si="5"/>
        <v>Hours</v>
      </c>
      <c r="I34" s="2"/>
      <c r="J34" s="83">
        <v>750</v>
      </c>
      <c r="K34" s="83"/>
      <c r="L34" s="83"/>
      <c r="M34" s="83"/>
      <c r="N34" s="83"/>
      <c r="O34" s="2"/>
      <c r="P34" s="5">
        <f t="shared" si="0"/>
        <v>109333.05675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77</v>
      </c>
      <c r="D35" s="82" t="s">
        <v>49</v>
      </c>
      <c r="E35" s="80" t="s">
        <v>11</v>
      </c>
      <c r="F35" s="2"/>
      <c r="G35" s="65">
        <f>IF($E35="Labour",Assumptions!$B$14,)</f>
        <v>145.77740900000001</v>
      </c>
      <c r="H35" s="9" t="str">
        <f t="shared" si="5"/>
        <v>Hours</v>
      </c>
      <c r="I35" s="2"/>
      <c r="J35" s="83">
        <v>750</v>
      </c>
      <c r="K35" s="83"/>
      <c r="L35" s="83"/>
      <c r="M35" s="83"/>
      <c r="N35" s="83"/>
      <c r="O35" s="2"/>
      <c r="P35" s="5">
        <f t="shared" si="0"/>
        <v>109333.05675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 t="s">
        <v>78</v>
      </c>
      <c r="D36" s="82" t="s">
        <v>49</v>
      </c>
      <c r="E36" s="80" t="s">
        <v>11</v>
      </c>
      <c r="F36" s="2"/>
      <c r="G36" s="65">
        <f>IF($E36="Labour",Assumptions!$B$14,)</f>
        <v>145.77740900000001</v>
      </c>
      <c r="H36" s="9" t="str">
        <f t="shared" si="5"/>
        <v>Hours</v>
      </c>
      <c r="I36" s="2"/>
      <c r="J36" s="83">
        <v>1000</v>
      </c>
      <c r="K36" s="83"/>
      <c r="L36" s="83"/>
      <c r="M36" s="83"/>
      <c r="N36" s="83"/>
      <c r="O36" s="2"/>
      <c r="P36" s="5">
        <f t="shared" si="0"/>
        <v>145777.40900000001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 t="s">
        <v>79</v>
      </c>
      <c r="D37" s="82" t="s">
        <v>49</v>
      </c>
      <c r="E37" s="80" t="s">
        <v>13</v>
      </c>
      <c r="F37" s="2"/>
      <c r="G37" s="65">
        <f>IF($E37="Labour",Assumptions!$B$14,)</f>
        <v>0</v>
      </c>
      <c r="H37" s="9" t="str">
        <f t="shared" si="5"/>
        <v>$</v>
      </c>
      <c r="I37" s="2"/>
      <c r="J37" s="83">
        <v>250000</v>
      </c>
      <c r="K37" s="83"/>
      <c r="L37" s="83"/>
      <c r="M37" s="83"/>
      <c r="N37" s="83"/>
      <c r="O37" s="2"/>
      <c r="P37" s="5">
        <f t="shared" si="0"/>
        <v>250000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 t="s">
        <v>80</v>
      </c>
      <c r="D38" s="82" t="s">
        <v>49</v>
      </c>
      <c r="E38" s="80" t="s">
        <v>11</v>
      </c>
      <c r="F38" s="2"/>
      <c r="G38" s="65">
        <f>IF($E38="Labour",Assumptions!$B$14,)</f>
        <v>145.77740900000001</v>
      </c>
      <c r="H38" s="9" t="str">
        <f t="shared" si="5"/>
        <v>Hours</v>
      </c>
      <c r="I38" s="2"/>
      <c r="J38" s="83">
        <v>541</v>
      </c>
      <c r="K38" s="83"/>
      <c r="L38" s="83"/>
      <c r="M38" s="83"/>
      <c r="N38" s="83"/>
      <c r="O38" s="2"/>
      <c r="P38" s="5">
        <f t="shared" si="0"/>
        <v>78865.578269000005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 t="s">
        <v>49</v>
      </c>
      <c r="E39" s="80" t="s">
        <v>13</v>
      </c>
      <c r="F39" s="2"/>
      <c r="G39" s="65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 t="s">
        <v>81</v>
      </c>
      <c r="D40" s="82" t="s">
        <v>49</v>
      </c>
      <c r="E40" s="80" t="s">
        <v>13</v>
      </c>
      <c r="G40" s="65">
        <f>IF($E40="Labour",Assumptions!$B$14,)</f>
        <v>0</v>
      </c>
      <c r="H40" s="9" t="str">
        <f t="shared" si="5"/>
        <v>$</v>
      </c>
      <c r="J40" s="83">
        <v>0</v>
      </c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 t="s">
        <v>82</v>
      </c>
      <c r="D41" s="82" t="s">
        <v>49</v>
      </c>
      <c r="E41" s="80" t="s">
        <v>13</v>
      </c>
      <c r="G41" s="65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 t="s">
        <v>83</v>
      </c>
      <c r="D42" s="82" t="s">
        <v>49</v>
      </c>
      <c r="E42" s="80" t="s">
        <v>13</v>
      </c>
      <c r="G42" s="65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si="0"/>
        <v>0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 t="s">
        <v>84</v>
      </c>
      <c r="D43" s="82" t="s">
        <v>49</v>
      </c>
      <c r="E43" s="80" t="s">
        <v>13</v>
      </c>
      <c r="G43" s="65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0"/>
        <v>0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 t="s">
        <v>85</v>
      </c>
      <c r="D44" s="82" t="s">
        <v>49</v>
      </c>
      <c r="E44" s="80" t="s">
        <v>13</v>
      </c>
      <c r="G44" s="65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0"/>
        <v>0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 t="s">
        <v>86</v>
      </c>
      <c r="D45" s="82" t="s">
        <v>49</v>
      </c>
      <c r="E45" s="80" t="s">
        <v>13</v>
      </c>
      <c r="G45" s="65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/>
      <c r="D46" s="82" t="s">
        <v>49</v>
      </c>
      <c r="E46" s="80" t="s">
        <v>13</v>
      </c>
      <c r="G46" s="65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0"/>
        <v>0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 t="s">
        <v>87</v>
      </c>
      <c r="D47" s="82" t="s">
        <v>49</v>
      </c>
      <c r="E47" s="80" t="s">
        <v>13</v>
      </c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115" t="s">
        <v>88</v>
      </c>
      <c r="D48" s="82" t="s">
        <v>49</v>
      </c>
      <c r="E48" s="80" t="s">
        <v>11</v>
      </c>
      <c r="G48" s="65">
        <f>IF($E48="Labour",Assumptions!$B$14,)</f>
        <v>145.77740900000001</v>
      </c>
      <c r="H48" s="9" t="str">
        <f t="shared" si="5"/>
        <v>Hours</v>
      </c>
      <c r="J48" s="83">
        <v>2064</v>
      </c>
      <c r="K48" s="83"/>
      <c r="L48" s="83"/>
      <c r="M48" s="83"/>
      <c r="N48" s="83"/>
      <c r="P48" s="5">
        <f t="shared" si="0"/>
        <v>300884.57217599999</v>
      </c>
      <c r="Q48" s="5">
        <f t="shared" si="1"/>
        <v>0</v>
      </c>
      <c r="R48" s="5">
        <f t="shared" si="2"/>
        <v>0</v>
      </c>
      <c r="S48" s="5">
        <f t="shared" si="3"/>
        <v>0</v>
      </c>
      <c r="T48" s="5">
        <f t="shared" si="4"/>
        <v>0</v>
      </c>
    </row>
    <row r="49" spans="1:25" ht="12.75" customHeight="1" x14ac:dyDescent="0.2">
      <c r="A49" s="4"/>
      <c r="C49" s="81" t="s">
        <v>89</v>
      </c>
      <c r="D49" s="82" t="s">
        <v>49</v>
      </c>
      <c r="E49" s="80" t="s">
        <v>11</v>
      </c>
      <c r="G49" s="65">
        <f>IF($E49="Labour",Assumptions!$B$14,)</f>
        <v>145.77740900000001</v>
      </c>
      <c r="H49" s="9" t="str">
        <f t="shared" si="5"/>
        <v>Hours</v>
      </c>
      <c r="J49" s="83">
        <v>2064</v>
      </c>
      <c r="K49" s="83"/>
      <c r="L49" s="83"/>
      <c r="M49" s="83"/>
      <c r="N49" s="83"/>
      <c r="P49" s="5">
        <f t="shared" si="0"/>
        <v>300884.57217599999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 t="s">
        <v>90</v>
      </c>
      <c r="D50" s="82" t="s">
        <v>49</v>
      </c>
      <c r="E50" s="80" t="s">
        <v>11</v>
      </c>
      <c r="G50" s="65">
        <f>IF($E50="Labour",Assumptions!$B$14,)</f>
        <v>145.77740900000001</v>
      </c>
      <c r="H50" s="9" t="str">
        <f t="shared" si="5"/>
        <v>Hours</v>
      </c>
      <c r="J50" s="83">
        <v>2064</v>
      </c>
      <c r="K50" s="83"/>
      <c r="L50" s="83"/>
      <c r="M50" s="83"/>
      <c r="N50" s="83"/>
      <c r="P50" s="5">
        <f t="shared" si="0"/>
        <v>300884.57217599999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 t="s">
        <v>120</v>
      </c>
      <c r="D51" s="82" t="s">
        <v>49</v>
      </c>
      <c r="E51" s="80" t="s">
        <v>11</v>
      </c>
      <c r="G51" s="65">
        <f>IF($E51="Labour",Assumptions!$B$14,)</f>
        <v>145.77740900000001</v>
      </c>
      <c r="H51" s="9" t="str">
        <f t="shared" si="5"/>
        <v>Hours</v>
      </c>
      <c r="J51" s="83">
        <v>2064</v>
      </c>
      <c r="K51" s="83"/>
      <c r="L51" s="83"/>
      <c r="M51" s="83"/>
      <c r="N51" s="83"/>
      <c r="P51" s="5">
        <f t="shared" si="0"/>
        <v>300884.57217599999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/>
      <c r="D52" s="82" t="s">
        <v>49</v>
      </c>
      <c r="E52" s="80" t="s">
        <v>13</v>
      </c>
      <c r="G52" s="65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0"/>
        <v>0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/>
      <c r="D53" s="82" t="s">
        <v>49</v>
      </c>
      <c r="E53" s="80" t="s">
        <v>13</v>
      </c>
      <c r="G53" s="65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0"/>
        <v>0</v>
      </c>
      <c r="Q53" s="5">
        <f t="shared" si="1"/>
        <v>0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 t="s">
        <v>91</v>
      </c>
      <c r="D54" s="82" t="s">
        <v>47</v>
      </c>
      <c r="E54" s="80" t="s">
        <v>11</v>
      </c>
      <c r="G54" s="65">
        <f>IF($E54="Labour",Assumptions!$B$14,)</f>
        <v>145.77740900000001</v>
      </c>
      <c r="H54" s="9" t="str">
        <f t="shared" si="5"/>
        <v>Hours</v>
      </c>
      <c r="J54" s="83">
        <v>800</v>
      </c>
      <c r="K54" s="83">
        <v>1600</v>
      </c>
      <c r="L54" s="83">
        <v>1600</v>
      </c>
      <c r="M54" s="83">
        <v>1600</v>
      </c>
      <c r="N54" s="83">
        <v>1600</v>
      </c>
      <c r="P54" s="5">
        <f t="shared" si="0"/>
        <v>116621.92720000001</v>
      </c>
      <c r="Q54" s="5">
        <f t="shared" si="1"/>
        <v>233243.85440000001</v>
      </c>
      <c r="R54" s="5">
        <f t="shared" si="2"/>
        <v>233243.85440000001</v>
      </c>
      <c r="S54" s="5">
        <f t="shared" si="3"/>
        <v>233243.85440000001</v>
      </c>
      <c r="T54" s="5">
        <f t="shared" si="4"/>
        <v>233243.85440000001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54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2558101.9731320003</v>
      </c>
      <c r="Q58" s="25">
        <f t="shared" ref="Q58:T60" si="6">SUMIFS(Q$10:Q$54,$E$10:$E$54,$C58,$D$10:$D$54,$D58)</f>
        <v>0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2558101.9731320003</v>
      </c>
    </row>
    <row r="59" spans="1:25" ht="12.75" customHeight="1" x14ac:dyDescent="0.2">
      <c r="C59" s="1" t="s">
        <v>13</v>
      </c>
      <c r="D59" s="1" t="s">
        <v>54</v>
      </c>
      <c r="F59" s="2"/>
      <c r="G59" s="69"/>
      <c r="I59" s="2"/>
      <c r="O59" s="2"/>
      <c r="P59" s="6">
        <f t="shared" ref="P59:P60" si="7">SUMIFS(P$10:P$54,$E$10:$E$54,$C59,$D$10:$D$54,$D59)</f>
        <v>250000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4" si="8">SUM(P59:T59)</f>
        <v>250000</v>
      </c>
    </row>
    <row r="60" spans="1:25" ht="12.75" customHeight="1" x14ac:dyDescent="0.2">
      <c r="C60" s="1" t="s">
        <v>14</v>
      </c>
      <c r="D60" s="1" t="s">
        <v>54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2808101.9731320003</v>
      </c>
      <c r="Q61" s="22">
        <f t="shared" ref="Q61:U61" si="9">SUM(Q58:Q60)</f>
        <v>0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2808101.9731320003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116621.92720000001</v>
      </c>
      <c r="Q62" s="6">
        <f t="shared" si="10"/>
        <v>233243.85440000001</v>
      </c>
      <c r="R62" s="6">
        <f t="shared" si="10"/>
        <v>233243.85440000001</v>
      </c>
      <c r="S62" s="6">
        <f t="shared" si="10"/>
        <v>233243.85440000001</v>
      </c>
      <c r="T62" s="6">
        <f t="shared" si="10"/>
        <v>233243.85440000001</v>
      </c>
      <c r="U62" s="73">
        <f t="shared" si="8"/>
        <v>1049597.3448000001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0</v>
      </c>
      <c r="Q64" s="6">
        <f t="shared" si="10"/>
        <v>0</v>
      </c>
      <c r="R64" s="6">
        <f t="shared" si="10"/>
        <v>0</v>
      </c>
      <c r="S64" s="6">
        <f t="shared" si="10"/>
        <v>0</v>
      </c>
      <c r="T64" s="6">
        <f t="shared" si="10"/>
        <v>0</v>
      </c>
      <c r="U64" s="73">
        <f t="shared" si="8"/>
        <v>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116621.92720000001</v>
      </c>
      <c r="Q65" s="22">
        <f t="shared" ref="Q65:U65" si="11">SUM(Q62:Q64)</f>
        <v>233243.85440000001</v>
      </c>
      <c r="R65" s="22">
        <f t="shared" si="11"/>
        <v>233243.85440000001</v>
      </c>
      <c r="S65" s="22">
        <f t="shared" si="11"/>
        <v>233243.85440000001</v>
      </c>
      <c r="T65" s="22">
        <f t="shared" si="11"/>
        <v>233243.85440000001</v>
      </c>
      <c r="U65" s="22">
        <f t="shared" si="11"/>
        <v>1049597.3448000001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2924723.9003320001</v>
      </c>
      <c r="Q67" s="8">
        <f t="shared" ref="Q67:T67" si="12">Q61+Q65</f>
        <v>233243.85440000001</v>
      </c>
      <c r="R67" s="8">
        <f t="shared" si="12"/>
        <v>233243.85440000001</v>
      </c>
      <c r="S67" s="8">
        <f t="shared" si="12"/>
        <v>233243.85440000001</v>
      </c>
      <c r="T67" s="8">
        <f t="shared" si="12"/>
        <v>233243.85440000001</v>
      </c>
      <c r="U67" s="74">
        <f t="shared" ref="U67" si="13">SUM(P67:T67)</f>
        <v>3857699.3179320004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4">Q67-SUM(Q$10:Q$54)</f>
        <v>0</v>
      </c>
      <c r="R68" s="45">
        <f t="shared" si="14"/>
        <v>0</v>
      </c>
      <c r="S68" s="45">
        <f t="shared" si="14"/>
        <v>0</v>
      </c>
      <c r="T68" s="45">
        <f t="shared" si="14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5" t="str">
        <f>"NPV ($ "&amp;Assumptions!$B$12&amp;")"</f>
        <v>NPV ($ June 2024)</v>
      </c>
      <c r="D70" s="56">
        <f>NPV(Real_Discount_rate,P67:T67)</f>
        <v>3653572.0313673597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25">
        <f t="shared" ref="P74:T76" si="15">P58*business_case_dollars</f>
        <v>2741608.6307306038</v>
      </c>
      <c r="Q74" s="25">
        <f t="shared" si="15"/>
        <v>0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72">
        <f>SUM(P74:T74)</f>
        <v>2741608.6307306038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5"/>
        <v>267933.86850152886</v>
      </c>
      <c r="Q75" s="6">
        <f t="shared" si="15"/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73">
        <f t="shared" ref="U75:U76" si="16">SUM(P75:T75)</f>
        <v>267933.86850152886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5"/>
        <v>0</v>
      </c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73">
        <f t="shared" si="16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3009542.4992321329</v>
      </c>
      <c r="Q77" s="22">
        <f t="shared" ref="Q77:U77" si="17">SUM(Q74:Q76)</f>
        <v>0</v>
      </c>
      <c r="R77" s="22">
        <f t="shared" si="17"/>
        <v>0</v>
      </c>
      <c r="S77" s="22">
        <f t="shared" si="17"/>
        <v>0</v>
      </c>
      <c r="T77" s="22">
        <f t="shared" si="17"/>
        <v>0</v>
      </c>
      <c r="U77" s="22">
        <f t="shared" si="17"/>
        <v>3009542.4992321329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25">
        <f>P62*Assumptions!$F$31</f>
        <v>129790.01763035568</v>
      </c>
      <c r="Q78" s="25">
        <f>Q62*Assumptions!$F$31</f>
        <v>259580.03526071136</v>
      </c>
      <c r="R78" s="25">
        <f>R62*Assumptions!$F$31</f>
        <v>259580.03526071136</v>
      </c>
      <c r="S78" s="25">
        <f>S62*Assumptions!$F$31</f>
        <v>259580.03526071136</v>
      </c>
      <c r="T78" s="25">
        <f>T62*Assumptions!$F$31</f>
        <v>259580.03526071136</v>
      </c>
      <c r="U78" s="72">
        <f>SUM(P78:T78)</f>
        <v>1168110.1586732012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>P63*Assumptions!$F$31</f>
        <v>0</v>
      </c>
      <c r="Q79" s="6">
        <f>Q63*Assumptions!$F$31</f>
        <v>0</v>
      </c>
      <c r="R79" s="6">
        <f>R63*Assumptions!$F$31</f>
        <v>0</v>
      </c>
      <c r="S79" s="6">
        <f>S63*Assumptions!$F$31</f>
        <v>0</v>
      </c>
      <c r="T79" s="6">
        <f>T63*Assumptions!$F$31</f>
        <v>0</v>
      </c>
      <c r="U79" s="73">
        <f t="shared" ref="U79:U80" si="18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>P64*Assumptions!$F$31</f>
        <v>0</v>
      </c>
      <c r="Q80" s="6">
        <f>Q64*Assumptions!$F$31</f>
        <v>0</v>
      </c>
      <c r="R80" s="6">
        <f>R64*Assumptions!$F$31</f>
        <v>0</v>
      </c>
      <c r="S80" s="6">
        <f>S64*Assumptions!$F$31</f>
        <v>0</v>
      </c>
      <c r="T80" s="6">
        <f>T64*Assumptions!$F$31</f>
        <v>0</v>
      </c>
      <c r="U80" s="73">
        <f t="shared" si="18"/>
        <v>0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129790.01763035568</v>
      </c>
      <c r="Q81" s="22">
        <f t="shared" ref="Q81:U81" si="19">SUM(Q78:Q80)</f>
        <v>259580.03526071136</v>
      </c>
      <c r="R81" s="22">
        <f t="shared" si="19"/>
        <v>259580.03526071136</v>
      </c>
      <c r="S81" s="22">
        <f t="shared" si="19"/>
        <v>259580.03526071136</v>
      </c>
      <c r="T81" s="22">
        <f t="shared" si="19"/>
        <v>259580.03526071136</v>
      </c>
      <c r="U81" s="22">
        <f t="shared" si="19"/>
        <v>1168110.1586732012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3139332.5168624888</v>
      </c>
      <c r="Q83" s="8">
        <f t="shared" ref="Q83:T83" si="20">Q77+Q81</f>
        <v>259580.03526071136</v>
      </c>
      <c r="R83" s="8">
        <f t="shared" si="20"/>
        <v>259580.03526071136</v>
      </c>
      <c r="S83" s="8">
        <f t="shared" si="20"/>
        <v>259580.03526071136</v>
      </c>
      <c r="T83" s="8">
        <f t="shared" si="20"/>
        <v>259580.03526071136</v>
      </c>
      <c r="U83" s="74">
        <f t="shared" ref="U83" si="21">SUM(P83:T83)</f>
        <v>4177652.6579053341</v>
      </c>
    </row>
    <row r="84" spans="3:22" x14ac:dyDescent="0.2">
      <c r="F84" s="2"/>
      <c r="I84" s="2"/>
      <c r="O84" s="2"/>
      <c r="P84" s="45">
        <f>P83-(SUMIF($D$10:$D$54,"opex",P$10:P$54)*Assumptions!$F$31+SUMIF($D$10:$D$54,"capex",P$10:P$54)*business_case_dollars)</f>
        <v>0</v>
      </c>
      <c r="Q84" s="45">
        <f>Q83-(SUMIF($D$10:$D$54,"opex",Q$10:Q$54)*Assumptions!$F$31+SUMIF($D$10:$D$54,"capex",Q$10:Q$54)*business_case_dollars)</f>
        <v>0</v>
      </c>
      <c r="R84" s="45">
        <f>R83-(SUMIF($D$10:$D$54,"opex",R$10:R$54)*Assumptions!$F$31+SUMIF($D$10:$D$54,"capex",R$10:R$54)*business_case_dollars)</f>
        <v>0</v>
      </c>
      <c r="S84" s="45">
        <f>S83-(SUMIF($D$10:$D$54,"opex",S$10:S$54)*Assumptions!$F$31+SUMIF($D$10:$D$54,"capex",S$10:S$54)*business_case_dollars)</f>
        <v>0</v>
      </c>
      <c r="T84" s="45">
        <f>T83-(SUMIF($D$10:$D$54,"opex",T$10:T$54)*Assumptions!$F$31+SUMIF($D$10:$D$54,"capex",T$10:T$54)*business_case_dollars)</f>
        <v>0</v>
      </c>
      <c r="U84" s="45">
        <f>U83-(SUM(P10:T53)*business_case_dollars+SUM(P54:T54)*Assumptions!F31)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3954387.0022699866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15" priority="6">
      <formula>$E10="Contracts"</formula>
    </cfRule>
    <cfRule type="expression" dxfId="14" priority="7">
      <formula>$E10="Materials"</formula>
    </cfRule>
    <cfRule type="expression" dxfId="13" priority="8">
      <formula>$E10="Labour"</formula>
    </cfRule>
  </conditionalFormatting>
  <conditionalFormatting sqref="P68:U68">
    <cfRule type="expression" dxfId="12" priority="1">
      <formula>ABS(P68)&gt;0.001</formula>
    </cfRule>
  </conditionalFormatting>
  <conditionalFormatting sqref="P84:U84">
    <cfRule type="expression" dxfId="11" priority="2">
      <formula>ABS(P84)&gt;0.001</formula>
    </cfRule>
  </conditionalFormatting>
  <conditionalFormatting sqref="V68">
    <cfRule type="expression" dxfId="10" priority="12">
      <formula>ABS(V68)&gt;0.001</formula>
    </cfRule>
  </conditionalFormatting>
  <conditionalFormatting sqref="V84">
    <cfRule type="expression" dxfId="9" priority="3">
      <formula>ABS(V84)&gt;0.001</formula>
    </cfRule>
  </conditionalFormatting>
  <dataValidations disablePrompts="1"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10:D54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85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A10" sqref="A10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Situational awareness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4"/>
      <c r="S1" s="14"/>
      <c r="T1" s="14"/>
    </row>
    <row r="2" spans="1:25" ht="15.75" x14ac:dyDescent="0.25">
      <c r="A2" s="60" t="str">
        <f>Business</f>
        <v>United Energy &amp; Powercor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  <c r="T2" s="13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3"/>
      <c r="S3" s="13"/>
      <c r="T3" s="13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41</v>
      </c>
      <c r="D7" s="66" t="s">
        <v>42</v>
      </c>
      <c r="E7" s="66" t="s">
        <v>43</v>
      </c>
      <c r="F7" s="16"/>
      <c r="G7" s="112" t="s">
        <v>11</v>
      </c>
      <c r="H7" s="19" t="s">
        <v>44</v>
      </c>
      <c r="J7" s="19" t="s">
        <v>45</v>
      </c>
      <c r="K7" s="20"/>
      <c r="L7" s="20"/>
      <c r="M7" s="20"/>
      <c r="N7" s="20"/>
      <c r="P7" s="19" t="s">
        <v>46</v>
      </c>
      <c r="Q7" s="20"/>
      <c r="R7" s="20"/>
      <c r="S7" s="20"/>
      <c r="T7" s="20"/>
    </row>
    <row r="8" spans="1:25" ht="12.75" customHeight="1" x14ac:dyDescent="0.2">
      <c r="A8" s="4"/>
      <c r="B8" s="4"/>
      <c r="C8" s="102"/>
      <c r="D8" s="102" t="s">
        <v>47</v>
      </c>
      <c r="E8" s="102"/>
      <c r="F8" s="16"/>
      <c r="G8" s="113" t="s">
        <v>48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55</v>
      </c>
      <c r="D10" s="82" t="s">
        <v>49</v>
      </c>
      <c r="E10" s="80" t="s">
        <v>11</v>
      </c>
      <c r="F10" s="2"/>
      <c r="G10" s="65">
        <f>IF($E10="Labour",Assumptions!$B$14,)</f>
        <v>145.77740900000001</v>
      </c>
      <c r="H10" s="9" t="str">
        <f>IF($E10="Labour","Hours","$")</f>
        <v>Hours</v>
      </c>
      <c r="I10" s="2"/>
      <c r="J10" s="83"/>
      <c r="K10" s="83"/>
      <c r="L10" s="83"/>
      <c r="M10" s="83"/>
      <c r="N10" s="83"/>
      <c r="O10" s="2"/>
      <c r="P10" s="5">
        <f t="shared" ref="P10:P54" si="0">IF($E10="Labour",$G10*J10,J10)</f>
        <v>0</v>
      </c>
      <c r="Q10" s="5">
        <f t="shared" ref="Q10:Q54" si="1">IF($E10="Labour",$G10*K10,K10)</f>
        <v>0</v>
      </c>
      <c r="R10" s="5">
        <f t="shared" ref="R10:R54" si="2">IF($E10="Labour",$G10*L10,L10)</f>
        <v>0</v>
      </c>
      <c r="S10" s="5">
        <f t="shared" ref="S10:S54" si="3">IF($E10="Labour",$G10*M10,M10)</f>
        <v>0</v>
      </c>
      <c r="T10" s="5">
        <f t="shared" ref="T10:T54" si="4">IF($E10="Labour",$G10*N10,N10)</f>
        <v>0</v>
      </c>
    </row>
    <row r="11" spans="1:25" ht="12.75" customHeight="1" x14ac:dyDescent="0.2">
      <c r="A11" s="4"/>
      <c r="C11" s="81" t="s">
        <v>56</v>
      </c>
      <c r="D11" s="82" t="s">
        <v>49</v>
      </c>
      <c r="E11" s="80" t="s">
        <v>11</v>
      </c>
      <c r="F11" s="2"/>
      <c r="G11" s="65">
        <f>IF($E11="Labour",Assumptions!$B$14,)</f>
        <v>145.77740900000001</v>
      </c>
      <c r="H11" s="9" t="str">
        <f t="shared" ref="H11:H54" si="5">IF($E11="Labour","Hours","$")</f>
        <v>Hours</v>
      </c>
      <c r="I11" s="2"/>
      <c r="J11" s="83">
        <v>350</v>
      </c>
      <c r="K11" s="83"/>
      <c r="L11" s="83"/>
      <c r="M11" s="83"/>
      <c r="N11" s="83"/>
      <c r="O11" s="2"/>
      <c r="P11" s="5">
        <f t="shared" si="0"/>
        <v>51022.093150000001</v>
      </c>
      <c r="Q11" s="5">
        <f t="shared" si="1"/>
        <v>0</v>
      </c>
      <c r="R11" s="5">
        <f t="shared" si="2"/>
        <v>0</v>
      </c>
      <c r="S11" s="5">
        <f t="shared" si="3"/>
        <v>0</v>
      </c>
      <c r="T11" s="5">
        <f t="shared" si="4"/>
        <v>0</v>
      </c>
    </row>
    <row r="12" spans="1:25" ht="12.75" customHeight="1" x14ac:dyDescent="0.2">
      <c r="A12" s="4"/>
      <c r="C12" s="81" t="s">
        <v>57</v>
      </c>
      <c r="D12" s="82" t="s">
        <v>49</v>
      </c>
      <c r="E12" s="80" t="s">
        <v>11</v>
      </c>
      <c r="F12" s="2"/>
      <c r="G12" s="65">
        <f>IF($E12="Labour",Assumptions!$B$14,)</f>
        <v>145.77740900000001</v>
      </c>
      <c r="H12" s="9" t="str">
        <f t="shared" si="5"/>
        <v>Hours</v>
      </c>
      <c r="I12" s="2"/>
      <c r="J12" s="83">
        <v>600</v>
      </c>
      <c r="K12" s="83"/>
      <c r="L12" s="83"/>
      <c r="M12" s="83"/>
      <c r="N12" s="83"/>
      <c r="O12" s="2"/>
      <c r="P12" s="5">
        <f t="shared" si="0"/>
        <v>87466.445399999997</v>
      </c>
      <c r="Q12" s="5">
        <f t="shared" si="1"/>
        <v>0</v>
      </c>
      <c r="R12" s="5">
        <f t="shared" si="2"/>
        <v>0</v>
      </c>
      <c r="S12" s="5">
        <f t="shared" si="3"/>
        <v>0</v>
      </c>
      <c r="T12" s="5">
        <f t="shared" si="4"/>
        <v>0</v>
      </c>
    </row>
    <row r="13" spans="1:25" ht="12.75" customHeight="1" x14ac:dyDescent="0.25">
      <c r="A13" s="4"/>
      <c r="C13" s="81" t="s">
        <v>58</v>
      </c>
      <c r="D13" s="82" t="s">
        <v>49</v>
      </c>
      <c r="E13" s="80" t="s">
        <v>11</v>
      </c>
      <c r="F13" s="2"/>
      <c r="G13" s="65">
        <f>IF($E13="Labour",Assumptions!$B$14,)</f>
        <v>145.77740900000001</v>
      </c>
      <c r="H13" s="9" t="str">
        <f t="shared" si="5"/>
        <v>Hours</v>
      </c>
      <c r="I13" s="2"/>
      <c r="J13" s="83">
        <v>1200</v>
      </c>
      <c r="K13" s="83"/>
      <c r="L13" s="83"/>
      <c r="M13" s="83"/>
      <c r="N13" s="83"/>
      <c r="O13" s="2"/>
      <c r="P13" s="5">
        <f t="shared" si="0"/>
        <v>174932.89079999999</v>
      </c>
      <c r="Q13" s="5">
        <f t="shared" si="1"/>
        <v>0</v>
      </c>
      <c r="R13" s="5">
        <f t="shared" si="2"/>
        <v>0</v>
      </c>
      <c r="S13" s="5">
        <f t="shared" si="3"/>
        <v>0</v>
      </c>
      <c r="T13" s="5">
        <f t="shared" si="4"/>
        <v>0</v>
      </c>
      <c r="Y13"/>
    </row>
    <row r="14" spans="1:25" ht="12.75" customHeight="1" x14ac:dyDescent="0.25">
      <c r="A14" s="4"/>
      <c r="C14" s="81" t="s">
        <v>59</v>
      </c>
      <c r="D14" s="82" t="s">
        <v>49</v>
      </c>
      <c r="E14" s="80" t="s">
        <v>13</v>
      </c>
      <c r="F14" s="2"/>
      <c r="G14" s="65">
        <f>IF($E14="Labour",Assumptions!$B$14,)</f>
        <v>0</v>
      </c>
      <c r="H14" s="9" t="str">
        <f t="shared" si="5"/>
        <v>$</v>
      </c>
      <c r="I14" s="2"/>
      <c r="J14" s="83">
        <v>0</v>
      </c>
      <c r="K14" s="83"/>
      <c r="L14" s="83"/>
      <c r="M14" s="83"/>
      <c r="N14" s="83"/>
      <c r="O14" s="2"/>
      <c r="P14" s="5">
        <f t="shared" si="0"/>
        <v>0</v>
      </c>
      <c r="Q14" s="5">
        <f t="shared" si="1"/>
        <v>0</v>
      </c>
      <c r="R14" s="5">
        <f t="shared" si="2"/>
        <v>0</v>
      </c>
      <c r="S14" s="5">
        <f t="shared" si="3"/>
        <v>0</v>
      </c>
      <c r="T14" s="5">
        <f t="shared" si="4"/>
        <v>0</v>
      </c>
      <c r="Y14"/>
    </row>
    <row r="15" spans="1:25" ht="12.75" customHeight="1" x14ac:dyDescent="0.25">
      <c r="A15" s="4"/>
      <c r="C15" s="81" t="s">
        <v>60</v>
      </c>
      <c r="D15" s="82" t="s">
        <v>49</v>
      </c>
      <c r="E15" s="80" t="s">
        <v>11</v>
      </c>
      <c r="F15" s="2"/>
      <c r="G15" s="65">
        <f>IF($E15="Labour",Assumptions!$B$14,)</f>
        <v>145.77740900000001</v>
      </c>
      <c r="H15" s="9" t="str">
        <f t="shared" si="5"/>
        <v>Hours</v>
      </c>
      <c r="I15" s="2"/>
      <c r="J15" s="83">
        <v>604</v>
      </c>
      <c r="K15" s="83"/>
      <c r="L15" s="83"/>
      <c r="M15" s="83"/>
      <c r="N15" s="83"/>
      <c r="O15" s="2"/>
      <c r="P15" s="5">
        <f t="shared" si="0"/>
        <v>88049.555036000005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 t="s">
        <v>49</v>
      </c>
      <c r="E16" s="80" t="s">
        <v>11</v>
      </c>
      <c r="F16" s="2"/>
      <c r="G16" s="65">
        <f>IF($E16="Labour",Assumptions!$B$14,)</f>
        <v>145.77740900000001</v>
      </c>
      <c r="H16" s="9" t="str">
        <f t="shared" si="5"/>
        <v>Hours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 t="s">
        <v>61</v>
      </c>
      <c r="D17" s="82" t="s">
        <v>49</v>
      </c>
      <c r="E17" s="80" t="s">
        <v>11</v>
      </c>
      <c r="F17" s="2"/>
      <c r="G17" s="65">
        <f>IF($E17="Labour",Assumptions!$B$14,)</f>
        <v>145.77740900000001</v>
      </c>
      <c r="H17" s="9" t="str">
        <f t="shared" si="5"/>
        <v>Hours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 t="s">
        <v>62</v>
      </c>
      <c r="D18" s="82" t="s">
        <v>49</v>
      </c>
      <c r="E18" s="80" t="s">
        <v>11</v>
      </c>
      <c r="F18" s="2"/>
      <c r="G18" s="65">
        <f>IF($E18="Labour",Assumptions!$B$14,)</f>
        <v>145.77740900000001</v>
      </c>
      <c r="H18" s="9" t="str">
        <f t="shared" si="5"/>
        <v>Hours</v>
      </c>
      <c r="I18" s="2"/>
      <c r="J18" s="83">
        <v>700</v>
      </c>
      <c r="K18" s="83"/>
      <c r="L18" s="83"/>
      <c r="M18" s="83"/>
      <c r="N18" s="83"/>
      <c r="O18" s="2"/>
      <c r="P18" s="5">
        <f t="shared" si="0"/>
        <v>102044.1863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 t="s">
        <v>63</v>
      </c>
      <c r="D19" s="82" t="s">
        <v>49</v>
      </c>
      <c r="E19" s="80" t="s">
        <v>11</v>
      </c>
      <c r="F19" s="2"/>
      <c r="G19" s="65">
        <f>IF($E19="Labour",Assumptions!$B$14,)</f>
        <v>145.77740900000001</v>
      </c>
      <c r="H19" s="9" t="str">
        <f t="shared" si="5"/>
        <v>Hours</v>
      </c>
      <c r="I19" s="2"/>
      <c r="J19" s="83">
        <v>700</v>
      </c>
      <c r="K19" s="83"/>
      <c r="L19" s="83"/>
      <c r="M19" s="83"/>
      <c r="N19" s="83"/>
      <c r="O19" s="2"/>
      <c r="P19" s="5">
        <f t="shared" si="0"/>
        <v>102044.1863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 t="s">
        <v>92</v>
      </c>
      <c r="D20" s="82" t="s">
        <v>49</v>
      </c>
      <c r="E20" s="80" t="s">
        <v>11</v>
      </c>
      <c r="F20" s="2"/>
      <c r="G20" s="65">
        <f>IF($E20="Labour",Assumptions!$B$14,)</f>
        <v>145.77740900000001</v>
      </c>
      <c r="H20" s="9" t="str">
        <f t="shared" si="5"/>
        <v>Hours</v>
      </c>
      <c r="I20" s="2"/>
      <c r="J20" s="83">
        <v>700</v>
      </c>
      <c r="K20" s="83"/>
      <c r="L20" s="83"/>
      <c r="M20" s="83"/>
      <c r="N20" s="83"/>
      <c r="O20" s="2"/>
      <c r="P20" s="5">
        <f t="shared" si="0"/>
        <v>102044.1863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5">
        <f>IF($E21="Labour",Assumptions!$B$14,)</f>
        <v>145.77740900000001</v>
      </c>
      <c r="H21" s="9" t="str">
        <f t="shared" si="5"/>
        <v>Hours</v>
      </c>
      <c r="I21" s="2"/>
      <c r="J21" s="83">
        <v>1373</v>
      </c>
      <c r="K21" s="83"/>
      <c r="L21" s="83"/>
      <c r="M21" s="83"/>
      <c r="N21" s="83"/>
      <c r="O21" s="2"/>
      <c r="P21" s="5">
        <f t="shared" si="0"/>
        <v>200152.382557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13</v>
      </c>
      <c r="F22" s="2"/>
      <c r="G22" s="65">
        <f>IF($E22="Labour",Assumptions!$B$14,)</f>
        <v>0</v>
      </c>
      <c r="H22" s="9" t="str">
        <f t="shared" si="5"/>
        <v>$</v>
      </c>
      <c r="I22" s="2"/>
      <c r="J22" s="83">
        <v>100000</v>
      </c>
      <c r="K22" s="83"/>
      <c r="L22" s="83"/>
      <c r="M22" s="83"/>
      <c r="N22" s="83"/>
      <c r="O22" s="2"/>
      <c r="P22" s="5">
        <f t="shared" si="0"/>
        <v>100000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5">
        <f>IF($E23="Labour",Assumptions!$B$14,)</f>
        <v>145.77740900000001</v>
      </c>
      <c r="H23" s="9" t="str">
        <f t="shared" si="5"/>
        <v>Hours</v>
      </c>
      <c r="I23" s="2"/>
      <c r="J23" s="83">
        <v>1000</v>
      </c>
      <c r="K23" s="83"/>
      <c r="L23" s="83"/>
      <c r="M23" s="83"/>
      <c r="N23" s="83"/>
      <c r="O23" s="2"/>
      <c r="P23" s="5">
        <f t="shared" si="0"/>
        <v>145777.40900000001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 t="s">
        <v>49</v>
      </c>
      <c r="E24" s="80" t="s">
        <v>11</v>
      </c>
      <c r="F24" s="2"/>
      <c r="G24" s="65">
        <f>IF($E24="Labour",Assumptions!$B$14,)</f>
        <v>145.77740900000001</v>
      </c>
      <c r="H24" s="9" t="str">
        <f t="shared" si="5"/>
        <v>Hours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 t="s">
        <v>67</v>
      </c>
      <c r="D25" s="82" t="s">
        <v>49</v>
      </c>
      <c r="E25" s="80" t="s">
        <v>11</v>
      </c>
      <c r="F25" s="2"/>
      <c r="G25" s="65">
        <f>IF($E25="Labour",Assumptions!$B$14,)</f>
        <v>145.77740900000001</v>
      </c>
      <c r="H25" s="9" t="str">
        <f t="shared" si="5"/>
        <v>Hours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 t="s">
        <v>68</v>
      </c>
      <c r="D26" s="82" t="s">
        <v>49</v>
      </c>
      <c r="E26" s="80" t="s">
        <v>11</v>
      </c>
      <c r="F26" s="2"/>
      <c r="G26" s="65">
        <f>IF($E26="Labour",Assumptions!$B$14,)</f>
        <v>145.77740900000001</v>
      </c>
      <c r="H26" s="9" t="str">
        <f t="shared" si="5"/>
        <v>Hours</v>
      </c>
      <c r="I26" s="2"/>
      <c r="J26" s="83">
        <v>400</v>
      </c>
      <c r="K26" s="83"/>
      <c r="L26" s="83"/>
      <c r="M26" s="83"/>
      <c r="N26" s="83"/>
      <c r="O26" s="2"/>
      <c r="P26" s="5">
        <f t="shared" si="0"/>
        <v>58310.963600000003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 t="s">
        <v>69</v>
      </c>
      <c r="D27" s="82" t="s">
        <v>49</v>
      </c>
      <c r="E27" s="80" t="s">
        <v>11</v>
      </c>
      <c r="F27" s="2"/>
      <c r="G27" s="65">
        <f>IF($E27="Labour",Assumptions!$B$14,)</f>
        <v>145.77740900000001</v>
      </c>
      <c r="H27" s="9" t="str">
        <f t="shared" si="5"/>
        <v>Hours</v>
      </c>
      <c r="I27" s="2"/>
      <c r="J27" s="83">
        <v>750</v>
      </c>
      <c r="K27" s="83"/>
      <c r="L27" s="83"/>
      <c r="M27" s="83"/>
      <c r="N27" s="83"/>
      <c r="O27" s="2"/>
      <c r="P27" s="5">
        <f t="shared" si="0"/>
        <v>109333.05675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 t="s">
        <v>70</v>
      </c>
      <c r="D28" s="82" t="s">
        <v>49</v>
      </c>
      <c r="E28" s="80" t="s">
        <v>11</v>
      </c>
      <c r="F28" s="2"/>
      <c r="G28" s="65">
        <f>IF($E28="Labour",Assumptions!$B$14,)</f>
        <v>145.77740900000001</v>
      </c>
      <c r="H28" s="9" t="str">
        <f t="shared" si="5"/>
        <v>Hours</v>
      </c>
      <c r="I28" s="2"/>
      <c r="J28" s="83">
        <v>750</v>
      </c>
      <c r="K28" s="83"/>
      <c r="L28" s="83"/>
      <c r="M28" s="83"/>
      <c r="N28" s="83"/>
      <c r="O28" s="2"/>
      <c r="P28" s="5">
        <f t="shared" si="0"/>
        <v>109333.05675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 t="s">
        <v>71</v>
      </c>
      <c r="D29" s="82" t="s">
        <v>49</v>
      </c>
      <c r="E29" s="80" t="s">
        <v>11</v>
      </c>
      <c r="F29" s="2"/>
      <c r="G29" s="65">
        <f>IF($E29="Labour",Assumptions!$B$14,)</f>
        <v>145.77740900000001</v>
      </c>
      <c r="H29" s="9" t="str">
        <f t="shared" si="5"/>
        <v>Hours</v>
      </c>
      <c r="I29" s="2"/>
      <c r="J29" s="83">
        <v>1000</v>
      </c>
      <c r="K29" s="83"/>
      <c r="L29" s="83"/>
      <c r="M29" s="83"/>
      <c r="N29" s="83"/>
      <c r="O29" s="2"/>
      <c r="P29" s="5">
        <f t="shared" si="0"/>
        <v>145777.40900000001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 t="s">
        <v>72</v>
      </c>
      <c r="D30" s="82" t="s">
        <v>49</v>
      </c>
      <c r="E30" s="80" t="s">
        <v>13</v>
      </c>
      <c r="F30" s="2"/>
      <c r="G30" s="65">
        <f>IF($E30="Labour",Assumptions!$B$14,)</f>
        <v>0</v>
      </c>
      <c r="H30" s="9" t="str">
        <f t="shared" si="5"/>
        <v>$</v>
      </c>
      <c r="I30" s="2"/>
      <c r="J30" s="83">
        <v>250000</v>
      </c>
      <c r="K30" s="83"/>
      <c r="L30" s="83"/>
      <c r="M30" s="83"/>
      <c r="N30" s="83"/>
      <c r="O30" s="2"/>
      <c r="P30" s="5">
        <f t="shared" si="0"/>
        <v>250000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 t="s">
        <v>73</v>
      </c>
      <c r="D31" s="82" t="s">
        <v>49</v>
      </c>
      <c r="E31" s="80" t="s">
        <v>11</v>
      </c>
      <c r="F31" s="2"/>
      <c r="G31" s="65">
        <f>IF($E31="Labour",Assumptions!$B$14,)</f>
        <v>145.77740900000001</v>
      </c>
      <c r="H31" s="9" t="str">
        <f t="shared" si="5"/>
        <v>Hours</v>
      </c>
      <c r="I31" s="2"/>
      <c r="J31" s="83">
        <v>541</v>
      </c>
      <c r="K31" s="83"/>
      <c r="L31" s="83"/>
      <c r="M31" s="83"/>
      <c r="N31" s="83"/>
      <c r="O31" s="2"/>
      <c r="P31" s="5">
        <f t="shared" si="0"/>
        <v>78865.578269000005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 t="s">
        <v>49</v>
      </c>
      <c r="E32" s="80" t="s">
        <v>11</v>
      </c>
      <c r="F32" s="2"/>
      <c r="G32" s="65">
        <f>IF($E32="Labour",Assumptions!$B$14,)</f>
        <v>145.77740900000001</v>
      </c>
      <c r="H32" s="9" t="str">
        <f t="shared" si="5"/>
        <v>Hours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 t="s">
        <v>74</v>
      </c>
      <c r="D33" s="82" t="s">
        <v>49</v>
      </c>
      <c r="E33" s="80" t="s">
        <v>11</v>
      </c>
      <c r="F33" s="2"/>
      <c r="G33" s="65">
        <f>IF($E33="Labour",Assumptions!$B$14,)</f>
        <v>145.77740900000001</v>
      </c>
      <c r="H33" s="9" t="str">
        <f t="shared" si="5"/>
        <v>Hours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11</v>
      </c>
      <c r="F34" s="2"/>
      <c r="G34" s="65">
        <f>IF($E34="Labour",Assumptions!$B$14,)</f>
        <v>145.77740900000001</v>
      </c>
      <c r="H34" s="9" t="str">
        <f t="shared" si="5"/>
        <v>Hours</v>
      </c>
      <c r="I34" s="2"/>
      <c r="J34" s="83">
        <v>600</v>
      </c>
      <c r="K34" s="83"/>
      <c r="L34" s="83"/>
      <c r="M34" s="83"/>
      <c r="N34" s="83"/>
      <c r="O34" s="2"/>
      <c r="P34" s="5">
        <f t="shared" si="0"/>
        <v>87466.445399999997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5">
        <f>IF($E35="Labour",Assumptions!$B$14,)</f>
        <v>145.77740900000001</v>
      </c>
      <c r="H35" s="9" t="str">
        <f t="shared" si="5"/>
        <v>Hours</v>
      </c>
      <c r="I35" s="2"/>
      <c r="J35" s="83">
        <v>1100</v>
      </c>
      <c r="K35" s="83"/>
      <c r="L35" s="83"/>
      <c r="M35" s="83"/>
      <c r="N35" s="83"/>
      <c r="O35" s="2"/>
      <c r="P35" s="5">
        <f t="shared" si="0"/>
        <v>160355.14990000002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 t="s">
        <v>77</v>
      </c>
      <c r="D36" s="82" t="s">
        <v>49</v>
      </c>
      <c r="E36" s="80" t="s">
        <v>11</v>
      </c>
      <c r="F36" s="2"/>
      <c r="G36" s="65">
        <f>IF($E36="Labour",Assumptions!$B$14,)</f>
        <v>145.77740900000001</v>
      </c>
      <c r="H36" s="9" t="str">
        <f t="shared" si="5"/>
        <v>Hours</v>
      </c>
      <c r="I36" s="2"/>
      <c r="J36" s="83">
        <v>1100</v>
      </c>
      <c r="K36" s="83"/>
      <c r="L36" s="83"/>
      <c r="M36" s="83"/>
      <c r="N36" s="83"/>
      <c r="O36" s="2"/>
      <c r="P36" s="5">
        <f t="shared" si="0"/>
        <v>160355.14990000002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 t="s">
        <v>78</v>
      </c>
      <c r="D37" s="82" t="s">
        <v>49</v>
      </c>
      <c r="E37" s="80" t="s">
        <v>11</v>
      </c>
      <c r="F37" s="2"/>
      <c r="G37" s="65">
        <f>IF($E37="Labour",Assumptions!$B$14,)</f>
        <v>145.77740900000001</v>
      </c>
      <c r="H37" s="9" t="str">
        <f t="shared" si="5"/>
        <v>Hours</v>
      </c>
      <c r="I37" s="2"/>
      <c r="J37" s="83">
        <v>1400</v>
      </c>
      <c r="K37" s="83"/>
      <c r="L37" s="83"/>
      <c r="M37" s="83"/>
      <c r="N37" s="83"/>
      <c r="O37" s="2"/>
      <c r="P37" s="5">
        <f t="shared" si="0"/>
        <v>204088.3726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 t="s">
        <v>79</v>
      </c>
      <c r="D38" s="82" t="s">
        <v>49</v>
      </c>
      <c r="E38" s="80" t="s">
        <v>13</v>
      </c>
      <c r="F38" s="2"/>
      <c r="G38" s="65">
        <f>IF($E38="Labour",Assumptions!$B$14,)</f>
        <v>0</v>
      </c>
      <c r="H38" s="9" t="str">
        <f t="shared" si="5"/>
        <v>$</v>
      </c>
      <c r="I38" s="2"/>
      <c r="J38" s="83">
        <v>250000</v>
      </c>
      <c r="K38" s="83"/>
      <c r="L38" s="83"/>
      <c r="M38" s="83"/>
      <c r="N38" s="83"/>
      <c r="O38" s="2"/>
      <c r="P38" s="5">
        <f t="shared" si="0"/>
        <v>250000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 t="s">
        <v>80</v>
      </c>
      <c r="D39" s="82" t="s">
        <v>49</v>
      </c>
      <c r="E39" s="80" t="s">
        <v>11</v>
      </c>
      <c r="F39" s="2"/>
      <c r="G39" s="65">
        <f>IF($E39="Labour",Assumptions!$B$14,)</f>
        <v>145.77740900000001</v>
      </c>
      <c r="H39" s="9" t="str">
        <f t="shared" si="5"/>
        <v>Hours</v>
      </c>
      <c r="I39" s="2"/>
      <c r="J39" s="83">
        <v>962</v>
      </c>
      <c r="K39" s="83"/>
      <c r="L39" s="83"/>
      <c r="M39" s="83"/>
      <c r="N39" s="83"/>
      <c r="O39" s="2"/>
      <c r="P39" s="5">
        <f t="shared" si="0"/>
        <v>140237.86745799999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 t="s">
        <v>49</v>
      </c>
      <c r="E40" s="80" t="s">
        <v>11</v>
      </c>
      <c r="G40" s="65">
        <f>IF($E40="Labour",Assumptions!$B$14,)</f>
        <v>145.77740900000001</v>
      </c>
      <c r="H40" s="9" t="str">
        <f t="shared" si="5"/>
        <v>Hours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 t="s">
        <v>81</v>
      </c>
      <c r="D41" s="82" t="s">
        <v>49</v>
      </c>
      <c r="E41" s="80" t="s">
        <v>11</v>
      </c>
      <c r="G41" s="65">
        <f>IF($E41="Labour",Assumptions!$B$14,)</f>
        <v>145.77740900000001</v>
      </c>
      <c r="H41" s="9" t="str">
        <f t="shared" si="5"/>
        <v>Hours</v>
      </c>
      <c r="J41" s="83">
        <v>0</v>
      </c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 t="s">
        <v>82</v>
      </c>
      <c r="D42" s="82" t="s">
        <v>49</v>
      </c>
      <c r="E42" s="80" t="s">
        <v>11</v>
      </c>
      <c r="G42" s="65">
        <f>IF($E42="Labour",Assumptions!$B$14,)</f>
        <v>145.77740900000001</v>
      </c>
      <c r="H42" s="9" t="str">
        <f t="shared" si="5"/>
        <v>Hours</v>
      </c>
      <c r="J42" s="83">
        <v>200</v>
      </c>
      <c r="K42" s="83"/>
      <c r="L42" s="83"/>
      <c r="M42" s="83"/>
      <c r="N42" s="83"/>
      <c r="P42" s="5">
        <f t="shared" si="0"/>
        <v>29155.481800000001</v>
      </c>
      <c r="Q42" s="5">
        <f t="shared" si="1"/>
        <v>0</v>
      </c>
      <c r="R42" s="5">
        <f t="shared" si="2"/>
        <v>0</v>
      </c>
      <c r="S42" s="5">
        <f t="shared" si="3"/>
        <v>0</v>
      </c>
      <c r="T42" s="5">
        <f t="shared" si="4"/>
        <v>0</v>
      </c>
    </row>
    <row r="43" spans="1:25" ht="12.75" customHeight="1" x14ac:dyDescent="0.2">
      <c r="A43" s="4"/>
      <c r="C43" s="81" t="s">
        <v>83</v>
      </c>
      <c r="D43" s="82" t="s">
        <v>49</v>
      </c>
      <c r="E43" s="80" t="s">
        <v>11</v>
      </c>
      <c r="G43" s="65">
        <f>IF($E43="Labour",Assumptions!$B$14,)</f>
        <v>145.77740900000001</v>
      </c>
      <c r="H43" s="9" t="str">
        <f t="shared" si="5"/>
        <v>Hours</v>
      </c>
      <c r="J43" s="83">
        <v>400</v>
      </c>
      <c r="K43" s="83"/>
      <c r="L43" s="83"/>
      <c r="M43" s="83"/>
      <c r="N43" s="83"/>
      <c r="P43" s="5">
        <f t="shared" si="0"/>
        <v>58310.963600000003</v>
      </c>
      <c r="Q43" s="5">
        <f t="shared" si="1"/>
        <v>0</v>
      </c>
      <c r="R43" s="5">
        <f t="shared" si="2"/>
        <v>0</v>
      </c>
      <c r="S43" s="5">
        <f t="shared" si="3"/>
        <v>0</v>
      </c>
      <c r="T43" s="5">
        <f t="shared" si="4"/>
        <v>0</v>
      </c>
    </row>
    <row r="44" spans="1:25" ht="12.75" customHeight="1" x14ac:dyDescent="0.2">
      <c r="A44" s="4"/>
      <c r="C44" s="81" t="s">
        <v>84</v>
      </c>
      <c r="D44" s="82" t="s">
        <v>49</v>
      </c>
      <c r="E44" s="80" t="s">
        <v>11</v>
      </c>
      <c r="G44" s="65">
        <f>IF($E44="Labour",Assumptions!$B$14,)</f>
        <v>145.77740900000001</v>
      </c>
      <c r="H44" s="9" t="str">
        <f t="shared" si="5"/>
        <v>Hours</v>
      </c>
      <c r="J44" s="83">
        <v>800</v>
      </c>
      <c r="K44" s="83"/>
      <c r="L44" s="83"/>
      <c r="M44" s="83"/>
      <c r="N44" s="83"/>
      <c r="P44" s="5">
        <f t="shared" si="0"/>
        <v>116621.92720000001</v>
      </c>
      <c r="Q44" s="5">
        <f t="shared" si="1"/>
        <v>0</v>
      </c>
      <c r="R44" s="5">
        <f t="shared" si="2"/>
        <v>0</v>
      </c>
      <c r="S44" s="5">
        <f t="shared" si="3"/>
        <v>0</v>
      </c>
      <c r="T44" s="5">
        <f t="shared" si="4"/>
        <v>0</v>
      </c>
    </row>
    <row r="45" spans="1:25" ht="12.75" customHeight="1" x14ac:dyDescent="0.2">
      <c r="A45" s="4"/>
      <c r="C45" s="81" t="s">
        <v>85</v>
      </c>
      <c r="D45" s="82" t="s">
        <v>49</v>
      </c>
      <c r="E45" s="80" t="s">
        <v>11</v>
      </c>
      <c r="G45" s="65">
        <f>IF($E45="Labour",Assumptions!$B$14,)</f>
        <v>145.77740900000001</v>
      </c>
      <c r="H45" s="9" t="str">
        <f t="shared" si="5"/>
        <v>Hours</v>
      </c>
      <c r="J45" s="83">
        <v>0</v>
      </c>
      <c r="K45" s="83"/>
      <c r="L45" s="83"/>
      <c r="M45" s="83"/>
      <c r="N45" s="83"/>
      <c r="P45" s="5">
        <f t="shared" si="0"/>
        <v>0</v>
      </c>
      <c r="Q45" s="5">
        <f t="shared" si="1"/>
        <v>0</v>
      </c>
      <c r="R45" s="5">
        <f t="shared" si="2"/>
        <v>0</v>
      </c>
      <c r="S45" s="5">
        <f t="shared" si="3"/>
        <v>0</v>
      </c>
      <c r="T45" s="5">
        <f t="shared" si="4"/>
        <v>0</v>
      </c>
    </row>
    <row r="46" spans="1:25" ht="12.75" customHeight="1" x14ac:dyDescent="0.2">
      <c r="A46" s="4"/>
      <c r="C46" s="81" t="s">
        <v>86</v>
      </c>
      <c r="D46" s="82" t="s">
        <v>49</v>
      </c>
      <c r="E46" s="80" t="s">
        <v>11</v>
      </c>
      <c r="G46" s="65">
        <f>IF($E46="Labour",Assumptions!$B$14,)</f>
        <v>145.77740900000001</v>
      </c>
      <c r="H46" s="9" t="str">
        <f t="shared" si="5"/>
        <v>Hours</v>
      </c>
      <c r="J46" s="83">
        <v>321</v>
      </c>
      <c r="K46" s="83"/>
      <c r="L46" s="83"/>
      <c r="M46" s="83"/>
      <c r="N46" s="83"/>
      <c r="P46" s="5">
        <f t="shared" si="0"/>
        <v>46794.548288999998</v>
      </c>
      <c r="Q46" s="5">
        <f t="shared" si="1"/>
        <v>0</v>
      </c>
      <c r="R46" s="5">
        <f t="shared" si="2"/>
        <v>0</v>
      </c>
      <c r="S46" s="5">
        <f t="shared" si="3"/>
        <v>0</v>
      </c>
      <c r="T46" s="5">
        <f t="shared" si="4"/>
        <v>0</v>
      </c>
    </row>
    <row r="47" spans="1:25" ht="12.75" customHeight="1" x14ac:dyDescent="0.2">
      <c r="A47" s="4"/>
      <c r="C47" s="81"/>
      <c r="D47" s="82" t="s">
        <v>47</v>
      </c>
      <c r="E47" s="80" t="s">
        <v>14</v>
      </c>
      <c r="G47" s="65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0"/>
        <v>0</v>
      </c>
      <c r="Q47" s="5">
        <f t="shared" si="1"/>
        <v>0</v>
      </c>
      <c r="R47" s="5">
        <f t="shared" si="2"/>
        <v>0</v>
      </c>
      <c r="S47" s="5">
        <f t="shared" si="3"/>
        <v>0</v>
      </c>
      <c r="T47" s="5">
        <f t="shared" si="4"/>
        <v>0</v>
      </c>
    </row>
    <row r="48" spans="1:25" ht="12.75" customHeight="1" x14ac:dyDescent="0.2">
      <c r="A48" s="4"/>
      <c r="C48" s="81" t="s">
        <v>93</v>
      </c>
      <c r="D48" s="82" t="s">
        <v>47</v>
      </c>
      <c r="E48" s="80" t="s">
        <v>14</v>
      </c>
      <c r="G48" s="65">
        <f>IF($E48="Labour",Assumptions!$B$14,)</f>
        <v>0</v>
      </c>
      <c r="H48" s="9" t="str">
        <f t="shared" si="5"/>
        <v>$</v>
      </c>
      <c r="J48" s="83">
        <v>750000</v>
      </c>
      <c r="K48" s="83">
        <v>750000</v>
      </c>
      <c r="L48" s="83">
        <v>750000</v>
      </c>
      <c r="M48" s="83">
        <v>750000</v>
      </c>
      <c r="N48" s="83">
        <v>750000</v>
      </c>
      <c r="P48" s="5">
        <f t="shared" si="0"/>
        <v>750000</v>
      </c>
      <c r="Q48" s="5">
        <f t="shared" si="1"/>
        <v>750000</v>
      </c>
      <c r="R48" s="5">
        <f t="shared" si="2"/>
        <v>750000</v>
      </c>
      <c r="S48" s="5">
        <f t="shared" si="3"/>
        <v>750000</v>
      </c>
      <c r="T48" s="5">
        <f t="shared" si="4"/>
        <v>750000</v>
      </c>
    </row>
    <row r="49" spans="1:25" ht="12.75" customHeight="1" x14ac:dyDescent="0.2">
      <c r="A49" s="4"/>
      <c r="C49" s="81" t="s">
        <v>94</v>
      </c>
      <c r="D49" s="82" t="s">
        <v>49</v>
      </c>
      <c r="E49" s="80" t="s">
        <v>11</v>
      </c>
      <c r="G49" s="65">
        <f>IF($E49="Labour",Assumptions!$B$14,)</f>
        <v>145.77740900000001</v>
      </c>
      <c r="H49" s="9" t="str">
        <f t="shared" si="5"/>
        <v>Hours</v>
      </c>
      <c r="J49" s="83">
        <v>1856</v>
      </c>
      <c r="K49" s="83"/>
      <c r="L49" s="83"/>
      <c r="M49" s="83"/>
      <c r="N49" s="83"/>
      <c r="P49" s="5">
        <f t="shared" si="0"/>
        <v>270562.87110400002</v>
      </c>
      <c r="Q49" s="5">
        <f t="shared" si="1"/>
        <v>0</v>
      </c>
      <c r="R49" s="5">
        <f t="shared" si="2"/>
        <v>0</v>
      </c>
      <c r="S49" s="5">
        <f t="shared" si="3"/>
        <v>0</v>
      </c>
      <c r="T49" s="5">
        <f t="shared" si="4"/>
        <v>0</v>
      </c>
    </row>
    <row r="50" spans="1:25" ht="12.75" customHeight="1" x14ac:dyDescent="0.2">
      <c r="A50" s="4"/>
      <c r="C50" s="81" t="s">
        <v>95</v>
      </c>
      <c r="D50" s="82" t="s">
        <v>49</v>
      </c>
      <c r="E50" s="80" t="s">
        <v>11</v>
      </c>
      <c r="G50" s="65">
        <f>IF($E50="Labour",Assumptions!$B$14,)</f>
        <v>145.77740900000001</v>
      </c>
      <c r="H50" s="9" t="str">
        <f t="shared" si="5"/>
        <v>Hours</v>
      </c>
      <c r="J50" s="83">
        <v>1856</v>
      </c>
      <c r="K50" s="83"/>
      <c r="L50" s="83"/>
      <c r="M50" s="83"/>
      <c r="N50" s="83"/>
      <c r="P50" s="5">
        <f t="shared" si="0"/>
        <v>270562.87110400002</v>
      </c>
      <c r="Q50" s="5">
        <f t="shared" si="1"/>
        <v>0</v>
      </c>
      <c r="R50" s="5">
        <f t="shared" si="2"/>
        <v>0</v>
      </c>
      <c r="S50" s="5">
        <f t="shared" si="3"/>
        <v>0</v>
      </c>
      <c r="T50" s="5">
        <f t="shared" si="4"/>
        <v>0</v>
      </c>
    </row>
    <row r="51" spans="1:25" ht="12.75" customHeight="1" x14ac:dyDescent="0.2">
      <c r="A51" s="4"/>
      <c r="C51" s="81" t="s">
        <v>96</v>
      </c>
      <c r="D51" s="82" t="s">
        <v>49</v>
      </c>
      <c r="E51" s="80" t="s">
        <v>11</v>
      </c>
      <c r="G51" s="65">
        <f>IF($E51="Labour",Assumptions!$B$14,)</f>
        <v>145.77740900000001</v>
      </c>
      <c r="H51" s="9" t="str">
        <f t="shared" si="5"/>
        <v>Hours</v>
      </c>
      <c r="J51" s="83">
        <v>3711</v>
      </c>
      <c r="K51" s="83"/>
      <c r="L51" s="83"/>
      <c r="M51" s="83"/>
      <c r="N51" s="83"/>
      <c r="P51" s="5">
        <f t="shared" si="0"/>
        <v>540979.96479900007</v>
      </c>
      <c r="Q51" s="5">
        <f t="shared" si="1"/>
        <v>0</v>
      </c>
      <c r="R51" s="5">
        <f t="shared" si="2"/>
        <v>0</v>
      </c>
      <c r="S51" s="5">
        <f t="shared" si="3"/>
        <v>0</v>
      </c>
      <c r="T51" s="5">
        <f t="shared" si="4"/>
        <v>0</v>
      </c>
    </row>
    <row r="52" spans="1:25" ht="12.75" customHeight="1" x14ac:dyDescent="0.2">
      <c r="A52" s="4"/>
      <c r="C52" s="81" t="s">
        <v>97</v>
      </c>
      <c r="D52" s="82" t="s">
        <v>49</v>
      </c>
      <c r="E52" s="80" t="s">
        <v>11</v>
      </c>
      <c r="G52" s="65">
        <f>IF($E52="Labour",Assumptions!$B$14,)</f>
        <v>145.77740900000001</v>
      </c>
      <c r="H52" s="9" t="str">
        <f t="shared" si="5"/>
        <v>Hours</v>
      </c>
      <c r="J52" s="83">
        <v>7421</v>
      </c>
      <c r="K52" s="83"/>
      <c r="L52" s="83"/>
      <c r="M52" s="83"/>
      <c r="N52" s="83"/>
      <c r="P52" s="5">
        <f t="shared" si="0"/>
        <v>1081814.152189</v>
      </c>
      <c r="Q52" s="5">
        <f t="shared" si="1"/>
        <v>0</v>
      </c>
      <c r="R52" s="5">
        <f t="shared" si="2"/>
        <v>0</v>
      </c>
      <c r="S52" s="5">
        <f t="shared" si="3"/>
        <v>0</v>
      </c>
      <c r="T52" s="5">
        <f t="shared" si="4"/>
        <v>0</v>
      </c>
    </row>
    <row r="53" spans="1:25" ht="12.75" customHeight="1" x14ac:dyDescent="0.2">
      <c r="A53" s="4"/>
      <c r="C53" s="81" t="s">
        <v>98</v>
      </c>
      <c r="D53" s="82" t="s">
        <v>49</v>
      </c>
      <c r="E53" s="80" t="s">
        <v>11</v>
      </c>
      <c r="G53" s="65">
        <f>IF($E53="Labour",Assumptions!$B$14,)</f>
        <v>145.77740900000001</v>
      </c>
      <c r="H53" s="9" t="str">
        <f t="shared" si="5"/>
        <v>Hours</v>
      </c>
      <c r="J53" s="83">
        <v>0</v>
      </c>
      <c r="K53" s="83">
        <v>2968</v>
      </c>
      <c r="L53" s="83">
        <v>0</v>
      </c>
      <c r="M53" s="83">
        <v>0</v>
      </c>
      <c r="N53" s="83">
        <v>0</v>
      </c>
      <c r="P53" s="5">
        <f t="shared" si="0"/>
        <v>0</v>
      </c>
      <c r="Q53" s="5">
        <f t="shared" si="1"/>
        <v>432667.34991200001</v>
      </c>
      <c r="R53" s="5">
        <f t="shared" si="2"/>
        <v>0</v>
      </c>
      <c r="S53" s="5">
        <f t="shared" si="3"/>
        <v>0</v>
      </c>
      <c r="T53" s="5">
        <f t="shared" si="4"/>
        <v>0</v>
      </c>
    </row>
    <row r="54" spans="1:25" ht="12.75" customHeight="1" x14ac:dyDescent="0.2">
      <c r="A54" s="4"/>
      <c r="C54" s="81" t="s">
        <v>91</v>
      </c>
      <c r="D54" s="82" t="s">
        <v>47</v>
      </c>
      <c r="E54" s="80" t="s">
        <v>11</v>
      </c>
      <c r="G54" s="65">
        <f>IF($E54="Labour",Assumptions!$B$14,)</f>
        <v>145.77740900000001</v>
      </c>
      <c r="H54" s="9" t="str">
        <f t="shared" si="5"/>
        <v>Hours</v>
      </c>
      <c r="J54" s="83">
        <v>800</v>
      </c>
      <c r="K54" s="83">
        <v>1600</v>
      </c>
      <c r="L54" s="83">
        <v>1600</v>
      </c>
      <c r="M54" s="83">
        <v>1600</v>
      </c>
      <c r="N54" s="83">
        <v>1600</v>
      </c>
      <c r="P54" s="5">
        <f t="shared" si="0"/>
        <v>116621.92720000001</v>
      </c>
      <c r="Q54" s="5">
        <f t="shared" si="1"/>
        <v>233243.85440000001</v>
      </c>
      <c r="R54" s="5">
        <f t="shared" si="2"/>
        <v>233243.85440000001</v>
      </c>
      <c r="S54" s="5">
        <f t="shared" si="3"/>
        <v>233243.85440000001</v>
      </c>
      <c r="T54" s="5">
        <f t="shared" si="4"/>
        <v>233243.85440000001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50</v>
      </c>
      <c r="F57" s="2"/>
      <c r="I57" s="2"/>
      <c r="O57" s="2"/>
      <c r="P57" s="70" t="s">
        <v>6</v>
      </c>
      <c r="Q57" s="70" t="s">
        <v>7</v>
      </c>
      <c r="R57" s="70" t="s">
        <v>8</v>
      </c>
      <c r="S57" s="70" t="s">
        <v>9</v>
      </c>
      <c r="T57" s="70" t="s">
        <v>10</v>
      </c>
      <c r="U57" s="70" t="s">
        <v>0</v>
      </c>
      <c r="Y57"/>
    </row>
    <row r="58" spans="1:25" ht="12.75" customHeight="1" x14ac:dyDescent="0.2">
      <c r="C58" s="24" t="s">
        <v>11</v>
      </c>
      <c r="D58" s="24" t="s">
        <v>54</v>
      </c>
      <c r="E58" s="24"/>
      <c r="F58" s="2"/>
      <c r="G58" s="67"/>
      <c r="H58" s="68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4722459.1645550001</v>
      </c>
      <c r="Q58" s="25">
        <f t="shared" ref="Q58:T60" si="6">SUMIFS(Q$10:Q$54,$E$10:$E$54,$C58,$D$10:$D$54,$D58)</f>
        <v>432667.34991200001</v>
      </c>
      <c r="R58" s="25">
        <f t="shared" si="6"/>
        <v>0</v>
      </c>
      <c r="S58" s="25">
        <f t="shared" si="6"/>
        <v>0</v>
      </c>
      <c r="T58" s="25">
        <f t="shared" si="6"/>
        <v>0</v>
      </c>
      <c r="U58" s="72">
        <f>SUM(P58:T58)</f>
        <v>5155126.514467</v>
      </c>
    </row>
    <row r="59" spans="1:25" ht="12.75" customHeight="1" x14ac:dyDescent="0.2">
      <c r="C59" s="1" t="s">
        <v>13</v>
      </c>
      <c r="D59" s="1" t="s">
        <v>54</v>
      </c>
      <c r="F59" s="2"/>
      <c r="G59" s="69"/>
      <c r="I59" s="2"/>
      <c r="O59" s="2"/>
      <c r="P59" s="6">
        <f t="shared" ref="P59:P60" si="7">SUMIFS(P$10:P$54,$E$10:$E$54,$C59,$D$10:$D$54,$D59)</f>
        <v>600000</v>
      </c>
      <c r="Q59" s="6">
        <f t="shared" si="6"/>
        <v>0</v>
      </c>
      <c r="R59" s="6">
        <f t="shared" si="6"/>
        <v>0</v>
      </c>
      <c r="S59" s="6">
        <f t="shared" si="6"/>
        <v>0</v>
      </c>
      <c r="T59" s="6">
        <f t="shared" si="6"/>
        <v>0</v>
      </c>
      <c r="U59" s="73">
        <f t="shared" ref="U59:U64" si="8">SUM(P59:T59)</f>
        <v>600000</v>
      </c>
    </row>
    <row r="60" spans="1:25" ht="12.75" customHeight="1" x14ac:dyDescent="0.2">
      <c r="C60" s="1" t="s">
        <v>14</v>
      </c>
      <c r="D60" s="1" t="s">
        <v>54</v>
      </c>
      <c r="F60" s="2"/>
      <c r="G60" s="69"/>
      <c r="I60" s="2"/>
      <c r="O60" s="2"/>
      <c r="P60" s="6">
        <f t="shared" si="7"/>
        <v>0</v>
      </c>
      <c r="Q60" s="6">
        <f t="shared" si="6"/>
        <v>0</v>
      </c>
      <c r="R60" s="6">
        <f t="shared" si="6"/>
        <v>0</v>
      </c>
      <c r="S60" s="6">
        <f t="shared" si="6"/>
        <v>0</v>
      </c>
      <c r="T60" s="6">
        <f t="shared" si="6"/>
        <v>0</v>
      </c>
      <c r="U60" s="73">
        <f t="shared" si="8"/>
        <v>0</v>
      </c>
    </row>
    <row r="61" spans="1:25" ht="12.75" customHeight="1" x14ac:dyDescent="0.2">
      <c r="C61" s="21" t="s">
        <v>15</v>
      </c>
      <c r="D61" s="21" t="s">
        <v>49</v>
      </c>
      <c r="E61" s="104"/>
      <c r="F61" s="106"/>
      <c r="G61" s="105"/>
      <c r="H61" s="107"/>
      <c r="I61" s="106"/>
      <c r="J61" s="104"/>
      <c r="K61" s="104"/>
      <c r="L61" s="104"/>
      <c r="M61" s="104"/>
      <c r="N61" s="104"/>
      <c r="O61" s="106"/>
      <c r="P61" s="22">
        <f>SUM(P58:P60)</f>
        <v>5322459.1645550001</v>
      </c>
      <c r="Q61" s="22">
        <f t="shared" ref="Q61:U61" si="9">SUM(Q58:Q60)</f>
        <v>432667.34991200001</v>
      </c>
      <c r="R61" s="22">
        <f t="shared" si="9"/>
        <v>0</v>
      </c>
      <c r="S61" s="22">
        <f t="shared" si="9"/>
        <v>0</v>
      </c>
      <c r="T61" s="22">
        <f t="shared" si="9"/>
        <v>0</v>
      </c>
      <c r="U61" s="22">
        <f t="shared" si="9"/>
        <v>5755126.514467</v>
      </c>
    </row>
    <row r="62" spans="1:25" ht="12.75" customHeight="1" x14ac:dyDescent="0.2">
      <c r="C62" s="1" t="s">
        <v>11</v>
      </c>
      <c r="D62" s="1" t="s">
        <v>47</v>
      </c>
      <c r="F62" s="2"/>
      <c r="G62" s="69"/>
      <c r="I62" s="2"/>
      <c r="O62" s="2"/>
      <c r="P62" s="6">
        <f t="shared" ref="P62:T64" si="10">SUMIFS(P$10:P$54,$E$10:$E$54,$C62,$D$10:$D$54,$D62)</f>
        <v>116621.92720000001</v>
      </c>
      <c r="Q62" s="6">
        <f t="shared" si="10"/>
        <v>233243.85440000001</v>
      </c>
      <c r="R62" s="6">
        <f t="shared" si="10"/>
        <v>233243.85440000001</v>
      </c>
      <c r="S62" s="6">
        <f t="shared" si="10"/>
        <v>233243.85440000001</v>
      </c>
      <c r="T62" s="6">
        <f t="shared" si="10"/>
        <v>233243.85440000001</v>
      </c>
      <c r="U62" s="73">
        <f t="shared" si="8"/>
        <v>1049597.3448000001</v>
      </c>
    </row>
    <row r="63" spans="1:25" ht="12.75" customHeight="1" x14ac:dyDescent="0.2">
      <c r="C63" s="1" t="s">
        <v>13</v>
      </c>
      <c r="D63" s="1" t="s">
        <v>47</v>
      </c>
      <c r="F63" s="2"/>
      <c r="G63" s="69"/>
      <c r="I63" s="2"/>
      <c r="O63" s="2"/>
      <c r="P63" s="6">
        <f t="shared" si="10"/>
        <v>0</v>
      </c>
      <c r="Q63" s="6">
        <f t="shared" si="10"/>
        <v>0</v>
      </c>
      <c r="R63" s="6">
        <f t="shared" si="10"/>
        <v>0</v>
      </c>
      <c r="S63" s="6">
        <f t="shared" si="10"/>
        <v>0</v>
      </c>
      <c r="T63" s="6">
        <f t="shared" si="10"/>
        <v>0</v>
      </c>
      <c r="U63" s="73">
        <f t="shared" si="8"/>
        <v>0</v>
      </c>
    </row>
    <row r="64" spans="1:25" ht="12.75" customHeight="1" x14ac:dyDescent="0.2">
      <c r="C64" s="1" t="s">
        <v>14</v>
      </c>
      <c r="D64" s="1" t="s">
        <v>47</v>
      </c>
      <c r="F64" s="2"/>
      <c r="G64" s="69"/>
      <c r="I64" s="2"/>
      <c r="O64" s="2"/>
      <c r="P64" s="6">
        <f t="shared" si="10"/>
        <v>750000</v>
      </c>
      <c r="Q64" s="6">
        <f t="shared" si="10"/>
        <v>750000</v>
      </c>
      <c r="R64" s="6">
        <f t="shared" si="10"/>
        <v>750000</v>
      </c>
      <c r="S64" s="6">
        <f t="shared" si="10"/>
        <v>750000</v>
      </c>
      <c r="T64" s="6">
        <f t="shared" si="10"/>
        <v>750000</v>
      </c>
      <c r="U64" s="73">
        <f t="shared" si="8"/>
        <v>3750000</v>
      </c>
    </row>
    <row r="65" spans="3:22" ht="12.75" customHeight="1" x14ac:dyDescent="0.2">
      <c r="C65" s="21" t="s">
        <v>17</v>
      </c>
      <c r="D65" s="21" t="s">
        <v>47</v>
      </c>
      <c r="E65" s="104"/>
      <c r="F65" s="106"/>
      <c r="G65" s="105"/>
      <c r="H65" s="107"/>
      <c r="I65" s="106"/>
      <c r="J65" s="104"/>
      <c r="K65" s="104"/>
      <c r="L65" s="104"/>
      <c r="M65" s="104"/>
      <c r="N65" s="104"/>
      <c r="O65" s="106"/>
      <c r="P65" s="22">
        <f>SUM(P62:P64)</f>
        <v>866621.92720000003</v>
      </c>
      <c r="Q65" s="22">
        <f t="shared" ref="Q65:U65" si="11">SUM(Q62:Q64)</f>
        <v>983243.85440000007</v>
      </c>
      <c r="R65" s="22">
        <f t="shared" si="11"/>
        <v>983243.85440000007</v>
      </c>
      <c r="S65" s="22">
        <f t="shared" si="11"/>
        <v>983243.85440000007</v>
      </c>
      <c r="T65" s="22">
        <f t="shared" si="11"/>
        <v>983243.85440000007</v>
      </c>
      <c r="U65" s="22">
        <f t="shared" si="11"/>
        <v>4799597.3448000001</v>
      </c>
    </row>
    <row r="66" spans="3:22" ht="12.75" customHeight="1" x14ac:dyDescent="0.2">
      <c r="F66" s="2"/>
      <c r="G66" s="69"/>
      <c r="I66" s="2"/>
      <c r="O66" s="2"/>
      <c r="P66" s="6"/>
      <c r="Q66" s="6"/>
      <c r="R66" s="6"/>
      <c r="S66" s="6"/>
      <c r="T66" s="6"/>
      <c r="U66" s="73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51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6189081.0917549999</v>
      </c>
      <c r="Q67" s="8">
        <f t="shared" ref="Q67:T67" si="12">Q61+Q65</f>
        <v>1415911.204312</v>
      </c>
      <c r="R67" s="8">
        <f t="shared" si="12"/>
        <v>983243.85440000007</v>
      </c>
      <c r="S67" s="8">
        <f t="shared" si="12"/>
        <v>983243.85440000007</v>
      </c>
      <c r="T67" s="8">
        <f t="shared" si="12"/>
        <v>983243.85440000007</v>
      </c>
      <c r="U67" s="74">
        <f t="shared" ref="U67" si="13">SUM(P67:T67)</f>
        <v>10554723.859266998</v>
      </c>
    </row>
    <row r="68" spans="3:22" ht="12.75" customHeight="1" x14ac:dyDescent="0.2">
      <c r="C68" s="44" t="s">
        <v>52</v>
      </c>
      <c r="D68" s="44"/>
      <c r="E68" s="44"/>
      <c r="F68" s="2"/>
      <c r="G68" s="44"/>
      <c r="H68" s="44"/>
      <c r="I68" s="2"/>
      <c r="J68" s="44"/>
      <c r="K68" s="44"/>
      <c r="L68" s="44"/>
      <c r="M68" s="44"/>
      <c r="N68" s="44"/>
      <c r="O68" s="2"/>
      <c r="P68" s="45">
        <f>P67-SUM(P$10:P$54)</f>
        <v>0</v>
      </c>
      <c r="Q68" s="45">
        <f t="shared" ref="Q68:T68" si="14">Q67-SUM(Q$10:Q$54)</f>
        <v>0</v>
      </c>
      <c r="R68" s="45">
        <f t="shared" si="14"/>
        <v>0</v>
      </c>
      <c r="S68" s="45">
        <f t="shared" si="14"/>
        <v>0</v>
      </c>
      <c r="T68" s="45">
        <f t="shared" si="14"/>
        <v>0</v>
      </c>
      <c r="U68" s="45">
        <f>U67-SUM(P$10:T$54)</f>
        <v>0</v>
      </c>
      <c r="V68" s="45">
        <f>SUM(P68:U68)</f>
        <v>0</v>
      </c>
    </row>
    <row r="69" spans="3:22" ht="12.75" customHeight="1" x14ac:dyDescent="0.2">
      <c r="F69" s="2"/>
      <c r="I69" s="2"/>
      <c r="O69" s="2"/>
    </row>
    <row r="70" spans="3:22" ht="12" customHeight="1" x14ac:dyDescent="0.2">
      <c r="C70" s="55" t="str">
        <f>"NPV ($ "&amp;Assumptions!$B$12&amp;")"</f>
        <v>NPV ($ June 2024)</v>
      </c>
      <c r="D70" s="56">
        <f>NPV(Real_Discount_rate,P67:T67)</f>
        <v>9873091.5335448161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7" t="s">
        <v>53</v>
      </c>
      <c r="F73" s="2"/>
      <c r="I73" s="2"/>
      <c r="O73" s="2"/>
      <c r="P73" s="70" t="s">
        <v>6</v>
      </c>
      <c r="Q73" s="70" t="s">
        <v>7</v>
      </c>
      <c r="R73" s="70" t="s">
        <v>8</v>
      </c>
      <c r="S73" s="70" t="s">
        <v>9</v>
      </c>
      <c r="T73" s="70" t="s">
        <v>10</v>
      </c>
      <c r="U73" s="70" t="s">
        <v>0</v>
      </c>
    </row>
    <row r="74" spans="3:22" ht="12.75" customHeight="1" x14ac:dyDescent="0.2">
      <c r="C74" s="24" t="s">
        <v>11</v>
      </c>
      <c r="D74" s="24" t="s">
        <v>54</v>
      </c>
      <c r="E74" s="24"/>
      <c r="F74" s="2"/>
      <c r="G74" s="67"/>
      <c r="H74" s="68"/>
      <c r="I74" s="2"/>
      <c r="J74" s="24"/>
      <c r="K74" s="24"/>
      <c r="L74" s="24"/>
      <c r="M74" s="24"/>
      <c r="N74" s="24"/>
      <c r="O74" s="2"/>
      <c r="P74" s="25">
        <f t="shared" ref="P74:T76" si="15">P58*business_case_dollars</f>
        <v>5061227.0111988774</v>
      </c>
      <c r="Q74" s="25">
        <f t="shared" si="15"/>
        <v>463704.94734490721</v>
      </c>
      <c r="R74" s="25">
        <f t="shared" si="15"/>
        <v>0</v>
      </c>
      <c r="S74" s="25">
        <f t="shared" si="15"/>
        <v>0</v>
      </c>
      <c r="T74" s="25">
        <f t="shared" si="15"/>
        <v>0</v>
      </c>
      <c r="U74" s="72">
        <f>SUM(P74:T74)</f>
        <v>5524931.9585437849</v>
      </c>
    </row>
    <row r="75" spans="3:22" ht="12.75" customHeight="1" x14ac:dyDescent="0.2">
      <c r="C75" s="1" t="s">
        <v>13</v>
      </c>
      <c r="D75" s="1" t="s">
        <v>54</v>
      </c>
      <c r="F75" s="2"/>
      <c r="G75" s="69"/>
      <c r="I75" s="2"/>
      <c r="O75" s="2"/>
      <c r="P75" s="6">
        <f t="shared" si="15"/>
        <v>643041.2844036693</v>
      </c>
      <c r="Q75" s="6">
        <f t="shared" si="15"/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73">
        <f t="shared" ref="U75:U76" si="16">SUM(P75:T75)</f>
        <v>643041.2844036693</v>
      </c>
    </row>
    <row r="76" spans="3:22" ht="12.75" customHeight="1" x14ac:dyDescent="0.2">
      <c r="C76" s="1" t="s">
        <v>14</v>
      </c>
      <c r="D76" s="1" t="s">
        <v>54</v>
      </c>
      <c r="F76" s="2"/>
      <c r="G76" s="69"/>
      <c r="I76" s="2"/>
      <c r="O76" s="2"/>
      <c r="P76" s="6">
        <f t="shared" si="15"/>
        <v>0</v>
      </c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73">
        <f t="shared" si="16"/>
        <v>0</v>
      </c>
    </row>
    <row r="77" spans="3:22" ht="12.75" customHeight="1" x14ac:dyDescent="0.2">
      <c r="C77" s="21" t="s">
        <v>15</v>
      </c>
      <c r="D77" s="21" t="s">
        <v>49</v>
      </c>
      <c r="E77" s="104"/>
      <c r="F77" s="106"/>
      <c r="G77" s="105"/>
      <c r="H77" s="107"/>
      <c r="I77" s="106"/>
      <c r="J77" s="104"/>
      <c r="K77" s="104"/>
      <c r="L77" s="104"/>
      <c r="M77" s="104"/>
      <c r="N77" s="104"/>
      <c r="O77" s="106"/>
      <c r="P77" s="22">
        <f>SUM(P74:P76)</f>
        <v>5704268.295602547</v>
      </c>
      <c r="Q77" s="22">
        <f t="shared" ref="Q77:U77" si="17">SUM(Q74:Q76)</f>
        <v>463704.94734490721</v>
      </c>
      <c r="R77" s="22">
        <f t="shared" si="17"/>
        <v>0</v>
      </c>
      <c r="S77" s="22">
        <f t="shared" si="17"/>
        <v>0</v>
      </c>
      <c r="T77" s="22">
        <f t="shared" si="17"/>
        <v>0</v>
      </c>
      <c r="U77" s="22">
        <f t="shared" si="17"/>
        <v>6167973.2429474546</v>
      </c>
    </row>
    <row r="78" spans="3:22" ht="12.75" customHeight="1" x14ac:dyDescent="0.2">
      <c r="C78" s="1" t="s">
        <v>11</v>
      </c>
      <c r="D78" s="1" t="s">
        <v>47</v>
      </c>
      <c r="F78" s="2"/>
      <c r="G78" s="69"/>
      <c r="I78" s="2"/>
      <c r="O78" s="2"/>
      <c r="P78" s="25">
        <f>P62*Assumptions!$F$31</f>
        <v>129790.01763035568</v>
      </c>
      <c r="Q78" s="25">
        <f>Q62*Assumptions!$F$31</f>
        <v>259580.03526071136</v>
      </c>
      <c r="R78" s="25">
        <f>R62*Assumptions!$F$31</f>
        <v>259580.03526071136</v>
      </c>
      <c r="S78" s="25">
        <f>S62*Assumptions!$F$31</f>
        <v>259580.03526071136</v>
      </c>
      <c r="T78" s="25">
        <f>T62*Assumptions!$F$31</f>
        <v>259580.03526071136</v>
      </c>
      <c r="U78" s="72">
        <f>SUM(P78:T78)</f>
        <v>1168110.1586732012</v>
      </c>
    </row>
    <row r="79" spans="3:22" ht="12.75" customHeight="1" x14ac:dyDescent="0.2">
      <c r="C79" s="1" t="s">
        <v>13</v>
      </c>
      <c r="D79" s="1" t="s">
        <v>47</v>
      </c>
      <c r="F79" s="2"/>
      <c r="G79" s="69"/>
      <c r="I79" s="2"/>
      <c r="O79" s="2"/>
      <c r="P79" s="6">
        <f>P63*Assumptions!$F$31</f>
        <v>0</v>
      </c>
      <c r="Q79" s="6">
        <f>Q63*Assumptions!$F$31</f>
        <v>0</v>
      </c>
      <c r="R79" s="6">
        <f>R63*Assumptions!$F$31</f>
        <v>0</v>
      </c>
      <c r="S79" s="6">
        <f>S63*Assumptions!$F$31</f>
        <v>0</v>
      </c>
      <c r="T79" s="6">
        <f>T63*Assumptions!$F$31</f>
        <v>0</v>
      </c>
      <c r="U79" s="73">
        <f t="shared" ref="U79:U80" si="18">SUM(P79:T79)</f>
        <v>0</v>
      </c>
    </row>
    <row r="80" spans="3:22" ht="12.75" customHeight="1" x14ac:dyDescent="0.2">
      <c r="C80" s="1" t="s">
        <v>14</v>
      </c>
      <c r="D80" s="1" t="s">
        <v>47</v>
      </c>
      <c r="F80" s="2"/>
      <c r="G80" s="69"/>
      <c r="I80" s="2"/>
      <c r="O80" s="2"/>
      <c r="P80" s="6">
        <f>P64*Assumptions!$F$31</f>
        <v>834684.48481244745</v>
      </c>
      <c r="Q80" s="6">
        <f>Q64*Assumptions!$F$31</f>
        <v>834684.48481244745</v>
      </c>
      <c r="R80" s="6">
        <f>R64*Assumptions!$F$31</f>
        <v>834684.48481244745</v>
      </c>
      <c r="S80" s="6">
        <f>S64*Assumptions!$F$31</f>
        <v>834684.48481244745</v>
      </c>
      <c r="T80" s="6">
        <f>T64*Assumptions!$F$31</f>
        <v>834684.48481244745</v>
      </c>
      <c r="U80" s="73">
        <f t="shared" si="18"/>
        <v>4173422.4240622371</v>
      </c>
    </row>
    <row r="81" spans="3:22" ht="12.75" customHeight="1" x14ac:dyDescent="0.2">
      <c r="C81" s="21" t="s">
        <v>17</v>
      </c>
      <c r="D81" s="21" t="s">
        <v>47</v>
      </c>
      <c r="E81" s="104"/>
      <c r="F81" s="106"/>
      <c r="G81" s="105"/>
      <c r="H81" s="107"/>
      <c r="I81" s="106"/>
      <c r="J81" s="104"/>
      <c r="K81" s="104"/>
      <c r="L81" s="104"/>
      <c r="M81" s="104"/>
      <c r="N81" s="104"/>
      <c r="O81" s="106"/>
      <c r="P81" s="22">
        <f>SUM(P78:P80)</f>
        <v>964474.50244280312</v>
      </c>
      <c r="Q81" s="22">
        <f t="shared" ref="Q81:U81" si="19">SUM(Q78:Q80)</f>
        <v>1094264.5200731589</v>
      </c>
      <c r="R81" s="22">
        <f t="shared" si="19"/>
        <v>1094264.5200731589</v>
      </c>
      <c r="S81" s="22">
        <f t="shared" si="19"/>
        <v>1094264.5200731589</v>
      </c>
      <c r="T81" s="22">
        <f t="shared" si="19"/>
        <v>1094264.5200731589</v>
      </c>
      <c r="U81" s="22">
        <f t="shared" si="19"/>
        <v>5341532.5827354379</v>
      </c>
    </row>
    <row r="82" spans="3:22" ht="12.75" customHeight="1" x14ac:dyDescent="0.2">
      <c r="F82" s="2"/>
      <c r="G82" s="69"/>
      <c r="I82" s="2"/>
      <c r="O82" s="2"/>
      <c r="P82" s="6"/>
      <c r="Q82" s="6"/>
      <c r="R82" s="6"/>
      <c r="S82" s="6"/>
      <c r="T82" s="6"/>
      <c r="U82" s="73"/>
    </row>
    <row r="83" spans="3:22" x14ac:dyDescent="0.2">
      <c r="C83" s="7" t="str">
        <f>"Total Expenditure ($ "&amp;Assumptions!$C$35&amp;")"</f>
        <v>Total Expenditure ($ June 2026)</v>
      </c>
      <c r="D83" s="7" t="s">
        <v>51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6668742.7980453502</v>
      </c>
      <c r="Q83" s="8">
        <f t="shared" ref="Q83:T83" si="20">Q77+Q81</f>
        <v>1557969.4674180662</v>
      </c>
      <c r="R83" s="8">
        <f t="shared" si="20"/>
        <v>1094264.5200731589</v>
      </c>
      <c r="S83" s="8">
        <f t="shared" si="20"/>
        <v>1094264.5200731589</v>
      </c>
      <c r="T83" s="8">
        <f t="shared" si="20"/>
        <v>1094264.5200731589</v>
      </c>
      <c r="U83" s="74">
        <f t="shared" ref="U83" si="21">SUM(P83:T83)</f>
        <v>11509505.825682893</v>
      </c>
    </row>
    <row r="84" spans="3:22" x14ac:dyDescent="0.2">
      <c r="F84" s="2"/>
      <c r="I84" s="2"/>
      <c r="O84" s="2"/>
      <c r="P84" s="45">
        <f>P83-(SUMIF($D$10:$D$54,"opex",P$10:P$54)*Assumptions!$F$31+SUMIF($D$10:$D$54,"capex",P$10:P$54)*business_case_dollars)</f>
        <v>0</v>
      </c>
      <c r="Q84" s="45">
        <f>Q83-(SUMIF($D$10:$D$54,"opex",Q$10:Q$54)*Assumptions!$F$31+SUMIF($D$10:$D$54,"capex",Q$10:Q$54)*business_case_dollars)</f>
        <v>0</v>
      </c>
      <c r="R84" s="45">
        <f>R83-(SUMIF($D$10:$D$54,"opex",R$10:R$54)*Assumptions!$F$31+SUMIF($D$10:$D$54,"capex",R$10:R$54)*business_case_dollars)</f>
        <v>0</v>
      </c>
      <c r="S84" s="45">
        <f>S83-(SUMIF($D$10:$D$54,"opex",S$10:S$54)*Assumptions!$F$31+SUMIF($D$10:$D$54,"capex",S$10:S$54)*business_case_dollars)</f>
        <v>0</v>
      </c>
      <c r="T84" s="45">
        <f>T83-(SUMIF($D$10:$D$54,"opex",T$10:T$54)*Assumptions!$F$31+SUMIF($D$10:$D$54,"capex",T$10:T$54)*business_case_dollars)</f>
        <v>0</v>
      </c>
      <c r="U84" s="45">
        <f>U83-(SUM(P10:T46,P49:T53)*business_case_dollars+SUM(P48:T48,P54:T54)*Assumptions!F31)</f>
        <v>0</v>
      </c>
      <c r="V84" s="45">
        <f>SUM(P84:U84)</f>
        <v>0</v>
      </c>
    </row>
    <row r="85" spans="3:22" x14ac:dyDescent="0.2">
      <c r="C85" s="55" t="str">
        <f>"NPV ($ "&amp;Assumptions!$C$35&amp;")"</f>
        <v>NPV ($ June 2026)</v>
      </c>
      <c r="D85" s="56">
        <f>NPV(Real_Discount_rate,P83:T83)</f>
        <v>10759504.501606755</v>
      </c>
      <c r="F85" s="2"/>
      <c r="I85" s="2"/>
      <c r="O85" s="2"/>
      <c r="P85" s="52"/>
      <c r="Q85" s="52"/>
      <c r="R85" s="52"/>
      <c r="S85" s="52"/>
      <c r="T85" s="52"/>
    </row>
  </sheetData>
  <conditionalFormatting sqref="G10:G54">
    <cfRule type="expression" dxfId="8" priority="8">
      <formula>$E10="Contracts"</formula>
    </cfRule>
    <cfRule type="expression" dxfId="7" priority="9">
      <formula>$E10="Materials"</formula>
    </cfRule>
    <cfRule type="expression" dxfId="6" priority="10">
      <formula>$E10="Labour"</formula>
    </cfRule>
  </conditionalFormatting>
  <conditionalFormatting sqref="P68:U68">
    <cfRule type="expression" dxfId="5" priority="2">
      <formula>ABS(P68)&gt;0.001</formula>
    </cfRule>
  </conditionalFormatting>
  <conditionalFormatting sqref="P84:U84">
    <cfRule type="expression" dxfId="4" priority="1">
      <formula>ABS(P84)&gt;0.001</formula>
    </cfRule>
  </conditionalFormatting>
  <conditionalFormatting sqref="V68">
    <cfRule type="expression" dxfId="3" priority="14">
      <formula>ABS(V68)&gt;0.001</formula>
    </cfRule>
  </conditionalFormatting>
  <conditionalFormatting sqref="V84">
    <cfRule type="expression" dxfId="2" priority="5">
      <formula>ABS(V84)&gt;0.001</formula>
    </cfRule>
  </conditionalFormatting>
  <dataValidations count="2">
    <dataValidation type="list" allowBlank="1" showInputMessage="1" showErrorMessage="1" sqref="E10:E54" xr:uid="{26E538AD-3FEB-49D4-AC67-0B06E2C98B23}">
      <formula1>"Labour, Materials, Contracts"</formula1>
    </dataValidation>
    <dataValidation type="list" allowBlank="1" showInputMessage="1" showErrorMessage="1" sqref="D10:D54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'Powercor summary'!Print_Area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2025-01-28T02:46:33Z</dcterms:created>
  <dcterms:modified xsi:type="dcterms:W3CDTF">2025-01-28T03:19:22Z</dcterms:modified>
  <cp:category/>
  <cp:contentStatus/>
</cp:coreProperties>
</file>