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EE788ED5-5028-4765-8BCD-796614E59C86}" xr6:coauthVersionLast="47" xr6:coauthVersionMax="47" xr10:uidLastSave="{00000000-0000-0000-0000-000000000000}"/>
  <bookViews>
    <workbookView xWindow="28680" yWindow="-1755" windowWidth="29040" windowHeight="15720" tabRatio="896" xr2:uid="{00000000-000D-0000-FFFF-FFFF00000000}"/>
  </bookViews>
  <sheets>
    <sheet name="Cover" sheetId="93" r:id="rId1"/>
    <sheet name="Powercor summary" sheetId="92" r:id="rId2"/>
    <sheet name="Project summary" sheetId="82" r:id="rId3"/>
    <sheet name="Assumptions" sheetId="74" r:id="rId4"/>
    <sheet name="Option 1" sheetId="79" r:id="rId5"/>
    <sheet name="Option 2" sheetId="90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3" l="1" a="1"/>
  <c r="D6" i="93" s="1"/>
  <c r="C5" i="93" a="1"/>
  <c r="C5" i="93" s="1"/>
  <c r="D6" i="92"/>
  <c r="A3" i="92"/>
  <c r="A1" i="92"/>
  <c r="C121" i="90"/>
  <c r="C134" i="79"/>
  <c r="K13" i="92" l="1"/>
  <c r="M25" i="90"/>
  <c r="M24" i="90"/>
  <c r="N21" i="90"/>
  <c r="M21" i="90"/>
  <c r="L21" i="90"/>
  <c r="N20" i="90"/>
  <c r="M20" i="90"/>
  <c r="L20" i="90"/>
  <c r="L15" i="90"/>
  <c r="L14" i="90"/>
  <c r="K10" i="90"/>
  <c r="I67" i="79" l="1"/>
  <c r="I66" i="79"/>
  <c r="I65" i="79"/>
  <c r="I64" i="79"/>
  <c r="I63" i="79"/>
  <c r="I62" i="79"/>
  <c r="H67" i="79"/>
  <c r="H66" i="79"/>
  <c r="H65" i="79"/>
  <c r="H64" i="79"/>
  <c r="H60" i="79"/>
  <c r="U67" i="79"/>
  <c r="T67" i="79"/>
  <c r="S67" i="79"/>
  <c r="R67" i="79"/>
  <c r="Q67" i="79"/>
  <c r="U66" i="79"/>
  <c r="T66" i="79"/>
  <c r="S66" i="79"/>
  <c r="R66" i="79"/>
  <c r="Q66" i="79"/>
  <c r="U65" i="79"/>
  <c r="T65" i="79"/>
  <c r="S65" i="79"/>
  <c r="R65" i="79"/>
  <c r="Q65" i="79"/>
  <c r="U64" i="79"/>
  <c r="T64" i="79"/>
  <c r="S64" i="79"/>
  <c r="R64" i="79"/>
  <c r="Q64" i="79"/>
  <c r="U60" i="79"/>
  <c r="T60" i="79"/>
  <c r="S60" i="79"/>
  <c r="R60" i="79"/>
  <c r="Q60" i="79"/>
  <c r="I61" i="79"/>
  <c r="Q71" i="79" l="1"/>
  <c r="I14" i="79"/>
  <c r="I13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2" i="79"/>
  <c r="I11" i="79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I42" i="90"/>
  <c r="H42" i="90"/>
  <c r="U42" i="90" s="1"/>
  <c r="U41" i="90"/>
  <c r="T41" i="90"/>
  <c r="I41" i="90"/>
  <c r="H41" i="90"/>
  <c r="S41" i="90" s="1"/>
  <c r="I40" i="90"/>
  <c r="H40" i="90"/>
  <c r="U40" i="90" s="1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R31" i="90"/>
  <c r="I31" i="90"/>
  <c r="H31" i="90"/>
  <c r="I30" i="90"/>
  <c r="H30" i="90"/>
  <c r="I29" i="90"/>
  <c r="I28" i="90"/>
  <c r="H28" i="90"/>
  <c r="T28" i="90" s="1"/>
  <c r="U27" i="90"/>
  <c r="U70" i="90"/>
  <c r="T70" i="90"/>
  <c r="S70" i="90"/>
  <c r="R70" i="90"/>
  <c r="Q70" i="90"/>
  <c r="I27" i="90"/>
  <c r="H27" i="90"/>
  <c r="R27" i="90" s="1"/>
  <c r="I26" i="90"/>
  <c r="H26" i="90"/>
  <c r="U26" i="90" s="1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I23" i="90"/>
  <c r="I22" i="90"/>
  <c r="I21" i="90"/>
  <c r="H21" i="90"/>
  <c r="U20" i="90"/>
  <c r="U66" i="90"/>
  <c r="T66" i="90"/>
  <c r="S66" i="90"/>
  <c r="R66" i="90"/>
  <c r="Q66" i="90"/>
  <c r="I20" i="90"/>
  <c r="H20" i="90"/>
  <c r="I19" i="90"/>
  <c r="U67" i="90"/>
  <c r="T67" i="90"/>
  <c r="S67" i="90"/>
  <c r="R67" i="90"/>
  <c r="Q67" i="90"/>
  <c r="I18" i="90"/>
  <c r="I17" i="90"/>
  <c r="I16" i="90"/>
  <c r="H16" i="90"/>
  <c r="U16" i="90" s="1"/>
  <c r="U15" i="90"/>
  <c r="U59" i="90"/>
  <c r="T15" i="90"/>
  <c r="S15" i="90"/>
  <c r="R15" i="90"/>
  <c r="Q15" i="90"/>
  <c r="I15" i="90"/>
  <c r="H15" i="90"/>
  <c r="U14" i="90"/>
  <c r="T14" i="90"/>
  <c r="S14" i="90"/>
  <c r="S60" i="90"/>
  <c r="R14" i="90"/>
  <c r="Q14" i="90"/>
  <c r="Q60" i="90"/>
  <c r="I14" i="90"/>
  <c r="H14" i="90"/>
  <c r="I13" i="90"/>
  <c r="I12" i="90"/>
  <c r="I11" i="90"/>
  <c r="I10" i="90"/>
  <c r="A5" i="90"/>
  <c r="W3" i="90"/>
  <c r="A2" i="90"/>
  <c r="A1" i="90"/>
  <c r="C100" i="79"/>
  <c r="R59" i="90"/>
  <c r="R60" i="90"/>
  <c r="S59" i="90"/>
  <c r="Q69" i="90"/>
  <c r="T59" i="90"/>
  <c r="T60" i="90"/>
  <c r="U60" i="90"/>
  <c r="Q59" i="90"/>
  <c r="R69" i="90"/>
  <c r="S69" i="90"/>
  <c r="T69" i="90"/>
  <c r="U69" i="90"/>
  <c r="B14" i="74"/>
  <c r="H18" i="90" s="1"/>
  <c r="U18" i="90" s="1"/>
  <c r="H29" i="90"/>
  <c r="H19" i="90"/>
  <c r="T19" i="90" s="1"/>
  <c r="H12" i="90"/>
  <c r="L12" i="90" s="1"/>
  <c r="H13" i="90"/>
  <c r="T13" i="90" s="1"/>
  <c r="C35" i="82"/>
  <c r="C20" i="82"/>
  <c r="A3" i="82"/>
  <c r="U29" i="90"/>
  <c r="Q29" i="90"/>
  <c r="R29" i="90"/>
  <c r="S29" i="90"/>
  <c r="T29" i="90"/>
  <c r="B21" i="74"/>
  <c r="R65" i="90"/>
  <c r="R81" i="90"/>
  <c r="Q81" i="90"/>
  <c r="Q65" i="90"/>
  <c r="U65" i="90"/>
  <c r="U81" i="90"/>
  <c r="T65" i="90"/>
  <c r="T81" i="90"/>
  <c r="S65" i="90"/>
  <c r="S81" i="90"/>
  <c r="J25" i="82"/>
  <c r="I25" i="82"/>
  <c r="H25" i="82"/>
  <c r="G25" i="82"/>
  <c r="F25" i="82"/>
  <c r="A2" i="82"/>
  <c r="A1" i="82"/>
  <c r="C123" i="79"/>
  <c r="C121" i="79"/>
  <c r="C36" i="74"/>
  <c r="C37" i="74" s="1"/>
  <c r="C89" i="79"/>
  <c r="A2" i="79"/>
  <c r="A1" i="79"/>
  <c r="A2" i="74"/>
  <c r="A1" i="74"/>
  <c r="C86" i="79"/>
  <c r="I59" i="79"/>
  <c r="H59" i="79"/>
  <c r="R59" i="79" s="1"/>
  <c r="I58" i="79"/>
  <c r="I57" i="79"/>
  <c r="I56" i="79"/>
  <c r="H56" i="79"/>
  <c r="U56" i="79" s="1"/>
  <c r="I55" i="79"/>
  <c r="I54" i="79"/>
  <c r="H54" i="79"/>
  <c r="Q54" i="79" s="1"/>
  <c r="I53" i="79"/>
  <c r="H53" i="79"/>
  <c r="U53" i="79" s="1"/>
  <c r="I52" i="79"/>
  <c r="I51" i="79"/>
  <c r="I50" i="79"/>
  <c r="H50" i="79"/>
  <c r="U50" i="79" s="1"/>
  <c r="I49" i="79"/>
  <c r="I48" i="79"/>
  <c r="H48" i="79"/>
  <c r="U48" i="79" s="1"/>
  <c r="I47" i="79"/>
  <c r="H47" i="79"/>
  <c r="S47" i="79" s="1"/>
  <c r="I46" i="79"/>
  <c r="U83" i="79"/>
  <c r="T45" i="79"/>
  <c r="T83" i="79"/>
  <c r="S45" i="79"/>
  <c r="S83" i="79"/>
  <c r="R83" i="79"/>
  <c r="Q83" i="79"/>
  <c r="I45" i="79"/>
  <c r="H45" i="79"/>
  <c r="R45" i="79" s="1"/>
  <c r="I44" i="79"/>
  <c r="H44" i="79"/>
  <c r="S44" i="79" s="1"/>
  <c r="I43" i="79"/>
  <c r="I42" i="79"/>
  <c r="H42" i="79"/>
  <c r="U42" i="79" s="1"/>
  <c r="I41" i="79"/>
  <c r="H41" i="79"/>
  <c r="T41" i="79" s="1"/>
  <c r="I40" i="79"/>
  <c r="I39" i="79"/>
  <c r="I38" i="79"/>
  <c r="I37" i="79"/>
  <c r="U78" i="79"/>
  <c r="I36" i="79"/>
  <c r="H36" i="79"/>
  <c r="U36" i="79" s="1"/>
  <c r="I35" i="79"/>
  <c r="I34" i="79"/>
  <c r="I33" i="79"/>
  <c r="H33" i="79"/>
  <c r="U33" i="79" s="1"/>
  <c r="I32" i="79"/>
  <c r="I31" i="79"/>
  <c r="H31" i="79"/>
  <c r="I30" i="79"/>
  <c r="H30" i="79"/>
  <c r="I29" i="79"/>
  <c r="I10" i="79"/>
  <c r="A5" i="79"/>
  <c r="W3" i="79"/>
  <c r="T73" i="79"/>
  <c r="Q82" i="79"/>
  <c r="R82" i="79"/>
  <c r="Q80" i="79"/>
  <c r="S82" i="79"/>
  <c r="T82" i="79"/>
  <c r="U82" i="79"/>
  <c r="Q78" i="79"/>
  <c r="R78" i="79"/>
  <c r="S78" i="79"/>
  <c r="T78" i="79"/>
  <c r="U73" i="79"/>
  <c r="T79" i="79"/>
  <c r="S79" i="79"/>
  <c r="Q73" i="79"/>
  <c r="R73" i="79"/>
  <c r="Q79" i="79"/>
  <c r="S80" i="79"/>
  <c r="U94" i="79"/>
  <c r="U79" i="79"/>
  <c r="S73" i="79"/>
  <c r="R79" i="79"/>
  <c r="Q72" i="79"/>
  <c r="S94" i="79"/>
  <c r="R80" i="79"/>
  <c r="U80" i="79"/>
  <c r="U72" i="79"/>
  <c r="T80" i="79"/>
  <c r="Q94" i="79"/>
  <c r="T94" i="79"/>
  <c r="R94" i="79"/>
  <c r="T72" i="79"/>
  <c r="R72" i="79"/>
  <c r="U71" i="79"/>
  <c r="S72" i="79"/>
  <c r="T93" i="79"/>
  <c r="T71" i="79"/>
  <c r="U93" i="79"/>
  <c r="Q93" i="79"/>
  <c r="S93" i="79"/>
  <c r="S71" i="79"/>
  <c r="R71" i="79"/>
  <c r="R93" i="79"/>
  <c r="H23" i="90" l="1"/>
  <c r="M23" i="90" s="1"/>
  <c r="H22" i="90"/>
  <c r="M22" i="90" s="1"/>
  <c r="S22" i="90" s="1"/>
  <c r="Q19" i="90"/>
  <c r="S26" i="90"/>
  <c r="S16" i="90"/>
  <c r="H11" i="90"/>
  <c r="Q11" i="90" s="1"/>
  <c r="H17" i="90"/>
  <c r="L17" i="90" s="1"/>
  <c r="R17" i="90" s="1"/>
  <c r="Q26" i="90"/>
  <c r="R26" i="90"/>
  <c r="T26" i="90"/>
  <c r="U22" i="90"/>
  <c r="Q12" i="90"/>
  <c r="R12" i="90"/>
  <c r="S27" i="90"/>
  <c r="U19" i="90"/>
  <c r="M19" i="90"/>
  <c r="S19" i="90" s="1"/>
  <c r="L19" i="90"/>
  <c r="R19" i="90" s="1"/>
  <c r="T11" i="90"/>
  <c r="L11" i="90"/>
  <c r="R11" i="90" s="1"/>
  <c r="U28" i="90"/>
  <c r="U68" i="90" s="1"/>
  <c r="U71" i="90" s="1"/>
  <c r="N18" i="90"/>
  <c r="T18" i="90" s="1"/>
  <c r="M18" i="90"/>
  <c r="S18" i="90" s="1"/>
  <c r="L18" i="90"/>
  <c r="R18" i="90" s="1"/>
  <c r="T12" i="90"/>
  <c r="U12" i="90"/>
  <c r="Q16" i="90"/>
  <c r="N16" i="90"/>
  <c r="T16" i="90" s="1"/>
  <c r="L16" i="90"/>
  <c r="T27" i="90"/>
  <c r="S12" i="90"/>
  <c r="U13" i="90"/>
  <c r="L13" i="90"/>
  <c r="R13" i="90" s="1"/>
  <c r="T30" i="79"/>
  <c r="Q31" i="79"/>
  <c r="S31" i="79"/>
  <c r="Q28" i="90"/>
  <c r="Q27" i="90"/>
  <c r="R28" i="90"/>
  <c r="S28" i="90"/>
  <c r="Q18" i="90"/>
  <c r="R16" i="90"/>
  <c r="U30" i="90"/>
  <c r="Q31" i="90"/>
  <c r="S31" i="90"/>
  <c r="Q22" i="90"/>
  <c r="U23" i="90"/>
  <c r="S23" i="90"/>
  <c r="S20" i="90"/>
  <c r="S62" i="90" s="1"/>
  <c r="T20" i="90"/>
  <c r="T62" i="90" s="1"/>
  <c r="R20" i="90"/>
  <c r="R62" i="90" s="1"/>
  <c r="Q17" i="90"/>
  <c r="U21" i="90"/>
  <c r="U63" i="90" s="1"/>
  <c r="S21" i="90"/>
  <c r="S63" i="90" s="1"/>
  <c r="R21" i="90"/>
  <c r="R63" i="90" s="1"/>
  <c r="U62" i="90"/>
  <c r="Q40" i="90"/>
  <c r="R40" i="90"/>
  <c r="S13" i="90"/>
  <c r="Q30" i="90"/>
  <c r="S40" i="90"/>
  <c r="Q42" i="90"/>
  <c r="Q13" i="90"/>
  <c r="Q21" i="90"/>
  <c r="Q63" i="90" s="1"/>
  <c r="R30" i="90"/>
  <c r="T40" i="90"/>
  <c r="R42" i="90"/>
  <c r="Q20" i="90"/>
  <c r="Q62" i="90" s="1"/>
  <c r="S30" i="90"/>
  <c r="S42" i="90"/>
  <c r="Q23" i="90"/>
  <c r="T30" i="90"/>
  <c r="T42" i="90"/>
  <c r="T21" i="90"/>
  <c r="T63" i="90" s="1"/>
  <c r="R23" i="90"/>
  <c r="S11" i="90"/>
  <c r="Q41" i="90"/>
  <c r="U11" i="90"/>
  <c r="T23" i="90"/>
  <c r="R41" i="90"/>
  <c r="V81" i="90"/>
  <c r="H63" i="79"/>
  <c r="H62" i="79"/>
  <c r="H61" i="79"/>
  <c r="V69" i="90"/>
  <c r="H20" i="79"/>
  <c r="H15" i="79"/>
  <c r="H14" i="79"/>
  <c r="H12" i="79"/>
  <c r="H19" i="79"/>
  <c r="H26" i="79"/>
  <c r="H13" i="79"/>
  <c r="H11" i="79"/>
  <c r="H21" i="79"/>
  <c r="H18" i="79"/>
  <c r="H28" i="79"/>
  <c r="H17" i="79"/>
  <c r="H27" i="79"/>
  <c r="H25" i="79"/>
  <c r="H24" i="79"/>
  <c r="H23" i="79"/>
  <c r="H22" i="79"/>
  <c r="H16" i="79"/>
  <c r="H10" i="90"/>
  <c r="L10" i="90" s="1"/>
  <c r="H57" i="79"/>
  <c r="T57" i="79" s="1"/>
  <c r="H51" i="79"/>
  <c r="U51" i="79" s="1"/>
  <c r="H39" i="79"/>
  <c r="S39" i="79" s="1"/>
  <c r="H34" i="79"/>
  <c r="S34" i="79" s="1"/>
  <c r="H10" i="79"/>
  <c r="H38" i="79"/>
  <c r="U38" i="79" s="1"/>
  <c r="H55" i="79"/>
  <c r="U55" i="79" s="1"/>
  <c r="H49" i="79"/>
  <c r="U49" i="79" s="1"/>
  <c r="H43" i="79"/>
  <c r="Q43" i="79" s="1"/>
  <c r="H32" i="79"/>
  <c r="R32" i="79" s="1"/>
  <c r="H37" i="79"/>
  <c r="U37" i="79" s="1"/>
  <c r="H58" i="79"/>
  <c r="U58" i="79" s="1"/>
  <c r="H52" i="79"/>
  <c r="S52" i="79" s="1"/>
  <c r="H46" i="79"/>
  <c r="U46" i="79" s="1"/>
  <c r="H40" i="79"/>
  <c r="U40" i="79" s="1"/>
  <c r="H35" i="79"/>
  <c r="U35" i="79" s="1"/>
  <c r="H29" i="79"/>
  <c r="T29" i="79" s="1"/>
  <c r="S102" i="90"/>
  <c r="V66" i="90"/>
  <c r="V59" i="90"/>
  <c r="V67" i="90"/>
  <c r="V70" i="90"/>
  <c r="Q30" i="79"/>
  <c r="U31" i="79"/>
  <c r="U41" i="79"/>
  <c r="Q42" i="79"/>
  <c r="T31" i="79"/>
  <c r="R54" i="79"/>
  <c r="S54" i="79"/>
  <c r="Q41" i="79"/>
  <c r="T54" i="79"/>
  <c r="R31" i="79"/>
  <c r="R41" i="79"/>
  <c r="U54" i="79"/>
  <c r="S41" i="79"/>
  <c r="Q56" i="79"/>
  <c r="S59" i="79"/>
  <c r="R56" i="79"/>
  <c r="T59" i="79"/>
  <c r="S56" i="79"/>
  <c r="U59" i="79"/>
  <c r="T56" i="79"/>
  <c r="T55" i="79"/>
  <c r="T44" i="79"/>
  <c r="S42" i="79"/>
  <c r="R42" i="79"/>
  <c r="U44" i="79"/>
  <c r="T42" i="79"/>
  <c r="Q47" i="79"/>
  <c r="Q59" i="79"/>
  <c r="U45" i="79"/>
  <c r="Q53" i="79"/>
  <c r="U47" i="79"/>
  <c r="Q48" i="79"/>
  <c r="R53" i="79"/>
  <c r="R48" i="79"/>
  <c r="S53" i="79"/>
  <c r="T47" i="79"/>
  <c r="Q44" i="79"/>
  <c r="Q45" i="79"/>
  <c r="S48" i="79"/>
  <c r="Q50" i="79"/>
  <c r="T53" i="79"/>
  <c r="R47" i="79"/>
  <c r="R46" i="79"/>
  <c r="T48" i="79"/>
  <c r="R50" i="79"/>
  <c r="R44" i="79"/>
  <c r="S50" i="79"/>
  <c r="T50" i="79"/>
  <c r="Q36" i="79"/>
  <c r="R36" i="79"/>
  <c r="S30" i="79"/>
  <c r="S36" i="79"/>
  <c r="R30" i="79"/>
  <c r="Q33" i="79"/>
  <c r="T36" i="79"/>
  <c r="R33" i="79"/>
  <c r="S33" i="79"/>
  <c r="Q35" i="79"/>
  <c r="R29" i="79"/>
  <c r="T33" i="79"/>
  <c r="U30" i="79"/>
  <c r="S95" i="79"/>
  <c r="R95" i="79"/>
  <c r="U95" i="79"/>
  <c r="T95" i="79"/>
  <c r="V80" i="79"/>
  <c r="V82" i="79"/>
  <c r="V78" i="79"/>
  <c r="V93" i="79"/>
  <c r="V73" i="79"/>
  <c r="V83" i="79"/>
  <c r="V79" i="79"/>
  <c r="V72" i="79"/>
  <c r="V94" i="79"/>
  <c r="V71" i="79"/>
  <c r="Q95" i="79"/>
  <c r="V65" i="90"/>
  <c r="V60" i="90"/>
  <c r="R22" i="90" l="1"/>
  <c r="U17" i="90"/>
  <c r="T22" i="90"/>
  <c r="N17" i="90"/>
  <c r="T17" i="90" s="1"/>
  <c r="U84" i="90"/>
  <c r="M17" i="90"/>
  <c r="S17" i="90" s="1"/>
  <c r="R21" i="79"/>
  <c r="T20" i="79"/>
  <c r="Q10" i="79"/>
  <c r="R10" i="79"/>
  <c r="V63" i="90"/>
  <c r="V62" i="90"/>
  <c r="S68" i="90"/>
  <c r="S103" i="90" s="1"/>
  <c r="S84" i="90"/>
  <c r="S118" i="90" s="1"/>
  <c r="R68" i="90"/>
  <c r="R103" i="90" s="1"/>
  <c r="R84" i="90"/>
  <c r="R118" i="90" s="1"/>
  <c r="Q68" i="90"/>
  <c r="Q103" i="90" s="1"/>
  <c r="Q84" i="90"/>
  <c r="T68" i="90"/>
  <c r="T103" i="90" s="1"/>
  <c r="T84" i="90"/>
  <c r="T118" i="90" s="1"/>
  <c r="Q127" i="79"/>
  <c r="Q98" i="90"/>
  <c r="T108" i="79"/>
  <c r="T128" i="79"/>
  <c r="S113" i="79"/>
  <c r="R105" i="90"/>
  <c r="R114" i="79"/>
  <c r="T95" i="90"/>
  <c r="Q118" i="79"/>
  <c r="S114" i="79"/>
  <c r="T101" i="90"/>
  <c r="R113" i="79"/>
  <c r="U105" i="90"/>
  <c r="R117" i="79"/>
  <c r="S104" i="90"/>
  <c r="R115" i="90"/>
  <c r="R118" i="79"/>
  <c r="T97" i="90"/>
  <c r="T114" i="79"/>
  <c r="T104" i="90"/>
  <c r="U100" i="90"/>
  <c r="S115" i="79"/>
  <c r="R106" i="79"/>
  <c r="R100" i="90"/>
  <c r="Q100" i="90"/>
  <c r="R104" i="90"/>
  <c r="T117" i="79"/>
  <c r="T98" i="90"/>
  <c r="Q117" i="79"/>
  <c r="S101" i="90"/>
  <c r="T115" i="79"/>
  <c r="T118" i="79"/>
  <c r="R108" i="79"/>
  <c r="U108" i="79"/>
  <c r="S95" i="90"/>
  <c r="T113" i="79"/>
  <c r="R98" i="90"/>
  <c r="T94" i="90"/>
  <c r="R107" i="79"/>
  <c r="Q106" i="79"/>
  <c r="U94" i="90"/>
  <c r="T100" i="90"/>
  <c r="Q115" i="79"/>
  <c r="Q108" i="79"/>
  <c r="S127" i="79"/>
  <c r="U114" i="79"/>
  <c r="U128" i="79"/>
  <c r="U115" i="90"/>
  <c r="Q114" i="79"/>
  <c r="T115" i="90"/>
  <c r="S98" i="90"/>
  <c r="U106" i="79"/>
  <c r="Q95" i="90"/>
  <c r="U118" i="90"/>
  <c r="T102" i="90"/>
  <c r="U115" i="79"/>
  <c r="Q115" i="90"/>
  <c r="S10" i="79"/>
  <c r="U10" i="79"/>
  <c r="U113" i="79"/>
  <c r="R101" i="90"/>
  <c r="S107" i="79"/>
  <c r="S128" i="79"/>
  <c r="R127" i="79"/>
  <c r="Q104" i="90"/>
  <c r="U95" i="90"/>
  <c r="T127" i="79"/>
  <c r="U127" i="79"/>
  <c r="U104" i="90"/>
  <c r="S94" i="90"/>
  <c r="U107" i="79"/>
  <c r="Q107" i="79"/>
  <c r="U118" i="79"/>
  <c r="R95" i="90"/>
  <c r="T107" i="79"/>
  <c r="S97" i="90"/>
  <c r="Q102" i="90"/>
  <c r="Q105" i="90"/>
  <c r="U97" i="90"/>
  <c r="R128" i="79"/>
  <c r="S115" i="90"/>
  <c r="U98" i="90"/>
  <c r="S106" i="79"/>
  <c r="S108" i="79"/>
  <c r="Q113" i="79"/>
  <c r="T106" i="79"/>
  <c r="R115" i="79"/>
  <c r="S118" i="79"/>
  <c r="R97" i="90"/>
  <c r="R94" i="90"/>
  <c r="Q101" i="90"/>
  <c r="T105" i="90"/>
  <c r="U101" i="90"/>
  <c r="U102" i="90"/>
  <c r="Q128" i="79"/>
  <c r="S117" i="79"/>
  <c r="U117" i="79"/>
  <c r="R102" i="90"/>
  <c r="Q97" i="90"/>
  <c r="Q94" i="90"/>
  <c r="S100" i="90"/>
  <c r="S105" i="90"/>
  <c r="H32" i="82" s="1"/>
  <c r="U103" i="90"/>
  <c r="U61" i="79"/>
  <c r="T61" i="79"/>
  <c r="R61" i="79"/>
  <c r="S61" i="79"/>
  <c r="Q61" i="79"/>
  <c r="R62" i="79"/>
  <c r="U62" i="79"/>
  <c r="T62" i="79"/>
  <c r="S62" i="79"/>
  <c r="Q62" i="79"/>
  <c r="U63" i="79"/>
  <c r="T63" i="79"/>
  <c r="S63" i="79"/>
  <c r="R63" i="79"/>
  <c r="Q63" i="79"/>
  <c r="U32" i="79"/>
  <c r="S37" i="79"/>
  <c r="Q37" i="79"/>
  <c r="Q51" i="79"/>
  <c r="U52" i="79"/>
  <c r="Q52" i="79"/>
  <c r="U34" i="79"/>
  <c r="R43" i="79"/>
  <c r="R34" i="79"/>
  <c r="Q34" i="79"/>
  <c r="S55" i="79"/>
  <c r="R51" i="79"/>
  <c r="T39" i="79"/>
  <c r="R57" i="79"/>
  <c r="U57" i="79"/>
  <c r="Q57" i="79"/>
  <c r="T49" i="79"/>
  <c r="T43" i="79"/>
  <c r="T51" i="79"/>
  <c r="T58" i="79"/>
  <c r="R55" i="79"/>
  <c r="S58" i="79"/>
  <c r="Q58" i="79"/>
  <c r="Q55" i="79"/>
  <c r="Q32" i="79"/>
  <c r="R58" i="79"/>
  <c r="Q39" i="79"/>
  <c r="U43" i="79"/>
  <c r="S51" i="79"/>
  <c r="R40" i="79"/>
  <c r="S43" i="79"/>
  <c r="Q40" i="79"/>
  <c r="R37" i="79"/>
  <c r="T37" i="79"/>
  <c r="S57" i="79"/>
  <c r="T32" i="79"/>
  <c r="S32" i="79"/>
  <c r="U19" i="79"/>
  <c r="R19" i="79"/>
  <c r="S19" i="79"/>
  <c r="T19" i="79"/>
  <c r="Q19" i="79"/>
  <c r="S10" i="90"/>
  <c r="Q10" i="90"/>
  <c r="U10" i="90"/>
  <c r="R10" i="90"/>
  <c r="T10" i="90"/>
  <c r="U13" i="79"/>
  <c r="S13" i="79"/>
  <c r="R13" i="79"/>
  <c r="Q13" i="79"/>
  <c r="T13" i="79"/>
  <c r="R35" i="79"/>
  <c r="S46" i="79"/>
  <c r="Q49" i="79"/>
  <c r="T52" i="79"/>
  <c r="U16" i="79"/>
  <c r="S16" i="79"/>
  <c r="R16" i="79"/>
  <c r="Q16" i="79"/>
  <c r="T16" i="79"/>
  <c r="R26" i="79"/>
  <c r="T26" i="79"/>
  <c r="U26" i="79"/>
  <c r="S26" i="79"/>
  <c r="Q26" i="79"/>
  <c r="U22" i="79"/>
  <c r="Q22" i="79"/>
  <c r="T22" i="79"/>
  <c r="R22" i="79"/>
  <c r="S22" i="79"/>
  <c r="U27" i="79"/>
  <c r="R27" i="79"/>
  <c r="Q27" i="79"/>
  <c r="T27" i="79"/>
  <c r="S27" i="79"/>
  <c r="U20" i="79"/>
  <c r="R20" i="79"/>
  <c r="S20" i="79"/>
  <c r="Q20" i="79"/>
  <c r="T38" i="79"/>
  <c r="T14" i="79"/>
  <c r="S14" i="79"/>
  <c r="U14" i="79"/>
  <c r="R14" i="79"/>
  <c r="R76" i="79" s="1"/>
  <c r="Q14" i="79"/>
  <c r="Q76" i="79" s="1"/>
  <c r="Q111" i="79" s="1"/>
  <c r="T35" i="79"/>
  <c r="S38" i="79"/>
  <c r="U25" i="79"/>
  <c r="R25" i="79"/>
  <c r="T25" i="79"/>
  <c r="Q25" i="79"/>
  <c r="S25" i="79"/>
  <c r="R38" i="79"/>
  <c r="Q38" i="79"/>
  <c r="S49" i="79"/>
  <c r="Q17" i="79"/>
  <c r="T17" i="79"/>
  <c r="R17" i="79"/>
  <c r="S17" i="79"/>
  <c r="U17" i="79"/>
  <c r="U12" i="79"/>
  <c r="R12" i="79"/>
  <c r="S12" i="79"/>
  <c r="T12" i="79"/>
  <c r="Q12" i="79"/>
  <c r="T24" i="79"/>
  <c r="U24" i="79"/>
  <c r="Q24" i="79"/>
  <c r="R24" i="79"/>
  <c r="S24" i="79"/>
  <c r="U15" i="79"/>
  <c r="R15" i="79"/>
  <c r="S15" i="79"/>
  <c r="Q15" i="79"/>
  <c r="T15" i="79"/>
  <c r="R52" i="79"/>
  <c r="T34" i="79"/>
  <c r="R39" i="79"/>
  <c r="U39" i="79"/>
  <c r="T28" i="79"/>
  <c r="U28" i="79"/>
  <c r="R28" i="79"/>
  <c r="Q28" i="79"/>
  <c r="S28" i="79"/>
  <c r="U29" i="79"/>
  <c r="T40" i="79"/>
  <c r="U18" i="79"/>
  <c r="Q18" i="79"/>
  <c r="R18" i="79"/>
  <c r="T18" i="79"/>
  <c r="S18" i="79"/>
  <c r="T10" i="79"/>
  <c r="S35" i="79"/>
  <c r="Q29" i="79"/>
  <c r="T46" i="79"/>
  <c r="Q46" i="79"/>
  <c r="R49" i="79"/>
  <c r="T21" i="79"/>
  <c r="S21" i="79"/>
  <c r="Q21" i="79"/>
  <c r="U21" i="79"/>
  <c r="T23" i="79"/>
  <c r="R23" i="79"/>
  <c r="S23" i="79"/>
  <c r="U23" i="79"/>
  <c r="Q23" i="79"/>
  <c r="S29" i="79"/>
  <c r="S40" i="79"/>
  <c r="T11" i="79"/>
  <c r="S11" i="79"/>
  <c r="R11" i="79"/>
  <c r="Q11" i="79"/>
  <c r="U11" i="79"/>
  <c r="V95" i="79"/>
  <c r="R111" i="79" l="1"/>
  <c r="J17" i="82"/>
  <c r="F28" i="82"/>
  <c r="I31" i="82"/>
  <c r="G28" i="82"/>
  <c r="I32" i="82"/>
  <c r="T83" i="90"/>
  <c r="T61" i="90"/>
  <c r="T96" i="90" s="1"/>
  <c r="R61" i="90"/>
  <c r="R96" i="90" s="1"/>
  <c r="R83" i="90"/>
  <c r="U83" i="90"/>
  <c r="U61" i="90"/>
  <c r="U96" i="90" s="1"/>
  <c r="T71" i="90"/>
  <c r="V84" i="90"/>
  <c r="V68" i="90"/>
  <c r="V71" i="90" s="1"/>
  <c r="Q71" i="90"/>
  <c r="G31" i="82"/>
  <c r="R71" i="90"/>
  <c r="H31" i="82"/>
  <c r="Q61" i="90"/>
  <c r="Q83" i="90"/>
  <c r="S61" i="90"/>
  <c r="S96" i="90" s="1"/>
  <c r="S83" i="90"/>
  <c r="Q118" i="90"/>
  <c r="V118" i="90" s="1"/>
  <c r="I28" i="82"/>
  <c r="S71" i="90"/>
  <c r="Q129" i="79"/>
  <c r="R75" i="79"/>
  <c r="U129" i="79"/>
  <c r="U75" i="79"/>
  <c r="G17" i="82"/>
  <c r="U76" i="79"/>
  <c r="T75" i="79"/>
  <c r="S76" i="79"/>
  <c r="Q75" i="79"/>
  <c r="T76" i="79"/>
  <c r="S75" i="79"/>
  <c r="I16" i="82"/>
  <c r="I27" i="82"/>
  <c r="H28" i="82"/>
  <c r="G16" i="82"/>
  <c r="J32" i="82"/>
  <c r="F13" i="82"/>
  <c r="T129" i="79"/>
  <c r="I30" i="82"/>
  <c r="F17" i="82"/>
  <c r="F30" i="82"/>
  <c r="I17" i="82"/>
  <c r="V114" i="79"/>
  <c r="G32" i="82"/>
  <c r="S129" i="79"/>
  <c r="J30" i="82"/>
  <c r="J27" i="82"/>
  <c r="F16" i="82"/>
  <c r="H16" i="82"/>
  <c r="V98" i="90"/>
  <c r="G30" i="82"/>
  <c r="V100" i="90"/>
  <c r="H17" i="82"/>
  <c r="V115" i="90"/>
  <c r="V117" i="79"/>
  <c r="H30" i="82"/>
  <c r="T106" i="90"/>
  <c r="V128" i="79"/>
  <c r="F31" i="82"/>
  <c r="H27" i="82"/>
  <c r="V94" i="90"/>
  <c r="J16" i="82"/>
  <c r="V97" i="90"/>
  <c r="U106" i="90"/>
  <c r="J28" i="82"/>
  <c r="V113" i="79"/>
  <c r="V118" i="79"/>
  <c r="V104" i="90"/>
  <c r="R106" i="90"/>
  <c r="R129" i="79"/>
  <c r="S106" i="90"/>
  <c r="V107" i="79"/>
  <c r="F27" i="82"/>
  <c r="V106" i="79"/>
  <c r="V101" i="90"/>
  <c r="G13" i="82"/>
  <c r="V105" i="90"/>
  <c r="Q106" i="90"/>
  <c r="V115" i="79"/>
  <c r="V108" i="79"/>
  <c r="V127" i="79"/>
  <c r="G27" i="82"/>
  <c r="V103" i="90"/>
  <c r="J31" i="82"/>
  <c r="F32" i="82"/>
  <c r="V102" i="90"/>
  <c r="V95" i="90"/>
  <c r="Q97" i="79"/>
  <c r="Q81" i="79"/>
  <c r="S81" i="79"/>
  <c r="S97" i="79"/>
  <c r="S131" i="79" s="1"/>
  <c r="R81" i="79"/>
  <c r="R97" i="79"/>
  <c r="R131" i="79" s="1"/>
  <c r="T97" i="79"/>
  <c r="T131" i="79" s="1"/>
  <c r="T81" i="79"/>
  <c r="U97" i="79"/>
  <c r="U131" i="79" s="1"/>
  <c r="U81" i="79"/>
  <c r="R96" i="79"/>
  <c r="R130" i="79" s="1"/>
  <c r="U74" i="79"/>
  <c r="U109" i="79" s="1"/>
  <c r="Q96" i="79"/>
  <c r="Q130" i="79" s="1"/>
  <c r="T96" i="79"/>
  <c r="T130" i="79" s="1"/>
  <c r="R74" i="79"/>
  <c r="S74" i="79"/>
  <c r="T74" i="79"/>
  <c r="S96" i="79"/>
  <c r="S130" i="79" s="1"/>
  <c r="U96" i="79"/>
  <c r="Q74" i="79"/>
  <c r="T80" i="90"/>
  <c r="T58" i="90"/>
  <c r="R58" i="90"/>
  <c r="R80" i="90"/>
  <c r="U58" i="90"/>
  <c r="U80" i="90"/>
  <c r="Q80" i="90"/>
  <c r="Q58" i="90"/>
  <c r="S80" i="90"/>
  <c r="S58" i="90"/>
  <c r="K17" i="82" l="1"/>
  <c r="H33" i="82"/>
  <c r="H23" i="92" s="1"/>
  <c r="I33" i="82"/>
  <c r="I23" i="92" s="1"/>
  <c r="V61" i="90"/>
  <c r="Q96" i="90"/>
  <c r="V96" i="90" s="1"/>
  <c r="U85" i="90"/>
  <c r="U117" i="90"/>
  <c r="U119" i="90" s="1"/>
  <c r="G33" i="82"/>
  <c r="G23" i="92" s="1"/>
  <c r="K28" i="82"/>
  <c r="Q85" i="90"/>
  <c r="V83" i="90"/>
  <c r="V85" i="90" s="1"/>
  <c r="Q117" i="90"/>
  <c r="R85" i="90"/>
  <c r="R117" i="90"/>
  <c r="R119" i="90" s="1"/>
  <c r="S85" i="90"/>
  <c r="S117" i="90"/>
  <c r="S119" i="90" s="1"/>
  <c r="T117" i="90"/>
  <c r="T119" i="90" s="1"/>
  <c r="T85" i="90"/>
  <c r="K30" i="82"/>
  <c r="R110" i="79"/>
  <c r="G12" i="82" s="1"/>
  <c r="R77" i="79"/>
  <c r="U110" i="79"/>
  <c r="J12" i="82" s="1"/>
  <c r="T111" i="79"/>
  <c r="I13" i="82" s="1"/>
  <c r="T110" i="79"/>
  <c r="I12" i="82" s="1"/>
  <c r="S110" i="79"/>
  <c r="H12" i="82" s="1"/>
  <c r="V75" i="79"/>
  <c r="Q110" i="79"/>
  <c r="S77" i="79"/>
  <c r="S111" i="79"/>
  <c r="V76" i="79"/>
  <c r="U111" i="79"/>
  <c r="J13" i="82" s="1"/>
  <c r="K16" i="82"/>
  <c r="J33" i="82"/>
  <c r="J23" i="92" s="1"/>
  <c r="F33" i="82"/>
  <c r="F23" i="92" s="1"/>
  <c r="V129" i="79"/>
  <c r="K27" i="82"/>
  <c r="K31" i="82"/>
  <c r="T132" i="79"/>
  <c r="T134" i="79" s="1"/>
  <c r="T135" i="79" s="1"/>
  <c r="V106" i="90"/>
  <c r="K32" i="82"/>
  <c r="S132" i="79"/>
  <c r="S134" i="79" s="1"/>
  <c r="S135" i="79" s="1"/>
  <c r="R132" i="79"/>
  <c r="R134" i="79" s="1"/>
  <c r="R135" i="79" s="1"/>
  <c r="U98" i="79"/>
  <c r="U100" i="79" s="1"/>
  <c r="U101" i="79" s="1"/>
  <c r="U116" i="79"/>
  <c r="U84" i="79"/>
  <c r="T116" i="79"/>
  <c r="T84" i="79"/>
  <c r="R116" i="79"/>
  <c r="R84" i="79"/>
  <c r="S116" i="79"/>
  <c r="S84" i="79"/>
  <c r="Q116" i="79"/>
  <c r="V81" i="79"/>
  <c r="V84" i="79" s="1"/>
  <c r="Q84" i="79"/>
  <c r="V97" i="79"/>
  <c r="Q131" i="79"/>
  <c r="V131" i="79" s="1"/>
  <c r="U77" i="79"/>
  <c r="U130" i="79"/>
  <c r="U132" i="79" s="1"/>
  <c r="U134" i="79" s="1"/>
  <c r="U135" i="79" s="1"/>
  <c r="Q98" i="79"/>
  <c r="Q100" i="79" s="1"/>
  <c r="Q101" i="79" s="1"/>
  <c r="R109" i="79"/>
  <c r="G11" i="82" s="1"/>
  <c r="R98" i="79"/>
  <c r="R100" i="79" s="1"/>
  <c r="R101" i="79" s="1"/>
  <c r="S109" i="79"/>
  <c r="H11" i="82" s="1"/>
  <c r="Q109" i="79"/>
  <c r="F11" i="82" s="1"/>
  <c r="J11" i="82"/>
  <c r="T98" i="79"/>
  <c r="T100" i="79" s="1"/>
  <c r="T101" i="79" s="1"/>
  <c r="Q77" i="79"/>
  <c r="V96" i="79"/>
  <c r="T77" i="79"/>
  <c r="T109" i="79"/>
  <c r="S98" i="79"/>
  <c r="S100" i="79" s="1"/>
  <c r="S101" i="79" s="1"/>
  <c r="S114" i="90"/>
  <c r="S116" i="90" s="1"/>
  <c r="S82" i="90"/>
  <c r="Q114" i="90"/>
  <c r="Q82" i="90"/>
  <c r="V80" i="90"/>
  <c r="V82" i="90" s="1"/>
  <c r="R114" i="90"/>
  <c r="R116" i="90" s="1"/>
  <c r="R82" i="90"/>
  <c r="V74" i="79"/>
  <c r="R93" i="90"/>
  <c r="R64" i="90"/>
  <c r="R73" i="90" s="1"/>
  <c r="R74" i="90" s="1"/>
  <c r="T64" i="90"/>
  <c r="T73" i="90" s="1"/>
  <c r="T74" i="90" s="1"/>
  <c r="T93" i="90"/>
  <c r="T114" i="90"/>
  <c r="T116" i="90" s="1"/>
  <c r="T82" i="90"/>
  <c r="U93" i="90"/>
  <c r="U64" i="90"/>
  <c r="U73" i="90" s="1"/>
  <c r="U74" i="90" s="1"/>
  <c r="Q64" i="90"/>
  <c r="Q73" i="90" s="1"/>
  <c r="Q93" i="90"/>
  <c r="V58" i="90"/>
  <c r="S64" i="90"/>
  <c r="S73" i="90" s="1"/>
  <c r="S74" i="90" s="1"/>
  <c r="S93" i="90"/>
  <c r="U114" i="90"/>
  <c r="U116" i="90" s="1"/>
  <c r="U82" i="90"/>
  <c r="K24" i="92" l="1"/>
  <c r="K23" i="92"/>
  <c r="T121" i="90"/>
  <c r="T122" i="90" s="1"/>
  <c r="V64" i="90"/>
  <c r="R121" i="90"/>
  <c r="R122" i="90" s="1"/>
  <c r="D76" i="90"/>
  <c r="T87" i="90"/>
  <c r="T88" i="90" s="1"/>
  <c r="J14" i="82"/>
  <c r="J11" i="92" s="1"/>
  <c r="J14" i="92" s="1"/>
  <c r="U112" i="79"/>
  <c r="S86" i="79"/>
  <c r="S87" i="79" s="1"/>
  <c r="U121" i="90"/>
  <c r="U122" i="90" s="1"/>
  <c r="S121" i="90"/>
  <c r="S122" i="90" s="1"/>
  <c r="U87" i="90"/>
  <c r="U88" i="90" s="1"/>
  <c r="S87" i="90"/>
  <c r="S88" i="90" s="1"/>
  <c r="Q119" i="90"/>
  <c r="V117" i="90"/>
  <c r="V119" i="90" s="1"/>
  <c r="R87" i="90"/>
  <c r="R88" i="90" s="1"/>
  <c r="Q87" i="90"/>
  <c r="Q88" i="90" s="1"/>
  <c r="R86" i="79"/>
  <c r="R87" i="79" s="1"/>
  <c r="G14" i="82"/>
  <c r="G11" i="92" s="1"/>
  <c r="G14" i="92" s="1"/>
  <c r="V77" i="79"/>
  <c r="T112" i="79"/>
  <c r="F12" i="82"/>
  <c r="K12" i="82" s="1"/>
  <c r="V110" i="79"/>
  <c r="V111" i="79"/>
  <c r="H13" i="82"/>
  <c r="K13" i="82" s="1"/>
  <c r="K33" i="82"/>
  <c r="U86" i="79"/>
  <c r="U87" i="79" s="1"/>
  <c r="T86" i="79"/>
  <c r="T87" i="79" s="1"/>
  <c r="V98" i="79"/>
  <c r="Q86" i="79"/>
  <c r="Q132" i="79"/>
  <c r="Q134" i="79" s="1"/>
  <c r="Q135" i="79" s="1"/>
  <c r="V116" i="79"/>
  <c r="V119" i="79" s="1"/>
  <c r="F15" i="82"/>
  <c r="Q119" i="79"/>
  <c r="S119" i="79"/>
  <c r="H15" i="82"/>
  <c r="H18" i="82" s="1"/>
  <c r="H12" i="92" s="1"/>
  <c r="R119" i="79"/>
  <c r="G15" i="82"/>
  <c r="G18" i="82" s="1"/>
  <c r="G12" i="92" s="1"/>
  <c r="I15" i="82"/>
  <c r="I18" i="82" s="1"/>
  <c r="I12" i="92" s="1"/>
  <c r="T119" i="79"/>
  <c r="U119" i="79"/>
  <c r="J15" i="82"/>
  <c r="J18" i="82" s="1"/>
  <c r="J12" i="92" s="1"/>
  <c r="Q112" i="79"/>
  <c r="R112" i="79"/>
  <c r="V130" i="79"/>
  <c r="V132" i="79" s="1"/>
  <c r="S112" i="79"/>
  <c r="V109" i="79"/>
  <c r="I11" i="82"/>
  <c r="I14" i="82" s="1"/>
  <c r="I11" i="92" s="1"/>
  <c r="I14" i="92" s="1"/>
  <c r="V100" i="79"/>
  <c r="V101" i="79" s="1"/>
  <c r="W101" i="79" s="1"/>
  <c r="J26" i="82"/>
  <c r="J29" i="82" s="1"/>
  <c r="U99" i="90"/>
  <c r="U108" i="90" s="1"/>
  <c r="U109" i="90" s="1"/>
  <c r="T99" i="90"/>
  <c r="T108" i="90" s="1"/>
  <c r="T109" i="90" s="1"/>
  <c r="I26" i="82"/>
  <c r="I29" i="82" s="1"/>
  <c r="Q99" i="90"/>
  <c r="Q108" i="90" s="1"/>
  <c r="D110" i="90" s="1"/>
  <c r="F26" i="82"/>
  <c r="V93" i="90"/>
  <c r="V99" i="90" s="1"/>
  <c r="Q116" i="90"/>
  <c r="V114" i="90"/>
  <c r="V116" i="90" s="1"/>
  <c r="G26" i="82"/>
  <c r="G29" i="82" s="1"/>
  <c r="R99" i="90"/>
  <c r="R108" i="90" s="1"/>
  <c r="R109" i="90" s="1"/>
  <c r="Q74" i="90"/>
  <c r="V73" i="90"/>
  <c r="H26" i="82"/>
  <c r="H29" i="82" s="1"/>
  <c r="S99" i="90"/>
  <c r="S108" i="90" s="1"/>
  <c r="S109" i="90" s="1"/>
  <c r="I35" i="82" l="1"/>
  <c r="I22" i="92"/>
  <c r="I25" i="92" s="1"/>
  <c r="H35" i="82"/>
  <c r="H22" i="92"/>
  <c r="H25" i="92" s="1"/>
  <c r="G35" i="82"/>
  <c r="G22" i="92"/>
  <c r="G25" i="92" s="1"/>
  <c r="J35" i="82"/>
  <c r="J22" i="92"/>
  <c r="J25" i="92" s="1"/>
  <c r="Q121" i="90"/>
  <c r="Q122" i="90" s="1"/>
  <c r="Q87" i="79"/>
  <c r="D89" i="79"/>
  <c r="U121" i="79"/>
  <c r="U122" i="79" s="1"/>
  <c r="V87" i="90"/>
  <c r="V88" i="90" s="1"/>
  <c r="W88" i="90" s="1"/>
  <c r="F14" i="82"/>
  <c r="F11" i="92" s="1"/>
  <c r="T121" i="79"/>
  <c r="T122" i="79" s="1"/>
  <c r="H14" i="82"/>
  <c r="H11" i="92" s="1"/>
  <c r="H14" i="92" s="1"/>
  <c r="V112" i="79"/>
  <c r="S121" i="79"/>
  <c r="S122" i="79" s="1"/>
  <c r="V134" i="79"/>
  <c r="V135" i="79" s="1"/>
  <c r="W135" i="79" s="1"/>
  <c r="R121" i="79"/>
  <c r="R122" i="79" s="1"/>
  <c r="G20" i="82"/>
  <c r="Q121" i="79"/>
  <c r="V86" i="79"/>
  <c r="V87" i="79" s="1"/>
  <c r="W87" i="79" s="1"/>
  <c r="I20" i="82"/>
  <c r="J20" i="82"/>
  <c r="F18" i="82"/>
  <c r="F12" i="92" s="1"/>
  <c r="K12" i="92" s="1"/>
  <c r="K15" i="82"/>
  <c r="K18" i="82" s="1"/>
  <c r="K11" i="82"/>
  <c r="K14" i="82" s="1"/>
  <c r="Q109" i="90"/>
  <c r="V108" i="90"/>
  <c r="V74" i="90"/>
  <c r="W74" i="90" s="1"/>
  <c r="V121" i="90"/>
  <c r="V122" i="90" s="1"/>
  <c r="F29" i="82"/>
  <c r="K26" i="82"/>
  <c r="K29" i="82" s="1"/>
  <c r="K35" i="82" s="1"/>
  <c r="F35" i="82" l="1"/>
  <c r="F37" i="82" s="1"/>
  <c r="F22" i="92"/>
  <c r="K11" i="92"/>
  <c r="K14" i="92" s="1"/>
  <c r="F14" i="92"/>
  <c r="F16" i="92" s="1"/>
  <c r="Q122" i="79"/>
  <c r="D123" i="79"/>
  <c r="H20" i="82"/>
  <c r="F20" i="82"/>
  <c r="V121" i="79"/>
  <c r="V122" i="79" s="1"/>
  <c r="L35" i="82"/>
  <c r="V109" i="90"/>
  <c r="W109" i="90" s="1"/>
  <c r="W122" i="90"/>
  <c r="K20" i="82"/>
  <c r="F25" i="92" l="1"/>
  <c r="F27" i="92" s="1"/>
  <c r="K22" i="92"/>
  <c r="K25" i="92" s="1"/>
  <c r="F22" i="82"/>
  <c r="W122" i="79"/>
  <c r="L20" i="8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<sst xmlns="http://schemas.openxmlformats.org/spreadsheetml/2006/main" count="501" uniqueCount="97">
  <si>
    <t>Total</t>
  </si>
  <si>
    <t>Powercor</t>
  </si>
  <si>
    <t>Recurrent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</si>
  <si>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</si>
  <si>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</si>
  <si>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</si>
  <si>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</si>
  <si>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</si>
  <si>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</si>
  <si>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</si>
  <si>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</si>
  <si>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</si>
  <si>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</si>
  <si>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</si>
  <si>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</si>
  <si>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</si>
  <si>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</si>
  <si>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</si>
  <si>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</si>
  <si>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</si>
  <si>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</si>
  <si>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</si>
  <si>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</si>
  <si>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</si>
  <si>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</si>
  <si>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</si>
  <si>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</si>
  <si>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</si>
  <si>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</si>
  <si>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</si>
  <si>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</si>
  <si>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</si>
  <si>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United Energy</t>
  </si>
  <si>
    <t>Options</t>
  </si>
  <si>
    <t>Compliance with regulated changes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</si>
  <si>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</si>
  <si>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</si>
  <si>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</si>
  <si>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</si>
  <si>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</si>
  <si>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</si>
  <si>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</si>
  <si>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</si>
  <si>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</si>
  <si>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</si>
  <si>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</si>
  <si>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</si>
  <si>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</si>
  <si>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</si>
  <si>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</si>
  <si>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</si>
  <si>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IDAM operational costs</t>
  </si>
  <si>
    <t>IDX operational costs</t>
  </si>
  <si>
    <t>PC operational costs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</si>
  <si>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</si>
  <si>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</si>
  <si>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</si>
  <si>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</si>
  <si>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</si>
  <si>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</si>
  <si>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</si>
  <si>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IDAM - Scope and Design</t>
  </si>
  <si>
    <t>IDAM - Build</t>
  </si>
  <si>
    <t>IDAM - Test</t>
  </si>
  <si>
    <t>IDAM - Deploy</t>
  </si>
  <si>
    <t>IDAM - Contracts</t>
  </si>
  <si>
    <t>IDAM - Materials</t>
  </si>
  <si>
    <t>IDX - Scope and Design</t>
  </si>
  <si>
    <t>IDX - Build</t>
  </si>
  <si>
    <t>IDX - Test</t>
  </si>
  <si>
    <t>IDX - Deploy</t>
  </si>
  <si>
    <t>IDX - Contracts</t>
  </si>
  <si>
    <t>IDX - Materials</t>
  </si>
  <si>
    <t>PC - Scope and Design</t>
  </si>
  <si>
    <t>PC - Build / Test / Deploy</t>
  </si>
  <si>
    <t>PC - Contracts</t>
  </si>
  <si>
    <t>PC - Materials</t>
  </si>
  <si>
    <t>Regulatory proposal 2026-31</t>
  </si>
  <si>
    <t>Model number:</t>
  </si>
  <si>
    <t>Do nothing</t>
  </si>
  <si>
    <t>CP, PAL &amp; UE</t>
  </si>
  <si>
    <t>MITE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</si>
  <si>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</si>
  <si>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</si>
  <si>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</si>
  <si>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</si>
  <si>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</si>
  <si>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</si>
  <si>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</si>
  <si>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Escalation:</t>
  </si>
  <si>
    <t>Opex (excl real price escalation)</t>
  </si>
  <si>
    <t xml:space="preserve">Opex (incl real price escalation) * </t>
  </si>
  <si>
    <t>Totex</t>
  </si>
  <si>
    <t>($ June 2026)</t>
  </si>
  <si>
    <t>Opex (incl real price escalation) **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</si>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</sst>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dd\ mmmm\ yyyy"/>
    <numFmt numFmtId="173" formatCode="0.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9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49" fontId="30" fillId="9" borderId="0" xfId="26" applyNumberFormat="1" applyFont="1" applyFill="1" applyAlignment="1">
      <alignment horizontal="right"/>
    </xf>
    <xf numFmtId="0" fontId="13" fillId="0" borderId="1" xfId="0" applyFont="1" applyBorder="1"/>
    <xf numFmtId="7" fontId="30" fillId="9" borderId="0" xfId="26" applyNumberFormat="1" applyFont="1" applyFill="1" applyAlignment="1">
      <alignment horizontal="right"/>
    </xf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3" fillId="0" borderId="5" xfId="0" applyFont="1" applyBorder="1"/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4" fillId="0" borderId="2" xfId="0" applyFont="1" applyBorder="1"/>
    <xf numFmtId="0" fontId="27" fillId="0" borderId="2" xfId="0" applyFont="1" applyBorder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32" fillId="10" borderId="6" xfId="0" applyFont="1" applyFill="1" applyBorder="1" applyAlignment="1" applyProtection="1">
      <alignment vertical="center"/>
      <protection locked="0"/>
    </xf>
    <xf numFmtId="0" fontId="32" fillId="10" borderId="5" xfId="0" applyFont="1" applyFill="1" applyBorder="1" applyAlignment="1" applyProtection="1">
      <alignment vertical="center"/>
      <protection locked="0"/>
    </xf>
    <xf numFmtId="0" fontId="32" fillId="10" borderId="7" xfId="0" applyFont="1" applyFill="1" applyBorder="1" applyAlignment="1" applyProtection="1">
      <alignment vertical="center"/>
      <protection locked="0"/>
    </xf>
    <xf numFmtId="168" fontId="32" fillId="10" borderId="1" xfId="0" applyNumberFormat="1" applyFont="1" applyFill="1" applyBorder="1" applyAlignment="1" applyProtection="1">
      <alignment horizontal="right" vertical="top"/>
      <protection locked="0"/>
    </xf>
    <xf numFmtId="8" fontId="12" fillId="0" borderId="0" xfId="0" applyNumberFormat="1" applyFont="1"/>
    <xf numFmtId="0" fontId="1" fillId="11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172" fontId="51" fillId="0" borderId="0" xfId="33" applyNumberFormat="1" applyFont="1" applyAlignment="1">
      <alignment horizontal="left"/>
    </xf>
    <xf numFmtId="0" fontId="52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0" fontId="53" fillId="0" borderId="5" xfId="0" applyFont="1" applyBorder="1"/>
    <xf numFmtId="6" fontId="53" fillId="0" borderId="5" xfId="0" applyNumberFormat="1" applyFont="1" applyBorder="1"/>
    <xf numFmtId="173" fontId="49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76809779-B889-4174-8A5A-8A98F35DD4E7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B90FD91B-D850-4E90-9286-FF11933C052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96FD4205-2AC2-4660-BACB-0EA6985E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6BB3-C406-41ED-AF79-F1CF908333F4}">
  <sheetPr>
    <tabColor theme="1" tint="0.34998626667073579"/>
  </sheetPr>
  <dimension ref="A1:K43"/>
  <sheetViews>
    <sheetView showGridLines="0" tabSelected="1" workbookViewId="0">
      <selection activeCell="H15" sqref="H15"/>
    </sheetView>
  </sheetViews>
  <sheetFormatPr defaultColWidth="0" defaultRowHeight="12.75" customHeight="1" zeroHeight="1" x14ac:dyDescent="0.2"/>
  <cols>
    <col min="1" max="1" width="12.42578125" style="134" customWidth="1"/>
    <col min="2" max="2" width="2.42578125" style="134" customWidth="1"/>
    <col min="3" max="3" width="16.28515625" style="134" customWidth="1"/>
    <col min="4" max="11" width="10.28515625" style="134" customWidth="1"/>
    <col min="12" max="16384" width="10.28515625" style="134" hidden="1"/>
  </cols>
  <sheetData>
    <row r="1" spans="1:11" ht="15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3.25" x14ac:dyDescent="0.35">
      <c r="A2" s="132"/>
      <c r="B2" s="133"/>
      <c r="C2" s="135" t="s">
        <v>1</v>
      </c>
      <c r="D2" s="136"/>
      <c r="E2" s="136"/>
      <c r="F2" s="133"/>
      <c r="G2" s="133"/>
      <c r="H2" s="133"/>
      <c r="I2" s="133"/>
      <c r="J2" s="133"/>
      <c r="K2" s="133"/>
    </row>
    <row r="3" spans="1:11" ht="15.75" x14ac:dyDescent="0.25">
      <c r="A3" s="132"/>
      <c r="B3" s="133"/>
      <c r="C3" s="137" t="s">
        <v>77</v>
      </c>
      <c r="D3" s="136"/>
      <c r="E3" s="136"/>
      <c r="F3" s="133"/>
      <c r="G3" s="133"/>
      <c r="H3" s="133"/>
      <c r="I3" s="133"/>
      <c r="J3" s="133"/>
      <c r="K3" s="133"/>
    </row>
    <row r="4" spans="1:11" ht="15" x14ac:dyDescent="0.25">
      <c r="A4" s="132"/>
      <c r="B4" s="133"/>
      <c r="C4" s="133"/>
      <c r="D4" s="136"/>
      <c r="E4" s="136"/>
      <c r="F4" s="133"/>
      <c r="G4" s="133"/>
      <c r="H4" s="133"/>
      <c r="I4" s="133"/>
      <c r="J4" s="133"/>
      <c r="K4" s="133"/>
    </row>
    <row r="5" spans="1:11" ht="15" x14ac:dyDescent="0.25">
      <c r="A5" s="132"/>
      <c r="B5" s="133"/>
      <c r="C5" s="138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33"/>
      <c r="E5" s="133"/>
      <c r="F5" s="133"/>
      <c r="G5" s="133"/>
      <c r="H5" s="133"/>
      <c r="I5" s="133"/>
      <c r="J5" s="133"/>
      <c r="K5" s="133"/>
    </row>
    <row r="6" spans="1:11" ht="15" x14ac:dyDescent="0.25">
      <c r="A6" s="132"/>
      <c r="B6" s="133"/>
      <c r="C6" s="139" t="s">
        <v>78</v>
      </c>
      <c r="D6" s="148" t="e" cm="1">
        <f t="array" aca="1" ref="D6" ca="1">LEFT(_xlfn.TEXTAFTER(CELL("filename")," MOD "),FIND(" - ",_xlfn.TEXTAFTER(CELL("filename")," MOD "),1)-1)</f>
        <v>#N/A</v>
      </c>
      <c r="E6" s="139"/>
      <c r="F6" s="133"/>
      <c r="G6" s="133"/>
      <c r="H6" s="133"/>
      <c r="I6" s="133"/>
      <c r="J6" s="133"/>
      <c r="K6" s="133"/>
    </row>
    <row r="7" spans="1:11" ht="15" x14ac:dyDescent="0.25">
      <c r="A7" s="132"/>
      <c r="B7" s="133"/>
      <c r="C7" s="133"/>
      <c r="D7" s="133"/>
      <c r="E7" s="133"/>
      <c r="F7" s="140"/>
      <c r="G7" s="140"/>
      <c r="H7" s="140"/>
      <c r="I7" s="133"/>
      <c r="J7" s="140"/>
      <c r="K7" s="140"/>
    </row>
    <row r="8" spans="1:11" ht="15" x14ac:dyDescent="0.25">
      <c r="A8" s="132"/>
      <c r="B8" s="133"/>
      <c r="C8" s="141">
        <v>45688</v>
      </c>
      <c r="D8" s="133"/>
      <c r="E8" s="133"/>
      <c r="F8" s="140"/>
      <c r="G8" s="140"/>
      <c r="H8" s="140"/>
      <c r="I8" s="133"/>
      <c r="J8" s="140"/>
      <c r="K8" s="140"/>
    </row>
    <row r="9" spans="1:11" ht="15" x14ac:dyDescent="0.25">
      <c r="A9" s="132"/>
      <c r="B9" s="133"/>
      <c r="C9" s="142"/>
      <c r="D9" s="142"/>
      <c r="E9" s="133"/>
      <c r="F9" s="140"/>
      <c r="G9" s="140"/>
      <c r="H9" s="140"/>
      <c r="I9" s="140"/>
      <c r="J9" s="140"/>
      <c r="K9" s="140"/>
    </row>
    <row r="10" spans="1:11" ht="15" x14ac:dyDescent="0.25">
      <c r="A10" s="132"/>
      <c r="B10" s="133"/>
      <c r="C10" s="142"/>
      <c r="D10" s="142"/>
      <c r="E10" s="133"/>
      <c r="F10" s="140"/>
      <c r="G10" s="140"/>
      <c r="H10" s="140"/>
      <c r="I10" s="140"/>
      <c r="J10" s="140"/>
      <c r="K10" s="140"/>
    </row>
    <row r="11" spans="1:11" ht="15" x14ac:dyDescent="0.25">
      <c r="A11" s="132"/>
      <c r="B11" s="133"/>
      <c r="C11" s="142"/>
      <c r="D11" s="142"/>
      <c r="E11" s="133"/>
      <c r="F11" s="140"/>
      <c r="G11" s="140"/>
      <c r="H11" s="140"/>
      <c r="I11" s="140"/>
      <c r="J11" s="140"/>
      <c r="K11" s="140"/>
    </row>
    <row r="12" spans="1:11" ht="15" x14ac:dyDescent="0.25">
      <c r="A12" s="132"/>
      <c r="B12" s="133"/>
      <c r="C12" s="142"/>
      <c r="D12" s="142"/>
      <c r="E12" s="133"/>
      <c r="F12" s="140"/>
      <c r="G12" s="140"/>
      <c r="H12" s="140"/>
      <c r="I12" s="140"/>
      <c r="J12" s="140"/>
      <c r="K12" s="140"/>
    </row>
    <row r="13" spans="1:11" ht="15" x14ac:dyDescent="0.25">
      <c r="A13" s="132"/>
      <c r="B13" s="133"/>
      <c r="C13" s="142"/>
      <c r="D13" s="142"/>
      <c r="E13" s="133"/>
      <c r="F13" s="140"/>
      <c r="G13" s="140"/>
      <c r="H13" s="140"/>
      <c r="I13" s="140"/>
      <c r="J13" s="140"/>
      <c r="K13" s="140"/>
    </row>
    <row r="14" spans="1:11" ht="15" x14ac:dyDescent="0.25">
      <c r="A14" s="132"/>
      <c r="B14" s="133"/>
      <c r="C14" s="140"/>
      <c r="D14" s="140"/>
      <c r="E14" s="140"/>
      <c r="F14" s="140"/>
      <c r="G14" s="140"/>
      <c r="H14" s="140"/>
      <c r="I14" s="140"/>
      <c r="J14" s="140"/>
      <c r="K14" s="140"/>
    </row>
    <row r="15" spans="1:11" ht="15" x14ac:dyDescent="0.25">
      <c r="A15" s="132"/>
      <c r="B15" s="133"/>
      <c r="C15" s="138"/>
      <c r="D15" s="140"/>
      <c r="E15" s="140"/>
      <c r="F15" s="140"/>
      <c r="G15" s="140"/>
      <c r="H15" s="140"/>
      <c r="I15" s="140"/>
      <c r="J15" s="140"/>
      <c r="K15" s="140"/>
    </row>
    <row r="16" spans="1:11" ht="15" x14ac:dyDescent="0.25">
      <c r="A16" s="132"/>
      <c r="B16" s="133"/>
      <c r="C16" s="138"/>
      <c r="D16" s="140"/>
      <c r="E16" s="140"/>
      <c r="F16" s="140"/>
      <c r="G16" s="140"/>
      <c r="H16" s="140"/>
      <c r="I16" s="140"/>
      <c r="J16" s="140"/>
      <c r="K16" s="140"/>
    </row>
    <row r="17" spans="1:11" ht="15" x14ac:dyDescent="0.25">
      <c r="A17" s="132"/>
      <c r="B17" s="133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15" x14ac:dyDescent="0.25">
      <c r="A18" s="132"/>
      <c r="B18" s="133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1:11" ht="15" x14ac:dyDescent="0.25">
      <c r="A19" s="132"/>
      <c r="B19" s="133"/>
      <c r="C19" s="140"/>
      <c r="D19" s="140"/>
      <c r="E19" s="140"/>
      <c r="F19" s="140"/>
      <c r="H19" s="140"/>
      <c r="I19" s="140"/>
      <c r="J19" s="140"/>
      <c r="K19" s="140"/>
    </row>
    <row r="20" spans="1:11" ht="15" x14ac:dyDescent="0.25">
      <c r="A20" s="132"/>
      <c r="B20" s="133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1" ht="15" x14ac:dyDescent="0.25">
      <c r="A21" s="132"/>
      <c r="B21" s="133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1:11" ht="15" x14ac:dyDescent="0.25">
      <c r="A22" s="132"/>
      <c r="B22" s="133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ht="15" x14ac:dyDescent="0.25">
      <c r="A23" s="132"/>
      <c r="B23" s="133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ht="15" x14ac:dyDescent="0.25">
      <c r="A24" s="132"/>
      <c r="B24" s="133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ht="15" x14ac:dyDescent="0.25">
      <c r="A25" s="132"/>
      <c r="B25" s="133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15" x14ac:dyDescent="0.25">
      <c r="A26" s="132"/>
      <c r="B26" s="133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 ht="15" x14ac:dyDescent="0.25">
      <c r="A27" s="132"/>
      <c r="B27" s="133"/>
      <c r="C27" s="140"/>
      <c r="D27" s="140"/>
      <c r="E27" s="140"/>
      <c r="F27" s="140"/>
      <c r="G27" s="140"/>
      <c r="H27" s="140"/>
      <c r="I27" s="140"/>
      <c r="J27" s="140"/>
      <c r="K27" s="140"/>
    </row>
    <row r="28" spans="1:11" ht="15" x14ac:dyDescent="0.25">
      <c r="A28" s="132"/>
      <c r="B28" s="133"/>
      <c r="C28" s="140"/>
      <c r="D28" s="140"/>
      <c r="E28" s="140"/>
      <c r="F28" s="140"/>
      <c r="G28" s="140"/>
      <c r="H28" s="140"/>
      <c r="I28" s="140"/>
      <c r="J28" s="140"/>
      <c r="K28" s="140"/>
    </row>
    <row r="29" spans="1:11" ht="15" x14ac:dyDescent="0.25">
      <c r="A29" s="132"/>
      <c r="B29" s="133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1:11" ht="15" x14ac:dyDescent="0.25">
      <c r="A30" s="132"/>
      <c r="B30" s="133"/>
      <c r="C30" s="140"/>
      <c r="D30" s="133"/>
      <c r="E30" s="140"/>
      <c r="F30" s="140"/>
      <c r="G30" s="140"/>
      <c r="H30" s="140"/>
      <c r="I30" s="140"/>
      <c r="J30" s="140"/>
      <c r="K30" s="140"/>
    </row>
    <row r="31" spans="1:11" ht="15" x14ac:dyDescent="0.2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 ht="15" x14ac:dyDescent="0.25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 ht="15" x14ac:dyDescent="0.25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 ht="15" x14ac:dyDescent="0.2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ht="15" x14ac:dyDescent="0.2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 ht="15" x14ac:dyDescent="0.2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ht="15" x14ac:dyDescent="0.2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ht="15" x14ac:dyDescent="0.2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5" x14ac:dyDescent="0.2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ht="15" x14ac:dyDescent="0.25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ht="15" x14ac:dyDescent="0.25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ht="15" x14ac:dyDescent="0.25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ht="15" x14ac:dyDescent="0.25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9032-2905-4DF2-8AD2-8479607A2308}">
  <dimension ref="A1:P29"/>
  <sheetViews>
    <sheetView showGridLines="0" workbookViewId="0">
      <selection activeCell="I33" sqref="I3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MITE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8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50</v>
      </c>
      <c r="D11" s="109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90</v>
      </c>
      <c r="D12" s="109"/>
      <c r="E12" s="2"/>
      <c r="F12" s="6">
        <f>'Project summary'!F18*Assumptions!$B$18</f>
        <v>0</v>
      </c>
      <c r="G12" s="6">
        <f>'Project summary'!G18*Assumptions!$B$18</f>
        <v>0</v>
      </c>
      <c r="H12" s="6">
        <f>'Project summary'!H18*Assumptions!$B$18</f>
        <v>0</v>
      </c>
      <c r="I12" s="6">
        <f>'Project summary'!I18*Assumptions!$B$18</f>
        <v>0</v>
      </c>
      <c r="J12" s="6">
        <f>'Project summary'!J18*Assumptions!$B$18</f>
        <v>0</v>
      </c>
      <c r="K12" s="6">
        <f>SUM(F12:J12)</f>
        <v>0</v>
      </c>
      <c r="M12" s="100"/>
      <c r="P12"/>
    </row>
    <row r="13" spans="1:16" x14ac:dyDescent="0.2">
      <c r="C13" s="1" t="s">
        <v>91</v>
      </c>
      <c r="D13" s="109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100"/>
    </row>
    <row r="14" spans="1:16" x14ac:dyDescent="0.2">
      <c r="C14" s="103" t="s">
        <v>92</v>
      </c>
      <c r="D14" s="146" t="s">
        <v>93</v>
      </c>
      <c r="E14" s="103"/>
      <c r="F14" s="107">
        <f>F11+F13</f>
        <v>0</v>
      </c>
      <c r="G14" s="107">
        <f t="shared" ref="G14:K14" si="0">G11+G13</f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M14" s="100"/>
    </row>
    <row r="15" spans="1:16" x14ac:dyDescent="0.2">
      <c r="D15" s="109"/>
      <c r="F15" s="6"/>
      <c r="G15" s="6"/>
      <c r="H15" s="6"/>
      <c r="I15" s="6"/>
      <c r="J15" s="6"/>
      <c r="K15" s="6"/>
      <c r="M15" s="100"/>
    </row>
    <row r="16" spans="1:16" x14ac:dyDescent="0.2">
      <c r="C16" s="103" t="s">
        <v>18</v>
      </c>
      <c r="D16" s="146"/>
      <c r="E16" s="146"/>
      <c r="F16" s="147">
        <f>NPV(Real_Discount_rate,F14:J14)</f>
        <v>0</v>
      </c>
      <c r="G16" s="6"/>
      <c r="H16" s="6"/>
      <c r="I16" s="6"/>
      <c r="J16" s="6"/>
      <c r="K16" s="6"/>
      <c r="M16" s="100"/>
    </row>
    <row r="17" spans="2:13" x14ac:dyDescent="0.2">
      <c r="D17" s="109"/>
      <c r="F17" s="6"/>
      <c r="G17" s="6"/>
      <c r="H17" s="6"/>
      <c r="I17" s="6"/>
      <c r="J17" s="6"/>
      <c r="K17" s="6"/>
      <c r="M17" s="100"/>
    </row>
    <row r="18" spans="2:13" x14ac:dyDescent="0.2">
      <c r="C18" s="1" t="s">
        <v>95</v>
      </c>
    </row>
    <row r="21" spans="2:13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3" x14ac:dyDescent="0.2">
      <c r="C22" s="1" t="s">
        <v>50</v>
      </c>
      <c r="D22" s="109"/>
      <c r="E22" s="2"/>
      <c r="F22" s="6">
        <f>'Project summary'!F29*Assumptions!$B$18</f>
        <v>338648.1676050172</v>
      </c>
      <c r="G22" s="6">
        <f>'Project summary'!G29*Assumptions!$B$18</f>
        <v>15320780.623201797</v>
      </c>
      <c r="H22" s="6">
        <f>'Project summary'!H29*Assumptions!$B$18</f>
        <v>4448561.1401599338</v>
      </c>
      <c r="I22" s="6">
        <f>'Project summary'!I29*Assumptions!$B$18</f>
        <v>2489590.041684512</v>
      </c>
      <c r="J22" s="6">
        <f>'Project summary'!J29*Assumptions!$B$18</f>
        <v>0</v>
      </c>
      <c r="K22" s="6">
        <f>SUM(F22:J22)</f>
        <v>22597579.972651258</v>
      </c>
    </row>
    <row r="23" spans="2:13" x14ac:dyDescent="0.2">
      <c r="C23" s="1" t="s">
        <v>90</v>
      </c>
      <c r="D23" s="109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648305.14759273303</v>
      </c>
      <c r="I23" s="6">
        <f>'Project summary'!I33*Assumptions!$B$18</f>
        <v>680720.40497236955</v>
      </c>
      <c r="J23" s="6">
        <f>'Project summary'!J33*Assumptions!$B$18</f>
        <v>714755.83904996864</v>
      </c>
      <c r="K23" s="6">
        <f>SUM(F23:J23)</f>
        <v>2043781.3916150711</v>
      </c>
    </row>
    <row r="24" spans="2:13" x14ac:dyDescent="0.2">
      <c r="C24" s="1" t="s">
        <v>94</v>
      </c>
      <c r="D24" s="109"/>
      <c r="F24" s="6">
        <v>0</v>
      </c>
      <c r="G24" s="6">
        <v>0</v>
      </c>
      <c r="H24" s="6">
        <v>685748.19818927813</v>
      </c>
      <c r="I24" s="6">
        <v>727332.16933945497</v>
      </c>
      <c r="J24" s="6">
        <v>771094.54772388865</v>
      </c>
      <c r="K24" s="6">
        <f>SUM(F24:J24)</f>
        <v>2184174.9152526218</v>
      </c>
    </row>
    <row r="25" spans="2:13" x14ac:dyDescent="0.2">
      <c r="C25" s="103" t="s">
        <v>92</v>
      </c>
      <c r="D25" s="146" t="s">
        <v>93</v>
      </c>
      <c r="E25" s="103"/>
      <c r="F25" s="107">
        <f>F22+F24</f>
        <v>338648.1676050172</v>
      </c>
      <c r="G25" s="107">
        <f t="shared" ref="G25:K25" si="1">G22+G24</f>
        <v>15320780.623201797</v>
      </c>
      <c r="H25" s="107">
        <f t="shared" si="1"/>
        <v>5134309.338349212</v>
      </c>
      <c r="I25" s="107">
        <f t="shared" si="1"/>
        <v>3216922.2110239668</v>
      </c>
      <c r="J25" s="107">
        <f t="shared" si="1"/>
        <v>771094.54772388865</v>
      </c>
      <c r="K25" s="107">
        <f t="shared" si="1"/>
        <v>24781754.88790388</v>
      </c>
    </row>
    <row r="27" spans="2:13" x14ac:dyDescent="0.2">
      <c r="C27" s="103" t="s">
        <v>18</v>
      </c>
      <c r="D27" s="146"/>
      <c r="E27" s="146"/>
      <c r="F27" s="147">
        <f>NPV(Real_Discount_rate,F25:J25)</f>
        <v>22712764.57949749</v>
      </c>
    </row>
    <row r="29" spans="2:13" x14ac:dyDescent="0.2">
      <c r="C29" s="1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33" sqref="F33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9.42578125" style="1" customWidth="1"/>
    <col min="5" max="5" width="10" style="1" customWidth="1"/>
    <col min="6" max="11" width="12.42578125" style="1" customWidth="1"/>
    <col min="12" max="12" width="13.85546875" style="1" bestFit="1" customWidth="1"/>
    <col min="13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MITE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84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9" t="s">
        <v>12</v>
      </c>
      <c r="E11" s="2"/>
      <c r="F11" s="6">
        <f>'Option 1'!Q106+'Option 1'!Q109</f>
        <v>0</v>
      </c>
      <c r="G11" s="6">
        <f>'Option 1'!R106+'Option 1'!R109</f>
        <v>0</v>
      </c>
      <c r="H11" s="6">
        <f>'Option 1'!S106+'Option 1'!S109</f>
        <v>0</v>
      </c>
      <c r="I11" s="6">
        <f>'Option 1'!T106+'Option 1'!T109</f>
        <v>0</v>
      </c>
      <c r="J11" s="6">
        <f>'Option 1'!U106+'Option 1'!U109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13</v>
      </c>
      <c r="D12" s="109" t="s">
        <v>12</v>
      </c>
      <c r="E12" s="2"/>
      <c r="F12" s="6">
        <f>'Option 1'!Q107+'Option 1'!Q110</f>
        <v>0</v>
      </c>
      <c r="G12" s="6">
        <f>'Option 1'!R107+'Option 1'!R110</f>
        <v>0</v>
      </c>
      <c r="H12" s="6">
        <f>'Option 1'!S107+'Option 1'!S110</f>
        <v>0</v>
      </c>
      <c r="I12" s="6">
        <f>'Option 1'!T107+'Option 1'!T110</f>
        <v>0</v>
      </c>
      <c r="J12" s="6">
        <f>'Option 1'!U107+'Option 1'!U110</f>
        <v>0</v>
      </c>
      <c r="K12" s="6">
        <f t="shared" ref="K12:K13" si="0">SUM(F12:J12)</f>
        <v>0</v>
      </c>
      <c r="M12" s="100"/>
      <c r="P12"/>
    </row>
    <row r="13" spans="1:16" ht="12.75" customHeight="1" x14ac:dyDescent="0.2">
      <c r="C13" s="1" t="s">
        <v>14</v>
      </c>
      <c r="D13" s="109" t="s">
        <v>12</v>
      </c>
      <c r="F13" s="6">
        <f>'Option 1'!Q108+'Option 1'!Q111</f>
        <v>0</v>
      </c>
      <c r="G13" s="6">
        <f>'Option 1'!R108+'Option 1'!R111</f>
        <v>0</v>
      </c>
      <c r="H13" s="6">
        <f>'Option 1'!S108+'Option 1'!S111</f>
        <v>0</v>
      </c>
      <c r="I13" s="6">
        <f>'Option 1'!T108+'Option 1'!T111</f>
        <v>0</v>
      </c>
      <c r="J13" s="6">
        <f>'Option 1'!U108+'Option 1'!U111</f>
        <v>0</v>
      </c>
      <c r="K13" s="6">
        <f t="shared" si="0"/>
        <v>0</v>
      </c>
      <c r="M13" s="100"/>
    </row>
    <row r="14" spans="1:16" ht="12.75" customHeight="1" x14ac:dyDescent="0.2">
      <c r="C14" s="103" t="s">
        <v>15</v>
      </c>
      <c r="D14" s="110"/>
      <c r="E14" s="103"/>
      <c r="F14" s="107">
        <f>SUM(F11:F13)</f>
        <v>0</v>
      </c>
      <c r="G14" s="107">
        <f t="shared" ref="G14:K14" si="1">SUM(G11:G13)</f>
        <v>0</v>
      </c>
      <c r="H14" s="107">
        <f t="shared" si="1"/>
        <v>0</v>
      </c>
      <c r="I14" s="107">
        <f t="shared" si="1"/>
        <v>0</v>
      </c>
      <c r="J14" s="107">
        <f t="shared" si="1"/>
        <v>0</v>
      </c>
      <c r="K14" s="107">
        <f t="shared" si="1"/>
        <v>0</v>
      </c>
      <c r="L14" s="131"/>
      <c r="M14" s="100"/>
    </row>
    <row r="15" spans="1:16" ht="12.75" customHeight="1" x14ac:dyDescent="0.2">
      <c r="C15" s="1" t="s">
        <v>11</v>
      </c>
      <c r="D15" s="109" t="s">
        <v>16</v>
      </c>
      <c r="F15" s="6">
        <f>'Option 1'!Q113+'Option 1'!Q116</f>
        <v>0</v>
      </c>
      <c r="G15" s="6">
        <f>'Option 1'!R113+'Option 1'!R116</f>
        <v>0</v>
      </c>
      <c r="H15" s="6">
        <f>'Option 1'!S113+'Option 1'!S116</f>
        <v>0</v>
      </c>
      <c r="I15" s="6">
        <f>'Option 1'!T113+'Option 1'!T116</f>
        <v>0</v>
      </c>
      <c r="J15" s="6">
        <f>'Option 1'!U113+'Option 1'!U116</f>
        <v>0</v>
      </c>
      <c r="K15" s="6">
        <f>SUM(F15:J15)</f>
        <v>0</v>
      </c>
      <c r="M15" s="100"/>
    </row>
    <row r="16" spans="1:16" ht="12.75" customHeight="1" x14ac:dyDescent="0.2">
      <c r="C16" s="1" t="s">
        <v>13</v>
      </c>
      <c r="D16" s="109" t="s">
        <v>16</v>
      </c>
      <c r="F16" s="6">
        <f>'Option 1'!Q114+'Option 1'!Q117</f>
        <v>0</v>
      </c>
      <c r="G16" s="6">
        <f>'Option 1'!R114+'Option 1'!R117</f>
        <v>0</v>
      </c>
      <c r="H16" s="6">
        <f>'Option 1'!S114+'Option 1'!S117</f>
        <v>0</v>
      </c>
      <c r="I16" s="6">
        <f>'Option 1'!T114+'Option 1'!T117</f>
        <v>0</v>
      </c>
      <c r="J16" s="6">
        <f>'Option 1'!U114+'Option 1'!U117</f>
        <v>0</v>
      </c>
      <c r="K16" s="6">
        <f t="shared" ref="K16:K17" si="2">SUM(F16:J16)</f>
        <v>0</v>
      </c>
      <c r="M16" s="100"/>
    </row>
    <row r="17" spans="2:13" ht="12.75" customHeight="1" x14ac:dyDescent="0.2">
      <c r="C17" s="1" t="s">
        <v>14</v>
      </c>
      <c r="D17" s="109" t="s">
        <v>16</v>
      </c>
      <c r="F17" s="6">
        <f>'Option 1'!Q115+'Option 1'!Q118</f>
        <v>0</v>
      </c>
      <c r="G17" s="6">
        <f>'Option 1'!R115+'Option 1'!R118</f>
        <v>0</v>
      </c>
      <c r="H17" s="6">
        <f>'Option 1'!S115+'Option 1'!S118</f>
        <v>0</v>
      </c>
      <c r="I17" s="6">
        <f>'Option 1'!T115+'Option 1'!T118</f>
        <v>0</v>
      </c>
      <c r="J17" s="6">
        <f>'Option 1'!U115+'Option 1'!U118</f>
        <v>0</v>
      </c>
      <c r="K17" s="6">
        <f t="shared" si="2"/>
        <v>0</v>
      </c>
      <c r="M17" s="100"/>
    </row>
    <row r="18" spans="2:13" ht="12.75" customHeight="1" x14ac:dyDescent="0.2">
      <c r="C18" s="103" t="s">
        <v>17</v>
      </c>
      <c r="D18" s="110"/>
      <c r="E18" s="103"/>
      <c r="F18" s="107">
        <f>SUM(F15:F17)</f>
        <v>0</v>
      </c>
      <c r="G18" s="107">
        <f t="shared" ref="G18:K18" si="3">SUM(G15:G17)</f>
        <v>0</v>
      </c>
      <c r="H18" s="107">
        <f t="shared" si="3"/>
        <v>0</v>
      </c>
      <c r="I18" s="107">
        <f t="shared" si="3"/>
        <v>0</v>
      </c>
      <c r="J18" s="107">
        <f t="shared" si="3"/>
        <v>0</v>
      </c>
      <c r="K18" s="107">
        <f t="shared" si="3"/>
        <v>0</v>
      </c>
      <c r="L18" s="131"/>
      <c r="M18" s="100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0"/>
    </row>
    <row r="20" spans="2:13" ht="12.75" customHeight="1" x14ac:dyDescent="0.2">
      <c r="C20" s="115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1'!$V$121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9" t="s">
        <v>12</v>
      </c>
      <c r="E26" s="2"/>
      <c r="F26" s="6">
        <f>'Option 2'!Q93+'Option 2'!Q96</f>
        <v>967566.19315719197</v>
      </c>
      <c r="G26" s="6">
        <f>'Option 2'!R93+'Option 2'!R96</f>
        <v>30229534.274796657</v>
      </c>
      <c r="H26" s="6">
        <f>'Option 2'!S93+'Option 2'!S96</f>
        <v>8735741.0432882905</v>
      </c>
      <c r="I26" s="6">
        <f>'Option 2'!T93+'Option 2'!T96</f>
        <v>4616673.2728770394</v>
      </c>
      <c r="J26" s="6">
        <f>'Option 2'!U93+'Option 2'!U96</f>
        <v>0</v>
      </c>
      <c r="K26" s="6">
        <f>SUM(F26:J26)</f>
        <v>44549514.784119174</v>
      </c>
      <c r="M26" s="100"/>
    </row>
    <row r="27" spans="2:13" x14ac:dyDescent="0.2">
      <c r="C27" s="1" t="s">
        <v>13</v>
      </c>
      <c r="D27" s="109" t="s">
        <v>12</v>
      </c>
      <c r="E27" s="2"/>
      <c r="F27" s="6">
        <f>'Option 2'!Q94+'Option 2'!Q97</f>
        <v>0</v>
      </c>
      <c r="G27" s="6">
        <f>'Option 2'!R94+'Option 2'!R97</f>
        <v>10034843.975450383</v>
      </c>
      <c r="H27" s="6">
        <f>'Option 2'!S94+'Option 2'!S97</f>
        <v>3068967.9137584069</v>
      </c>
      <c r="I27" s="6">
        <f>'Option 2'!T94+'Option 2'!T97</f>
        <v>2254850.0546517381</v>
      </c>
      <c r="J27" s="6">
        <f>'Option 2'!U94+'Option 2'!U97</f>
        <v>0</v>
      </c>
      <c r="K27" s="6">
        <f t="shared" ref="K27:K28" si="6">SUM(F27:J27)</f>
        <v>15358661.943860527</v>
      </c>
      <c r="M27" s="100"/>
    </row>
    <row r="28" spans="2:13" x14ac:dyDescent="0.2">
      <c r="C28" s="1" t="s">
        <v>14</v>
      </c>
      <c r="D28" s="109" t="s">
        <v>12</v>
      </c>
      <c r="F28" s="6">
        <f>'Option 2'!Q95+'Option 2'!Q98</f>
        <v>0</v>
      </c>
      <c r="G28" s="6">
        <f>'Option 2'!R95+'Option 2'!R98</f>
        <v>3509280.6731866691</v>
      </c>
      <c r="H28" s="6">
        <f>'Option 2'!S95+'Option 2'!S98</f>
        <v>905465.72912454302</v>
      </c>
      <c r="I28" s="6">
        <f>'Option 2'!T95+'Option 2'!T98</f>
        <v>241591.07728411478</v>
      </c>
      <c r="J28" s="6">
        <f>'Option 2'!U95+'Option 2'!U98</f>
        <v>0</v>
      </c>
      <c r="K28" s="6">
        <f t="shared" si="6"/>
        <v>4656337.4795953268</v>
      </c>
      <c r="M28" s="100"/>
    </row>
    <row r="29" spans="2:13" x14ac:dyDescent="0.2">
      <c r="C29" s="103" t="s">
        <v>15</v>
      </c>
      <c r="D29" s="110"/>
      <c r="E29" s="103"/>
      <c r="F29" s="107">
        <f>SUM(F26:F28)</f>
        <v>967566.19315719197</v>
      </c>
      <c r="G29" s="107">
        <f t="shared" ref="G29" si="7">SUM(G26:G28)</f>
        <v>43773658.923433706</v>
      </c>
      <c r="H29" s="107">
        <f t="shared" ref="H29" si="8">SUM(H26:H28)</f>
        <v>12710174.686171239</v>
      </c>
      <c r="I29" s="107">
        <f t="shared" ref="I29" si="9">SUM(I26:I28)</f>
        <v>7113114.404812892</v>
      </c>
      <c r="J29" s="107">
        <f t="shared" ref="J29" si="10">SUM(J26:J28)</f>
        <v>0</v>
      </c>
      <c r="K29" s="107">
        <f t="shared" ref="K29" si="11">SUM(K26:K28)</f>
        <v>64564514.207575031</v>
      </c>
      <c r="M29" s="100"/>
    </row>
    <row r="30" spans="2:13" x14ac:dyDescent="0.2">
      <c r="C30" s="1" t="s">
        <v>11</v>
      </c>
      <c r="D30" s="109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1852300.4216935229</v>
      </c>
      <c r="I30" s="6">
        <f>'Option 2'!T100+'Option 2'!T103</f>
        <v>1944915.442778199</v>
      </c>
      <c r="J30" s="6">
        <f>'Option 2'!U100+'Option 2'!U103</f>
        <v>2042159.5401427676</v>
      </c>
      <c r="K30" s="6">
        <f>SUM(F30:J30)</f>
        <v>5839375.4046144895</v>
      </c>
      <c r="M30" s="100"/>
    </row>
    <row r="31" spans="2:13" x14ac:dyDescent="0.2">
      <c r="C31" s="1" t="s">
        <v>13</v>
      </c>
      <c r="D31" s="109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100"/>
    </row>
    <row r="32" spans="2:13" x14ac:dyDescent="0.2">
      <c r="C32" s="1" t="s">
        <v>14</v>
      </c>
      <c r="D32" s="109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100"/>
    </row>
    <row r="33" spans="2:13" x14ac:dyDescent="0.2">
      <c r="C33" s="103" t="s">
        <v>17</v>
      </c>
      <c r="D33" s="110"/>
      <c r="E33" s="103"/>
      <c r="F33" s="107">
        <f>SUM(F30:F32)</f>
        <v>0</v>
      </c>
      <c r="G33" s="107">
        <f t="shared" ref="G33" si="13">SUM(G30:G32)</f>
        <v>0</v>
      </c>
      <c r="H33" s="107">
        <f t="shared" ref="H33" si="14">SUM(H30:H32)</f>
        <v>1852300.4216935229</v>
      </c>
      <c r="I33" s="107">
        <f t="shared" ref="I33" si="15">SUM(I30:I32)</f>
        <v>1944915.442778199</v>
      </c>
      <c r="J33" s="107">
        <f t="shared" ref="J33" si="16">SUM(J30:J32)</f>
        <v>2042159.5401427676</v>
      </c>
      <c r="K33" s="107">
        <f t="shared" ref="K33" si="17">SUM(K30:K32)</f>
        <v>5839375.4046144895</v>
      </c>
      <c r="M33" s="100"/>
    </row>
    <row r="34" spans="2:13" x14ac:dyDescent="0.2">
      <c r="D34" s="49"/>
      <c r="F34" s="6"/>
      <c r="G34" s="6"/>
      <c r="H34" s="6"/>
      <c r="I34" s="6"/>
      <c r="J34" s="6"/>
      <c r="K34" s="6"/>
      <c r="M34" s="100"/>
    </row>
    <row r="35" spans="2:13" x14ac:dyDescent="0.2">
      <c r="C35" s="115" t="str">
        <f>"Total Cost ($ "&amp;Assumptions!$C$35&amp;")"</f>
        <v>Total Cost ($ June 2026)</v>
      </c>
      <c r="D35" s="21"/>
      <c r="E35" s="21"/>
      <c r="F35" s="22">
        <f t="shared" ref="F35:K35" si="18">F29+F33</f>
        <v>967566.19315719197</v>
      </c>
      <c r="G35" s="22">
        <f t="shared" si="18"/>
        <v>43773658.923433706</v>
      </c>
      <c r="H35" s="22">
        <f t="shared" si="18"/>
        <v>14562475.107864762</v>
      </c>
      <c r="I35" s="22">
        <f t="shared" si="18"/>
        <v>9058029.8475910909</v>
      </c>
      <c r="J35" s="22">
        <f t="shared" si="18"/>
        <v>2042159.5401427676</v>
      </c>
      <c r="K35" s="22">
        <f t="shared" si="18"/>
        <v>70403889.612189516</v>
      </c>
      <c r="L35" s="59">
        <f>K35-'Option 2'!$V$108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64545537.006851606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EF0CA4-3836-40FD-868A-C686EEBA09F9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B18" sqref="B18"/>
    </sheetView>
  </sheetViews>
  <sheetFormatPr defaultColWidth="14.42578125" defaultRowHeight="15" customHeight="1" x14ac:dyDescent="0.25"/>
  <cols>
    <col min="1" max="1" width="24.42578125" customWidth="1"/>
    <col min="2" max="2" width="15.42578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3" t="str">
        <f>Project_name</f>
        <v>MITE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81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80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43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83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44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2.75" customHeight="1" x14ac:dyDescent="0.25">
      <c r="A18" s="44" t="s">
        <v>1</v>
      </c>
      <c r="B18" s="93">
        <v>0.35</v>
      </c>
    </row>
    <row r="19" spans="1:11" ht="12.75" customHeight="1" x14ac:dyDescent="0.25">
      <c r="A19" s="44" t="s">
        <v>31</v>
      </c>
      <c r="B19" s="93">
        <v>0.15</v>
      </c>
      <c r="D19" s="44"/>
      <c r="E19" s="44"/>
    </row>
    <row r="20" spans="1:11" ht="12.75" customHeight="1" x14ac:dyDescent="0.25">
      <c r="A20" s="44" t="s">
        <v>32</v>
      </c>
      <c r="B20" s="94">
        <v>0.5</v>
      </c>
      <c r="D20" s="44"/>
      <c r="E20" s="44"/>
    </row>
    <row r="21" spans="1:11" ht="12.75" customHeight="1" x14ac:dyDescent="0.25">
      <c r="A21" s="44"/>
      <c r="B21" s="95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33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2.75" customHeight="1" x14ac:dyDescent="0.25">
      <c r="A24" s="44" t="s">
        <v>4</v>
      </c>
      <c r="B24" s="86" t="s">
        <v>79</v>
      </c>
      <c r="C24" s="87"/>
      <c r="D24" s="87"/>
      <c r="E24" s="87"/>
      <c r="F24" s="87"/>
      <c r="G24" s="88"/>
    </row>
    <row r="25" spans="1:11" ht="12.75" customHeight="1" x14ac:dyDescent="0.25">
      <c r="A25" s="44" t="s">
        <v>19</v>
      </c>
      <c r="B25" s="89" t="s">
        <v>34</v>
      </c>
      <c r="C25" s="90"/>
      <c r="D25" s="90"/>
      <c r="E25" s="90"/>
      <c r="F25" s="90"/>
      <c r="G25" s="91"/>
    </row>
    <row r="26" spans="1:11" ht="12.75" customHeight="1" x14ac:dyDescent="0.25">
      <c r="A26" s="44"/>
      <c r="B26" s="89"/>
      <c r="C26" s="90"/>
      <c r="D26" s="90"/>
      <c r="E26" s="90"/>
      <c r="F26" s="90"/>
      <c r="G26" s="91"/>
    </row>
    <row r="27" spans="1:11" ht="12.75" customHeight="1" x14ac:dyDescent="0.25">
      <c r="A27" s="44"/>
      <c r="B27" s="92"/>
      <c r="C27" s="92"/>
      <c r="D27" s="92"/>
      <c r="E27" s="92"/>
      <c r="F27" s="92"/>
      <c r="G27" s="92"/>
    </row>
    <row r="28" spans="1:11" ht="12.75" customHeight="1" x14ac:dyDescent="0.25">
      <c r="A28" s="44"/>
      <c r="B28" s="92"/>
      <c r="C28" s="92"/>
      <c r="D28" s="92"/>
      <c r="E28" s="92"/>
      <c r="F28" s="92"/>
      <c r="G28" s="92"/>
    </row>
    <row r="29" spans="1:11" x14ac:dyDescent="0.25">
      <c r="A29" s="39" t="s">
        <v>89</v>
      </c>
      <c r="B29" s="39"/>
      <c r="C29" s="39"/>
      <c r="D29" s="40"/>
      <c r="E29" s="145" t="s">
        <v>82</v>
      </c>
      <c r="F29" s="145" t="s">
        <v>83</v>
      </c>
      <c r="G29" s="145" t="s">
        <v>84</v>
      </c>
      <c r="H29" s="145" t="s">
        <v>85</v>
      </c>
      <c r="I29" s="102"/>
      <c r="J29" s="40"/>
      <c r="K29" s="40"/>
    </row>
    <row r="30" spans="1:11" x14ac:dyDescent="0.25">
      <c r="A30" s="119" t="s">
        <v>60</v>
      </c>
      <c r="B30" s="120"/>
      <c r="C30" s="121"/>
      <c r="D30" s="122"/>
      <c r="E30" s="123">
        <v>1.1757125218136175</v>
      </c>
      <c r="F30" s="123">
        <v>1.1129126464165966</v>
      </c>
      <c r="G30" s="123">
        <v>1.050660524730181</v>
      </c>
      <c r="H30" s="123">
        <v>1.014889156509222</v>
      </c>
      <c r="I30" s="124"/>
      <c r="J30" s="122"/>
      <c r="K30" s="122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35</v>
      </c>
      <c r="C35" s="97" t="s">
        <v>85</v>
      </c>
      <c r="D35" t="s">
        <v>28</v>
      </c>
    </row>
    <row r="36" spans="1:11" ht="12.75" customHeight="1" x14ac:dyDescent="0.25">
      <c r="A36" s="44" t="s">
        <v>36</v>
      </c>
      <c r="C36" s="43" t="str">
        <f>$B$12</f>
        <v>June 2024</v>
      </c>
    </row>
    <row r="37" spans="1:11" ht="12.75" customHeight="1" x14ac:dyDescent="0.25">
      <c r="A37" s="44" t="s">
        <v>37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38</v>
      </c>
      <c r="C41" s="99" t="s">
        <v>39</v>
      </c>
      <c r="D41" t="s">
        <v>86</v>
      </c>
    </row>
    <row r="42" spans="1:11" ht="12.75" customHeight="1" x14ac:dyDescent="0.25">
      <c r="A42" s="44" t="s">
        <v>36</v>
      </c>
      <c r="C42" s="125">
        <v>135.18960020374115</v>
      </c>
      <c r="D42" t="s">
        <v>87</v>
      </c>
    </row>
    <row r="43" spans="1:11" ht="12.75" customHeight="1" x14ac:dyDescent="0.25">
      <c r="A43" s="44" t="s">
        <v>37</v>
      </c>
      <c r="C43" s="126">
        <v>145.77740895836223</v>
      </c>
      <c r="D43" t="s">
        <v>88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5"/>
  <sheetViews>
    <sheetView showGridLines="0" zoomScale="90" zoomScaleNormal="90" workbookViewId="0">
      <pane ySplit="9" topLeftCell="A10" activePane="bottomLeft" state="frozen"/>
      <selection pane="bottomLeft" activeCell="E30" sqref="E30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45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5" style="1" bestFit="1" customWidth="1"/>
    <col min="23" max="23" width="4.85546875" style="1" bestFit="1" customWidth="1"/>
    <col min="24" max="16384" width="9.140625" style="1"/>
  </cols>
  <sheetData>
    <row r="1" spans="1:23" ht="21" x14ac:dyDescent="0.35">
      <c r="A1" s="63" t="str">
        <f>Project_name</f>
        <v>MITE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3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3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SUM(W7:W68)=0</f>
        <v>1</v>
      </c>
    </row>
    <row r="4" spans="1:23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12.75" customHeight="1" x14ac:dyDescent="0.2">
      <c r="A6" s="4"/>
      <c r="G6" s="16"/>
    </row>
    <row r="7" spans="1:23" ht="12.75" customHeight="1" x14ac:dyDescent="0.2">
      <c r="A7" s="4"/>
      <c r="C7" s="50" t="s">
        <v>40</v>
      </c>
      <c r="D7" s="65" t="s">
        <v>41</v>
      </c>
      <c r="E7" s="65" t="s">
        <v>42</v>
      </c>
      <c r="F7" s="112" t="s">
        <v>43</v>
      </c>
      <c r="G7" s="16"/>
      <c r="H7" s="19" t="s">
        <v>11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3" ht="12.75" customHeight="1" x14ac:dyDescent="0.2">
      <c r="A8" s="4"/>
      <c r="B8" s="4"/>
      <c r="C8" s="101"/>
      <c r="D8" s="101" t="s">
        <v>47</v>
      </c>
      <c r="E8" s="101"/>
      <c r="F8" s="101" t="s">
        <v>48</v>
      </c>
      <c r="G8" s="16"/>
      <c r="H8" s="111" t="s">
        <v>49</v>
      </c>
      <c r="I8" s="101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3" ht="12.75" customHeight="1" x14ac:dyDescent="0.2">
      <c r="G9" s="16"/>
    </row>
    <row r="10" spans="1:23" ht="12.75" customHeight="1" x14ac:dyDescent="0.2">
      <c r="A10" s="4"/>
      <c r="C10" s="127"/>
      <c r="D10" s="128"/>
      <c r="E10" s="128"/>
      <c r="F10" s="129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130"/>
      <c r="L10" s="130"/>
      <c r="M10" s="130"/>
      <c r="N10" s="130"/>
      <c r="O10" s="130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0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3" ht="12.75" customHeight="1" x14ac:dyDescent="0.2">
      <c r="A11" s="4"/>
      <c r="C11" s="127"/>
      <c r="D11" s="128"/>
      <c r="E11" s="128"/>
      <c r="F11" s="129"/>
      <c r="G11" s="2"/>
      <c r="H11" s="64">
        <f>IF($E11="Labour",Assumptions!$B$14,)</f>
        <v>0</v>
      </c>
      <c r="I11" s="9" t="str">
        <f t="shared" ref="I11:I28" si="5">IF($E11="Labour","Hours","$")</f>
        <v>$</v>
      </c>
      <c r="J11" s="2"/>
      <c r="K11" s="130"/>
      <c r="L11" s="130"/>
      <c r="M11" s="130"/>
      <c r="N11" s="130"/>
      <c r="O11" s="130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3" ht="12.75" customHeight="1" x14ac:dyDescent="0.2">
      <c r="A12" s="4"/>
      <c r="C12" s="127"/>
      <c r="D12" s="128"/>
      <c r="E12" s="128"/>
      <c r="F12" s="129"/>
      <c r="G12" s="2"/>
      <c r="H12" s="64">
        <f>IF($E12="Labour",Assumptions!$B$14,)</f>
        <v>0</v>
      </c>
      <c r="I12" s="9" t="str">
        <f t="shared" si="5"/>
        <v>$</v>
      </c>
      <c r="J12" s="2"/>
      <c r="K12" s="130"/>
      <c r="L12" s="130"/>
      <c r="M12" s="130"/>
      <c r="N12" s="130"/>
      <c r="O12" s="130"/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3" ht="12.75" customHeight="1" x14ac:dyDescent="0.2">
      <c r="A13" s="4"/>
      <c r="C13" s="127"/>
      <c r="D13" s="128"/>
      <c r="E13" s="128"/>
      <c r="F13" s="129"/>
      <c r="G13" s="2"/>
      <c r="H13" s="64">
        <f>IF($E13="Labour",Assumptions!$B$14,)</f>
        <v>0</v>
      </c>
      <c r="I13" s="9" t="str">
        <f t="shared" si="5"/>
        <v>$</v>
      </c>
      <c r="J13" s="2"/>
      <c r="K13" s="130"/>
      <c r="L13" s="130"/>
      <c r="M13" s="130"/>
      <c r="N13" s="130"/>
      <c r="O13" s="130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</row>
    <row r="14" spans="1:23" ht="12.75" customHeight="1" x14ac:dyDescent="0.2">
      <c r="A14" s="4"/>
      <c r="C14" s="127"/>
      <c r="D14" s="128"/>
      <c r="E14" s="128"/>
      <c r="F14" s="129"/>
      <c r="G14" s="2"/>
      <c r="H14" s="64">
        <f>IF($E14="Labour",Assumptions!$B$14,)</f>
        <v>0</v>
      </c>
      <c r="I14" s="9" t="str">
        <f t="shared" si="5"/>
        <v>$</v>
      </c>
      <c r="J14" s="2"/>
      <c r="K14" s="130"/>
      <c r="L14" s="130"/>
      <c r="M14" s="130"/>
      <c r="N14" s="130"/>
      <c r="O14" s="130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</row>
    <row r="15" spans="1:23" ht="12.75" customHeight="1" x14ac:dyDescent="0.2">
      <c r="A15" s="4"/>
      <c r="C15" s="127"/>
      <c r="D15" s="128"/>
      <c r="E15" s="128"/>
      <c r="F15" s="129"/>
      <c r="G15" s="2"/>
      <c r="H15" s="64">
        <f>IF($E15="Labour",Assumptions!$B$14,)</f>
        <v>0</v>
      </c>
      <c r="I15" s="9" t="str">
        <f t="shared" si="5"/>
        <v>$</v>
      </c>
      <c r="J15" s="2"/>
      <c r="K15" s="130"/>
      <c r="L15" s="130"/>
      <c r="M15" s="130"/>
      <c r="N15" s="130"/>
      <c r="O15" s="130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</row>
    <row r="16" spans="1:23" ht="12.75" customHeight="1" x14ac:dyDescent="0.2">
      <c r="A16" s="4"/>
      <c r="C16" s="127"/>
      <c r="D16" s="128"/>
      <c r="E16" s="128"/>
      <c r="F16" s="129"/>
      <c r="G16" s="2"/>
      <c r="H16" s="64">
        <f>IF($E16="Labour",Assumptions!$B$14,)</f>
        <v>0</v>
      </c>
      <c r="I16" s="9" t="str">
        <f t="shared" si="5"/>
        <v>$</v>
      </c>
      <c r="J16" s="2"/>
      <c r="K16" s="130"/>
      <c r="L16" s="130"/>
      <c r="M16" s="130"/>
      <c r="N16" s="130"/>
      <c r="O16" s="130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</row>
    <row r="17" spans="1:26" ht="12.75" customHeight="1" x14ac:dyDescent="0.2">
      <c r="A17" s="4"/>
      <c r="C17" s="127"/>
      <c r="D17" s="128"/>
      <c r="E17" s="128"/>
      <c r="F17" s="129"/>
      <c r="G17" s="2"/>
      <c r="H17" s="64">
        <f>IF($E17="Labour",Assumptions!$B$14,)</f>
        <v>0</v>
      </c>
      <c r="I17" s="9" t="str">
        <f t="shared" si="5"/>
        <v>$</v>
      </c>
      <c r="J17" s="2"/>
      <c r="K17" s="130"/>
      <c r="L17" s="130"/>
      <c r="M17" s="130"/>
      <c r="N17" s="130"/>
      <c r="O17" s="130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</row>
    <row r="18" spans="1:26" ht="12.75" customHeight="1" x14ac:dyDescent="0.2">
      <c r="A18" s="4"/>
      <c r="C18" s="127"/>
      <c r="D18" s="128"/>
      <c r="E18" s="128"/>
      <c r="F18" s="129"/>
      <c r="G18" s="2"/>
      <c r="H18" s="64">
        <f>IF($E18="Labour",Assumptions!$B$14,)</f>
        <v>0</v>
      </c>
      <c r="I18" s="9" t="str">
        <f t="shared" si="5"/>
        <v>$</v>
      </c>
      <c r="J18" s="2"/>
      <c r="K18" s="130"/>
      <c r="L18" s="130"/>
      <c r="M18" s="130"/>
      <c r="N18" s="130"/>
      <c r="O18" s="130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</row>
    <row r="19" spans="1:26" ht="12.75" customHeight="1" x14ac:dyDescent="0.2">
      <c r="A19" s="4"/>
      <c r="C19" s="127"/>
      <c r="D19" s="128"/>
      <c r="E19" s="128"/>
      <c r="F19" s="129"/>
      <c r="G19" s="2"/>
      <c r="H19" s="64">
        <f>IF($E19="Labour",Assumptions!$B$14,)</f>
        <v>0</v>
      </c>
      <c r="I19" s="9" t="str">
        <f t="shared" si="5"/>
        <v>$</v>
      </c>
      <c r="J19" s="2"/>
      <c r="K19" s="130"/>
      <c r="L19" s="130"/>
      <c r="M19" s="130"/>
      <c r="N19" s="130"/>
      <c r="O19" s="130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</row>
    <row r="20" spans="1:26" ht="12.75" customHeight="1" x14ac:dyDescent="0.2">
      <c r="A20" s="4"/>
      <c r="C20" s="127"/>
      <c r="D20" s="128"/>
      <c r="E20" s="128"/>
      <c r="F20" s="129"/>
      <c r="G20" s="2"/>
      <c r="H20" s="64">
        <f>IF($E20="Labour",Assumptions!$B$14,)</f>
        <v>0</v>
      </c>
      <c r="I20" s="9" t="str">
        <f t="shared" si="5"/>
        <v>$</v>
      </c>
      <c r="J20" s="2"/>
      <c r="K20" s="130"/>
      <c r="L20" s="130"/>
      <c r="M20" s="130"/>
      <c r="N20" s="130"/>
      <c r="O20" s="130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</row>
    <row r="21" spans="1:26" ht="12.75" customHeight="1" x14ac:dyDescent="0.2">
      <c r="A21" s="4"/>
      <c r="C21" s="127"/>
      <c r="D21" s="128"/>
      <c r="E21" s="128"/>
      <c r="F21" s="129"/>
      <c r="G21" s="2"/>
      <c r="H21" s="64">
        <f>IF($E21="Labour",Assumptions!$B$14,)</f>
        <v>0</v>
      </c>
      <c r="I21" s="9" t="str">
        <f t="shared" si="5"/>
        <v>$</v>
      </c>
      <c r="J21" s="2"/>
      <c r="K21" s="130"/>
      <c r="L21" s="130"/>
      <c r="M21" s="130"/>
      <c r="N21" s="130"/>
      <c r="O21" s="130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</row>
    <row r="22" spans="1:26" ht="12.75" customHeight="1" x14ac:dyDescent="0.2">
      <c r="A22" s="4"/>
      <c r="C22" s="127"/>
      <c r="D22" s="128"/>
      <c r="E22" s="128"/>
      <c r="F22" s="129"/>
      <c r="G22" s="2"/>
      <c r="H22" s="64">
        <f>IF($E22="Labour",Assumptions!$B$14,)</f>
        <v>0</v>
      </c>
      <c r="I22" s="9" t="str">
        <f t="shared" si="5"/>
        <v>$</v>
      </c>
      <c r="J22" s="2"/>
      <c r="K22" s="130"/>
      <c r="L22" s="130"/>
      <c r="M22" s="130"/>
      <c r="N22" s="130"/>
      <c r="O22" s="130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</row>
    <row r="23" spans="1:26" ht="12.75" customHeight="1" x14ac:dyDescent="0.2">
      <c r="A23" s="4"/>
      <c r="C23" s="127"/>
      <c r="D23" s="128"/>
      <c r="E23" s="128"/>
      <c r="F23" s="129"/>
      <c r="G23" s="2"/>
      <c r="H23" s="64">
        <f>IF($E23="Labour",Assumptions!$B$14,)</f>
        <v>0</v>
      </c>
      <c r="I23" s="9" t="str">
        <f t="shared" si="5"/>
        <v>$</v>
      </c>
      <c r="J23" s="2"/>
      <c r="K23" s="130"/>
      <c r="L23" s="130"/>
      <c r="M23" s="130"/>
      <c r="N23" s="130"/>
      <c r="O23" s="130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</row>
    <row r="24" spans="1:26" ht="12.75" customHeight="1" x14ac:dyDescent="0.2">
      <c r="A24" s="4"/>
      <c r="C24" s="127"/>
      <c r="D24" s="128"/>
      <c r="E24" s="128"/>
      <c r="F24" s="129"/>
      <c r="G24" s="2"/>
      <c r="H24" s="64">
        <f>IF($E24="Labour",Assumptions!$B$14,)</f>
        <v>0</v>
      </c>
      <c r="I24" s="9" t="str">
        <f t="shared" si="5"/>
        <v>$</v>
      </c>
      <c r="J24" s="2"/>
      <c r="K24" s="130"/>
      <c r="L24" s="130"/>
      <c r="M24" s="130"/>
      <c r="N24" s="130"/>
      <c r="O24" s="130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</row>
    <row r="25" spans="1:26" ht="12.75" customHeight="1" x14ac:dyDescent="0.2">
      <c r="A25" s="4"/>
      <c r="C25" s="127"/>
      <c r="D25" s="128"/>
      <c r="E25" s="128"/>
      <c r="F25" s="129"/>
      <c r="G25" s="2"/>
      <c r="H25" s="64">
        <f>IF($E25="Labour",Assumptions!$B$14,)</f>
        <v>0</v>
      </c>
      <c r="I25" s="9" t="str">
        <f t="shared" si="5"/>
        <v>$</v>
      </c>
      <c r="J25" s="2"/>
      <c r="K25" s="130"/>
      <c r="L25" s="130"/>
      <c r="M25" s="130"/>
      <c r="N25" s="130"/>
      <c r="O25" s="130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</row>
    <row r="26" spans="1:26" ht="12.75" customHeight="1" x14ac:dyDescent="0.2">
      <c r="A26" s="4"/>
      <c r="C26" s="127"/>
      <c r="D26" s="128"/>
      <c r="E26" s="128"/>
      <c r="F26" s="129"/>
      <c r="G26" s="2"/>
      <c r="H26" s="64">
        <f>IF($E26="Labour",Assumptions!$B$14,)</f>
        <v>0</v>
      </c>
      <c r="I26" s="9" t="str">
        <f t="shared" si="5"/>
        <v>$</v>
      </c>
      <c r="J26" s="2"/>
      <c r="K26" s="130"/>
      <c r="L26" s="130"/>
      <c r="M26" s="130"/>
      <c r="N26" s="130"/>
      <c r="O26" s="130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</row>
    <row r="27" spans="1:26" ht="12.75" customHeight="1" x14ac:dyDescent="0.2">
      <c r="A27" s="4"/>
      <c r="C27" s="127"/>
      <c r="D27" s="128"/>
      <c r="E27" s="128"/>
      <c r="F27" s="129"/>
      <c r="G27" s="2"/>
      <c r="H27" s="64">
        <f>IF($E27="Labour",Assumptions!$B$14,)</f>
        <v>0</v>
      </c>
      <c r="I27" s="9" t="str">
        <f t="shared" si="5"/>
        <v>$</v>
      </c>
      <c r="J27" s="2"/>
      <c r="K27" s="130"/>
      <c r="L27" s="130"/>
      <c r="M27" s="130"/>
      <c r="N27" s="130"/>
      <c r="O27" s="130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</row>
    <row r="28" spans="1:26" ht="12.75" customHeight="1" x14ac:dyDescent="0.2">
      <c r="A28" s="4"/>
      <c r="C28" s="127"/>
      <c r="D28" s="128"/>
      <c r="E28" s="128"/>
      <c r="F28" s="129"/>
      <c r="G28" s="2"/>
      <c r="H28" s="64">
        <f>IF($E28="Labour",Assumptions!$B$14,)</f>
        <v>0</v>
      </c>
      <c r="I28" s="9" t="str">
        <f t="shared" si="5"/>
        <v>$</v>
      </c>
      <c r="J28" s="2"/>
      <c r="K28" s="130"/>
      <c r="L28" s="130"/>
      <c r="M28" s="130"/>
      <c r="N28" s="130"/>
      <c r="O28" s="130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</row>
    <row r="29" spans="1:26" ht="12.75" customHeight="1" x14ac:dyDescent="0.2">
      <c r="A29" s="4"/>
      <c r="C29" s="127"/>
      <c r="D29" s="128"/>
      <c r="E29" s="128"/>
      <c r="F29" s="129"/>
      <c r="G29" s="2"/>
      <c r="H29" s="64">
        <f>IF($E29="Labour",Assumptions!$B$14,)</f>
        <v>0</v>
      </c>
      <c r="I29" s="9" t="str">
        <f t="shared" ref="I29:I67" si="6">IF($E29="Labour","Hours","$")</f>
        <v>$</v>
      </c>
      <c r="J29" s="2"/>
      <c r="K29" s="130"/>
      <c r="L29" s="130"/>
      <c r="M29" s="130"/>
      <c r="N29" s="130"/>
      <c r="O29" s="130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</row>
    <row r="30" spans="1:26" ht="12.75" customHeight="1" x14ac:dyDescent="0.2">
      <c r="A30" s="4"/>
      <c r="C30" s="127"/>
      <c r="D30" s="128"/>
      <c r="E30" s="128"/>
      <c r="F30" s="129"/>
      <c r="G30" s="2"/>
      <c r="H30" s="64">
        <f>IF($E30="Labour",Assumptions!$B$14,)</f>
        <v>0</v>
      </c>
      <c r="I30" s="9" t="str">
        <f t="shared" si="6"/>
        <v>$</v>
      </c>
      <c r="J30" s="2"/>
      <c r="K30" s="130"/>
      <c r="L30" s="130"/>
      <c r="M30" s="130"/>
      <c r="N30" s="130"/>
      <c r="O30" s="130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</row>
    <row r="31" spans="1:26" ht="12.75" customHeight="1" x14ac:dyDescent="0.25">
      <c r="A31" s="4"/>
      <c r="C31" s="127"/>
      <c r="D31" s="128"/>
      <c r="E31" s="128"/>
      <c r="F31" s="129"/>
      <c r="G31" s="2"/>
      <c r="H31" s="64">
        <f>IF($E31="Labour",Assumptions!$B$14,)</f>
        <v>0</v>
      </c>
      <c r="I31" s="9" t="str">
        <f t="shared" si="6"/>
        <v>$</v>
      </c>
      <c r="J31" s="2"/>
      <c r="K31" s="130"/>
      <c r="L31" s="130"/>
      <c r="M31" s="130"/>
      <c r="N31" s="130"/>
      <c r="O31" s="130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127"/>
      <c r="D32" s="128"/>
      <c r="E32" s="128"/>
      <c r="F32" s="129"/>
      <c r="G32" s="2"/>
      <c r="H32" s="64">
        <f>IF($E32="Labour",Assumptions!$B$14,)</f>
        <v>0</v>
      </c>
      <c r="I32" s="9" t="str">
        <f t="shared" si="6"/>
        <v>$</v>
      </c>
      <c r="J32" s="2"/>
      <c r="K32" s="130"/>
      <c r="L32" s="130"/>
      <c r="M32" s="130"/>
      <c r="N32" s="130"/>
      <c r="O32" s="130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127"/>
      <c r="D33" s="128"/>
      <c r="E33" s="128"/>
      <c r="F33" s="129"/>
      <c r="G33" s="2"/>
      <c r="H33" s="64">
        <f>IF($E33="Labour",Assumptions!$B$14,)</f>
        <v>0</v>
      </c>
      <c r="I33" s="9" t="str">
        <f t="shared" si="6"/>
        <v>$</v>
      </c>
      <c r="J33" s="2"/>
      <c r="K33" s="130"/>
      <c r="L33" s="130"/>
      <c r="M33" s="130"/>
      <c r="N33" s="130"/>
      <c r="O33" s="130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127"/>
      <c r="D34" s="128"/>
      <c r="E34" s="128"/>
      <c r="F34" s="129"/>
      <c r="G34" s="2"/>
      <c r="H34" s="64">
        <f>IF($E34="Labour",Assumptions!$B$14,)</f>
        <v>0</v>
      </c>
      <c r="I34" s="9" t="str">
        <f t="shared" si="6"/>
        <v>$</v>
      </c>
      <c r="J34" s="2"/>
      <c r="K34" s="130"/>
      <c r="L34" s="130"/>
      <c r="M34" s="130"/>
      <c r="N34" s="130"/>
      <c r="O34" s="130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127"/>
      <c r="D35" s="128"/>
      <c r="E35" s="128"/>
      <c r="F35" s="129"/>
      <c r="G35" s="2"/>
      <c r="H35" s="64">
        <f>IF($E35="Labour",Assumptions!$B$14,)</f>
        <v>0</v>
      </c>
      <c r="I35" s="9" t="str">
        <f t="shared" si="6"/>
        <v>$</v>
      </c>
      <c r="J35" s="2"/>
      <c r="K35" s="130"/>
      <c r="L35" s="130"/>
      <c r="M35" s="130"/>
      <c r="N35" s="130"/>
      <c r="O35" s="130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127"/>
      <c r="D36" s="128"/>
      <c r="E36" s="128"/>
      <c r="F36" s="129"/>
      <c r="G36" s="2"/>
      <c r="H36" s="64">
        <f>IF($E36="Labour",Assumptions!$B$14,)</f>
        <v>0</v>
      </c>
      <c r="I36" s="9" t="str">
        <f t="shared" si="6"/>
        <v>$</v>
      </c>
      <c r="J36" s="2"/>
      <c r="K36" s="130"/>
      <c r="L36" s="130"/>
      <c r="M36" s="130"/>
      <c r="N36" s="130"/>
      <c r="O36" s="130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127"/>
      <c r="D37" s="128"/>
      <c r="E37" s="128"/>
      <c r="F37" s="129"/>
      <c r="G37" s="2"/>
      <c r="H37" s="64">
        <f>IF($E37="Labour",Assumptions!$B$14,)</f>
        <v>0</v>
      </c>
      <c r="I37" s="9" t="str">
        <f t="shared" si="6"/>
        <v>$</v>
      </c>
      <c r="J37" s="2"/>
      <c r="K37" s="130"/>
      <c r="L37" s="130"/>
      <c r="M37" s="130"/>
      <c r="N37" s="130"/>
      <c r="O37" s="130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127"/>
      <c r="D38" s="128"/>
      <c r="E38" s="128"/>
      <c r="F38" s="129"/>
      <c r="G38" s="2"/>
      <c r="H38" s="64">
        <f>IF($E38="Labour",Assumptions!$B$14,)</f>
        <v>0</v>
      </c>
      <c r="I38" s="9" t="str">
        <f t="shared" si="6"/>
        <v>$</v>
      </c>
      <c r="J38" s="2"/>
      <c r="K38" s="130"/>
      <c r="L38" s="130"/>
      <c r="M38" s="130"/>
      <c r="N38" s="130"/>
      <c r="O38" s="130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127"/>
      <c r="D39" s="128"/>
      <c r="E39" s="128"/>
      <c r="F39" s="129"/>
      <c r="G39" s="2"/>
      <c r="H39" s="64">
        <f>IF($E39="Labour",Assumptions!$B$14,)</f>
        <v>0</v>
      </c>
      <c r="I39" s="9" t="str">
        <f t="shared" si="6"/>
        <v>$</v>
      </c>
      <c r="J39" s="2"/>
      <c r="K39" s="130"/>
      <c r="L39" s="130"/>
      <c r="M39" s="130"/>
      <c r="N39" s="130"/>
      <c r="O39" s="130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127"/>
      <c r="D40" s="128"/>
      <c r="E40" s="128"/>
      <c r="F40" s="129"/>
      <c r="G40" s="2"/>
      <c r="H40" s="64">
        <f>IF($E40="Labour",Assumptions!$B$14,)</f>
        <v>0</v>
      </c>
      <c r="I40" s="9" t="str">
        <f t="shared" si="6"/>
        <v>$</v>
      </c>
      <c r="J40" s="2"/>
      <c r="K40" s="130"/>
      <c r="L40" s="130"/>
      <c r="M40" s="130"/>
      <c r="N40" s="130"/>
      <c r="O40" s="130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127"/>
      <c r="D41" s="128"/>
      <c r="E41" s="128"/>
      <c r="F41" s="129"/>
      <c r="G41" s="2"/>
      <c r="H41" s="64">
        <f>IF($E41="Labour",Assumptions!$B$14,)</f>
        <v>0</v>
      </c>
      <c r="I41" s="9" t="str">
        <f t="shared" si="6"/>
        <v>$</v>
      </c>
      <c r="J41" s="2"/>
      <c r="K41" s="130"/>
      <c r="L41" s="130"/>
      <c r="M41" s="130"/>
      <c r="N41" s="130"/>
      <c r="O41" s="130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127"/>
      <c r="D42" s="128"/>
      <c r="E42" s="128"/>
      <c r="F42" s="129"/>
      <c r="G42" s="2"/>
      <c r="H42" s="64">
        <f>IF($E42="Labour",Assumptions!$B$14,)</f>
        <v>0</v>
      </c>
      <c r="I42" s="9" t="str">
        <f t="shared" si="6"/>
        <v>$</v>
      </c>
      <c r="J42" s="2"/>
      <c r="K42" s="130"/>
      <c r="L42" s="130"/>
      <c r="M42" s="130"/>
      <c r="N42" s="130"/>
      <c r="O42" s="130"/>
      <c r="P42" s="2"/>
      <c r="Q42" s="5">
        <f t="shared" ref="Q42:Q67" si="7">IF($E42="Labour",$H42*K42,K42)</f>
        <v>0</v>
      </c>
      <c r="R42" s="5">
        <f t="shared" ref="R42:R67" si="8">IF($E42="Labour",$H42*L42,L42)</f>
        <v>0</v>
      </c>
      <c r="S42" s="5">
        <f t="shared" ref="S42:S67" si="9">IF($E42="Labour",$H42*M42,M42)</f>
        <v>0</v>
      </c>
      <c r="T42" s="5">
        <f t="shared" ref="T42:T67" si="10">IF($E42="Labour",$H42*N42,N42)</f>
        <v>0</v>
      </c>
      <c r="U42" s="5">
        <f t="shared" ref="U42:U67" si="11">IF($E42="Labour",$H42*O42,O42)</f>
        <v>0</v>
      </c>
      <c r="Z42"/>
    </row>
    <row r="43" spans="1:26" ht="12.75" customHeight="1" x14ac:dyDescent="0.25">
      <c r="A43" s="4"/>
      <c r="C43" s="81"/>
      <c r="D43" s="82"/>
      <c r="E43" s="82"/>
      <c r="F43" s="80"/>
      <c r="G43" s="2"/>
      <c r="H43" s="64">
        <f>IF($E43="Labour",Assumptions!$B$14,)</f>
        <v>0</v>
      </c>
      <c r="I43" s="9" t="str">
        <f t="shared" si="6"/>
        <v>$</v>
      </c>
      <c r="J43" s="2"/>
      <c r="K43" s="83"/>
      <c r="L43" s="83"/>
      <c r="M43" s="83"/>
      <c r="N43" s="83"/>
      <c r="O43" s="83"/>
      <c r="P43" s="2"/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  <c r="U43" s="5">
        <f t="shared" si="11"/>
        <v>0</v>
      </c>
      <c r="Z43"/>
    </row>
    <row r="44" spans="1:26" ht="12.75" customHeight="1" x14ac:dyDescent="0.25">
      <c r="A44" s="4"/>
      <c r="C44" s="81"/>
      <c r="D44" s="82"/>
      <c r="E44" s="82"/>
      <c r="F44" s="80"/>
      <c r="G44" s="2"/>
      <c r="H44" s="64">
        <f>IF($E44="Labour",Assumptions!$B$14,)</f>
        <v>0</v>
      </c>
      <c r="I44" s="9" t="str">
        <f t="shared" si="6"/>
        <v>$</v>
      </c>
      <c r="J44" s="2"/>
      <c r="K44" s="83"/>
      <c r="L44" s="83"/>
      <c r="M44" s="83"/>
      <c r="N44" s="83"/>
      <c r="O44" s="83"/>
      <c r="P44" s="2"/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  <c r="U44" s="5">
        <f t="shared" si="11"/>
        <v>0</v>
      </c>
      <c r="Z44"/>
    </row>
    <row r="45" spans="1:26" ht="12.75" customHeight="1" x14ac:dyDescent="0.25">
      <c r="A45" s="4"/>
      <c r="C45" s="81"/>
      <c r="D45" s="82"/>
      <c r="E45" s="82"/>
      <c r="F45" s="80"/>
      <c r="G45" s="2"/>
      <c r="H45" s="64">
        <f>IF($E45="Labour",Assumptions!$B$14,)</f>
        <v>0</v>
      </c>
      <c r="I45" s="9" t="str">
        <f t="shared" si="6"/>
        <v>$</v>
      </c>
      <c r="J45" s="2"/>
      <c r="K45" s="83"/>
      <c r="L45" s="83"/>
      <c r="M45" s="83"/>
      <c r="N45" s="83"/>
      <c r="O45" s="83"/>
      <c r="P45" s="2"/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  <c r="U45" s="5">
        <f t="shared" si="11"/>
        <v>0</v>
      </c>
      <c r="Z45"/>
    </row>
    <row r="46" spans="1:26" ht="12.75" customHeight="1" x14ac:dyDescent="0.25">
      <c r="A46" s="4"/>
      <c r="C46" s="81"/>
      <c r="D46" s="82"/>
      <c r="E46" s="82"/>
      <c r="F46" s="80"/>
      <c r="G46" s="2"/>
      <c r="H46" s="64">
        <f>IF($E46="Labour",Assumptions!$B$14,)</f>
        <v>0</v>
      </c>
      <c r="I46" s="9" t="str">
        <f t="shared" si="6"/>
        <v>$</v>
      </c>
      <c r="J46" s="2"/>
      <c r="K46" s="83"/>
      <c r="L46" s="83"/>
      <c r="M46" s="83"/>
      <c r="N46" s="83"/>
      <c r="O46" s="83"/>
      <c r="P46" s="2"/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  <c r="U46" s="5">
        <f t="shared" si="11"/>
        <v>0</v>
      </c>
      <c r="Z46"/>
    </row>
    <row r="47" spans="1:26" ht="12.75" customHeight="1" x14ac:dyDescent="0.25">
      <c r="A47" s="4"/>
      <c r="C47" s="81"/>
      <c r="D47" s="82"/>
      <c r="E47" s="82"/>
      <c r="F47" s="80"/>
      <c r="G47" s="2"/>
      <c r="H47" s="64">
        <f>IF($E47="Labour",Assumptions!$B$14,)</f>
        <v>0</v>
      </c>
      <c r="I47" s="9" t="str">
        <f t="shared" si="6"/>
        <v>$</v>
      </c>
      <c r="J47" s="2"/>
      <c r="K47" s="83"/>
      <c r="L47" s="83"/>
      <c r="M47" s="83"/>
      <c r="N47" s="83"/>
      <c r="O47" s="83"/>
      <c r="P47" s="2"/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  <c r="U47" s="5">
        <f t="shared" si="11"/>
        <v>0</v>
      </c>
      <c r="Z47"/>
    </row>
    <row r="48" spans="1:26" ht="12.75" customHeight="1" x14ac:dyDescent="0.25">
      <c r="A48" s="4"/>
      <c r="C48" s="81"/>
      <c r="D48" s="82"/>
      <c r="E48" s="82"/>
      <c r="F48" s="80"/>
      <c r="G48" s="2"/>
      <c r="H48" s="64">
        <f>IF($E48="Labour",Assumptions!$B$14,)</f>
        <v>0</v>
      </c>
      <c r="I48" s="9" t="str">
        <f t="shared" si="6"/>
        <v>$</v>
      </c>
      <c r="J48" s="2"/>
      <c r="K48" s="83"/>
      <c r="L48" s="83"/>
      <c r="M48" s="83"/>
      <c r="N48" s="83"/>
      <c r="O48" s="83"/>
      <c r="P48" s="2"/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  <c r="U48" s="5">
        <f t="shared" si="11"/>
        <v>0</v>
      </c>
      <c r="Z48"/>
    </row>
    <row r="49" spans="1:26" ht="12.75" customHeight="1" x14ac:dyDescent="0.25">
      <c r="A49" s="4"/>
      <c r="C49" s="81"/>
      <c r="D49" s="82"/>
      <c r="E49" s="82"/>
      <c r="F49" s="80"/>
      <c r="G49" s="2"/>
      <c r="H49" s="64">
        <f>IF($E49="Labour",Assumptions!$B$14,)</f>
        <v>0</v>
      </c>
      <c r="I49" s="9" t="str">
        <f t="shared" si="6"/>
        <v>$</v>
      </c>
      <c r="J49" s="2"/>
      <c r="K49" s="83"/>
      <c r="L49" s="83"/>
      <c r="M49" s="83"/>
      <c r="N49" s="83"/>
      <c r="O49" s="83"/>
      <c r="P49" s="2"/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  <c r="U49" s="5">
        <f t="shared" si="11"/>
        <v>0</v>
      </c>
      <c r="Z49"/>
    </row>
    <row r="50" spans="1:26" ht="12.75" customHeight="1" x14ac:dyDescent="0.25">
      <c r="A50" s="4"/>
      <c r="C50" s="81"/>
      <c r="D50" s="82"/>
      <c r="E50" s="82"/>
      <c r="F50" s="80"/>
      <c r="G50" s="2"/>
      <c r="H50" s="64">
        <f>IF($E50="Labour",Assumptions!$B$14,)</f>
        <v>0</v>
      </c>
      <c r="I50" s="9" t="str">
        <f t="shared" si="6"/>
        <v>$</v>
      </c>
      <c r="J50" s="2"/>
      <c r="K50" s="83"/>
      <c r="L50" s="83"/>
      <c r="M50" s="83"/>
      <c r="N50" s="83"/>
      <c r="O50" s="83"/>
      <c r="P50" s="2"/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  <c r="U50" s="5">
        <f t="shared" si="11"/>
        <v>0</v>
      </c>
      <c r="Z50"/>
    </row>
    <row r="51" spans="1:26" ht="12.75" customHeight="1" x14ac:dyDescent="0.25">
      <c r="A51" s="4"/>
      <c r="C51" s="81"/>
      <c r="D51" s="82"/>
      <c r="E51" s="82"/>
      <c r="F51" s="80"/>
      <c r="G51" s="2"/>
      <c r="H51" s="64">
        <f>IF($E51="Labour",Assumptions!$B$14,)</f>
        <v>0</v>
      </c>
      <c r="I51" s="9" t="str">
        <f t="shared" si="6"/>
        <v>$</v>
      </c>
      <c r="J51" s="2"/>
      <c r="K51" s="83"/>
      <c r="L51" s="83"/>
      <c r="M51" s="83"/>
      <c r="N51" s="83"/>
      <c r="O51" s="83"/>
      <c r="P51" s="2"/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  <c r="U51" s="5">
        <f t="shared" si="11"/>
        <v>0</v>
      </c>
      <c r="Z51"/>
    </row>
    <row r="52" spans="1:26" ht="12.75" customHeight="1" x14ac:dyDescent="0.25">
      <c r="A52" s="4"/>
      <c r="C52" s="81"/>
      <c r="D52" s="82"/>
      <c r="E52" s="82"/>
      <c r="F52" s="80"/>
      <c r="G52" s="2"/>
      <c r="H52" s="64">
        <f>IF($E52="Labour",Assumptions!$B$14,)</f>
        <v>0</v>
      </c>
      <c r="I52" s="9" t="str">
        <f t="shared" si="6"/>
        <v>$</v>
      </c>
      <c r="J52" s="2"/>
      <c r="K52" s="83"/>
      <c r="L52" s="83"/>
      <c r="M52" s="83"/>
      <c r="N52" s="83"/>
      <c r="O52" s="83"/>
      <c r="P52" s="2"/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  <c r="U52" s="5">
        <f t="shared" si="11"/>
        <v>0</v>
      </c>
      <c r="Z52"/>
    </row>
    <row r="53" spans="1:26" ht="12.75" customHeight="1" x14ac:dyDescent="0.25">
      <c r="A53" s="4"/>
      <c r="C53" s="81"/>
      <c r="D53" s="82"/>
      <c r="E53" s="82"/>
      <c r="F53" s="80"/>
      <c r="G53" s="2"/>
      <c r="H53" s="64">
        <f>IF($E53="Labour",Assumptions!$B$14,)</f>
        <v>0</v>
      </c>
      <c r="I53" s="9" t="str">
        <f t="shared" si="6"/>
        <v>$</v>
      </c>
      <c r="J53" s="2"/>
      <c r="K53" s="83"/>
      <c r="L53" s="83"/>
      <c r="M53" s="83"/>
      <c r="N53" s="83"/>
      <c r="O53" s="83"/>
      <c r="P53" s="2"/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  <c r="U53" s="5">
        <f t="shared" si="11"/>
        <v>0</v>
      </c>
      <c r="Z53"/>
    </row>
    <row r="54" spans="1:26" ht="12.75" customHeight="1" x14ac:dyDescent="0.25">
      <c r="A54" s="4"/>
      <c r="C54" s="81"/>
      <c r="D54" s="82"/>
      <c r="E54" s="82"/>
      <c r="F54" s="80"/>
      <c r="G54" s="2"/>
      <c r="H54" s="64">
        <f>IF($E54="Labour",Assumptions!$B$14,)</f>
        <v>0</v>
      </c>
      <c r="I54" s="9" t="str">
        <f t="shared" si="6"/>
        <v>$</v>
      </c>
      <c r="J54" s="2"/>
      <c r="K54" s="83"/>
      <c r="L54" s="83"/>
      <c r="M54" s="83"/>
      <c r="N54" s="83"/>
      <c r="O54" s="83"/>
      <c r="P54" s="2"/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  <c r="U54" s="5">
        <f t="shared" si="11"/>
        <v>0</v>
      </c>
      <c r="Z54"/>
    </row>
    <row r="55" spans="1:26" ht="12.75" customHeight="1" x14ac:dyDescent="0.25">
      <c r="A55" s="4"/>
      <c r="C55" s="81"/>
      <c r="D55" s="82"/>
      <c r="E55" s="82"/>
      <c r="F55" s="80"/>
      <c r="G55" s="2"/>
      <c r="H55" s="64">
        <f>IF($E55="Labour",Assumptions!$B$14,)</f>
        <v>0</v>
      </c>
      <c r="I55" s="9" t="str">
        <f t="shared" si="6"/>
        <v>$</v>
      </c>
      <c r="J55" s="2"/>
      <c r="K55" s="83"/>
      <c r="L55" s="83"/>
      <c r="M55" s="83"/>
      <c r="N55" s="83"/>
      <c r="O55" s="83"/>
      <c r="P55" s="2"/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  <c r="U55" s="5">
        <f t="shared" si="11"/>
        <v>0</v>
      </c>
      <c r="Z55"/>
    </row>
    <row r="56" spans="1:26" ht="12.75" customHeight="1" x14ac:dyDescent="0.25">
      <c r="A56" s="4"/>
      <c r="C56" s="81"/>
      <c r="D56" s="82"/>
      <c r="E56" s="82"/>
      <c r="F56" s="80"/>
      <c r="G56" s="2"/>
      <c r="H56" s="64">
        <f>IF($E56="Labour",Assumptions!$B$14,)</f>
        <v>0</v>
      </c>
      <c r="I56" s="9" t="str">
        <f t="shared" si="6"/>
        <v>$</v>
      </c>
      <c r="J56" s="2"/>
      <c r="K56" s="83"/>
      <c r="L56" s="83"/>
      <c r="M56" s="83"/>
      <c r="N56" s="83"/>
      <c r="O56" s="83"/>
      <c r="P56" s="2"/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  <c r="U56" s="5">
        <f t="shared" si="11"/>
        <v>0</v>
      </c>
      <c r="Z56"/>
    </row>
    <row r="57" spans="1:26" ht="12.75" customHeight="1" x14ac:dyDescent="0.25">
      <c r="A57" s="4"/>
      <c r="C57" s="81"/>
      <c r="D57" s="82"/>
      <c r="E57" s="82"/>
      <c r="F57" s="80"/>
      <c r="G57" s="2"/>
      <c r="H57" s="64">
        <f>IF($E57="Labour",Assumptions!$B$14,)</f>
        <v>0</v>
      </c>
      <c r="I57" s="9" t="str">
        <f t="shared" si="6"/>
        <v>$</v>
      </c>
      <c r="J57" s="2"/>
      <c r="K57" s="83"/>
      <c r="L57" s="83"/>
      <c r="M57" s="83"/>
      <c r="N57" s="83"/>
      <c r="O57" s="83"/>
      <c r="P57" s="2"/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  <c r="U57" s="5">
        <f t="shared" si="11"/>
        <v>0</v>
      </c>
      <c r="Z57"/>
    </row>
    <row r="58" spans="1:26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6"/>
        <v>$</v>
      </c>
      <c r="K58" s="83"/>
      <c r="L58" s="83"/>
      <c r="M58" s="83"/>
      <c r="N58" s="83"/>
      <c r="O58" s="83"/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  <c r="U58" s="5">
        <f t="shared" si="11"/>
        <v>0</v>
      </c>
    </row>
    <row r="59" spans="1:26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6"/>
        <v>$</v>
      </c>
      <c r="K59" s="83"/>
      <c r="L59" s="83"/>
      <c r="M59" s="83"/>
      <c r="N59" s="83"/>
      <c r="O59" s="83"/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  <c r="U59" s="5">
        <f t="shared" si="11"/>
        <v>0</v>
      </c>
    </row>
    <row r="60" spans="1:26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K60" s="83"/>
      <c r="L60" s="83"/>
      <c r="M60" s="83"/>
      <c r="N60" s="83"/>
      <c r="O60" s="83"/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  <c r="U60" s="5">
        <f t="shared" si="11"/>
        <v>0</v>
      </c>
    </row>
    <row r="61" spans="1:26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6"/>
        <v>$</v>
      </c>
      <c r="K61" s="83"/>
      <c r="L61" s="83"/>
      <c r="M61" s="83"/>
      <c r="N61" s="83"/>
      <c r="O61" s="83"/>
      <c r="Q61" s="5">
        <f t="shared" si="7"/>
        <v>0</v>
      </c>
      <c r="R61" s="5">
        <f t="shared" si="8"/>
        <v>0</v>
      </c>
      <c r="S61" s="5">
        <f t="shared" si="9"/>
        <v>0</v>
      </c>
      <c r="T61" s="5">
        <f t="shared" si="10"/>
        <v>0</v>
      </c>
      <c r="U61" s="5">
        <f t="shared" si="11"/>
        <v>0</v>
      </c>
    </row>
    <row r="62" spans="1:26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6"/>
        <v>$</v>
      </c>
      <c r="K62" s="83"/>
      <c r="L62" s="83"/>
      <c r="M62" s="83"/>
      <c r="N62" s="83"/>
      <c r="O62" s="83"/>
      <c r="Q62" s="5">
        <f t="shared" si="7"/>
        <v>0</v>
      </c>
      <c r="R62" s="5">
        <f t="shared" si="8"/>
        <v>0</v>
      </c>
      <c r="S62" s="5">
        <f t="shared" si="9"/>
        <v>0</v>
      </c>
      <c r="T62" s="5">
        <f t="shared" si="10"/>
        <v>0</v>
      </c>
      <c r="U62" s="5">
        <f t="shared" si="11"/>
        <v>0</v>
      </c>
    </row>
    <row r="63" spans="1:26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6"/>
        <v>$</v>
      </c>
      <c r="K63" s="83"/>
      <c r="L63" s="83"/>
      <c r="M63" s="83"/>
      <c r="N63" s="83"/>
      <c r="O63" s="83"/>
      <c r="Q63" s="5">
        <f t="shared" si="7"/>
        <v>0</v>
      </c>
      <c r="R63" s="5">
        <f t="shared" si="8"/>
        <v>0</v>
      </c>
      <c r="S63" s="5">
        <f t="shared" si="9"/>
        <v>0</v>
      </c>
      <c r="T63" s="5">
        <f t="shared" si="10"/>
        <v>0</v>
      </c>
      <c r="U63" s="5">
        <f t="shared" si="11"/>
        <v>0</v>
      </c>
    </row>
    <row r="64" spans="1:26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6"/>
        <v>$</v>
      </c>
      <c r="K64" s="83"/>
      <c r="L64" s="83"/>
      <c r="M64" s="83"/>
      <c r="N64" s="83"/>
      <c r="O64" s="83"/>
      <c r="Q64" s="5">
        <f t="shared" si="7"/>
        <v>0</v>
      </c>
      <c r="R64" s="5">
        <f t="shared" si="8"/>
        <v>0</v>
      </c>
      <c r="S64" s="5">
        <f t="shared" si="9"/>
        <v>0</v>
      </c>
      <c r="T64" s="5">
        <f t="shared" si="10"/>
        <v>0</v>
      </c>
      <c r="U64" s="5">
        <f t="shared" si="11"/>
        <v>0</v>
      </c>
    </row>
    <row r="65" spans="1:26" ht="12.75" customHeight="1" x14ac:dyDescent="0.2">
      <c r="A65" s="4"/>
      <c r="C65" s="81"/>
      <c r="D65" s="82"/>
      <c r="E65" s="82"/>
      <c r="F65" s="80"/>
      <c r="H65" s="64">
        <f>IF($E65="Labour",Assumptions!$B$14,)</f>
        <v>0</v>
      </c>
      <c r="I65" s="9" t="str">
        <f t="shared" si="6"/>
        <v>$</v>
      </c>
      <c r="K65" s="83"/>
      <c r="L65" s="83"/>
      <c r="M65" s="83"/>
      <c r="N65" s="83"/>
      <c r="O65" s="83"/>
      <c r="Q65" s="5">
        <f t="shared" si="7"/>
        <v>0</v>
      </c>
      <c r="R65" s="5">
        <f t="shared" si="8"/>
        <v>0</v>
      </c>
      <c r="S65" s="5">
        <f t="shared" si="9"/>
        <v>0</v>
      </c>
      <c r="T65" s="5">
        <f t="shared" si="10"/>
        <v>0</v>
      </c>
      <c r="U65" s="5">
        <f t="shared" si="11"/>
        <v>0</v>
      </c>
    </row>
    <row r="66" spans="1:26" ht="12.75" customHeight="1" x14ac:dyDescent="0.2">
      <c r="A66" s="4"/>
      <c r="C66" s="81"/>
      <c r="D66" s="82"/>
      <c r="E66" s="82"/>
      <c r="F66" s="80"/>
      <c r="H66" s="64">
        <f>IF($E66="Labour",Assumptions!$B$14,)</f>
        <v>0</v>
      </c>
      <c r="I66" s="9" t="str">
        <f t="shared" si="6"/>
        <v>$</v>
      </c>
      <c r="K66" s="83"/>
      <c r="L66" s="83"/>
      <c r="M66" s="83"/>
      <c r="N66" s="83"/>
      <c r="O66" s="83"/>
      <c r="Q66" s="5">
        <f t="shared" si="7"/>
        <v>0</v>
      </c>
      <c r="R66" s="5">
        <f t="shared" si="8"/>
        <v>0</v>
      </c>
      <c r="S66" s="5">
        <f t="shared" si="9"/>
        <v>0</v>
      </c>
      <c r="T66" s="5">
        <f t="shared" si="10"/>
        <v>0</v>
      </c>
      <c r="U66" s="5">
        <f t="shared" si="11"/>
        <v>0</v>
      </c>
    </row>
    <row r="67" spans="1:26" ht="12.75" customHeight="1" x14ac:dyDescent="0.2">
      <c r="A67" s="4"/>
      <c r="C67" s="81"/>
      <c r="D67" s="82"/>
      <c r="E67" s="82"/>
      <c r="F67" s="80"/>
      <c r="H67" s="64">
        <f>IF($E67="Labour",Assumptions!$B$14,)</f>
        <v>0</v>
      </c>
      <c r="I67" s="9" t="str">
        <f t="shared" si="6"/>
        <v>$</v>
      </c>
      <c r="K67" s="83"/>
      <c r="L67" s="83"/>
      <c r="M67" s="83"/>
      <c r="N67" s="83"/>
      <c r="O67" s="83"/>
      <c r="Q67" s="5">
        <f t="shared" si="7"/>
        <v>0</v>
      </c>
      <c r="R67" s="5">
        <f t="shared" si="8"/>
        <v>0</v>
      </c>
      <c r="S67" s="5">
        <f t="shared" si="9"/>
        <v>0</v>
      </c>
      <c r="T67" s="5">
        <f t="shared" si="10"/>
        <v>0</v>
      </c>
      <c r="U67" s="5">
        <f t="shared" si="11"/>
        <v>0</v>
      </c>
    </row>
    <row r="68" spans="1:26" ht="12.75" customHeight="1" x14ac:dyDescent="0.25">
      <c r="G68" s="2"/>
      <c r="J68" s="2"/>
      <c r="P68" s="2"/>
      <c r="Z68"/>
    </row>
    <row r="69" spans="1:26" ht="12.75" customHeight="1" x14ac:dyDescent="0.25">
      <c r="G69" s="2"/>
      <c r="J69" s="2"/>
      <c r="P69" s="2"/>
      <c r="Z69"/>
    </row>
    <row r="70" spans="1:26" ht="12.75" customHeight="1" x14ac:dyDescent="0.25">
      <c r="C70" s="3" t="s">
        <v>54</v>
      </c>
      <c r="G70" s="2"/>
      <c r="J70" s="2"/>
      <c r="P70" s="2"/>
      <c r="Q70" s="69" t="s">
        <v>6</v>
      </c>
      <c r="R70" s="69" t="s">
        <v>7</v>
      </c>
      <c r="S70" s="69" t="s">
        <v>8</v>
      </c>
      <c r="T70" s="69" t="s">
        <v>9</v>
      </c>
      <c r="U70" s="69" t="s">
        <v>10</v>
      </c>
      <c r="V70" s="69" t="s">
        <v>0</v>
      </c>
      <c r="Z70"/>
    </row>
    <row r="71" spans="1:26" ht="12.75" customHeight="1" x14ac:dyDescent="0.2">
      <c r="C71" s="24" t="s">
        <v>11</v>
      </c>
      <c r="D71" s="24" t="s">
        <v>50</v>
      </c>
      <c r="E71" s="24"/>
      <c r="F71" s="24" t="s">
        <v>2</v>
      </c>
      <c r="G71" s="2"/>
      <c r="H71" s="66"/>
      <c r="I71" s="67"/>
      <c r="J71" s="2"/>
      <c r="K71" s="24"/>
      <c r="L71" s="24"/>
      <c r="M71" s="24"/>
      <c r="N71" s="24"/>
      <c r="O71" s="24"/>
      <c r="P71" s="2"/>
      <c r="Q71" s="25">
        <f t="shared" ref="Q71:U76" si="12">SUMIFS(Q$10:Q$67,$E$10:$E$67,$C71,$D$10:$D$67,$D71,$F$10:$F$67,$F71)</f>
        <v>0</v>
      </c>
      <c r="R71" s="25">
        <f t="shared" si="12"/>
        <v>0</v>
      </c>
      <c r="S71" s="25">
        <f t="shared" si="12"/>
        <v>0</v>
      </c>
      <c r="T71" s="25">
        <f t="shared" si="12"/>
        <v>0</v>
      </c>
      <c r="U71" s="25">
        <f t="shared" si="12"/>
        <v>0</v>
      </c>
      <c r="V71" s="71">
        <f>SUM(Q71:U71)</f>
        <v>0</v>
      </c>
    </row>
    <row r="72" spans="1:26" ht="12.75" customHeight="1" x14ac:dyDescent="0.2">
      <c r="C72" s="1" t="s">
        <v>13</v>
      </c>
      <c r="D72" s="1" t="s">
        <v>50</v>
      </c>
      <c r="F72" s="1" t="s">
        <v>2</v>
      </c>
      <c r="G72" s="2"/>
      <c r="H72" s="68"/>
      <c r="J72" s="2"/>
      <c r="P72" s="2"/>
      <c r="Q72" s="6">
        <f t="shared" si="12"/>
        <v>0</v>
      </c>
      <c r="R72" s="6">
        <f t="shared" si="12"/>
        <v>0</v>
      </c>
      <c r="S72" s="6">
        <f t="shared" si="12"/>
        <v>0</v>
      </c>
      <c r="T72" s="6">
        <f t="shared" si="12"/>
        <v>0</v>
      </c>
      <c r="U72" s="6">
        <f t="shared" si="12"/>
        <v>0</v>
      </c>
      <c r="V72" s="72">
        <f t="shared" ref="V72:V86" si="13">SUM(Q72:U72)</f>
        <v>0</v>
      </c>
    </row>
    <row r="73" spans="1:26" ht="12.75" customHeight="1" x14ac:dyDescent="0.2">
      <c r="C73" s="1" t="s">
        <v>14</v>
      </c>
      <c r="D73" s="1" t="s">
        <v>50</v>
      </c>
      <c r="F73" s="1" t="s">
        <v>2</v>
      </c>
      <c r="G73" s="2"/>
      <c r="H73" s="68"/>
      <c r="J73" s="2"/>
      <c r="P73" s="2"/>
      <c r="Q73" s="6">
        <f t="shared" si="12"/>
        <v>0</v>
      </c>
      <c r="R73" s="6">
        <f t="shared" si="12"/>
        <v>0</v>
      </c>
      <c r="S73" s="6">
        <f t="shared" si="12"/>
        <v>0</v>
      </c>
      <c r="T73" s="6">
        <f t="shared" si="12"/>
        <v>0</v>
      </c>
      <c r="U73" s="6">
        <f t="shared" si="12"/>
        <v>0</v>
      </c>
      <c r="V73" s="72">
        <f t="shared" si="13"/>
        <v>0</v>
      </c>
    </row>
    <row r="74" spans="1:26" ht="12.75" customHeight="1" x14ac:dyDescent="0.2">
      <c r="C74" s="1" t="s">
        <v>11</v>
      </c>
      <c r="D74" s="1" t="s">
        <v>50</v>
      </c>
      <c r="F74" s="1" t="s">
        <v>48</v>
      </c>
      <c r="G74" s="2"/>
      <c r="H74" s="68"/>
      <c r="J74" s="2"/>
      <c r="P74" s="2"/>
      <c r="Q74" s="6">
        <f t="shared" si="12"/>
        <v>0</v>
      </c>
      <c r="R74" s="6">
        <f t="shared" si="12"/>
        <v>0</v>
      </c>
      <c r="S74" s="6">
        <f t="shared" si="12"/>
        <v>0</v>
      </c>
      <c r="T74" s="6">
        <f t="shared" si="12"/>
        <v>0</v>
      </c>
      <c r="U74" s="6">
        <f t="shared" si="12"/>
        <v>0</v>
      </c>
      <c r="V74" s="72">
        <f t="shared" ref="V74:V76" si="14">SUM(Q74:U74)</f>
        <v>0</v>
      </c>
    </row>
    <row r="75" spans="1:26" ht="12.75" customHeight="1" x14ac:dyDescent="0.2">
      <c r="C75" s="1" t="s">
        <v>13</v>
      </c>
      <c r="D75" s="1" t="s">
        <v>50</v>
      </c>
      <c r="F75" s="1" t="s">
        <v>48</v>
      </c>
      <c r="G75" s="2"/>
      <c r="H75" s="68"/>
      <c r="J75" s="2"/>
      <c r="P75" s="2"/>
      <c r="Q75" s="6">
        <f t="shared" si="12"/>
        <v>0</v>
      </c>
      <c r="R75" s="6">
        <f t="shared" si="12"/>
        <v>0</v>
      </c>
      <c r="S75" s="6">
        <f t="shared" si="12"/>
        <v>0</v>
      </c>
      <c r="T75" s="6">
        <f t="shared" si="12"/>
        <v>0</v>
      </c>
      <c r="U75" s="6">
        <f t="shared" si="12"/>
        <v>0</v>
      </c>
      <c r="V75" s="72">
        <f t="shared" si="14"/>
        <v>0</v>
      </c>
    </row>
    <row r="76" spans="1:26" ht="12.75" customHeight="1" x14ac:dyDescent="0.2">
      <c r="C76" s="1" t="s">
        <v>14</v>
      </c>
      <c r="D76" s="1" t="s">
        <v>50</v>
      </c>
      <c r="F76" s="1" t="s">
        <v>48</v>
      </c>
      <c r="G76" s="2"/>
      <c r="H76" s="68"/>
      <c r="J76" s="2"/>
      <c r="P76" s="2"/>
      <c r="Q76" s="6">
        <f t="shared" si="12"/>
        <v>0</v>
      </c>
      <c r="R76" s="6">
        <f t="shared" si="12"/>
        <v>0</v>
      </c>
      <c r="S76" s="6">
        <f t="shared" si="12"/>
        <v>0</v>
      </c>
      <c r="T76" s="6">
        <f t="shared" si="12"/>
        <v>0</v>
      </c>
      <c r="U76" s="6">
        <f t="shared" si="12"/>
        <v>0</v>
      </c>
      <c r="V76" s="72">
        <f t="shared" si="14"/>
        <v>0</v>
      </c>
    </row>
    <row r="77" spans="1:26" ht="12.75" customHeight="1" x14ac:dyDescent="0.2">
      <c r="C77" s="21" t="s">
        <v>15</v>
      </c>
      <c r="D77" s="21" t="s">
        <v>50</v>
      </c>
      <c r="E77" s="103"/>
      <c r="F77" s="104"/>
      <c r="G77" s="2"/>
      <c r="H77" s="104"/>
      <c r="I77" s="106"/>
      <c r="J77" s="105"/>
      <c r="K77" s="103"/>
      <c r="L77" s="103"/>
      <c r="M77" s="103"/>
      <c r="N77" s="103"/>
      <c r="O77" s="103"/>
      <c r="P77" s="2"/>
      <c r="Q77" s="22">
        <f>SUM(Q71:Q76)</f>
        <v>0</v>
      </c>
      <c r="R77" s="22">
        <f t="shared" ref="R77:U77" si="15">SUM(R71:R76)</f>
        <v>0</v>
      </c>
      <c r="S77" s="22">
        <f t="shared" si="15"/>
        <v>0</v>
      </c>
      <c r="T77" s="22">
        <f t="shared" si="15"/>
        <v>0</v>
      </c>
      <c r="U77" s="22">
        <f t="shared" si="15"/>
        <v>0</v>
      </c>
      <c r="V77" s="22">
        <f>SUM(V71:V76)</f>
        <v>0</v>
      </c>
    </row>
    <row r="78" spans="1:26" ht="12.75" customHeight="1" x14ac:dyDescent="0.2">
      <c r="C78" s="1" t="s">
        <v>11</v>
      </c>
      <c r="D78" s="1" t="s">
        <v>47</v>
      </c>
      <c r="F78" s="1" t="s">
        <v>2</v>
      </c>
      <c r="G78" s="2"/>
      <c r="H78" s="68"/>
      <c r="J78" s="2"/>
      <c r="P78" s="2"/>
      <c r="Q78" s="6">
        <f t="shared" ref="Q78:U83" si="16">SUMIFS(Q$10:Q$67,$E$10:$E$67,$C78,$D$10:$D$67,$D78,$F$10:$F$67,$F78)</f>
        <v>0</v>
      </c>
      <c r="R78" s="6">
        <f t="shared" si="16"/>
        <v>0</v>
      </c>
      <c r="S78" s="6">
        <f t="shared" si="16"/>
        <v>0</v>
      </c>
      <c r="T78" s="6">
        <f t="shared" si="16"/>
        <v>0</v>
      </c>
      <c r="U78" s="6">
        <f t="shared" si="16"/>
        <v>0</v>
      </c>
      <c r="V78" s="72">
        <f t="shared" si="13"/>
        <v>0</v>
      </c>
    </row>
    <row r="79" spans="1:26" ht="12.75" customHeight="1" x14ac:dyDescent="0.2">
      <c r="C79" s="1" t="s">
        <v>13</v>
      </c>
      <c r="D79" s="1" t="s">
        <v>47</v>
      </c>
      <c r="F79" s="1" t="s">
        <v>2</v>
      </c>
      <c r="G79" s="2"/>
      <c r="H79" s="68"/>
      <c r="J79" s="2"/>
      <c r="P79" s="2"/>
      <c r="Q79" s="6">
        <f t="shared" si="16"/>
        <v>0</v>
      </c>
      <c r="R79" s="6">
        <f t="shared" si="16"/>
        <v>0</v>
      </c>
      <c r="S79" s="6">
        <f t="shared" si="16"/>
        <v>0</v>
      </c>
      <c r="T79" s="6">
        <f t="shared" si="16"/>
        <v>0</v>
      </c>
      <c r="U79" s="6">
        <f t="shared" si="16"/>
        <v>0</v>
      </c>
      <c r="V79" s="72">
        <f t="shared" si="13"/>
        <v>0</v>
      </c>
    </row>
    <row r="80" spans="1:26" ht="12.75" customHeight="1" x14ac:dyDescent="0.2">
      <c r="C80" s="1" t="s">
        <v>14</v>
      </c>
      <c r="D80" s="1" t="s">
        <v>47</v>
      </c>
      <c r="F80" s="1" t="s">
        <v>2</v>
      </c>
      <c r="G80" s="2"/>
      <c r="H80" s="68"/>
      <c r="J80" s="2"/>
      <c r="P80" s="2"/>
      <c r="Q80" s="6">
        <f t="shared" si="16"/>
        <v>0</v>
      </c>
      <c r="R80" s="6">
        <f t="shared" si="16"/>
        <v>0</v>
      </c>
      <c r="S80" s="6">
        <f t="shared" si="16"/>
        <v>0</v>
      </c>
      <c r="T80" s="6">
        <f t="shared" si="16"/>
        <v>0</v>
      </c>
      <c r="U80" s="6">
        <f t="shared" si="16"/>
        <v>0</v>
      </c>
      <c r="V80" s="72">
        <f t="shared" si="13"/>
        <v>0</v>
      </c>
    </row>
    <row r="81" spans="3:23" ht="12.75" customHeight="1" x14ac:dyDescent="0.2">
      <c r="C81" s="1" t="s">
        <v>11</v>
      </c>
      <c r="D81" s="1" t="s">
        <v>47</v>
      </c>
      <c r="F81" s="1" t="s">
        <v>48</v>
      </c>
      <c r="G81" s="2"/>
      <c r="H81" s="68"/>
      <c r="J81" s="2"/>
      <c r="P81" s="2"/>
      <c r="Q81" s="6">
        <f t="shared" si="16"/>
        <v>0</v>
      </c>
      <c r="R81" s="6">
        <f t="shared" si="16"/>
        <v>0</v>
      </c>
      <c r="S81" s="6">
        <f t="shared" si="16"/>
        <v>0</v>
      </c>
      <c r="T81" s="6">
        <f t="shared" si="16"/>
        <v>0</v>
      </c>
      <c r="U81" s="6">
        <f t="shared" si="16"/>
        <v>0</v>
      </c>
      <c r="V81" s="72">
        <f t="shared" ref="V81:V82" si="17">SUM(Q81:U81)</f>
        <v>0</v>
      </c>
    </row>
    <row r="82" spans="3:23" ht="12.75" customHeight="1" x14ac:dyDescent="0.2">
      <c r="C82" s="1" t="s">
        <v>13</v>
      </c>
      <c r="D82" s="1" t="s">
        <v>47</v>
      </c>
      <c r="F82" s="1" t="s">
        <v>48</v>
      </c>
      <c r="G82" s="2"/>
      <c r="H82" s="68"/>
      <c r="J82" s="2"/>
      <c r="P82" s="2"/>
      <c r="Q82" s="6">
        <f t="shared" si="16"/>
        <v>0</v>
      </c>
      <c r="R82" s="6">
        <f t="shared" si="16"/>
        <v>0</v>
      </c>
      <c r="S82" s="6">
        <f t="shared" si="16"/>
        <v>0</v>
      </c>
      <c r="T82" s="6">
        <f t="shared" si="16"/>
        <v>0</v>
      </c>
      <c r="U82" s="6">
        <f t="shared" si="16"/>
        <v>0</v>
      </c>
      <c r="V82" s="72">
        <f t="shared" si="17"/>
        <v>0</v>
      </c>
    </row>
    <row r="83" spans="3:23" ht="12.75" customHeight="1" x14ac:dyDescent="0.2">
      <c r="C83" s="1" t="s">
        <v>14</v>
      </c>
      <c r="D83" s="1" t="s">
        <v>47</v>
      </c>
      <c r="F83" s="1" t="s">
        <v>48</v>
      </c>
      <c r="G83" s="2"/>
      <c r="H83" s="68"/>
      <c r="J83" s="2"/>
      <c r="P83" s="2"/>
      <c r="Q83" s="6">
        <f t="shared" si="16"/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2">
        <f t="shared" ref="V83" si="18">SUM(Q83:U83)</f>
        <v>0</v>
      </c>
    </row>
    <row r="84" spans="3:23" ht="12.75" customHeight="1" x14ac:dyDescent="0.2">
      <c r="C84" s="21" t="s">
        <v>17</v>
      </c>
      <c r="D84" s="21" t="s">
        <v>47</v>
      </c>
      <c r="E84" s="103"/>
      <c r="F84" s="104"/>
      <c r="G84" s="2"/>
      <c r="H84" s="104"/>
      <c r="I84" s="106"/>
      <c r="J84" s="105"/>
      <c r="K84" s="103"/>
      <c r="L84" s="103"/>
      <c r="M84" s="103"/>
      <c r="N84" s="103"/>
      <c r="O84" s="103"/>
      <c r="P84" s="2"/>
      <c r="Q84" s="22">
        <f>SUM(Q78:Q83)</f>
        <v>0</v>
      </c>
      <c r="R84" s="22">
        <f t="shared" ref="R84:U84" si="19">SUM(R78:R83)</f>
        <v>0</v>
      </c>
      <c r="S84" s="22">
        <f t="shared" si="19"/>
        <v>0</v>
      </c>
      <c r="T84" s="22">
        <f t="shared" si="19"/>
        <v>0</v>
      </c>
      <c r="U84" s="22">
        <f t="shared" si="19"/>
        <v>0</v>
      </c>
      <c r="V84" s="22">
        <f>SUM(V78:V83)</f>
        <v>0</v>
      </c>
    </row>
    <row r="85" spans="3:23" ht="12.75" customHeight="1" x14ac:dyDescent="0.2">
      <c r="F85" s="68"/>
      <c r="G85" s="2"/>
      <c r="H85" s="68"/>
      <c r="J85" s="2"/>
      <c r="P85" s="2"/>
      <c r="Q85" s="6"/>
      <c r="R85" s="6"/>
      <c r="S85" s="6"/>
      <c r="T85" s="6"/>
      <c r="U85" s="6"/>
      <c r="V85" s="72"/>
    </row>
    <row r="86" spans="3:23" ht="12.75" customHeight="1" x14ac:dyDescent="0.2">
      <c r="C86" s="7" t="str">
        <f>"Total Expenditure ($ "&amp;Assumptions!$B$12&amp;")"</f>
        <v>Total Expenditure ($ June 2024)</v>
      </c>
      <c r="D86" s="7"/>
      <c r="E86" s="7"/>
      <c r="F86" s="7"/>
      <c r="G86" s="2"/>
      <c r="H86" s="7"/>
      <c r="I86" s="10"/>
      <c r="J86" s="2"/>
      <c r="K86" s="7"/>
      <c r="L86" s="7"/>
      <c r="M86" s="7"/>
      <c r="N86" s="7"/>
      <c r="O86" s="7"/>
      <c r="P86" s="2"/>
      <c r="Q86" s="8">
        <f>Q77+Q84</f>
        <v>0</v>
      </c>
      <c r="R86" s="8">
        <f t="shared" ref="R86:U86" si="20">R77+R84</f>
        <v>0</v>
      </c>
      <c r="S86" s="8">
        <f t="shared" si="20"/>
        <v>0</v>
      </c>
      <c r="T86" s="8">
        <f t="shared" si="20"/>
        <v>0</v>
      </c>
      <c r="U86" s="8">
        <f t="shared" si="20"/>
        <v>0</v>
      </c>
      <c r="V86" s="73">
        <f t="shared" si="13"/>
        <v>0</v>
      </c>
    </row>
    <row r="87" spans="3:23" ht="12.75" customHeight="1" x14ac:dyDescent="0.2">
      <c r="C87" s="45" t="s">
        <v>55</v>
      </c>
      <c r="D87" s="45"/>
      <c r="E87" s="45"/>
      <c r="F87" s="45"/>
      <c r="G87" s="2"/>
      <c r="H87" s="45"/>
      <c r="I87" s="45"/>
      <c r="J87" s="2"/>
      <c r="K87" s="45"/>
      <c r="L87" s="45"/>
      <c r="M87" s="45"/>
      <c r="N87" s="45"/>
      <c r="O87" s="45"/>
      <c r="P87" s="2"/>
      <c r="Q87" s="46">
        <f>Q86-SUM(Q$10:Q$67)</f>
        <v>0</v>
      </c>
      <c r="R87" s="46">
        <f>R86-SUM(R$10:R$67)</f>
        <v>0</v>
      </c>
      <c r="S87" s="46">
        <f>S86-SUM(S$10:S$67)</f>
        <v>0</v>
      </c>
      <c r="T87" s="46">
        <f>T86-SUM(T$10:T$67)</f>
        <v>0</v>
      </c>
      <c r="U87" s="46">
        <f>U86-SUM(U$10:U$67)</f>
        <v>0</v>
      </c>
      <c r="V87" s="46">
        <f>V86-SUM(Q$10:U$67)</f>
        <v>0</v>
      </c>
      <c r="W87" s="46">
        <f>SUM(Q87:V87)</f>
        <v>0</v>
      </c>
    </row>
    <row r="88" spans="3:23" ht="12.75" customHeight="1" x14ac:dyDescent="0.2">
      <c r="G88" s="2"/>
      <c r="J88" s="2"/>
      <c r="P88" s="2"/>
    </row>
    <row r="89" spans="3:23" ht="12.75" customHeight="1" x14ac:dyDescent="0.2">
      <c r="C89" s="55" t="str">
        <f>"NPV ($ "&amp;Assumptions!$B$12&amp;")"</f>
        <v>NPV ($ June 2024)</v>
      </c>
      <c r="D89" s="56">
        <f>NPV(Real_Discount_rate,Q86:U86)</f>
        <v>0</v>
      </c>
      <c r="G89" s="2"/>
      <c r="J89" s="2"/>
      <c r="P89" s="2"/>
    </row>
    <row r="90" spans="3:23" ht="12.75" customHeight="1" x14ac:dyDescent="0.2">
      <c r="G90" s="2"/>
      <c r="J90" s="2"/>
      <c r="P90" s="2"/>
    </row>
    <row r="91" spans="3:23" ht="12.75" customHeight="1" x14ac:dyDescent="0.2">
      <c r="G91" s="2"/>
      <c r="J91" s="2"/>
      <c r="P91" s="2"/>
    </row>
    <row r="92" spans="3:23" ht="12.75" customHeight="1" x14ac:dyDescent="0.2">
      <c r="C92" s="4" t="s">
        <v>54</v>
      </c>
      <c r="F92" s="3"/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114" t="s">
        <v>0</v>
      </c>
    </row>
    <row r="93" spans="3:23" ht="12.75" customHeight="1" x14ac:dyDescent="0.2">
      <c r="C93" s="24"/>
      <c r="D93" s="24" t="s">
        <v>50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25">
        <f t="shared" ref="Q93:U94" si="21">SUMIFS(Q$10:Q$67,$D$10:$D$67,$D93,$F$10:$F$67,$F93)</f>
        <v>0</v>
      </c>
      <c r="R93" s="25">
        <f t="shared" si="21"/>
        <v>0</v>
      </c>
      <c r="S93" s="25">
        <f t="shared" si="21"/>
        <v>0</v>
      </c>
      <c r="T93" s="25">
        <f t="shared" si="21"/>
        <v>0</v>
      </c>
      <c r="U93" s="25">
        <f t="shared" si="21"/>
        <v>0</v>
      </c>
      <c r="V93" s="72">
        <f t="shared" ref="V93:V94" si="22">SUM(Q93:U93)</f>
        <v>0</v>
      </c>
    </row>
    <row r="94" spans="3:23" ht="12.75" customHeight="1" x14ac:dyDescent="0.2">
      <c r="D94" s="1" t="s">
        <v>47</v>
      </c>
      <c r="F94" s="1" t="s">
        <v>2</v>
      </c>
      <c r="G94" s="2"/>
      <c r="J94" s="2"/>
      <c r="P94" s="2"/>
      <c r="Q94" s="113">
        <f t="shared" si="21"/>
        <v>0</v>
      </c>
      <c r="R94" s="113">
        <f t="shared" si="21"/>
        <v>0</v>
      </c>
      <c r="S94" s="113">
        <f t="shared" si="21"/>
        <v>0</v>
      </c>
      <c r="T94" s="113">
        <f t="shared" si="21"/>
        <v>0</v>
      </c>
      <c r="U94" s="113">
        <f t="shared" si="21"/>
        <v>0</v>
      </c>
      <c r="V94" s="72">
        <f t="shared" si="22"/>
        <v>0</v>
      </c>
    </row>
    <row r="95" spans="3:23" ht="12.75" customHeight="1" x14ac:dyDescent="0.2">
      <c r="C95" s="21" t="s">
        <v>56</v>
      </c>
      <c r="D95" s="21"/>
      <c r="E95" s="103"/>
      <c r="F95" s="104"/>
      <c r="G95" s="2"/>
      <c r="H95" s="104"/>
      <c r="I95" s="106"/>
      <c r="J95" s="105"/>
      <c r="K95" s="103"/>
      <c r="L95" s="103"/>
      <c r="M95" s="103"/>
      <c r="N95" s="103"/>
      <c r="O95" s="103"/>
      <c r="P95" s="2"/>
      <c r="Q95" s="22">
        <f>SUM(Q93:Q94)</f>
        <v>0</v>
      </c>
      <c r="R95" s="22">
        <f t="shared" ref="R95:V95" si="23">SUM(R93:R94)</f>
        <v>0</v>
      </c>
      <c r="S95" s="22">
        <f t="shared" si="23"/>
        <v>0</v>
      </c>
      <c r="T95" s="22">
        <f t="shared" si="23"/>
        <v>0</v>
      </c>
      <c r="U95" s="22">
        <f t="shared" si="23"/>
        <v>0</v>
      </c>
      <c r="V95" s="22">
        <f t="shared" si="23"/>
        <v>0</v>
      </c>
    </row>
    <row r="96" spans="3:23" ht="12.75" customHeight="1" x14ac:dyDescent="0.2">
      <c r="C96" s="4"/>
      <c r="D96" s="1" t="s">
        <v>50</v>
      </c>
      <c r="F96" s="1" t="s">
        <v>48</v>
      </c>
      <c r="G96" s="2"/>
      <c r="H96" s="68"/>
      <c r="J96" s="2"/>
      <c r="P96" s="2"/>
      <c r="Q96" s="6">
        <f t="shared" ref="Q96:U97" si="24">SUMIFS(Q$10:Q$67,$D$10:$D$67,$D96,$F$10:$F$67,$F96)</f>
        <v>0</v>
      </c>
      <c r="R96" s="6">
        <f t="shared" si="24"/>
        <v>0</v>
      </c>
      <c r="S96" s="6">
        <f t="shared" si="24"/>
        <v>0</v>
      </c>
      <c r="T96" s="6">
        <f t="shared" si="24"/>
        <v>0</v>
      </c>
      <c r="U96" s="6">
        <f t="shared" si="24"/>
        <v>0</v>
      </c>
      <c r="V96" s="72">
        <f t="shared" ref="V96:V97" si="25">SUM(Q96:U96)</f>
        <v>0</v>
      </c>
    </row>
    <row r="97" spans="3:23" ht="12.75" customHeight="1" x14ac:dyDescent="0.2">
      <c r="C97" s="4"/>
      <c r="D97" s="1" t="s">
        <v>47</v>
      </c>
      <c r="F97" s="1" t="s">
        <v>48</v>
      </c>
      <c r="G97" s="2"/>
      <c r="H97" s="68"/>
      <c r="J97" s="2"/>
      <c r="P97" s="2"/>
      <c r="Q97" s="6">
        <f t="shared" si="24"/>
        <v>0</v>
      </c>
      <c r="R97" s="6">
        <f t="shared" si="24"/>
        <v>0</v>
      </c>
      <c r="S97" s="6">
        <f t="shared" si="24"/>
        <v>0</v>
      </c>
      <c r="T97" s="6">
        <f t="shared" si="24"/>
        <v>0</v>
      </c>
      <c r="U97" s="6">
        <f t="shared" si="24"/>
        <v>0</v>
      </c>
      <c r="V97" s="72">
        <f t="shared" si="25"/>
        <v>0</v>
      </c>
    </row>
    <row r="98" spans="3:23" ht="12.75" customHeight="1" x14ac:dyDescent="0.2">
      <c r="C98" s="21" t="s">
        <v>57</v>
      </c>
      <c r="D98" s="21"/>
      <c r="E98" s="103"/>
      <c r="F98" s="104"/>
      <c r="G98" s="2"/>
      <c r="H98" s="104"/>
      <c r="I98" s="106"/>
      <c r="J98" s="105"/>
      <c r="K98" s="103"/>
      <c r="L98" s="103"/>
      <c r="M98" s="103"/>
      <c r="N98" s="103"/>
      <c r="O98" s="103"/>
      <c r="P98" s="2"/>
      <c r="Q98" s="22">
        <f>SUM(Q96:Q97)</f>
        <v>0</v>
      </c>
      <c r="R98" s="22">
        <f t="shared" ref="R98:U98" si="26">SUM(R96:R97)</f>
        <v>0</v>
      </c>
      <c r="S98" s="22">
        <f t="shared" si="26"/>
        <v>0</v>
      </c>
      <c r="T98" s="22">
        <f t="shared" si="26"/>
        <v>0</v>
      </c>
      <c r="U98" s="22">
        <f t="shared" si="26"/>
        <v>0</v>
      </c>
      <c r="V98" s="22">
        <f t="shared" ref="V98" si="27">SUM(V96:V97)</f>
        <v>0</v>
      </c>
    </row>
    <row r="99" spans="3:23" ht="12.75" customHeight="1" x14ac:dyDescent="0.2">
      <c r="C99" s="4"/>
      <c r="D99" s="4"/>
      <c r="F99" s="68"/>
      <c r="G99" s="2"/>
      <c r="H99" s="68"/>
      <c r="J99" s="2"/>
      <c r="P99" s="2"/>
      <c r="Q99" s="23"/>
      <c r="R99" s="23"/>
      <c r="S99" s="23"/>
      <c r="T99" s="23"/>
      <c r="U99" s="23"/>
      <c r="V99" s="23"/>
    </row>
    <row r="100" spans="3:23" ht="12.75" customHeight="1" x14ac:dyDescent="0.2">
      <c r="C100" s="7" t="str">
        <f>"Total Expenditure ($ "&amp;Assumptions!$B$12&amp;")"</f>
        <v>Total Expenditure ($ June 2024)</v>
      </c>
      <c r="D100" s="7"/>
      <c r="E100" s="7"/>
      <c r="F100" s="7"/>
      <c r="G100" s="2"/>
      <c r="H100" s="7"/>
      <c r="I100" s="10"/>
      <c r="J100" s="2"/>
      <c r="K100" s="7"/>
      <c r="L100" s="7"/>
      <c r="M100" s="7"/>
      <c r="N100" s="7"/>
      <c r="O100" s="7"/>
      <c r="P100" s="2"/>
      <c r="Q100" s="8">
        <f>Q95+Q98</f>
        <v>0</v>
      </c>
      <c r="R100" s="8">
        <f t="shared" ref="R100:U100" si="28">R95+R98</f>
        <v>0</v>
      </c>
      <c r="S100" s="8">
        <f t="shared" si="28"/>
        <v>0</v>
      </c>
      <c r="T100" s="8">
        <f t="shared" si="28"/>
        <v>0</v>
      </c>
      <c r="U100" s="8">
        <f t="shared" si="28"/>
        <v>0</v>
      </c>
      <c r="V100" s="73">
        <f t="shared" ref="V100" si="29">SUM(Q100:U100)</f>
        <v>0</v>
      </c>
    </row>
    <row r="101" spans="3:23" ht="12.75" customHeight="1" x14ac:dyDescent="0.2">
      <c r="C101" s="45" t="s">
        <v>55</v>
      </c>
      <c r="D101" s="45"/>
      <c r="E101" s="45"/>
      <c r="F101" s="45"/>
      <c r="G101" s="2"/>
      <c r="H101" s="45"/>
      <c r="I101" s="45"/>
      <c r="J101" s="2"/>
      <c r="K101" s="45"/>
      <c r="L101" s="45"/>
      <c r="M101" s="45"/>
      <c r="N101" s="45"/>
      <c r="O101" s="45"/>
      <c r="P101" s="2"/>
      <c r="Q101" s="46">
        <f>Q100-SUM(Q$10:Q$67)</f>
        <v>0</v>
      </c>
      <c r="R101" s="46">
        <f>R100-SUM(R$10:R$67)</f>
        <v>0</v>
      </c>
      <c r="S101" s="46">
        <f>S100-SUM(S$10:S$67)</f>
        <v>0</v>
      </c>
      <c r="T101" s="46">
        <f>T100-SUM(T$10:T$67)</f>
        <v>0</v>
      </c>
      <c r="U101" s="46">
        <f>U100-SUM(U$10:U$67)</f>
        <v>0</v>
      </c>
      <c r="V101" s="46">
        <f>V100-SUM(Q$10:U$67)</f>
        <v>0</v>
      </c>
      <c r="W101" s="46">
        <f>SUM(Q101:V101)</f>
        <v>0</v>
      </c>
    </row>
    <row r="102" spans="3:23" ht="12.75" customHeight="1" x14ac:dyDescent="0.2">
      <c r="C102" s="116"/>
      <c r="D102" s="116"/>
      <c r="E102" s="116"/>
      <c r="F102" s="116"/>
      <c r="G102" s="2"/>
      <c r="H102" s="116"/>
      <c r="I102" s="116"/>
      <c r="J102" s="2"/>
      <c r="K102" s="116"/>
      <c r="L102" s="116"/>
      <c r="M102" s="116"/>
      <c r="N102" s="116"/>
      <c r="O102" s="116"/>
      <c r="P102" s="2"/>
      <c r="Q102" s="117"/>
      <c r="R102" s="117"/>
      <c r="S102" s="117"/>
      <c r="T102" s="117"/>
      <c r="U102" s="117"/>
      <c r="V102" s="117"/>
      <c r="W102" s="117"/>
    </row>
    <row r="103" spans="3:23" ht="12.75" customHeight="1" x14ac:dyDescent="0.2">
      <c r="C103" s="116"/>
      <c r="D103" s="116"/>
      <c r="E103" s="116"/>
      <c r="F103" s="116"/>
      <c r="G103" s="2"/>
      <c r="H103" s="116"/>
      <c r="I103" s="116"/>
      <c r="J103" s="2"/>
      <c r="K103" s="116"/>
      <c r="L103" s="116"/>
      <c r="M103" s="116"/>
      <c r="N103" s="116"/>
      <c r="O103" s="116"/>
      <c r="P103" s="2"/>
      <c r="Q103" s="117"/>
      <c r="R103" s="117"/>
      <c r="S103" s="117"/>
      <c r="T103" s="117"/>
      <c r="U103" s="117"/>
      <c r="V103" s="117"/>
      <c r="W103" s="117"/>
    </row>
    <row r="104" spans="3:23" ht="12.75" customHeight="1" x14ac:dyDescent="0.2">
      <c r="C104" s="116"/>
      <c r="D104" s="116"/>
      <c r="E104" s="116"/>
      <c r="F104" s="116"/>
      <c r="G104" s="2"/>
      <c r="H104" s="116"/>
      <c r="I104" s="116"/>
      <c r="J104" s="2"/>
      <c r="K104" s="116"/>
      <c r="L104" s="116"/>
      <c r="M104" s="116"/>
      <c r="N104" s="116"/>
      <c r="O104" s="116"/>
      <c r="P104" s="2"/>
      <c r="Q104" s="117"/>
      <c r="R104" s="117"/>
      <c r="S104" s="117"/>
      <c r="T104" s="117"/>
      <c r="U104" s="117"/>
      <c r="V104" s="117"/>
      <c r="W104" s="117"/>
    </row>
    <row r="105" spans="3:23" ht="12.75" customHeight="1" x14ac:dyDescent="0.2">
      <c r="C105" s="76" t="s">
        <v>58</v>
      </c>
      <c r="G105" s="2"/>
      <c r="J105" s="2"/>
      <c r="P105" s="2"/>
      <c r="Q105" s="69" t="s">
        <v>6</v>
      </c>
      <c r="R105" s="69" t="s">
        <v>7</v>
      </c>
      <c r="S105" s="69" t="s">
        <v>8</v>
      </c>
      <c r="T105" s="69" t="s">
        <v>9</v>
      </c>
      <c r="U105" s="69" t="s">
        <v>10</v>
      </c>
      <c r="V105" s="69" t="s">
        <v>0</v>
      </c>
    </row>
    <row r="106" spans="3:23" ht="12.75" customHeight="1" x14ac:dyDescent="0.2">
      <c r="C106" s="24" t="s">
        <v>11</v>
      </c>
      <c r="D106" s="24" t="s">
        <v>50</v>
      </c>
      <c r="E106" s="24"/>
      <c r="F106" s="24" t="s">
        <v>2</v>
      </c>
      <c r="G106" s="2"/>
      <c r="H106" s="66"/>
      <c r="I106" s="67"/>
      <c r="J106" s="2"/>
      <c r="K106" s="24"/>
      <c r="L106" s="24"/>
      <c r="M106" s="24"/>
      <c r="N106" s="24"/>
      <c r="O106" s="24"/>
      <c r="P106" s="2"/>
      <c r="Q106" s="34">
        <f t="shared" ref="Q106:U111" si="30">Q71*business_case_dollars</f>
        <v>0</v>
      </c>
      <c r="R106" s="34">
        <f t="shared" si="30"/>
        <v>0</v>
      </c>
      <c r="S106" s="34">
        <f t="shared" si="30"/>
        <v>0</v>
      </c>
      <c r="T106" s="34">
        <f t="shared" si="30"/>
        <v>0</v>
      </c>
      <c r="U106" s="34">
        <f t="shared" si="30"/>
        <v>0</v>
      </c>
      <c r="V106" s="71">
        <f>SUM(Q106:U106)</f>
        <v>0</v>
      </c>
    </row>
    <row r="107" spans="3:23" ht="12.75" customHeight="1" x14ac:dyDescent="0.2">
      <c r="C107" s="1" t="s">
        <v>13</v>
      </c>
      <c r="D107" s="1" t="s">
        <v>50</v>
      </c>
      <c r="F107" s="1" t="s">
        <v>2</v>
      </c>
      <c r="G107" s="2"/>
      <c r="H107" s="68"/>
      <c r="J107" s="2"/>
      <c r="P107" s="2"/>
      <c r="Q107" s="6">
        <f t="shared" si="30"/>
        <v>0</v>
      </c>
      <c r="R107" s="6">
        <f t="shared" si="30"/>
        <v>0</v>
      </c>
      <c r="S107" s="6">
        <f t="shared" si="30"/>
        <v>0</v>
      </c>
      <c r="T107" s="6">
        <f t="shared" si="30"/>
        <v>0</v>
      </c>
      <c r="U107" s="6">
        <f t="shared" si="30"/>
        <v>0</v>
      </c>
      <c r="V107" s="72">
        <f t="shared" ref="V107:V121" si="31">SUM(Q107:U107)</f>
        <v>0</v>
      </c>
    </row>
    <row r="108" spans="3:23" ht="12.75" customHeight="1" x14ac:dyDescent="0.2">
      <c r="C108" s="1" t="s">
        <v>14</v>
      </c>
      <c r="D108" s="1" t="s">
        <v>50</v>
      </c>
      <c r="F108" s="1" t="s">
        <v>2</v>
      </c>
      <c r="G108" s="2"/>
      <c r="H108" s="68"/>
      <c r="J108" s="2"/>
      <c r="P108" s="2"/>
      <c r="Q108" s="6">
        <f t="shared" si="30"/>
        <v>0</v>
      </c>
      <c r="R108" s="6">
        <f t="shared" si="30"/>
        <v>0</v>
      </c>
      <c r="S108" s="6">
        <f t="shared" si="30"/>
        <v>0</v>
      </c>
      <c r="T108" s="6">
        <f t="shared" si="30"/>
        <v>0</v>
      </c>
      <c r="U108" s="6">
        <f t="shared" si="30"/>
        <v>0</v>
      </c>
      <c r="V108" s="72">
        <f t="shared" si="31"/>
        <v>0</v>
      </c>
    </row>
    <row r="109" spans="3:23" ht="12.75" customHeight="1" x14ac:dyDescent="0.2">
      <c r="C109" s="1" t="s">
        <v>11</v>
      </c>
      <c r="D109" s="1" t="s">
        <v>50</v>
      </c>
      <c r="F109" s="1" t="s">
        <v>48</v>
      </c>
      <c r="G109" s="2"/>
      <c r="H109" s="68"/>
      <c r="J109" s="2"/>
      <c r="P109" s="2"/>
      <c r="Q109" s="6">
        <f t="shared" si="30"/>
        <v>0</v>
      </c>
      <c r="R109" s="6">
        <f t="shared" si="30"/>
        <v>0</v>
      </c>
      <c r="S109" s="6">
        <f t="shared" si="30"/>
        <v>0</v>
      </c>
      <c r="T109" s="6">
        <f t="shared" si="30"/>
        <v>0</v>
      </c>
      <c r="U109" s="6">
        <f t="shared" si="30"/>
        <v>0</v>
      </c>
      <c r="V109" s="6">
        <f t="shared" si="31"/>
        <v>0</v>
      </c>
    </row>
    <row r="110" spans="3:23" ht="12.75" customHeight="1" x14ac:dyDescent="0.2">
      <c r="C110" s="1" t="s">
        <v>13</v>
      </c>
      <c r="D110" s="1" t="s">
        <v>50</v>
      </c>
      <c r="F110" s="1" t="s">
        <v>48</v>
      </c>
      <c r="G110" s="2"/>
      <c r="H110" s="68"/>
      <c r="J110" s="2"/>
      <c r="P110" s="2"/>
      <c r="Q110" s="6">
        <f t="shared" si="30"/>
        <v>0</v>
      </c>
      <c r="R110" s="6">
        <f t="shared" si="30"/>
        <v>0</v>
      </c>
      <c r="S110" s="6">
        <f t="shared" si="30"/>
        <v>0</v>
      </c>
      <c r="T110" s="6">
        <f t="shared" si="30"/>
        <v>0</v>
      </c>
      <c r="U110" s="6">
        <f t="shared" si="30"/>
        <v>0</v>
      </c>
      <c r="V110" s="6">
        <f t="shared" si="31"/>
        <v>0</v>
      </c>
    </row>
    <row r="111" spans="3:23" ht="12.75" customHeight="1" x14ac:dyDescent="0.2">
      <c r="C111" s="1" t="s">
        <v>14</v>
      </c>
      <c r="D111" s="1" t="s">
        <v>50</v>
      </c>
      <c r="F111" s="1" t="s">
        <v>48</v>
      </c>
      <c r="G111" s="2"/>
      <c r="H111" s="68"/>
      <c r="J111" s="2"/>
      <c r="P111" s="2"/>
      <c r="Q111" s="6">
        <f t="shared" si="30"/>
        <v>0</v>
      </c>
      <c r="R111" s="6">
        <f t="shared" si="30"/>
        <v>0</v>
      </c>
      <c r="S111" s="6">
        <f t="shared" si="30"/>
        <v>0</v>
      </c>
      <c r="T111" s="6">
        <f t="shared" si="30"/>
        <v>0</v>
      </c>
      <c r="U111" s="6">
        <f t="shared" si="30"/>
        <v>0</v>
      </c>
      <c r="V111" s="6">
        <f t="shared" si="31"/>
        <v>0</v>
      </c>
    </row>
    <row r="112" spans="3:23" ht="12.75" customHeight="1" x14ac:dyDescent="0.2">
      <c r="C112" s="21" t="s">
        <v>15</v>
      </c>
      <c r="D112" s="21" t="s">
        <v>50</v>
      </c>
      <c r="E112" s="103"/>
      <c r="F112" s="104"/>
      <c r="G112" s="105"/>
      <c r="H112" s="104"/>
      <c r="I112" s="106"/>
      <c r="J112" s="105"/>
      <c r="K112" s="103"/>
      <c r="L112" s="103"/>
      <c r="M112" s="103"/>
      <c r="N112" s="103"/>
      <c r="O112" s="103"/>
      <c r="P112" s="105"/>
      <c r="Q112" s="22">
        <f>SUM(Q106:Q111)</f>
        <v>0</v>
      </c>
      <c r="R112" s="22">
        <f t="shared" ref="R112:U112" si="32">SUM(R106:R111)</f>
        <v>0</v>
      </c>
      <c r="S112" s="22">
        <f t="shared" si="32"/>
        <v>0</v>
      </c>
      <c r="T112" s="22">
        <f t="shared" si="32"/>
        <v>0</v>
      </c>
      <c r="U112" s="22">
        <f t="shared" si="32"/>
        <v>0</v>
      </c>
      <c r="V112" s="22">
        <f>SUM(V106:V111)</f>
        <v>0</v>
      </c>
    </row>
    <row r="113" spans="3:23" ht="12.75" customHeight="1" x14ac:dyDescent="0.2">
      <c r="C113" s="1" t="s">
        <v>11</v>
      </c>
      <c r="D113" s="1" t="s">
        <v>47</v>
      </c>
      <c r="F113" s="1" t="s">
        <v>2</v>
      </c>
      <c r="G113" s="2"/>
      <c r="H113" s="68"/>
      <c r="J113" s="2"/>
      <c r="P113" s="2"/>
      <c r="Q113" s="118">
        <f t="shared" ref="Q113:U118" si="33">Q78*business_case_dollars</f>
        <v>0</v>
      </c>
      <c r="R113" s="118">
        <f t="shared" si="33"/>
        <v>0</v>
      </c>
      <c r="S113" s="118">
        <f t="shared" si="33"/>
        <v>0</v>
      </c>
      <c r="T113" s="118">
        <f t="shared" si="33"/>
        <v>0</v>
      </c>
      <c r="U113" s="118">
        <f t="shared" si="33"/>
        <v>0</v>
      </c>
      <c r="V113" s="72">
        <f>SUM(Q113:U113)</f>
        <v>0</v>
      </c>
    </row>
    <row r="114" spans="3:23" ht="12.75" customHeight="1" x14ac:dyDescent="0.2">
      <c r="C114" s="1" t="s">
        <v>13</v>
      </c>
      <c r="D114" s="1" t="s">
        <v>47</v>
      </c>
      <c r="F114" s="1" t="s">
        <v>2</v>
      </c>
      <c r="G114" s="2"/>
      <c r="H114" s="68"/>
      <c r="J114" s="2"/>
      <c r="P114" s="2"/>
      <c r="Q114" s="6">
        <f t="shared" si="33"/>
        <v>0</v>
      </c>
      <c r="R114" s="6">
        <f t="shared" si="33"/>
        <v>0</v>
      </c>
      <c r="S114" s="6">
        <f t="shared" si="33"/>
        <v>0</v>
      </c>
      <c r="T114" s="6">
        <f t="shared" si="33"/>
        <v>0</v>
      </c>
      <c r="U114" s="6">
        <f t="shared" si="33"/>
        <v>0</v>
      </c>
      <c r="V114" s="72">
        <f t="shared" ref="V114:V118" si="34">SUM(Q114:U114)</f>
        <v>0</v>
      </c>
    </row>
    <row r="115" spans="3:23" ht="12.75" customHeight="1" x14ac:dyDescent="0.2">
      <c r="C115" s="1" t="s">
        <v>14</v>
      </c>
      <c r="D115" s="1" t="s">
        <v>47</v>
      </c>
      <c r="F115" s="1" t="s">
        <v>2</v>
      </c>
      <c r="G115" s="2"/>
      <c r="H115" s="68"/>
      <c r="J115" s="2"/>
      <c r="P115" s="2"/>
      <c r="Q115" s="6">
        <f t="shared" si="33"/>
        <v>0</v>
      </c>
      <c r="R115" s="6">
        <f t="shared" si="33"/>
        <v>0</v>
      </c>
      <c r="S115" s="6">
        <f t="shared" si="33"/>
        <v>0</v>
      </c>
      <c r="T115" s="6">
        <f t="shared" si="33"/>
        <v>0</v>
      </c>
      <c r="U115" s="6">
        <f t="shared" si="33"/>
        <v>0</v>
      </c>
      <c r="V115" s="72">
        <f t="shared" si="34"/>
        <v>0</v>
      </c>
    </row>
    <row r="116" spans="3:23" ht="12.75" customHeight="1" x14ac:dyDescent="0.2">
      <c r="C116" s="1" t="s">
        <v>11</v>
      </c>
      <c r="D116" s="1" t="s">
        <v>47</v>
      </c>
      <c r="F116" s="1" t="s">
        <v>48</v>
      </c>
      <c r="G116" s="2"/>
      <c r="H116" s="68"/>
      <c r="J116" s="2"/>
      <c r="P116" s="2"/>
      <c r="Q116" s="6">
        <f t="shared" si="33"/>
        <v>0</v>
      </c>
      <c r="R116" s="6">
        <f t="shared" si="33"/>
        <v>0</v>
      </c>
      <c r="S116" s="6">
        <f t="shared" si="33"/>
        <v>0</v>
      </c>
      <c r="T116" s="6">
        <f t="shared" si="33"/>
        <v>0</v>
      </c>
      <c r="U116" s="6">
        <f t="shared" si="33"/>
        <v>0</v>
      </c>
      <c r="V116" s="6">
        <f t="shared" si="34"/>
        <v>0</v>
      </c>
    </row>
    <row r="117" spans="3:23" ht="12.75" customHeight="1" x14ac:dyDescent="0.2">
      <c r="C117" s="1" t="s">
        <v>13</v>
      </c>
      <c r="D117" s="1" t="s">
        <v>47</v>
      </c>
      <c r="F117" s="1" t="s">
        <v>48</v>
      </c>
      <c r="G117" s="2"/>
      <c r="H117" s="68"/>
      <c r="J117" s="2"/>
      <c r="P117" s="2"/>
      <c r="Q117" s="6">
        <f t="shared" si="33"/>
        <v>0</v>
      </c>
      <c r="R117" s="6">
        <f t="shared" si="33"/>
        <v>0</v>
      </c>
      <c r="S117" s="6">
        <f t="shared" si="33"/>
        <v>0</v>
      </c>
      <c r="T117" s="6">
        <f t="shared" si="33"/>
        <v>0</v>
      </c>
      <c r="U117" s="6">
        <f t="shared" si="33"/>
        <v>0</v>
      </c>
      <c r="V117" s="6">
        <f t="shared" si="34"/>
        <v>0</v>
      </c>
    </row>
    <row r="118" spans="3:23" ht="12.75" customHeight="1" x14ac:dyDescent="0.2">
      <c r="C118" s="1" t="s">
        <v>14</v>
      </c>
      <c r="D118" s="1" t="s">
        <v>47</v>
      </c>
      <c r="F118" s="1" t="s">
        <v>48</v>
      </c>
      <c r="G118" s="2"/>
      <c r="H118" s="68"/>
      <c r="J118" s="2"/>
      <c r="P118" s="2"/>
      <c r="Q118" s="6">
        <f t="shared" si="33"/>
        <v>0</v>
      </c>
      <c r="R118" s="6">
        <f t="shared" si="33"/>
        <v>0</v>
      </c>
      <c r="S118" s="6">
        <f t="shared" si="33"/>
        <v>0</v>
      </c>
      <c r="T118" s="6">
        <f t="shared" si="33"/>
        <v>0</v>
      </c>
      <c r="U118" s="6">
        <f t="shared" si="33"/>
        <v>0</v>
      </c>
      <c r="V118" s="6">
        <f t="shared" si="34"/>
        <v>0</v>
      </c>
    </row>
    <row r="119" spans="3:23" ht="12.75" customHeight="1" x14ac:dyDescent="0.2">
      <c r="C119" s="21" t="s">
        <v>17</v>
      </c>
      <c r="D119" s="21" t="s">
        <v>47</v>
      </c>
      <c r="E119" s="103"/>
      <c r="F119" s="104"/>
      <c r="G119" s="105"/>
      <c r="H119" s="104"/>
      <c r="I119" s="106"/>
      <c r="J119" s="105"/>
      <c r="K119" s="103"/>
      <c r="L119" s="103"/>
      <c r="M119" s="103"/>
      <c r="N119" s="103"/>
      <c r="O119" s="103"/>
      <c r="P119" s="105"/>
      <c r="Q119" s="22">
        <f>SUM(Q113:Q118)</f>
        <v>0</v>
      </c>
      <c r="R119" s="22">
        <f t="shared" ref="R119:V119" si="35">SUM(R113:R118)</f>
        <v>0</v>
      </c>
      <c r="S119" s="22">
        <f t="shared" si="35"/>
        <v>0</v>
      </c>
      <c r="T119" s="22">
        <f t="shared" si="35"/>
        <v>0</v>
      </c>
      <c r="U119" s="22">
        <f t="shared" si="35"/>
        <v>0</v>
      </c>
      <c r="V119" s="22">
        <f t="shared" si="35"/>
        <v>0</v>
      </c>
    </row>
    <row r="120" spans="3:23" ht="12.75" customHeight="1" x14ac:dyDescent="0.2">
      <c r="G120" s="2"/>
      <c r="H120" s="68"/>
      <c r="J120" s="2"/>
      <c r="P120" s="2"/>
      <c r="Q120" s="6"/>
      <c r="R120" s="6"/>
      <c r="S120" s="6"/>
      <c r="T120" s="6"/>
      <c r="U120" s="6"/>
      <c r="V120" s="72"/>
    </row>
    <row r="121" spans="3:23" x14ac:dyDescent="0.2">
      <c r="C121" s="7" t="str">
        <f>"Total Expenditure ($ "&amp;Assumptions!$C$35&amp;")"</f>
        <v>Total Expenditure ($ June 2026)</v>
      </c>
      <c r="D121" s="7" t="s">
        <v>59</v>
      </c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Q112+Q119</f>
        <v>0</v>
      </c>
      <c r="R121" s="8">
        <f t="shared" ref="R121:U121" si="36">R112+R119</f>
        <v>0</v>
      </c>
      <c r="S121" s="8">
        <f t="shared" si="36"/>
        <v>0</v>
      </c>
      <c r="T121" s="8">
        <f t="shared" si="36"/>
        <v>0</v>
      </c>
      <c r="U121" s="8">
        <f t="shared" si="36"/>
        <v>0</v>
      </c>
      <c r="V121" s="73">
        <f t="shared" si="31"/>
        <v>0</v>
      </c>
    </row>
    <row r="122" spans="3:23" x14ac:dyDescent="0.2">
      <c r="G122" s="2"/>
      <c r="J122" s="2"/>
      <c r="P122" s="2"/>
      <c r="Q122" s="46">
        <f>SUM(Q10:Q67)*business_case_dollars-Q121</f>
        <v>0</v>
      </c>
      <c r="R122" s="46">
        <f>SUM(R10:R67)*business_case_dollars-R121</f>
        <v>0</v>
      </c>
      <c r="S122" s="46">
        <f>SUM(S10:S67)*business_case_dollars-S121</f>
        <v>0</v>
      </c>
      <c r="T122" s="46">
        <f>SUM(T10:T67)*business_case_dollars-T121</f>
        <v>0</v>
      </c>
      <c r="U122" s="46">
        <f>SUM(U10:U67)*business_case_dollars-U121</f>
        <v>0</v>
      </c>
      <c r="V122" s="46">
        <f>SUM(Q10:U67)*business_case_dollars-V121</f>
        <v>0</v>
      </c>
      <c r="W122" s="46">
        <f>SUM(Q122:V122)</f>
        <v>0</v>
      </c>
    </row>
    <row r="123" spans="3:23" x14ac:dyDescent="0.2">
      <c r="C123" s="55" t="str">
        <f>"NPV ($ "&amp;Assumptions!$C$35&amp;")"</f>
        <v>NPV ($ June 2026)</v>
      </c>
      <c r="D123" s="56">
        <f>NPV(Real_Discount_rate,Q121:U121)</f>
        <v>0</v>
      </c>
      <c r="G123" s="2"/>
      <c r="J123" s="2"/>
      <c r="P123" s="2"/>
      <c r="Q123" s="52"/>
      <c r="R123" s="52"/>
      <c r="S123" s="52"/>
      <c r="T123" s="52"/>
      <c r="U123" s="52"/>
    </row>
    <row r="126" spans="3:23" x14ac:dyDescent="0.2">
      <c r="C126" s="4" t="s">
        <v>54</v>
      </c>
      <c r="F126" s="3"/>
      <c r="G126" s="2"/>
      <c r="J126" s="2"/>
      <c r="P126" s="2"/>
      <c r="Q126" s="69" t="s">
        <v>6</v>
      </c>
      <c r="R126" s="69" t="s">
        <v>7</v>
      </c>
      <c r="S126" s="69" t="s">
        <v>8</v>
      </c>
      <c r="T126" s="69" t="s">
        <v>9</v>
      </c>
      <c r="U126" s="69" t="s">
        <v>10</v>
      </c>
      <c r="V126" s="114" t="s">
        <v>0</v>
      </c>
    </row>
    <row r="127" spans="3:23" x14ac:dyDescent="0.2">
      <c r="C127" s="24"/>
      <c r="D127" s="24" t="s">
        <v>50</v>
      </c>
      <c r="E127" s="24"/>
      <c r="F127" s="24" t="s">
        <v>2</v>
      </c>
      <c r="G127" s="2"/>
      <c r="H127" s="66"/>
      <c r="I127" s="67"/>
      <c r="J127" s="2"/>
      <c r="K127" s="24"/>
      <c r="L127" s="24"/>
      <c r="M127" s="24"/>
      <c r="N127" s="24"/>
      <c r="O127" s="24"/>
      <c r="P127" s="2"/>
      <c r="Q127" s="25">
        <f t="shared" ref="Q127:U128" si="37">Q93*business_case_dollars</f>
        <v>0</v>
      </c>
      <c r="R127" s="25">
        <f t="shared" si="37"/>
        <v>0</v>
      </c>
      <c r="S127" s="25">
        <f t="shared" si="37"/>
        <v>0</v>
      </c>
      <c r="T127" s="25">
        <f t="shared" si="37"/>
        <v>0</v>
      </c>
      <c r="U127" s="25">
        <f t="shared" si="37"/>
        <v>0</v>
      </c>
      <c r="V127" s="72">
        <f t="shared" ref="V127:V128" si="38">SUM(Q127:U127)</f>
        <v>0</v>
      </c>
    </row>
    <row r="128" spans="3:23" x14ac:dyDescent="0.2">
      <c r="D128" s="1" t="s">
        <v>47</v>
      </c>
      <c r="F128" s="1" t="s">
        <v>2</v>
      </c>
      <c r="G128" s="2"/>
      <c r="J128" s="2"/>
      <c r="P128" s="2"/>
      <c r="Q128" s="113">
        <f t="shared" si="37"/>
        <v>0</v>
      </c>
      <c r="R128" s="113">
        <f t="shared" si="37"/>
        <v>0</v>
      </c>
      <c r="S128" s="113">
        <f t="shared" si="37"/>
        <v>0</v>
      </c>
      <c r="T128" s="113">
        <f t="shared" si="37"/>
        <v>0</v>
      </c>
      <c r="U128" s="113">
        <f t="shared" si="37"/>
        <v>0</v>
      </c>
      <c r="V128" s="72">
        <f t="shared" si="38"/>
        <v>0</v>
      </c>
    </row>
    <row r="129" spans="3:23" x14ac:dyDescent="0.2">
      <c r="C129" s="21" t="s">
        <v>56</v>
      </c>
      <c r="D129" s="21"/>
      <c r="E129" s="103"/>
      <c r="F129" s="104"/>
      <c r="G129" s="2"/>
      <c r="H129" s="104"/>
      <c r="I129" s="106"/>
      <c r="J129" s="105"/>
      <c r="K129" s="103"/>
      <c r="L129" s="103"/>
      <c r="M129" s="103"/>
      <c r="N129" s="103"/>
      <c r="O129" s="103"/>
      <c r="P129" s="2"/>
      <c r="Q129" s="22">
        <f>SUM(Q127:Q128)</f>
        <v>0</v>
      </c>
      <c r="R129" s="22">
        <f t="shared" ref="R129:V129" si="39">SUM(R127:R128)</f>
        <v>0</v>
      </c>
      <c r="S129" s="22">
        <f t="shared" si="39"/>
        <v>0</v>
      </c>
      <c r="T129" s="22">
        <f t="shared" si="39"/>
        <v>0</v>
      </c>
      <c r="U129" s="22">
        <f t="shared" si="39"/>
        <v>0</v>
      </c>
      <c r="V129" s="22">
        <f t="shared" si="39"/>
        <v>0</v>
      </c>
    </row>
    <row r="130" spans="3:23" x14ac:dyDescent="0.2">
      <c r="C130" s="4"/>
      <c r="D130" s="1" t="s">
        <v>50</v>
      </c>
      <c r="F130" s="1" t="s">
        <v>48</v>
      </c>
      <c r="G130" s="2"/>
      <c r="H130" s="68"/>
      <c r="J130" s="2"/>
      <c r="P130" s="2"/>
      <c r="Q130" s="6">
        <f t="shared" ref="Q130:U131" si="40">Q96*business_case_dollars</f>
        <v>0</v>
      </c>
      <c r="R130" s="6">
        <f t="shared" si="40"/>
        <v>0</v>
      </c>
      <c r="S130" s="6">
        <f t="shared" si="40"/>
        <v>0</v>
      </c>
      <c r="T130" s="6">
        <f t="shared" si="40"/>
        <v>0</v>
      </c>
      <c r="U130" s="6">
        <f t="shared" si="40"/>
        <v>0</v>
      </c>
      <c r="V130" s="72">
        <f t="shared" ref="V130:V131" si="41">SUM(Q130:U130)</f>
        <v>0</v>
      </c>
    </row>
    <row r="131" spans="3:23" x14ac:dyDescent="0.2">
      <c r="C131" s="4"/>
      <c r="D131" s="1" t="s">
        <v>47</v>
      </c>
      <c r="F131" s="1" t="s">
        <v>48</v>
      </c>
      <c r="G131" s="2"/>
      <c r="H131" s="68"/>
      <c r="J131" s="2"/>
      <c r="P131" s="2"/>
      <c r="Q131" s="6">
        <f t="shared" si="40"/>
        <v>0</v>
      </c>
      <c r="R131" s="6">
        <f t="shared" si="40"/>
        <v>0</v>
      </c>
      <c r="S131" s="6">
        <f t="shared" si="40"/>
        <v>0</v>
      </c>
      <c r="T131" s="6">
        <f t="shared" si="40"/>
        <v>0</v>
      </c>
      <c r="U131" s="6">
        <f t="shared" si="40"/>
        <v>0</v>
      </c>
      <c r="V131" s="72">
        <f t="shared" si="41"/>
        <v>0</v>
      </c>
    </row>
    <row r="132" spans="3:23" x14ac:dyDescent="0.2">
      <c r="C132" s="21" t="s">
        <v>57</v>
      </c>
      <c r="D132" s="21"/>
      <c r="E132" s="103"/>
      <c r="F132" s="104"/>
      <c r="G132" s="2"/>
      <c r="H132" s="104"/>
      <c r="I132" s="106"/>
      <c r="J132" s="105"/>
      <c r="K132" s="103"/>
      <c r="L132" s="103"/>
      <c r="M132" s="103"/>
      <c r="N132" s="103"/>
      <c r="O132" s="103"/>
      <c r="P132" s="2"/>
      <c r="Q132" s="22">
        <f>SUM(Q130:Q131)</f>
        <v>0</v>
      </c>
      <c r="R132" s="22">
        <f t="shared" ref="R132:V132" si="42">SUM(R130:R131)</f>
        <v>0</v>
      </c>
      <c r="S132" s="22">
        <f t="shared" si="42"/>
        <v>0</v>
      </c>
      <c r="T132" s="22">
        <f t="shared" si="42"/>
        <v>0</v>
      </c>
      <c r="U132" s="22">
        <f t="shared" si="42"/>
        <v>0</v>
      </c>
      <c r="V132" s="22">
        <f t="shared" si="42"/>
        <v>0</v>
      </c>
    </row>
    <row r="133" spans="3:23" x14ac:dyDescent="0.2">
      <c r="C133" s="4"/>
      <c r="D133" s="4"/>
      <c r="F133" s="68"/>
      <c r="G133" s="2"/>
      <c r="H133" s="68"/>
      <c r="J133" s="2"/>
      <c r="P133" s="2"/>
      <c r="Q133" s="23"/>
      <c r="R133" s="23"/>
      <c r="S133" s="23"/>
      <c r="T133" s="23"/>
      <c r="U133" s="23"/>
      <c r="V133" s="23"/>
    </row>
    <row r="134" spans="3:23" x14ac:dyDescent="0.2">
      <c r="C134" s="7" t="str">
        <f>"Total Expenditure ($ "&amp;Assumptions!$C$35&amp;")"</f>
        <v>Total Expenditure ($ June 2026)</v>
      </c>
      <c r="D134" s="7"/>
      <c r="E134" s="7"/>
      <c r="F134" s="7"/>
      <c r="G134" s="2"/>
      <c r="H134" s="7"/>
      <c r="I134" s="10"/>
      <c r="J134" s="2"/>
      <c r="K134" s="7"/>
      <c r="L134" s="7"/>
      <c r="M134" s="7"/>
      <c r="N134" s="7"/>
      <c r="O134" s="7"/>
      <c r="P134" s="2"/>
      <c r="Q134" s="8">
        <f>Q129+Q132</f>
        <v>0</v>
      </c>
      <c r="R134" s="8">
        <f t="shared" ref="R134:U134" si="43">R129+R132</f>
        <v>0</v>
      </c>
      <c r="S134" s="8">
        <f t="shared" si="43"/>
        <v>0</v>
      </c>
      <c r="T134" s="8">
        <f t="shared" si="43"/>
        <v>0</v>
      </c>
      <c r="U134" s="8">
        <f t="shared" si="43"/>
        <v>0</v>
      </c>
      <c r="V134" s="73">
        <f t="shared" ref="V134" si="44">SUM(Q134:U134)</f>
        <v>0</v>
      </c>
    </row>
    <row r="135" spans="3:23" x14ac:dyDescent="0.2">
      <c r="C135" s="45" t="s">
        <v>55</v>
      </c>
      <c r="D135" s="45"/>
      <c r="E135" s="45"/>
      <c r="F135" s="45"/>
      <c r="G135" s="2"/>
      <c r="H135" s="45"/>
      <c r="I135" s="45"/>
      <c r="J135" s="2"/>
      <c r="K135" s="45"/>
      <c r="L135" s="45"/>
      <c r="M135" s="45"/>
      <c r="N135" s="45"/>
      <c r="O135" s="45"/>
      <c r="P135" s="2"/>
      <c r="Q135" s="46">
        <f>Q134-SUM(Q$10:Q$67)*business_case_dollars</f>
        <v>0</v>
      </c>
      <c r="R135" s="46">
        <f>R134-SUM(R$10:R$67)*business_case_dollars</f>
        <v>0</v>
      </c>
      <c r="S135" s="46">
        <f>S134-SUM(S$10:S$67)*business_case_dollars</f>
        <v>0</v>
      </c>
      <c r="T135" s="46">
        <f>T134-SUM(T$10:T$67)*business_case_dollars</f>
        <v>0</v>
      </c>
      <c r="U135" s="46">
        <f>U134-SUM(U$10:U$67)*business_case_dollars</f>
        <v>0</v>
      </c>
      <c r="V135" s="46">
        <f>V134-SUM(Q$10:U$67)*business_case_dollars</f>
        <v>0</v>
      </c>
      <c r="W135" s="46">
        <f>SUM(Q135:V135)</f>
        <v>0</v>
      </c>
    </row>
  </sheetData>
  <conditionalFormatting sqref="H10:H67">
    <cfRule type="expression" dxfId="23" priority="14">
      <formula>$E10="Contracts"</formula>
    </cfRule>
    <cfRule type="expression" dxfId="22" priority="15">
      <formula>$E10="Materials"</formula>
    </cfRule>
    <cfRule type="expression" dxfId="21" priority="16">
      <formula>$E10="Labour"</formula>
    </cfRule>
  </conditionalFormatting>
  <conditionalFormatting sqref="Q87:V87">
    <cfRule type="expression" dxfId="20" priority="7">
      <formula>ABS(Q87)&gt;0.001</formula>
    </cfRule>
  </conditionalFormatting>
  <conditionalFormatting sqref="Q101:V104">
    <cfRule type="expression" dxfId="19" priority="4">
      <formula>ABS(Q101)&gt;0.001</formula>
    </cfRule>
  </conditionalFormatting>
  <conditionalFormatting sqref="Q122:V122">
    <cfRule type="expression" dxfId="18" priority="8">
      <formula>ABS(Q122)&gt;0.001</formula>
    </cfRule>
  </conditionalFormatting>
  <conditionalFormatting sqref="Q135:V135">
    <cfRule type="expression" dxfId="17" priority="1">
      <formula>ABS(Q135)&gt;0.001</formula>
    </cfRule>
  </conditionalFormatting>
  <conditionalFormatting sqref="W87">
    <cfRule type="expression" dxfId="16" priority="20">
      <formula>ABS(W87)&gt;0.001</formula>
    </cfRule>
  </conditionalFormatting>
  <conditionalFormatting sqref="W101:W104">
    <cfRule type="expression" dxfId="15" priority="5">
      <formula>ABS(W101)&gt;0.001</formula>
    </cfRule>
  </conditionalFormatting>
  <conditionalFormatting sqref="W122">
    <cfRule type="expression" dxfId="14" priority="10">
      <formula>ABS(W122)&gt;0.001</formula>
    </cfRule>
  </conditionalFormatting>
  <conditionalFormatting sqref="W135">
    <cfRule type="expression" dxfId="13" priority="2">
      <formula>ABS(W135)&gt;0.001</formula>
    </cfRule>
  </conditionalFormatting>
  <dataValidations count="3">
    <dataValidation type="list" allowBlank="1" showInputMessage="1" showErrorMessage="1" sqref="E43:E67" xr:uid="{B0E8B852-301B-4563-9163-FFDB1711704F}">
      <formula1>"Labour, Materials, Contracts"</formula1>
    </dataValidation>
    <dataValidation type="list" allowBlank="1" showInputMessage="1" showErrorMessage="1" sqref="D43:D67" xr:uid="{056126DF-837A-45EA-97BA-3AA3767E7A6C}">
      <formula1>"Capex, Opex"</formula1>
    </dataValidation>
    <dataValidation type="list" allowBlank="1" showInputMessage="1" showErrorMessage="1" sqref="F43:F67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7:V77 Q95:U95 Q112:V1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90" zoomScaleNormal="90" workbookViewId="0">
      <pane ySplit="9" topLeftCell="A10" activePane="bottomLeft" state="frozen"/>
      <selection activeCell="G69" sqref="G69"/>
      <selection pane="bottomLeft" activeCell="A10" sqref="A10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30.8554687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4.85546875" style="1" bestFit="1" customWidth="1"/>
    <col min="24" max="16384" width="9.140625" style="1"/>
  </cols>
  <sheetData>
    <row r="1" spans="1:26" ht="21" x14ac:dyDescent="0.35">
      <c r="A1" s="63" t="str">
        <f>Project_name</f>
        <v>MITE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40</v>
      </c>
      <c r="D7" s="65" t="s">
        <v>41</v>
      </c>
      <c r="E7" s="65" t="s">
        <v>42</v>
      </c>
      <c r="F7" s="112" t="s">
        <v>43</v>
      </c>
      <c r="G7" s="16"/>
      <c r="H7" s="19" t="s">
        <v>11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101"/>
      <c r="D8" s="101" t="s">
        <v>47</v>
      </c>
      <c r="E8" s="101"/>
      <c r="F8" s="101" t="s">
        <v>48</v>
      </c>
      <c r="G8" s="16"/>
      <c r="H8" s="111" t="s">
        <v>49</v>
      </c>
      <c r="I8" s="101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61</v>
      </c>
      <c r="D10" s="82" t="s">
        <v>50</v>
      </c>
      <c r="E10" s="82" t="s">
        <v>11</v>
      </c>
      <c r="F10" s="80" t="s">
        <v>48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>
        <f>4321.657*0.69*2</f>
        <v>5963.8866600000001</v>
      </c>
      <c r="L10" s="83">
        <f>270000/H10*0.69*2</f>
        <v>2555.9515885374535</v>
      </c>
      <c r="M10" s="83"/>
      <c r="N10" s="83"/>
      <c r="O10" s="83"/>
      <c r="P10" s="2"/>
      <c r="Q10" s="5">
        <f t="shared" ref="Q10:Q54" si="0">IF($E10="Labour",$H10*K10,K10)</f>
        <v>869399.94461614103</v>
      </c>
      <c r="R10" s="5">
        <f t="shared" ref="R10:R54" si="1">IF($E10="Labour",$H10*L10,L10)</f>
        <v>372599.99999999994</v>
      </c>
      <c r="S10" s="5">
        <f t="shared" ref="S10:S54" si="2">IF($E10="Labour",$H10*M10,M10)</f>
        <v>0</v>
      </c>
      <c r="T10" s="5">
        <f t="shared" ref="T10:T54" si="3">IF($E10="Labour",$H10*N10,N10)</f>
        <v>0</v>
      </c>
      <c r="U10" s="5">
        <f t="shared" ref="U10:U54" si="4">IF($E10="Labour",$H10*O10,O10)</f>
        <v>0</v>
      </c>
    </row>
    <row r="11" spans="1:26" ht="12.75" customHeight="1" x14ac:dyDescent="0.2">
      <c r="A11" s="4"/>
      <c r="C11" s="81" t="s">
        <v>62</v>
      </c>
      <c r="D11" s="82" t="s">
        <v>50</v>
      </c>
      <c r="E11" s="82" t="s">
        <v>11</v>
      </c>
      <c r="F11" s="80" t="s">
        <v>48</v>
      </c>
      <c r="G11" s="2"/>
      <c r="H11" s="64">
        <f>IF($E11="Labour",Assumptions!$B$14,)</f>
        <v>145.77740895836223</v>
      </c>
      <c r="I11" s="9" t="str">
        <f t="shared" ref="I11:I54" si="5">IF($E11="Labour","Hours","$")</f>
        <v>Hours</v>
      </c>
      <c r="J11" s="2"/>
      <c r="K11" s="83"/>
      <c r="L11" s="83">
        <f>720000/H11*0.69*2</f>
        <v>6815.8709027665436</v>
      </c>
      <c r="M11" s="83"/>
      <c r="N11" s="83"/>
      <c r="O11" s="83"/>
      <c r="P11" s="2"/>
      <c r="Q11" s="5">
        <f t="shared" si="0"/>
        <v>0</v>
      </c>
      <c r="R11" s="5">
        <f t="shared" si="1"/>
        <v>993600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 t="s">
        <v>63</v>
      </c>
      <c r="D12" s="82" t="s">
        <v>50</v>
      </c>
      <c r="E12" s="82" t="s">
        <v>11</v>
      </c>
      <c r="F12" s="80" t="s">
        <v>48</v>
      </c>
      <c r="G12" s="2"/>
      <c r="H12" s="64">
        <f>IF($E12="Labour",Assumptions!$B$14,)</f>
        <v>145.77740895836223</v>
      </c>
      <c r="I12" s="9" t="str">
        <f t="shared" si="5"/>
        <v>Hours</v>
      </c>
      <c r="J12" s="2"/>
      <c r="K12" s="83"/>
      <c r="L12" s="83">
        <f>1827000/H12*0.69*2</f>
        <v>17295.272415770101</v>
      </c>
      <c r="M12" s="83"/>
      <c r="N12" s="83"/>
      <c r="O12" s="83"/>
      <c r="P12" s="2"/>
      <c r="Q12" s="5">
        <f t="shared" si="0"/>
        <v>0</v>
      </c>
      <c r="R12" s="5">
        <f t="shared" si="1"/>
        <v>2521259.9999999995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 t="s">
        <v>64</v>
      </c>
      <c r="D13" s="82" t="s">
        <v>50</v>
      </c>
      <c r="E13" s="82" t="s">
        <v>11</v>
      </c>
      <c r="F13" s="80" t="s">
        <v>48</v>
      </c>
      <c r="G13" s="2"/>
      <c r="H13" s="64">
        <f>IF($E13="Labour",Assumptions!$B$14,)</f>
        <v>145.77740895836223</v>
      </c>
      <c r="I13" s="9" t="str">
        <f t="shared" si="5"/>
        <v>Hours</v>
      </c>
      <c r="J13" s="2"/>
      <c r="K13" s="83"/>
      <c r="L13" s="83">
        <f>504000/H13*0.69*2</f>
        <v>4771.1096319365797</v>
      </c>
      <c r="M13" s="83"/>
      <c r="N13" s="83"/>
      <c r="O13" s="83"/>
      <c r="P13" s="2"/>
      <c r="Q13" s="5">
        <f t="shared" si="0"/>
        <v>0</v>
      </c>
      <c r="R13" s="5">
        <f t="shared" si="1"/>
        <v>695519.99999999988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 t="s">
        <v>65</v>
      </c>
      <c r="D14" s="82" t="s">
        <v>50</v>
      </c>
      <c r="E14" s="82" t="s">
        <v>14</v>
      </c>
      <c r="F14" s="80" t="s">
        <v>48</v>
      </c>
      <c r="G14" s="2"/>
      <c r="H14" s="64">
        <f>IF($E14="Labour",Assumptions!$B$14,)</f>
        <v>0</v>
      </c>
      <c r="I14" s="9" t="str">
        <f t="shared" si="5"/>
        <v>$</v>
      </c>
      <c r="J14" s="2"/>
      <c r="K14" s="83"/>
      <c r="L14" s="83">
        <f>1106280*2</f>
        <v>2212560</v>
      </c>
      <c r="M14" s="83"/>
      <c r="N14" s="83"/>
      <c r="O14" s="83"/>
      <c r="P14" s="2"/>
      <c r="Q14" s="5">
        <f t="shared" si="0"/>
        <v>0</v>
      </c>
      <c r="R14" s="5">
        <f t="shared" si="1"/>
        <v>2212560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 t="s">
        <v>66</v>
      </c>
      <c r="D15" s="82" t="s">
        <v>50</v>
      </c>
      <c r="E15" s="82" t="s">
        <v>13</v>
      </c>
      <c r="F15" s="80" t="s">
        <v>48</v>
      </c>
      <c r="G15" s="2"/>
      <c r="H15" s="64">
        <f>IF($E15="Labour",Assumptions!$B$14,)</f>
        <v>0</v>
      </c>
      <c r="I15" s="9" t="str">
        <f t="shared" si="5"/>
        <v>$</v>
      </c>
      <c r="J15" s="2"/>
      <c r="K15" s="83"/>
      <c r="L15" s="83">
        <f>118530*2</f>
        <v>237060</v>
      </c>
      <c r="M15" s="83"/>
      <c r="N15" s="83"/>
      <c r="O15" s="83"/>
      <c r="P15" s="2"/>
      <c r="Q15" s="5">
        <f t="shared" si="0"/>
        <v>0</v>
      </c>
      <c r="R15" s="5">
        <f t="shared" si="1"/>
        <v>237060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 t="s">
        <v>67</v>
      </c>
      <c r="D16" s="82" t="s">
        <v>50</v>
      </c>
      <c r="E16" s="82" t="s">
        <v>11</v>
      </c>
      <c r="F16" s="80" t="s">
        <v>48</v>
      </c>
      <c r="G16" s="2"/>
      <c r="H16" s="64">
        <f>IF($E16="Labour",Assumptions!$B$14,)</f>
        <v>145.77740895836223</v>
      </c>
      <c r="I16" s="9" t="str">
        <f t="shared" si="5"/>
        <v>Hours</v>
      </c>
      <c r="J16" s="2"/>
      <c r="K16" s="83"/>
      <c r="L16" s="83">
        <f>3960000/H16*0.69*2</f>
        <v>37487.289965215983</v>
      </c>
      <c r="M16" s="83"/>
      <c r="N16" s="83">
        <f>378000/H16*0.69*2</f>
        <v>3578.3322239524355</v>
      </c>
      <c r="O16" s="83"/>
      <c r="P16" s="2"/>
      <c r="Q16" s="5">
        <f t="shared" si="0"/>
        <v>0</v>
      </c>
      <c r="R16" s="5">
        <f t="shared" si="1"/>
        <v>5464799.9999999991</v>
      </c>
      <c r="S16" s="5">
        <f t="shared" si="2"/>
        <v>0</v>
      </c>
      <c r="T16" s="5">
        <f t="shared" si="3"/>
        <v>521640</v>
      </c>
      <c r="U16" s="5">
        <f t="shared" si="4"/>
        <v>0</v>
      </c>
      <c r="Z16"/>
    </row>
    <row r="17" spans="1:26" ht="12.75" customHeight="1" x14ac:dyDescent="0.25">
      <c r="A17" s="4"/>
      <c r="C17" s="81" t="s">
        <v>68</v>
      </c>
      <c r="D17" s="82" t="s">
        <v>50</v>
      </c>
      <c r="E17" s="82" t="s">
        <v>11</v>
      </c>
      <c r="F17" s="80" t="s">
        <v>48</v>
      </c>
      <c r="G17" s="2"/>
      <c r="H17" s="64">
        <f>IF($E17="Labour",Assumptions!$B$14,)</f>
        <v>145.77740895836223</v>
      </c>
      <c r="I17" s="9" t="str">
        <f t="shared" si="5"/>
        <v>Hours</v>
      </c>
      <c r="J17" s="2"/>
      <c r="K17" s="83"/>
      <c r="L17" s="83">
        <f>3861000/H17*0.69*2</f>
        <v>36550.107716085593</v>
      </c>
      <c r="M17" s="83">
        <f>333000/H17*0.69*2</f>
        <v>3152.3402925295263</v>
      </c>
      <c r="N17" s="83">
        <f>279000/H17*0.69*2</f>
        <v>2641.1499748220353</v>
      </c>
      <c r="O17" s="83"/>
      <c r="P17" s="2"/>
      <c r="Q17" s="5">
        <f t="shared" si="0"/>
        <v>0</v>
      </c>
      <c r="R17" s="5">
        <f t="shared" si="1"/>
        <v>5328180</v>
      </c>
      <c r="S17" s="5">
        <f t="shared" si="2"/>
        <v>459540</v>
      </c>
      <c r="T17" s="5">
        <f t="shared" si="3"/>
        <v>385019.99999999994</v>
      </c>
      <c r="U17" s="5">
        <f t="shared" si="4"/>
        <v>0</v>
      </c>
      <c r="Z17"/>
    </row>
    <row r="18" spans="1:26" ht="12.75" customHeight="1" x14ac:dyDescent="0.25">
      <c r="A18" s="4"/>
      <c r="C18" s="81" t="s">
        <v>69</v>
      </c>
      <c r="D18" s="82" t="s">
        <v>50</v>
      </c>
      <c r="E18" s="82" t="s">
        <v>11</v>
      </c>
      <c r="F18" s="80" t="s">
        <v>48</v>
      </c>
      <c r="G18" s="2"/>
      <c r="H18" s="64">
        <f>IF($E18="Labour",Assumptions!$B$14,)</f>
        <v>145.77740895836223</v>
      </c>
      <c r="I18" s="9" t="str">
        <f t="shared" si="5"/>
        <v>Hours</v>
      </c>
      <c r="J18" s="2"/>
      <c r="K18" s="83"/>
      <c r="L18" s="83">
        <f>8307000/H18*0.69*2</f>
        <v>78638.110540668989</v>
      </c>
      <c r="M18" s="83">
        <f>1683000/H18*0.69*2</f>
        <v>15932.098235216794</v>
      </c>
      <c r="N18" s="83">
        <f>2349000/H18*0.69*2</f>
        <v>22236.778820275849</v>
      </c>
      <c r="O18" s="83"/>
      <c r="P18" s="2"/>
      <c r="Q18" s="5">
        <f t="shared" si="0"/>
        <v>0</v>
      </c>
      <c r="R18" s="5">
        <f t="shared" si="1"/>
        <v>11463659.999999998</v>
      </c>
      <c r="S18" s="5">
        <f t="shared" si="2"/>
        <v>2322539.9999999995</v>
      </c>
      <c r="T18" s="5">
        <f t="shared" si="3"/>
        <v>3241620</v>
      </c>
      <c r="U18" s="5">
        <f t="shared" si="4"/>
        <v>0</v>
      </c>
      <c r="Z18"/>
    </row>
    <row r="19" spans="1:26" ht="12.75" customHeight="1" x14ac:dyDescent="0.25">
      <c r="A19" s="4"/>
      <c r="C19" s="81" t="s">
        <v>70</v>
      </c>
      <c r="D19" s="82" t="s">
        <v>50</v>
      </c>
      <c r="E19" s="82" t="s">
        <v>11</v>
      </c>
      <c r="F19" s="80" t="s">
        <v>48</v>
      </c>
      <c r="G19" s="2"/>
      <c r="H19" s="64">
        <f>IF($E19="Labour",Assumptions!$B$14,)</f>
        <v>145.77740895836223</v>
      </c>
      <c r="I19" s="9" t="str">
        <f t="shared" si="5"/>
        <v>Hours</v>
      </c>
      <c r="J19" s="2"/>
      <c r="K19" s="83"/>
      <c r="L19" s="83">
        <f>234000/H19*0.69*2</f>
        <v>2215.1580433991262</v>
      </c>
      <c r="M19" s="83">
        <f>2736000/H19*0.69*2</f>
        <v>25900.309430512865</v>
      </c>
      <c r="N19" s="83"/>
      <c r="O19" s="83"/>
      <c r="P19" s="2"/>
      <c r="Q19" s="5">
        <f t="shared" si="0"/>
        <v>0</v>
      </c>
      <c r="R19" s="5">
        <f t="shared" si="1"/>
        <v>322919.99999999994</v>
      </c>
      <c r="S19" s="5">
        <f t="shared" si="2"/>
        <v>3775680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1" t="s">
        <v>71</v>
      </c>
      <c r="D20" s="82" t="s">
        <v>50</v>
      </c>
      <c r="E20" s="82" t="s">
        <v>13</v>
      </c>
      <c r="F20" s="80" t="s">
        <v>48</v>
      </c>
      <c r="G20" s="2"/>
      <c r="H20" s="64">
        <f>IF($E20="Labour",Assumptions!$B$14,)</f>
        <v>0</v>
      </c>
      <c r="I20" s="9" t="str">
        <f t="shared" si="5"/>
        <v>$</v>
      </c>
      <c r="J20" s="2"/>
      <c r="K20" s="83"/>
      <c r="L20" s="83">
        <f>4389840*2</f>
        <v>8779680</v>
      </c>
      <c r="M20" s="83">
        <f>1350720*2</f>
        <v>2701440</v>
      </c>
      <c r="N20" s="83">
        <f>1013040*2</f>
        <v>2026080</v>
      </c>
      <c r="O20" s="83"/>
      <c r="P20" s="2"/>
      <c r="Q20" s="5">
        <f t="shared" si="0"/>
        <v>0</v>
      </c>
      <c r="R20" s="5">
        <f t="shared" si="1"/>
        <v>8779680</v>
      </c>
      <c r="S20" s="5">
        <f t="shared" si="2"/>
        <v>2701440</v>
      </c>
      <c r="T20" s="5">
        <f t="shared" si="3"/>
        <v>2026080</v>
      </c>
      <c r="U20" s="5">
        <f t="shared" si="4"/>
        <v>0</v>
      </c>
      <c r="Z20"/>
    </row>
    <row r="21" spans="1:26" ht="12.75" customHeight="1" x14ac:dyDescent="0.25">
      <c r="A21" s="4"/>
      <c r="C21" s="81" t="s">
        <v>72</v>
      </c>
      <c r="D21" s="82" t="s">
        <v>50</v>
      </c>
      <c r="E21" s="82" t="s">
        <v>14</v>
      </c>
      <c r="F21" s="80" t="s">
        <v>48</v>
      </c>
      <c r="G21" s="2"/>
      <c r="H21" s="64">
        <f>IF($E21="Labour",Assumptions!$B$14,)</f>
        <v>0</v>
      </c>
      <c r="I21" s="9" t="str">
        <f t="shared" si="5"/>
        <v>$</v>
      </c>
      <c r="J21" s="2"/>
      <c r="K21" s="83"/>
      <c r="L21" s="83">
        <f>470340*2</f>
        <v>940680</v>
      </c>
      <c r="M21" s="83">
        <f>144720*2</f>
        <v>289440</v>
      </c>
      <c r="N21" s="83">
        <f>108540*2</f>
        <v>217080</v>
      </c>
      <c r="O21" s="83"/>
      <c r="P21" s="2"/>
      <c r="Q21" s="5">
        <f t="shared" si="0"/>
        <v>0</v>
      </c>
      <c r="R21" s="5">
        <f t="shared" si="1"/>
        <v>940680</v>
      </c>
      <c r="S21" s="5">
        <f t="shared" si="2"/>
        <v>289440</v>
      </c>
      <c r="T21" s="5">
        <f t="shared" si="3"/>
        <v>217080</v>
      </c>
      <c r="U21" s="5">
        <f t="shared" si="4"/>
        <v>0</v>
      </c>
      <c r="Z21"/>
    </row>
    <row r="22" spans="1:26" ht="12.75" customHeight="1" x14ac:dyDescent="0.25">
      <c r="A22" s="4"/>
      <c r="C22" s="81" t="s">
        <v>73</v>
      </c>
      <c r="D22" s="82" t="s">
        <v>50</v>
      </c>
      <c r="E22" s="82" t="s">
        <v>11</v>
      </c>
      <c r="F22" s="80" t="s">
        <v>48</v>
      </c>
      <c r="G22" s="2"/>
      <c r="H22" s="64">
        <f>IF($E22="Labour",Assumptions!$B$14,)</f>
        <v>145.77740895836223</v>
      </c>
      <c r="I22" s="9" t="str">
        <f t="shared" si="5"/>
        <v>Hours</v>
      </c>
      <c r="J22" s="2"/>
      <c r="K22" s="83"/>
      <c r="L22" s="83"/>
      <c r="M22" s="83">
        <f>504000/H22*0.69*2</f>
        <v>4771.1096319365797</v>
      </c>
      <c r="N22" s="83"/>
      <c r="O22" s="83"/>
      <c r="P22" s="2"/>
      <c r="Q22" s="5">
        <f t="shared" si="0"/>
        <v>0</v>
      </c>
      <c r="R22" s="5">
        <f t="shared" si="1"/>
        <v>0</v>
      </c>
      <c r="S22" s="5">
        <f t="shared" si="2"/>
        <v>695519.99999999988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 t="s">
        <v>74</v>
      </c>
      <c r="D23" s="82" t="s">
        <v>50</v>
      </c>
      <c r="E23" s="82" t="s">
        <v>11</v>
      </c>
      <c r="F23" s="80" t="s">
        <v>48</v>
      </c>
      <c r="G23" s="2"/>
      <c r="H23" s="64">
        <f>IF($E23="Labour",Assumptions!$B$14,)</f>
        <v>145.77740895836223</v>
      </c>
      <c r="I23" s="9" t="str">
        <f t="shared" si="5"/>
        <v>Hours</v>
      </c>
      <c r="J23" s="2"/>
      <c r="K23" s="83"/>
      <c r="L23" s="83"/>
      <c r="M23" s="83">
        <f>432000/H23*0.69*2</f>
        <v>4089.522541659926</v>
      </c>
      <c r="N23" s="83"/>
      <c r="O23" s="83"/>
      <c r="P23" s="2"/>
      <c r="Q23" s="5">
        <f t="shared" si="0"/>
        <v>0</v>
      </c>
      <c r="R23" s="5">
        <f t="shared" si="1"/>
        <v>0</v>
      </c>
      <c r="S23" s="5">
        <f t="shared" si="2"/>
        <v>596160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 t="s">
        <v>75</v>
      </c>
      <c r="D24" s="82" t="s">
        <v>50</v>
      </c>
      <c r="E24" s="82" t="s">
        <v>14</v>
      </c>
      <c r="F24" s="80" t="s">
        <v>48</v>
      </c>
      <c r="G24" s="2"/>
      <c r="H24" s="64">
        <f>IF($E24="Labour",Assumptions!$B$14,)</f>
        <v>0</v>
      </c>
      <c r="I24" s="9" t="str">
        <f t="shared" si="5"/>
        <v>$</v>
      </c>
      <c r="J24" s="2"/>
      <c r="K24" s="83"/>
      <c r="L24" s="83"/>
      <c r="M24" s="83">
        <f>262080*2</f>
        <v>524160</v>
      </c>
      <c r="N24" s="83"/>
      <c r="O24" s="83"/>
      <c r="P24" s="2"/>
      <c r="Q24" s="5">
        <f t="shared" si="0"/>
        <v>0</v>
      </c>
      <c r="R24" s="5">
        <f t="shared" si="1"/>
        <v>0</v>
      </c>
      <c r="S24" s="5">
        <f t="shared" si="2"/>
        <v>524160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 t="s">
        <v>76</v>
      </c>
      <c r="D25" s="82" t="s">
        <v>50</v>
      </c>
      <c r="E25" s="82" t="s">
        <v>13</v>
      </c>
      <c r="F25" s="80" t="s">
        <v>48</v>
      </c>
      <c r="G25" s="2"/>
      <c r="H25" s="64">
        <f>IF($E25="Labour",Assumptions!$B$14,)</f>
        <v>0</v>
      </c>
      <c r="I25" s="9" t="str">
        <f t="shared" si="5"/>
        <v>$</v>
      </c>
      <c r="J25" s="2"/>
      <c r="K25" s="83"/>
      <c r="L25" s="83"/>
      <c r="M25" s="83">
        <f>28080*2</f>
        <v>56160</v>
      </c>
      <c r="N25" s="83"/>
      <c r="O25" s="83"/>
      <c r="P25" s="2"/>
      <c r="Q25" s="5">
        <f t="shared" si="0"/>
        <v>0</v>
      </c>
      <c r="R25" s="5">
        <f t="shared" si="1"/>
        <v>0</v>
      </c>
      <c r="S25" s="5">
        <f t="shared" si="2"/>
        <v>56160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 t="s">
        <v>51</v>
      </c>
      <c r="D26" s="82" t="s">
        <v>47</v>
      </c>
      <c r="E26" s="82" t="s">
        <v>11</v>
      </c>
      <c r="F26" s="80" t="s">
        <v>48</v>
      </c>
      <c r="G26" s="2"/>
      <c r="H26" s="64">
        <f>IF($E26="Labour",Assumptions!$B$14,)</f>
        <v>145.77740895836223</v>
      </c>
      <c r="I26" s="9" t="str">
        <f t="shared" si="5"/>
        <v>Hours</v>
      </c>
      <c r="J26" s="2"/>
      <c r="K26" s="83">
        <v>0</v>
      </c>
      <c r="L26" s="83">
        <v>0</v>
      </c>
      <c r="M26" s="83">
        <v>3034.9554798120089</v>
      </c>
      <c r="N26" s="83">
        <v>3186.7032538026092</v>
      </c>
      <c r="O26" s="83">
        <v>3346.0349755001325</v>
      </c>
      <c r="P26" s="2"/>
      <c r="Q26" s="5">
        <f t="shared" si="0"/>
        <v>0</v>
      </c>
      <c r="R26" s="5">
        <f t="shared" si="1"/>
        <v>0</v>
      </c>
      <c r="S26" s="5">
        <f t="shared" si="2"/>
        <v>442427.94615097769</v>
      </c>
      <c r="T26" s="5">
        <f t="shared" si="3"/>
        <v>464549.34345852653</v>
      </c>
      <c r="U26" s="5">
        <f t="shared" si="4"/>
        <v>487776.30901246634</v>
      </c>
      <c r="Z26"/>
    </row>
    <row r="27" spans="1:26" ht="12.75" customHeight="1" x14ac:dyDescent="0.25">
      <c r="A27" s="4"/>
      <c r="C27" s="81" t="s">
        <v>52</v>
      </c>
      <c r="D27" s="82" t="s">
        <v>47</v>
      </c>
      <c r="E27" s="82" t="s">
        <v>11</v>
      </c>
      <c r="F27" s="80" t="s">
        <v>48</v>
      </c>
      <c r="G27" s="2"/>
      <c r="H27" s="64">
        <f>IF($E27="Labour",Assumptions!$B$14,)</f>
        <v>145.77740895836223</v>
      </c>
      <c r="I27" s="9" t="str">
        <f t="shared" si="5"/>
        <v>Hours</v>
      </c>
      <c r="J27" s="2"/>
      <c r="K27" s="83">
        <v>0</v>
      </c>
      <c r="L27" s="83">
        <v>0</v>
      </c>
      <c r="M27" s="83">
        <v>7587.3886995300227</v>
      </c>
      <c r="N27" s="83">
        <v>7966.7650164917386</v>
      </c>
      <c r="O27" s="83">
        <v>8365.0943207355467</v>
      </c>
      <c r="P27" s="2"/>
      <c r="Q27" s="5">
        <f t="shared" si="0"/>
        <v>0</v>
      </c>
      <c r="R27" s="5">
        <f t="shared" si="1"/>
        <v>0</v>
      </c>
      <c r="S27" s="5">
        <f t="shared" si="2"/>
        <v>1106069.8653774443</v>
      </c>
      <c r="T27" s="5">
        <f t="shared" si="3"/>
        <v>1161374.3618842897</v>
      </c>
      <c r="U27" s="5">
        <f t="shared" si="4"/>
        <v>1219441.7757691392</v>
      </c>
      <c r="Z27"/>
    </row>
    <row r="28" spans="1:26" ht="12.75" customHeight="1" x14ac:dyDescent="0.25">
      <c r="A28" s="4"/>
      <c r="C28" s="81" t="s">
        <v>53</v>
      </c>
      <c r="D28" s="82" t="s">
        <v>47</v>
      </c>
      <c r="E28" s="82" t="s">
        <v>11</v>
      </c>
      <c r="F28" s="80" t="s">
        <v>48</v>
      </c>
      <c r="G28" s="2"/>
      <c r="H28" s="64">
        <f>IF($E28="Labour",Assumptions!$B$14,)</f>
        <v>145.77740895836223</v>
      </c>
      <c r="I28" s="9" t="str">
        <f t="shared" si="5"/>
        <v>Hours</v>
      </c>
      <c r="J28" s="2"/>
      <c r="K28" s="83">
        <v>0</v>
      </c>
      <c r="L28" s="83">
        <v>0</v>
      </c>
      <c r="M28" s="83">
        <v>794.86929233171668</v>
      </c>
      <c r="N28" s="83">
        <v>834.60587496308744</v>
      </c>
      <c r="O28" s="83">
        <v>876.33823330680639</v>
      </c>
      <c r="P28" s="2"/>
      <c r="Q28" s="5">
        <f t="shared" si="0"/>
        <v>0</v>
      </c>
      <c r="R28" s="5">
        <f t="shared" si="1"/>
        <v>0</v>
      </c>
      <c r="S28" s="5">
        <f t="shared" si="2"/>
        <v>115873.98589668464</v>
      </c>
      <c r="T28" s="5">
        <f t="shared" si="3"/>
        <v>121666.68195354573</v>
      </c>
      <c r="U28" s="5">
        <f t="shared" si="4"/>
        <v>127750.31702261497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5"/>
        <v>$</v>
      </c>
      <c r="J29" s="2"/>
      <c r="K29" s="83"/>
      <c r="L29" s="83"/>
      <c r="M29" s="83"/>
      <c r="N29" s="83"/>
      <c r="O29" s="83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5"/>
        <v>$</v>
      </c>
      <c r="J30" s="2"/>
      <c r="K30" s="83"/>
      <c r="L30" s="83"/>
      <c r="M30" s="83"/>
      <c r="N30" s="83"/>
      <c r="O30" s="83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5"/>
        <v>$</v>
      </c>
      <c r="J31" s="2"/>
      <c r="K31" s="83"/>
      <c r="L31" s="83"/>
      <c r="M31" s="83"/>
      <c r="N31" s="83"/>
      <c r="O31" s="83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5"/>
        <v>$</v>
      </c>
      <c r="J32" s="2"/>
      <c r="K32" s="83"/>
      <c r="L32" s="83"/>
      <c r="M32" s="83"/>
      <c r="N32" s="83"/>
      <c r="O32" s="83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5"/>
        <v>$</v>
      </c>
      <c r="J33" s="2"/>
      <c r="K33" s="83"/>
      <c r="L33" s="83"/>
      <c r="M33" s="83"/>
      <c r="N33" s="83"/>
      <c r="O33" s="83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5"/>
        <v>$</v>
      </c>
      <c r="J34" s="2"/>
      <c r="K34" s="83"/>
      <c r="L34" s="83"/>
      <c r="M34" s="83"/>
      <c r="N34" s="83"/>
      <c r="O34" s="83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5"/>
        <v>$</v>
      </c>
      <c r="J35" s="2"/>
      <c r="K35" s="83"/>
      <c r="L35" s="83"/>
      <c r="M35" s="83"/>
      <c r="N35" s="83"/>
      <c r="O35" s="83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5"/>
        <v>$</v>
      </c>
      <c r="J36" s="2"/>
      <c r="K36" s="83"/>
      <c r="L36" s="83"/>
      <c r="M36" s="83"/>
      <c r="N36" s="83"/>
      <c r="O36" s="83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5"/>
        <v>$</v>
      </c>
      <c r="J37" s="2"/>
      <c r="K37" s="83"/>
      <c r="L37" s="83"/>
      <c r="M37" s="83"/>
      <c r="N37" s="83"/>
      <c r="O37" s="83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5"/>
        <v>$</v>
      </c>
      <c r="J38" s="2"/>
      <c r="K38" s="83"/>
      <c r="L38" s="83"/>
      <c r="M38" s="83"/>
      <c r="N38" s="83"/>
      <c r="O38" s="83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5"/>
        <v>$</v>
      </c>
      <c r="J39" s="2"/>
      <c r="K39" s="83"/>
      <c r="L39" s="83"/>
      <c r="M39" s="83"/>
      <c r="N39" s="83"/>
      <c r="O39" s="83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5"/>
        <v>$</v>
      </c>
      <c r="K40" s="83"/>
      <c r="L40" s="83"/>
      <c r="M40" s="83"/>
      <c r="N40" s="83"/>
      <c r="O40" s="83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5"/>
        <v>$</v>
      </c>
      <c r="K41" s="83"/>
      <c r="L41" s="83"/>
      <c r="M41" s="83"/>
      <c r="N41" s="83"/>
      <c r="O41" s="83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5"/>
        <v>$</v>
      </c>
      <c r="K42" s="83"/>
      <c r="L42" s="83"/>
      <c r="M42" s="83"/>
      <c r="N42" s="83"/>
      <c r="O42" s="83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5"/>
        <v>$</v>
      </c>
      <c r="K43" s="83"/>
      <c r="L43" s="83"/>
      <c r="M43" s="83"/>
      <c r="N43" s="83"/>
      <c r="O43" s="83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5"/>
        <v>$</v>
      </c>
      <c r="K44" s="83"/>
      <c r="L44" s="83"/>
      <c r="M44" s="83"/>
      <c r="N44" s="83"/>
      <c r="O44" s="83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5"/>
        <v>$</v>
      </c>
      <c r="K45" s="83"/>
      <c r="L45" s="83"/>
      <c r="M45" s="83"/>
      <c r="N45" s="83"/>
      <c r="O45" s="83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8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9" t="s">
        <v>6</v>
      </c>
      <c r="R57" s="69" t="s">
        <v>7</v>
      </c>
      <c r="S57" s="69" t="s">
        <v>8</v>
      </c>
      <c r="T57" s="69" t="s">
        <v>9</v>
      </c>
      <c r="U57" s="69" t="s">
        <v>10</v>
      </c>
      <c r="V57" s="69" t="s">
        <v>0</v>
      </c>
      <c r="Z57"/>
    </row>
    <row r="58" spans="1:26" ht="12.75" customHeight="1" x14ac:dyDescent="0.2">
      <c r="C58" s="24" t="s">
        <v>11</v>
      </c>
      <c r="D58" s="24" t="s">
        <v>50</v>
      </c>
      <c r="E58" s="24"/>
      <c r="F58" s="24" t="s">
        <v>2</v>
      </c>
      <c r="G58" s="2"/>
      <c r="H58" s="66"/>
      <c r="I58" s="67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25">
        <f t="shared" si="6"/>
        <v>0</v>
      </c>
      <c r="V58" s="71">
        <f>SUM(Q58:U58)</f>
        <v>0</v>
      </c>
    </row>
    <row r="59" spans="1:26" ht="12.75" customHeight="1" x14ac:dyDescent="0.2">
      <c r="C59" s="1" t="s">
        <v>13</v>
      </c>
      <c r="D59" s="1" t="s">
        <v>50</v>
      </c>
      <c r="F59" s="1" t="s">
        <v>2</v>
      </c>
      <c r="G59" s="2"/>
      <c r="H59" s="68"/>
      <c r="J59" s="2"/>
      <c r="P59" s="2"/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6">
        <f t="shared" si="6"/>
        <v>0</v>
      </c>
      <c r="V59" s="72">
        <f t="shared" ref="V59:V73" si="7">SUM(Q59:U59)</f>
        <v>0</v>
      </c>
    </row>
    <row r="60" spans="1:26" ht="12.75" customHeight="1" x14ac:dyDescent="0.2">
      <c r="C60" s="1" t="s">
        <v>14</v>
      </c>
      <c r="D60" s="1" t="s">
        <v>50</v>
      </c>
      <c r="F60" s="1" t="s">
        <v>2</v>
      </c>
      <c r="G60" s="2"/>
      <c r="H60" s="68"/>
      <c r="J60" s="2"/>
      <c r="P60" s="2"/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6">
        <f t="shared" si="6"/>
        <v>0</v>
      </c>
      <c r="V60" s="72">
        <f t="shared" si="7"/>
        <v>0</v>
      </c>
    </row>
    <row r="61" spans="1:26" ht="12.75" customHeight="1" x14ac:dyDescent="0.2">
      <c r="C61" s="1" t="s">
        <v>11</v>
      </c>
      <c r="D61" s="1" t="s">
        <v>50</v>
      </c>
      <c r="F61" s="1" t="s">
        <v>48</v>
      </c>
      <c r="G61" s="2"/>
      <c r="H61" s="68"/>
      <c r="J61" s="2"/>
      <c r="P61" s="2"/>
      <c r="Q61" s="6">
        <f t="shared" si="6"/>
        <v>869399.94461614103</v>
      </c>
      <c r="R61" s="6">
        <f t="shared" si="6"/>
        <v>27162539.999999996</v>
      </c>
      <c r="S61" s="6">
        <f t="shared" si="6"/>
        <v>7849440</v>
      </c>
      <c r="T61" s="6">
        <f t="shared" si="6"/>
        <v>4148280</v>
      </c>
      <c r="U61" s="6">
        <f t="shared" si="6"/>
        <v>0</v>
      </c>
      <c r="V61" s="72">
        <f t="shared" si="7"/>
        <v>40029659.944616139</v>
      </c>
    </row>
    <row r="62" spans="1:26" ht="12.75" customHeight="1" x14ac:dyDescent="0.2">
      <c r="C62" s="1" t="s">
        <v>13</v>
      </c>
      <c r="D62" s="1" t="s">
        <v>50</v>
      </c>
      <c r="F62" s="1" t="s">
        <v>48</v>
      </c>
      <c r="G62" s="2"/>
      <c r="H62" s="68"/>
      <c r="J62" s="2"/>
      <c r="P62" s="2"/>
      <c r="Q62" s="6">
        <f t="shared" si="6"/>
        <v>0</v>
      </c>
      <c r="R62" s="6">
        <f t="shared" si="6"/>
        <v>9016740</v>
      </c>
      <c r="S62" s="6">
        <f t="shared" si="6"/>
        <v>2757600</v>
      </c>
      <c r="T62" s="6">
        <f t="shared" si="6"/>
        <v>2026080</v>
      </c>
      <c r="U62" s="6">
        <f t="shared" si="6"/>
        <v>0</v>
      </c>
      <c r="V62" s="72">
        <f t="shared" si="7"/>
        <v>13800420</v>
      </c>
    </row>
    <row r="63" spans="1:26" ht="12.75" customHeight="1" x14ac:dyDescent="0.2">
      <c r="C63" s="1" t="s">
        <v>14</v>
      </c>
      <c r="D63" s="1" t="s">
        <v>50</v>
      </c>
      <c r="F63" s="1" t="s">
        <v>48</v>
      </c>
      <c r="G63" s="2"/>
      <c r="H63" s="68"/>
      <c r="J63" s="2"/>
      <c r="P63" s="2"/>
      <c r="Q63" s="6">
        <f t="shared" si="6"/>
        <v>0</v>
      </c>
      <c r="R63" s="6">
        <f t="shared" si="6"/>
        <v>3153240</v>
      </c>
      <c r="S63" s="6">
        <f t="shared" si="6"/>
        <v>813600</v>
      </c>
      <c r="T63" s="6">
        <f t="shared" si="6"/>
        <v>217080</v>
      </c>
      <c r="U63" s="6">
        <f t="shared" si="6"/>
        <v>0</v>
      </c>
      <c r="V63" s="72">
        <f t="shared" si="7"/>
        <v>4183920</v>
      </c>
    </row>
    <row r="64" spans="1:26" ht="12.75" customHeight="1" x14ac:dyDescent="0.2">
      <c r="C64" s="21" t="s">
        <v>15</v>
      </c>
      <c r="D64" s="21" t="s">
        <v>50</v>
      </c>
      <c r="E64" s="103"/>
      <c r="F64" s="104"/>
      <c r="G64" s="2"/>
      <c r="H64" s="104"/>
      <c r="I64" s="106"/>
      <c r="J64" s="105"/>
      <c r="K64" s="103"/>
      <c r="L64" s="103"/>
      <c r="M64" s="103"/>
      <c r="N64" s="103"/>
      <c r="O64" s="103"/>
      <c r="P64" s="2"/>
      <c r="Q64" s="22">
        <f>SUM(Q58:Q63)</f>
        <v>869399.94461614103</v>
      </c>
      <c r="R64" s="22">
        <f t="shared" ref="R64:U64" si="8">SUM(R58:R63)</f>
        <v>39332520</v>
      </c>
      <c r="S64" s="22">
        <f t="shared" si="8"/>
        <v>11420640</v>
      </c>
      <c r="T64" s="22">
        <f t="shared" si="8"/>
        <v>6391440</v>
      </c>
      <c r="U64" s="22">
        <f t="shared" si="8"/>
        <v>0</v>
      </c>
      <c r="V64" s="22">
        <f>SUM(V58:V63)</f>
        <v>58013999.944616139</v>
      </c>
    </row>
    <row r="65" spans="3:23" ht="12.75" customHeight="1" x14ac:dyDescent="0.2">
      <c r="C65" s="1" t="s">
        <v>11</v>
      </c>
      <c r="D65" s="1" t="s">
        <v>47</v>
      </c>
      <c r="F65" s="1" t="s">
        <v>2</v>
      </c>
      <c r="G65" s="2"/>
      <c r="H65" s="68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2">
        <f t="shared" si="7"/>
        <v>0</v>
      </c>
    </row>
    <row r="66" spans="3:23" ht="12.75" customHeight="1" x14ac:dyDescent="0.2">
      <c r="C66" s="1" t="s">
        <v>13</v>
      </c>
      <c r="D66" s="1" t="s">
        <v>47</v>
      </c>
      <c r="F66" s="1" t="s">
        <v>2</v>
      </c>
      <c r="G66" s="2"/>
      <c r="H66" s="68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2">
        <f t="shared" si="7"/>
        <v>0</v>
      </c>
    </row>
    <row r="67" spans="3:23" ht="12.75" customHeight="1" x14ac:dyDescent="0.2">
      <c r="C67" s="1" t="s">
        <v>14</v>
      </c>
      <c r="D67" s="1" t="s">
        <v>47</v>
      </c>
      <c r="F67" s="1" t="s">
        <v>2</v>
      </c>
      <c r="G67" s="2"/>
      <c r="H67" s="68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2">
        <f t="shared" si="7"/>
        <v>0</v>
      </c>
    </row>
    <row r="68" spans="3:23" ht="12.75" customHeight="1" x14ac:dyDescent="0.2">
      <c r="C68" s="1" t="s">
        <v>11</v>
      </c>
      <c r="D68" s="1" t="s">
        <v>47</v>
      </c>
      <c r="F68" s="1" t="s">
        <v>48</v>
      </c>
      <c r="G68" s="2"/>
      <c r="H68" s="68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1664371.7974251066</v>
      </c>
      <c r="T68" s="6">
        <f t="shared" si="9"/>
        <v>1747590.3872963618</v>
      </c>
      <c r="U68" s="6">
        <f t="shared" si="9"/>
        <v>1834968.4018042204</v>
      </c>
      <c r="V68" s="72">
        <f t="shared" si="7"/>
        <v>5246930.5865256889</v>
      </c>
    </row>
    <row r="69" spans="3:23" ht="12.75" customHeight="1" x14ac:dyDescent="0.2">
      <c r="C69" s="1" t="s">
        <v>13</v>
      </c>
      <c r="D69" s="1" t="s">
        <v>47</v>
      </c>
      <c r="F69" s="1" t="s">
        <v>48</v>
      </c>
      <c r="G69" s="2"/>
      <c r="H69" s="68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2">
        <f t="shared" si="7"/>
        <v>0</v>
      </c>
    </row>
    <row r="70" spans="3:23" ht="12.75" customHeight="1" x14ac:dyDescent="0.2">
      <c r="C70" s="1" t="s">
        <v>14</v>
      </c>
      <c r="D70" s="1" t="s">
        <v>47</v>
      </c>
      <c r="F70" s="1" t="s">
        <v>48</v>
      </c>
      <c r="G70" s="2"/>
      <c r="H70" s="68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2">
        <f t="shared" si="7"/>
        <v>0</v>
      </c>
    </row>
    <row r="71" spans="3:23" ht="12.75" customHeight="1" x14ac:dyDescent="0.2">
      <c r="C71" s="21" t="s">
        <v>17</v>
      </c>
      <c r="D71" s="21" t="s">
        <v>47</v>
      </c>
      <c r="E71" s="103"/>
      <c r="F71" s="104"/>
      <c r="G71" s="2"/>
      <c r="H71" s="104"/>
      <c r="I71" s="106"/>
      <c r="J71" s="105"/>
      <c r="K71" s="103"/>
      <c r="L71" s="103"/>
      <c r="M71" s="103"/>
      <c r="N71" s="103"/>
      <c r="O71" s="103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1664371.7974251066</v>
      </c>
      <c r="T71" s="22">
        <f t="shared" si="10"/>
        <v>1747590.3872963618</v>
      </c>
      <c r="U71" s="22">
        <f t="shared" si="10"/>
        <v>1834968.4018042204</v>
      </c>
      <c r="V71" s="22">
        <f>SUM(V65:V70)</f>
        <v>5246930.5865256889</v>
      </c>
    </row>
    <row r="72" spans="3:23" ht="12.75" customHeight="1" x14ac:dyDescent="0.2">
      <c r="F72" s="68"/>
      <c r="G72" s="2"/>
      <c r="H72" s="68"/>
      <c r="J72" s="2"/>
      <c r="P72" s="2"/>
      <c r="Q72" s="6"/>
      <c r="R72" s="6"/>
      <c r="S72" s="6"/>
      <c r="T72" s="6"/>
      <c r="U72" s="6"/>
      <c r="V72" s="72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869399.94461614103</v>
      </c>
      <c r="R73" s="8">
        <f t="shared" ref="R73:U73" si="11">R64+R71</f>
        <v>39332520</v>
      </c>
      <c r="S73" s="8">
        <f t="shared" si="11"/>
        <v>13085011.797425106</v>
      </c>
      <c r="T73" s="8">
        <f t="shared" si="11"/>
        <v>8139030.3872963618</v>
      </c>
      <c r="U73" s="8">
        <f t="shared" si="11"/>
        <v>1834968.4018042204</v>
      </c>
      <c r="V73" s="73">
        <f t="shared" si="7"/>
        <v>63260930.531141832</v>
      </c>
    </row>
    <row r="74" spans="3:23" ht="12.75" customHeight="1" x14ac:dyDescent="0.2">
      <c r="C74" s="45" t="s">
        <v>55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12">R73-SUM(R$10:R$54)</f>
        <v>0</v>
      </c>
      <c r="S74" s="46">
        <f t="shared" si="12"/>
        <v>0</v>
      </c>
      <c r="T74" s="46">
        <f t="shared" si="12"/>
        <v>0</v>
      </c>
      <c r="U74" s="46">
        <f t="shared" si="12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5" t="str">
        <f>"NPV ($ "&amp;Assumptions!$B$12&amp;")"</f>
        <v>NPV ($ June 2024)</v>
      </c>
      <c r="D76" s="56">
        <f>NPV(Real_Discount_rate,Q73:U73)</f>
        <v>57996948.111496508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9" t="s">
        <v>6</v>
      </c>
      <c r="R79" s="69" t="s">
        <v>7</v>
      </c>
      <c r="S79" s="69" t="s">
        <v>8</v>
      </c>
      <c r="T79" s="69" t="s">
        <v>9</v>
      </c>
      <c r="U79" s="69" t="s">
        <v>10</v>
      </c>
      <c r="V79" s="114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2</v>
      </c>
      <c r="G80" s="2"/>
      <c r="H80" s="66"/>
      <c r="I80" s="67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0</v>
      </c>
      <c r="R80" s="25">
        <f t="shared" si="13"/>
        <v>0</v>
      </c>
      <c r="S80" s="25">
        <f t="shared" si="13"/>
        <v>0</v>
      </c>
      <c r="T80" s="25">
        <f t="shared" si="13"/>
        <v>0</v>
      </c>
      <c r="U80" s="25">
        <f t="shared" si="13"/>
        <v>0</v>
      </c>
      <c r="V80" s="72">
        <f t="shared" ref="V80:V81" si="14">SUM(Q80:U80)</f>
        <v>0</v>
      </c>
    </row>
    <row r="81" spans="3:23" ht="12.75" customHeight="1" x14ac:dyDescent="0.2">
      <c r="D81" s="1" t="s">
        <v>47</v>
      </c>
      <c r="F81" s="1" t="s">
        <v>2</v>
      </c>
      <c r="G81" s="2"/>
      <c r="J81" s="2"/>
      <c r="P81" s="2"/>
      <c r="Q81" s="113">
        <f t="shared" si="13"/>
        <v>0</v>
      </c>
      <c r="R81" s="113">
        <f t="shared" si="13"/>
        <v>0</v>
      </c>
      <c r="S81" s="113">
        <f t="shared" si="13"/>
        <v>0</v>
      </c>
      <c r="T81" s="113">
        <f t="shared" si="13"/>
        <v>0</v>
      </c>
      <c r="U81" s="113">
        <f t="shared" si="13"/>
        <v>0</v>
      </c>
      <c r="V81" s="72">
        <f t="shared" si="14"/>
        <v>0</v>
      </c>
    </row>
    <row r="82" spans="3:23" ht="12.75" customHeight="1" x14ac:dyDescent="0.2">
      <c r="C82" s="21" t="s">
        <v>56</v>
      </c>
      <c r="D82" s="21"/>
      <c r="E82" s="103"/>
      <c r="F82" s="104"/>
      <c r="G82" s="2"/>
      <c r="H82" s="104"/>
      <c r="I82" s="106"/>
      <c r="J82" s="105"/>
      <c r="K82" s="103"/>
      <c r="L82" s="103"/>
      <c r="M82" s="103"/>
      <c r="N82" s="103"/>
      <c r="O82" s="103"/>
      <c r="P82" s="2"/>
      <c r="Q82" s="22">
        <f>SUM(Q80:Q81)</f>
        <v>0</v>
      </c>
      <c r="R82" s="22">
        <f t="shared" ref="R82:V82" si="15">SUM(R80:R81)</f>
        <v>0</v>
      </c>
      <c r="S82" s="22">
        <f t="shared" si="15"/>
        <v>0</v>
      </c>
      <c r="T82" s="22">
        <f t="shared" si="15"/>
        <v>0</v>
      </c>
      <c r="U82" s="22">
        <f t="shared" si="15"/>
        <v>0</v>
      </c>
      <c r="V82" s="22">
        <f t="shared" si="15"/>
        <v>0</v>
      </c>
    </row>
    <row r="83" spans="3:23" ht="12.75" customHeight="1" x14ac:dyDescent="0.2">
      <c r="C83" s="4"/>
      <c r="D83" s="1" t="s">
        <v>50</v>
      </c>
      <c r="F83" s="1" t="s">
        <v>48</v>
      </c>
      <c r="G83" s="2"/>
      <c r="H83" s="68"/>
      <c r="J83" s="2"/>
      <c r="P83" s="2"/>
      <c r="Q83" s="6">
        <f t="shared" ref="Q83:U84" si="16">SUMIFS(Q$10:Q$54,$D$10:$D$54,$D83,$F$10:$F$54,$F83)</f>
        <v>869399.94461614103</v>
      </c>
      <c r="R83" s="6">
        <f t="shared" si="16"/>
        <v>39332520</v>
      </c>
      <c r="S83" s="6">
        <f t="shared" si="16"/>
        <v>11420640</v>
      </c>
      <c r="T83" s="6">
        <f t="shared" si="16"/>
        <v>6391440</v>
      </c>
      <c r="U83" s="6">
        <f t="shared" si="16"/>
        <v>0</v>
      </c>
      <c r="V83" s="72">
        <f t="shared" ref="V83:V84" si="17">SUM(Q83:U83)</f>
        <v>58013999.944616139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8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1664371.7974251066</v>
      </c>
      <c r="T84" s="6">
        <f t="shared" si="16"/>
        <v>1747590.3872963618</v>
      </c>
      <c r="U84" s="6">
        <f t="shared" si="16"/>
        <v>1834968.4018042204</v>
      </c>
      <c r="V84" s="72">
        <f t="shared" si="17"/>
        <v>5246930.5865256889</v>
      </c>
    </row>
    <row r="85" spans="3:23" ht="12.75" customHeight="1" x14ac:dyDescent="0.2">
      <c r="C85" s="21" t="s">
        <v>57</v>
      </c>
      <c r="D85" s="21"/>
      <c r="E85" s="103"/>
      <c r="F85" s="104"/>
      <c r="G85" s="2"/>
      <c r="H85" s="104"/>
      <c r="I85" s="106"/>
      <c r="J85" s="105"/>
      <c r="K85" s="103"/>
      <c r="L85" s="103"/>
      <c r="M85" s="103"/>
      <c r="N85" s="103"/>
      <c r="O85" s="103"/>
      <c r="P85" s="2"/>
      <c r="Q85" s="22">
        <f>SUM(Q83:Q84)</f>
        <v>869399.94461614103</v>
      </c>
      <c r="R85" s="22">
        <f t="shared" ref="R85:V85" si="18">SUM(R83:R84)</f>
        <v>39332520</v>
      </c>
      <c r="S85" s="22">
        <f t="shared" si="18"/>
        <v>13085011.797425106</v>
      </c>
      <c r="T85" s="22">
        <f t="shared" si="18"/>
        <v>8139030.3872963618</v>
      </c>
      <c r="U85" s="22">
        <f t="shared" si="18"/>
        <v>1834968.4018042204</v>
      </c>
      <c r="V85" s="22">
        <f t="shared" si="18"/>
        <v>63260930.531141825</v>
      </c>
    </row>
    <row r="86" spans="3:23" ht="12.75" customHeight="1" x14ac:dyDescent="0.2">
      <c r="C86" s="4"/>
      <c r="D86" s="4"/>
      <c r="F86" s="68"/>
      <c r="G86" s="2"/>
      <c r="H86" s="68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869399.94461614103</v>
      </c>
      <c r="R87" s="8">
        <f t="shared" ref="R87:U87" si="19">R82+R85</f>
        <v>39332520</v>
      </c>
      <c r="S87" s="8">
        <f t="shared" si="19"/>
        <v>13085011.797425106</v>
      </c>
      <c r="T87" s="8">
        <f t="shared" si="19"/>
        <v>8139030.3872963618</v>
      </c>
      <c r="U87" s="8">
        <f t="shared" si="19"/>
        <v>1834968.4018042204</v>
      </c>
      <c r="V87" s="73">
        <f t="shared" ref="V87" si="20">SUM(Q87:U87)</f>
        <v>63260930.531141832</v>
      </c>
    </row>
    <row r="88" spans="3:23" ht="12.75" customHeight="1" x14ac:dyDescent="0.2">
      <c r="C88" s="45" t="s">
        <v>55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21">R87-SUM(R$10:R$54)</f>
        <v>0</v>
      </c>
      <c r="S88" s="46">
        <f t="shared" si="21"/>
        <v>0</v>
      </c>
      <c r="T88" s="46">
        <f t="shared" si="21"/>
        <v>0</v>
      </c>
      <c r="U88" s="46">
        <f t="shared" si="21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6"/>
      <c r="D89" s="116"/>
      <c r="E89" s="116"/>
      <c r="F89" s="116"/>
      <c r="G89" s="2"/>
      <c r="H89" s="116"/>
      <c r="I89" s="116"/>
      <c r="J89" s="2"/>
      <c r="K89" s="116"/>
      <c r="L89" s="116"/>
      <c r="M89" s="116"/>
      <c r="N89" s="116"/>
      <c r="O89" s="116"/>
      <c r="P89" s="2"/>
      <c r="Q89" s="117"/>
      <c r="R89" s="117"/>
      <c r="S89" s="117"/>
      <c r="T89" s="117"/>
      <c r="U89" s="117"/>
      <c r="V89" s="117"/>
      <c r="W89" s="117"/>
    </row>
    <row r="90" spans="3:23" ht="12.75" customHeight="1" x14ac:dyDescent="0.2">
      <c r="C90" s="116"/>
      <c r="D90" s="116"/>
      <c r="E90" s="116"/>
      <c r="F90" s="116"/>
      <c r="G90" s="2"/>
      <c r="H90" s="116"/>
      <c r="I90" s="116"/>
      <c r="J90" s="2"/>
      <c r="K90" s="116"/>
      <c r="L90" s="116"/>
      <c r="M90" s="116"/>
      <c r="N90" s="116"/>
      <c r="O90" s="116"/>
      <c r="P90" s="2"/>
      <c r="Q90" s="117"/>
      <c r="R90" s="117"/>
      <c r="S90" s="117"/>
      <c r="T90" s="117"/>
      <c r="U90" s="117"/>
      <c r="V90" s="117"/>
      <c r="W90" s="117"/>
    </row>
    <row r="91" spans="3:23" ht="12.75" customHeight="1" x14ac:dyDescent="0.2">
      <c r="C91" s="116"/>
      <c r="D91" s="116"/>
      <c r="E91" s="116"/>
      <c r="F91" s="116"/>
      <c r="G91" s="2"/>
      <c r="H91" s="116"/>
      <c r="I91" s="116"/>
      <c r="J91" s="2"/>
      <c r="K91" s="116"/>
      <c r="L91" s="116"/>
      <c r="M91" s="116"/>
      <c r="N91" s="116"/>
      <c r="O91" s="116"/>
      <c r="P91" s="2"/>
      <c r="Q91" s="117"/>
      <c r="R91" s="117"/>
      <c r="S91" s="117"/>
      <c r="T91" s="117"/>
      <c r="U91" s="117"/>
      <c r="V91" s="117"/>
      <c r="W91" s="117"/>
    </row>
    <row r="92" spans="3:23" ht="12.75" customHeight="1" x14ac:dyDescent="0.2">
      <c r="C92" s="76" t="s">
        <v>58</v>
      </c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69" t="s">
        <v>0</v>
      </c>
    </row>
    <row r="93" spans="3:23" ht="12.75" customHeight="1" x14ac:dyDescent="0.2">
      <c r="C93" s="24" t="s">
        <v>11</v>
      </c>
      <c r="D93" s="24" t="s">
        <v>50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0</v>
      </c>
      <c r="R93" s="34">
        <f t="shared" si="22"/>
        <v>0</v>
      </c>
      <c r="S93" s="34">
        <f t="shared" si="22"/>
        <v>0</v>
      </c>
      <c r="T93" s="34">
        <f t="shared" si="22"/>
        <v>0</v>
      </c>
      <c r="U93" s="34">
        <f t="shared" si="22"/>
        <v>0</v>
      </c>
      <c r="V93" s="71">
        <f>SUM(Q93:U93)</f>
        <v>0</v>
      </c>
    </row>
    <row r="94" spans="3:23" ht="12.75" customHeight="1" x14ac:dyDescent="0.2">
      <c r="C94" s="1" t="s">
        <v>13</v>
      </c>
      <c r="D94" s="1" t="s">
        <v>50</v>
      </c>
      <c r="F94" s="1" t="s">
        <v>2</v>
      </c>
      <c r="G94" s="2"/>
      <c r="H94" s="68"/>
      <c r="J94" s="2"/>
      <c r="P94" s="2"/>
      <c r="Q94" s="6">
        <f t="shared" si="22"/>
        <v>0</v>
      </c>
      <c r="R94" s="6">
        <f t="shared" si="22"/>
        <v>0</v>
      </c>
      <c r="S94" s="6">
        <f t="shared" si="22"/>
        <v>0</v>
      </c>
      <c r="T94" s="6">
        <f t="shared" si="22"/>
        <v>0</v>
      </c>
      <c r="U94" s="6">
        <f t="shared" si="22"/>
        <v>0</v>
      </c>
      <c r="V94" s="72">
        <f t="shared" ref="V94:V108" si="23">SUM(Q94:U94)</f>
        <v>0</v>
      </c>
    </row>
    <row r="95" spans="3:23" ht="12.75" customHeight="1" x14ac:dyDescent="0.2">
      <c r="C95" s="1" t="s">
        <v>14</v>
      </c>
      <c r="D95" s="1" t="s">
        <v>50</v>
      </c>
      <c r="F95" s="1" t="s">
        <v>2</v>
      </c>
      <c r="G95" s="2"/>
      <c r="H95" s="68"/>
      <c r="J95" s="2"/>
      <c r="P95" s="2"/>
      <c r="Q95" s="6">
        <f t="shared" si="22"/>
        <v>0</v>
      </c>
      <c r="R95" s="6">
        <f t="shared" si="22"/>
        <v>0</v>
      </c>
      <c r="S95" s="6">
        <f t="shared" si="22"/>
        <v>0</v>
      </c>
      <c r="T95" s="6">
        <f t="shared" si="22"/>
        <v>0</v>
      </c>
      <c r="U95" s="6">
        <f t="shared" si="22"/>
        <v>0</v>
      </c>
      <c r="V95" s="72">
        <f t="shared" si="23"/>
        <v>0</v>
      </c>
    </row>
    <row r="96" spans="3:23" ht="12.75" customHeight="1" x14ac:dyDescent="0.2">
      <c r="C96" s="1" t="s">
        <v>11</v>
      </c>
      <c r="D96" s="1" t="s">
        <v>50</v>
      </c>
      <c r="F96" s="1" t="s">
        <v>48</v>
      </c>
      <c r="G96" s="2"/>
      <c r="H96" s="68"/>
      <c r="J96" s="2"/>
      <c r="P96" s="2"/>
      <c r="Q96" s="6">
        <f t="shared" si="22"/>
        <v>967566.19315719197</v>
      </c>
      <c r="R96" s="6">
        <f t="shared" si="22"/>
        <v>30229534.274796657</v>
      </c>
      <c r="S96" s="6">
        <f t="shared" si="22"/>
        <v>8735741.0432882905</v>
      </c>
      <c r="T96" s="6">
        <f t="shared" si="22"/>
        <v>4616673.2728770394</v>
      </c>
      <c r="U96" s="6">
        <f t="shared" si="22"/>
        <v>0</v>
      </c>
      <c r="V96" s="6">
        <f t="shared" si="23"/>
        <v>44549514.784119174</v>
      </c>
    </row>
    <row r="97" spans="3:23" ht="12.75" customHeight="1" x14ac:dyDescent="0.2">
      <c r="C97" s="1" t="s">
        <v>13</v>
      </c>
      <c r="D97" s="1" t="s">
        <v>50</v>
      </c>
      <c r="F97" s="1" t="s">
        <v>48</v>
      </c>
      <c r="G97" s="2"/>
      <c r="H97" s="68"/>
      <c r="J97" s="2"/>
      <c r="P97" s="2"/>
      <c r="Q97" s="6">
        <f t="shared" si="22"/>
        <v>0</v>
      </c>
      <c r="R97" s="6">
        <f t="shared" si="22"/>
        <v>10034843.975450383</v>
      </c>
      <c r="S97" s="6">
        <f t="shared" si="22"/>
        <v>3068967.9137584069</v>
      </c>
      <c r="T97" s="6">
        <f t="shared" si="22"/>
        <v>2254850.0546517381</v>
      </c>
      <c r="U97" s="6">
        <f t="shared" si="22"/>
        <v>0</v>
      </c>
      <c r="V97" s="6">
        <f t="shared" si="23"/>
        <v>15358661.943860527</v>
      </c>
    </row>
    <row r="98" spans="3:23" ht="12.75" customHeight="1" x14ac:dyDescent="0.2">
      <c r="C98" s="1" t="s">
        <v>14</v>
      </c>
      <c r="D98" s="1" t="s">
        <v>50</v>
      </c>
      <c r="F98" s="1" t="s">
        <v>48</v>
      </c>
      <c r="G98" s="2"/>
      <c r="H98" s="68"/>
      <c r="J98" s="2"/>
      <c r="P98" s="2"/>
      <c r="Q98" s="6">
        <f t="shared" si="22"/>
        <v>0</v>
      </c>
      <c r="R98" s="6">
        <f t="shared" si="22"/>
        <v>3509280.6731866691</v>
      </c>
      <c r="S98" s="6">
        <f t="shared" si="22"/>
        <v>905465.72912454302</v>
      </c>
      <c r="T98" s="6">
        <f t="shared" si="22"/>
        <v>241591.07728411478</v>
      </c>
      <c r="U98" s="6">
        <f t="shared" si="22"/>
        <v>0</v>
      </c>
      <c r="V98" s="6">
        <f t="shared" si="23"/>
        <v>4656337.4795953268</v>
      </c>
    </row>
    <row r="99" spans="3:23" ht="12.75" customHeight="1" x14ac:dyDescent="0.2">
      <c r="C99" s="21" t="s">
        <v>15</v>
      </c>
      <c r="D99" s="21" t="s">
        <v>50</v>
      </c>
      <c r="E99" s="103"/>
      <c r="F99" s="104"/>
      <c r="G99" s="105"/>
      <c r="H99" s="104"/>
      <c r="I99" s="106"/>
      <c r="J99" s="105"/>
      <c r="K99" s="103"/>
      <c r="L99" s="103"/>
      <c r="M99" s="103"/>
      <c r="N99" s="103"/>
      <c r="O99" s="103"/>
      <c r="P99" s="105"/>
      <c r="Q99" s="22">
        <f>SUM(Q93:Q98)</f>
        <v>967566.19315719197</v>
      </c>
      <c r="R99" s="22">
        <f t="shared" ref="R99:U99" si="24">SUM(R93:R98)</f>
        <v>43773658.923433706</v>
      </c>
      <c r="S99" s="22">
        <f t="shared" si="24"/>
        <v>12710174.686171239</v>
      </c>
      <c r="T99" s="22">
        <f t="shared" si="24"/>
        <v>7113114.404812892</v>
      </c>
      <c r="U99" s="22">
        <f t="shared" si="24"/>
        <v>0</v>
      </c>
      <c r="V99" s="22">
        <f>SUM(V93:V98)</f>
        <v>64564514.207575031</v>
      </c>
    </row>
    <row r="100" spans="3:23" ht="12.75" customHeight="1" x14ac:dyDescent="0.2">
      <c r="C100" s="1" t="s">
        <v>11</v>
      </c>
      <c r="D100" s="1" t="s">
        <v>47</v>
      </c>
      <c r="F100" s="1" t="s">
        <v>2</v>
      </c>
      <c r="G100" s="2"/>
      <c r="H100" s="68"/>
      <c r="J100" s="2"/>
      <c r="P100" s="2"/>
      <c r="Q100" s="118">
        <f t="shared" ref="Q100:U105" si="25">Q65*business_case_dollars</f>
        <v>0</v>
      </c>
      <c r="R100" s="118">
        <f t="shared" si="25"/>
        <v>0</v>
      </c>
      <c r="S100" s="118">
        <f t="shared" si="25"/>
        <v>0</v>
      </c>
      <c r="T100" s="118">
        <f t="shared" si="25"/>
        <v>0</v>
      </c>
      <c r="U100" s="118">
        <f t="shared" si="25"/>
        <v>0</v>
      </c>
      <c r="V100" s="72">
        <f>SUM(Q100:U100)</f>
        <v>0</v>
      </c>
    </row>
    <row r="101" spans="3:23" ht="12.75" customHeight="1" x14ac:dyDescent="0.2">
      <c r="C101" s="1" t="s">
        <v>13</v>
      </c>
      <c r="D101" s="1" t="s">
        <v>47</v>
      </c>
      <c r="F101" s="1" t="s">
        <v>2</v>
      </c>
      <c r="G101" s="2"/>
      <c r="H101" s="68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2">
        <f t="shared" ref="V101:V105" si="26">SUM(Q101:U101)</f>
        <v>0</v>
      </c>
    </row>
    <row r="102" spans="3:23" ht="12.75" customHeight="1" x14ac:dyDescent="0.2">
      <c r="C102" s="1" t="s">
        <v>14</v>
      </c>
      <c r="D102" s="1" t="s">
        <v>47</v>
      </c>
      <c r="F102" s="1" t="s">
        <v>2</v>
      </c>
      <c r="G102" s="2"/>
      <c r="H102" s="68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2">
        <f t="shared" si="26"/>
        <v>0</v>
      </c>
    </row>
    <row r="103" spans="3:23" ht="12.75" customHeight="1" x14ac:dyDescent="0.2">
      <c r="C103" s="1" t="s">
        <v>11</v>
      </c>
      <c r="D103" s="1" t="s">
        <v>47</v>
      </c>
      <c r="F103" s="1" t="s">
        <v>48</v>
      </c>
      <c r="G103" s="2"/>
      <c r="H103" s="68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1852300.4216935229</v>
      </c>
      <c r="T103" s="6">
        <f t="shared" si="25"/>
        <v>1944915.442778199</v>
      </c>
      <c r="U103" s="6">
        <f t="shared" si="25"/>
        <v>2042159.5401427676</v>
      </c>
      <c r="V103" s="6">
        <f t="shared" si="26"/>
        <v>5839375.4046144895</v>
      </c>
    </row>
    <row r="104" spans="3:23" ht="12.75" customHeight="1" x14ac:dyDescent="0.2">
      <c r="C104" s="1" t="s">
        <v>13</v>
      </c>
      <c r="D104" s="1" t="s">
        <v>47</v>
      </c>
      <c r="F104" s="1" t="s">
        <v>48</v>
      </c>
      <c r="G104" s="2"/>
      <c r="H104" s="68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14</v>
      </c>
      <c r="D105" s="1" t="s">
        <v>47</v>
      </c>
      <c r="F105" s="1" t="s">
        <v>48</v>
      </c>
      <c r="G105" s="2"/>
      <c r="H105" s="68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17</v>
      </c>
      <c r="D106" s="21" t="s">
        <v>47</v>
      </c>
      <c r="E106" s="103"/>
      <c r="F106" s="104"/>
      <c r="G106" s="105"/>
      <c r="H106" s="104"/>
      <c r="I106" s="106"/>
      <c r="J106" s="105"/>
      <c r="K106" s="103"/>
      <c r="L106" s="103"/>
      <c r="M106" s="103"/>
      <c r="N106" s="103"/>
      <c r="O106" s="103"/>
      <c r="P106" s="105"/>
      <c r="Q106" s="22">
        <f>SUM(Q100:Q105)</f>
        <v>0</v>
      </c>
      <c r="R106" s="22">
        <f t="shared" ref="R106:V106" si="27">SUM(R100:R105)</f>
        <v>0</v>
      </c>
      <c r="S106" s="22">
        <f t="shared" si="27"/>
        <v>1852300.4216935229</v>
      </c>
      <c r="T106" s="22">
        <f t="shared" si="27"/>
        <v>1944915.442778199</v>
      </c>
      <c r="U106" s="22">
        <f t="shared" si="27"/>
        <v>2042159.5401427676</v>
      </c>
      <c r="V106" s="22">
        <f t="shared" si="27"/>
        <v>5839375.4046144895</v>
      </c>
    </row>
    <row r="107" spans="3:23" ht="12.75" customHeight="1" x14ac:dyDescent="0.2">
      <c r="G107" s="2"/>
      <c r="H107" s="68"/>
      <c r="J107" s="2"/>
      <c r="P107" s="2"/>
      <c r="Q107" s="6"/>
      <c r="R107" s="6"/>
      <c r="S107" s="6"/>
      <c r="T107" s="6"/>
      <c r="U107" s="6"/>
      <c r="V107" s="72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967566.19315719197</v>
      </c>
      <c r="R108" s="8">
        <f t="shared" ref="R108:U108" si="28">R99+R106</f>
        <v>43773658.923433706</v>
      </c>
      <c r="S108" s="8">
        <f t="shared" si="28"/>
        <v>14562475.107864762</v>
      </c>
      <c r="T108" s="8">
        <f t="shared" si="28"/>
        <v>9058029.8475910909</v>
      </c>
      <c r="U108" s="8">
        <f t="shared" si="28"/>
        <v>2042159.5401427676</v>
      </c>
      <c r="V108" s="73">
        <f t="shared" si="23"/>
        <v>70403889.612189516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5" t="str">
        <f>"NPV ($ "&amp;Assumptions!$C$35&amp;")"</f>
        <v>NPV ($ June 2026)</v>
      </c>
      <c r="D110" s="56">
        <f>NPV(Real_Discount_rate,Q108:U108)</f>
        <v>64545537.006851606</v>
      </c>
      <c r="G110" s="2"/>
      <c r="J110" s="2"/>
      <c r="P110" s="2"/>
      <c r="Q110" s="52"/>
      <c r="R110" s="52"/>
      <c r="S110" s="52"/>
      <c r="T110" s="52"/>
      <c r="U110" s="52"/>
    </row>
    <row r="113" spans="3:23" x14ac:dyDescent="0.2">
      <c r="C113" s="4" t="s">
        <v>54</v>
      </c>
      <c r="F113" s="3"/>
      <c r="G113" s="2"/>
      <c r="J113" s="2"/>
      <c r="P113" s="2"/>
      <c r="Q113" s="69" t="s">
        <v>6</v>
      </c>
      <c r="R113" s="69" t="s">
        <v>7</v>
      </c>
      <c r="S113" s="69" t="s">
        <v>8</v>
      </c>
      <c r="T113" s="69" t="s">
        <v>9</v>
      </c>
      <c r="U113" s="69" t="s">
        <v>10</v>
      </c>
      <c r="V113" s="114" t="s">
        <v>0</v>
      </c>
    </row>
    <row r="114" spans="3:23" x14ac:dyDescent="0.2">
      <c r="C114" s="24"/>
      <c r="D114" s="24" t="s">
        <v>50</v>
      </c>
      <c r="E114" s="24"/>
      <c r="F114" s="24" t="s">
        <v>2</v>
      </c>
      <c r="G114" s="2"/>
      <c r="H114" s="66"/>
      <c r="I114" s="67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0</v>
      </c>
      <c r="R114" s="25">
        <f t="shared" si="29"/>
        <v>0</v>
      </c>
      <c r="S114" s="25">
        <f t="shared" si="29"/>
        <v>0</v>
      </c>
      <c r="T114" s="25">
        <f t="shared" si="29"/>
        <v>0</v>
      </c>
      <c r="U114" s="25">
        <f t="shared" si="29"/>
        <v>0</v>
      </c>
      <c r="V114" s="72">
        <f t="shared" ref="V114:V115" si="30">SUM(Q114:U114)</f>
        <v>0</v>
      </c>
    </row>
    <row r="115" spans="3:23" x14ac:dyDescent="0.2">
      <c r="D115" s="1" t="s">
        <v>47</v>
      </c>
      <c r="F115" s="1" t="s">
        <v>2</v>
      </c>
      <c r="G115" s="2"/>
      <c r="J115" s="2"/>
      <c r="P115" s="2"/>
      <c r="Q115" s="113">
        <f t="shared" si="29"/>
        <v>0</v>
      </c>
      <c r="R115" s="113">
        <f t="shared" si="29"/>
        <v>0</v>
      </c>
      <c r="S115" s="113">
        <f t="shared" si="29"/>
        <v>0</v>
      </c>
      <c r="T115" s="113">
        <f t="shared" si="29"/>
        <v>0</v>
      </c>
      <c r="U115" s="113">
        <f t="shared" si="29"/>
        <v>0</v>
      </c>
      <c r="V115" s="72">
        <f t="shared" si="30"/>
        <v>0</v>
      </c>
    </row>
    <row r="116" spans="3:23" x14ac:dyDescent="0.2">
      <c r="C116" s="21" t="s">
        <v>56</v>
      </c>
      <c r="D116" s="21"/>
      <c r="E116" s="103"/>
      <c r="F116" s="104"/>
      <c r="G116" s="2"/>
      <c r="H116" s="104"/>
      <c r="I116" s="106"/>
      <c r="J116" s="105"/>
      <c r="K116" s="103"/>
      <c r="L116" s="103"/>
      <c r="M116" s="103"/>
      <c r="N116" s="103"/>
      <c r="O116" s="103"/>
      <c r="P116" s="2"/>
      <c r="Q116" s="22">
        <f>SUM(Q114:Q115)</f>
        <v>0</v>
      </c>
      <c r="R116" s="22">
        <f t="shared" ref="R116:V116" si="31">SUM(R114:R115)</f>
        <v>0</v>
      </c>
      <c r="S116" s="22">
        <f t="shared" si="31"/>
        <v>0</v>
      </c>
      <c r="T116" s="22">
        <f t="shared" si="31"/>
        <v>0</v>
      </c>
      <c r="U116" s="22">
        <f t="shared" si="31"/>
        <v>0</v>
      </c>
      <c r="V116" s="22">
        <f t="shared" si="31"/>
        <v>0</v>
      </c>
    </row>
    <row r="117" spans="3:23" x14ac:dyDescent="0.2">
      <c r="C117" s="4"/>
      <c r="D117" s="1" t="s">
        <v>50</v>
      </c>
      <c r="F117" s="1" t="s">
        <v>48</v>
      </c>
      <c r="G117" s="2"/>
      <c r="H117" s="68"/>
      <c r="J117" s="2"/>
      <c r="P117" s="2"/>
      <c r="Q117" s="6">
        <f t="shared" ref="Q117:U118" si="32">Q83*business_case_dollars</f>
        <v>967566.19315719197</v>
      </c>
      <c r="R117" s="6">
        <f t="shared" si="32"/>
        <v>43773658.923433714</v>
      </c>
      <c r="S117" s="6">
        <f t="shared" si="32"/>
        <v>12710174.686171239</v>
      </c>
      <c r="T117" s="6">
        <f t="shared" si="32"/>
        <v>7113114.404812892</v>
      </c>
      <c r="U117" s="6">
        <f t="shared" si="32"/>
        <v>0</v>
      </c>
      <c r="V117" s="72">
        <f t="shared" ref="V117:V118" si="33">SUM(Q117:U117)</f>
        <v>64564514.207575038</v>
      </c>
    </row>
    <row r="118" spans="3:23" x14ac:dyDescent="0.2">
      <c r="C118" s="4"/>
      <c r="D118" s="1" t="s">
        <v>47</v>
      </c>
      <c r="F118" s="1" t="s">
        <v>48</v>
      </c>
      <c r="G118" s="2"/>
      <c r="H118" s="68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1852300.4216935229</v>
      </c>
      <c r="T118" s="6">
        <f t="shared" si="32"/>
        <v>1944915.442778199</v>
      </c>
      <c r="U118" s="6">
        <f t="shared" si="32"/>
        <v>2042159.5401427676</v>
      </c>
      <c r="V118" s="72">
        <f t="shared" si="33"/>
        <v>5839375.4046144895</v>
      </c>
    </row>
    <row r="119" spans="3:23" x14ac:dyDescent="0.2">
      <c r="C119" s="21" t="s">
        <v>57</v>
      </c>
      <c r="D119" s="21"/>
      <c r="E119" s="103"/>
      <c r="F119" s="104"/>
      <c r="G119" s="2"/>
      <c r="H119" s="104"/>
      <c r="I119" s="106"/>
      <c r="J119" s="105"/>
      <c r="K119" s="103"/>
      <c r="L119" s="103"/>
      <c r="M119" s="103"/>
      <c r="N119" s="103"/>
      <c r="O119" s="103"/>
      <c r="P119" s="2"/>
      <c r="Q119" s="22">
        <f>SUM(Q117:Q118)</f>
        <v>967566.19315719197</v>
      </c>
      <c r="R119" s="22">
        <f t="shared" ref="R119:V119" si="34">SUM(R117:R118)</f>
        <v>43773658.923433714</v>
      </c>
      <c r="S119" s="22">
        <f t="shared" si="34"/>
        <v>14562475.107864762</v>
      </c>
      <c r="T119" s="22">
        <f t="shared" si="34"/>
        <v>9058029.8475910909</v>
      </c>
      <c r="U119" s="22">
        <f t="shared" si="34"/>
        <v>2042159.5401427676</v>
      </c>
      <c r="V119" s="22">
        <f t="shared" si="34"/>
        <v>70403889.612189531</v>
      </c>
    </row>
    <row r="120" spans="3:23" x14ac:dyDescent="0.2">
      <c r="C120" s="4"/>
      <c r="D120" s="4"/>
      <c r="F120" s="68"/>
      <c r="G120" s="2"/>
      <c r="H120" s="68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967566.19315719197</v>
      </c>
      <c r="R121" s="8">
        <f t="shared" ref="R121:U121" si="35">R116+R119</f>
        <v>43773658.923433714</v>
      </c>
      <c r="S121" s="8">
        <f t="shared" si="35"/>
        <v>14562475.107864762</v>
      </c>
      <c r="T121" s="8">
        <f t="shared" si="35"/>
        <v>9058029.8475910909</v>
      </c>
      <c r="U121" s="8">
        <f t="shared" si="35"/>
        <v>2042159.5401427676</v>
      </c>
      <c r="V121" s="73">
        <f t="shared" ref="V121" si="36">SUM(Q121:U121)</f>
        <v>70403889.612189531</v>
      </c>
    </row>
    <row r="122" spans="3:23" x14ac:dyDescent="0.2">
      <c r="C122" s="45" t="s">
        <v>55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12" priority="11">
      <formula>$E10="Contracts"</formula>
    </cfRule>
    <cfRule type="expression" dxfId="11" priority="12">
      <formula>$E10="Materials"</formula>
    </cfRule>
    <cfRule type="expression" dxfId="10" priority="13">
      <formula>$E10="Labour"</formula>
    </cfRule>
  </conditionalFormatting>
  <conditionalFormatting sqref="Q74:V74">
    <cfRule type="expression" dxfId="9" priority="7">
      <formula>ABS(Q74)&gt;0.001</formula>
    </cfRule>
  </conditionalFormatting>
  <conditionalFormatting sqref="Q88:V91">
    <cfRule type="expression" dxfId="8" priority="4">
      <formula>ABS(Q88)&gt;0.001</formula>
    </cfRule>
  </conditionalFormatting>
  <conditionalFormatting sqref="Q109:V109">
    <cfRule type="expression" dxfId="7" priority="8">
      <formula>ABS(Q109)&gt;0.001</formula>
    </cfRule>
  </conditionalFormatting>
  <conditionalFormatting sqref="Q122:V122">
    <cfRule type="expression" dxfId="6" priority="1">
      <formula>ABS(Q122)&gt;0.001</formula>
    </cfRule>
  </conditionalFormatting>
  <conditionalFormatting sqref="W74">
    <cfRule type="expression" dxfId="5" priority="17">
      <formula>ABS(W74)&gt;0.001</formula>
    </cfRule>
  </conditionalFormatting>
  <conditionalFormatting sqref="W88:W91">
    <cfRule type="expression" dxfId="4" priority="5">
      <formula>ABS(W88)&gt;0.001</formula>
    </cfRule>
  </conditionalFormatting>
  <conditionalFormatting sqref="W109">
    <cfRule type="expression" dxfId="3" priority="9">
      <formula>ABS(W109)&gt;0.001</formula>
    </cfRule>
  </conditionalFormatting>
  <conditionalFormatting sqref="W122">
    <cfRule type="expression" dxfId="2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Powercor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2025-01-22T05:35:02Z</dcterms:created>
  <dcterms:modified xsi:type="dcterms:W3CDTF">2025-01-22T05:39:49Z</dcterms:modified>
  <cp:category/>
  <cp:contentStatus/>
</cp:coreProperties>
</file>