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361A7C2E-BBA6-4B23-A611-C28DF83C0B11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4" r:id="rId1"/>
    <sheet name="Powercor summary" sheetId="92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  <sheet name="Option 4" sheetId="93" r:id="rId8"/>
  </sheets>
  <definedNames>
    <definedName name="Business">Assumptions!$B$8</definedName>
    <definedName name="business_case_dollars">Assumptions!$C$41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1'!$R$8:$V$8</definedName>
    <definedName name="years" localSheetId="5">'Option 2'!$R$8:$V$8</definedName>
    <definedName name="years" localSheetId="6">'Option 3'!$R$8:$V$8</definedName>
    <definedName name="years" localSheetId="7">'Option 4'!$R$8:$V$8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4" l="1" a="1"/>
  <c r="D6" i="94" s="1"/>
  <c r="C5" i="94" a="1"/>
  <c r="C5" i="94" s="1"/>
  <c r="D47" i="92" l="1"/>
  <c r="D36" i="92"/>
  <c r="D25" i="92"/>
  <c r="L23" i="89" l="1"/>
  <c r="L12" i="90"/>
  <c r="C65" i="82" l="1"/>
  <c r="J55" i="82"/>
  <c r="I55" i="82"/>
  <c r="H55" i="82"/>
  <c r="G55" i="82"/>
  <c r="F55" i="82"/>
  <c r="C137" i="93"/>
  <c r="C126" i="93"/>
  <c r="C124" i="93"/>
  <c r="C103" i="93"/>
  <c r="C92" i="93"/>
  <c r="C89" i="93"/>
  <c r="V86" i="93"/>
  <c r="U86" i="93"/>
  <c r="T86" i="93"/>
  <c r="S86" i="93"/>
  <c r="R86" i="93"/>
  <c r="V81" i="93"/>
  <c r="U81" i="93"/>
  <c r="T81" i="93"/>
  <c r="S81" i="93"/>
  <c r="R81" i="93"/>
  <c r="V77" i="93"/>
  <c r="U77" i="93"/>
  <c r="T77" i="93"/>
  <c r="S77" i="93"/>
  <c r="R77" i="93"/>
  <c r="V70" i="93"/>
  <c r="U70" i="93"/>
  <c r="T70" i="93"/>
  <c r="S70" i="93"/>
  <c r="R70" i="93"/>
  <c r="J70" i="93"/>
  <c r="I70" i="93"/>
  <c r="V69" i="93"/>
  <c r="U69" i="93"/>
  <c r="T69" i="93"/>
  <c r="S69" i="93"/>
  <c r="R69" i="93"/>
  <c r="J69" i="93"/>
  <c r="I69" i="93"/>
  <c r="V68" i="93"/>
  <c r="U68" i="93"/>
  <c r="T68" i="93"/>
  <c r="S68" i="93"/>
  <c r="R68" i="93"/>
  <c r="J68" i="93"/>
  <c r="I68" i="93"/>
  <c r="V67" i="93"/>
  <c r="U67" i="93"/>
  <c r="T67" i="93"/>
  <c r="S67" i="93"/>
  <c r="R67" i="93"/>
  <c r="J67" i="93"/>
  <c r="I67" i="93"/>
  <c r="V66" i="93"/>
  <c r="U66" i="93"/>
  <c r="T66" i="93"/>
  <c r="S66" i="93"/>
  <c r="R66" i="93"/>
  <c r="J66" i="93"/>
  <c r="I66" i="93"/>
  <c r="V65" i="93"/>
  <c r="U65" i="93"/>
  <c r="T65" i="93"/>
  <c r="S65" i="93"/>
  <c r="R65" i="93"/>
  <c r="J65" i="93"/>
  <c r="I65" i="93"/>
  <c r="V64" i="93"/>
  <c r="U64" i="93"/>
  <c r="T64" i="93"/>
  <c r="S64" i="93"/>
  <c r="R64" i="93"/>
  <c r="J64" i="93"/>
  <c r="I64" i="93"/>
  <c r="V63" i="93"/>
  <c r="U63" i="93"/>
  <c r="T63" i="93"/>
  <c r="S63" i="93"/>
  <c r="R63" i="93"/>
  <c r="J63" i="93"/>
  <c r="I63" i="93"/>
  <c r="V62" i="93"/>
  <c r="U62" i="93"/>
  <c r="T62" i="93"/>
  <c r="S62" i="93"/>
  <c r="R62" i="93"/>
  <c r="J62" i="93"/>
  <c r="I62" i="93"/>
  <c r="V61" i="93"/>
  <c r="U61" i="93"/>
  <c r="T61" i="93"/>
  <c r="S61" i="93"/>
  <c r="R61" i="93"/>
  <c r="J61" i="93"/>
  <c r="I61" i="93"/>
  <c r="V60" i="93"/>
  <c r="U60" i="93"/>
  <c r="T60" i="93"/>
  <c r="S60" i="93"/>
  <c r="R60" i="93"/>
  <c r="J60" i="93"/>
  <c r="I60" i="93"/>
  <c r="V59" i="93"/>
  <c r="U59" i="93"/>
  <c r="T59" i="93"/>
  <c r="S59" i="93"/>
  <c r="R59" i="93"/>
  <c r="J59" i="93"/>
  <c r="I59" i="93"/>
  <c r="V58" i="93"/>
  <c r="U58" i="93"/>
  <c r="T58" i="93"/>
  <c r="S58" i="93"/>
  <c r="R58" i="93"/>
  <c r="J58" i="93"/>
  <c r="I58" i="93"/>
  <c r="V57" i="93"/>
  <c r="U57" i="93"/>
  <c r="T57" i="93"/>
  <c r="S57" i="93"/>
  <c r="R57" i="93"/>
  <c r="J57" i="93"/>
  <c r="I57" i="93"/>
  <c r="V56" i="93"/>
  <c r="U56" i="93"/>
  <c r="T56" i="93"/>
  <c r="S56" i="93"/>
  <c r="R56" i="93"/>
  <c r="J56" i="93"/>
  <c r="I56" i="93"/>
  <c r="V55" i="93"/>
  <c r="U55" i="93"/>
  <c r="T55" i="93"/>
  <c r="S55" i="93"/>
  <c r="R55" i="93"/>
  <c r="J55" i="93"/>
  <c r="I55" i="93"/>
  <c r="V54" i="93"/>
  <c r="U54" i="93"/>
  <c r="T54" i="93"/>
  <c r="S54" i="93"/>
  <c r="R54" i="93"/>
  <c r="J54" i="93"/>
  <c r="I54" i="93"/>
  <c r="V53" i="93"/>
  <c r="U53" i="93"/>
  <c r="U78" i="93" s="1"/>
  <c r="T53" i="93"/>
  <c r="T78" i="93" s="1"/>
  <c r="S53" i="93"/>
  <c r="S78" i="93" s="1"/>
  <c r="R53" i="93"/>
  <c r="R78" i="93" s="1"/>
  <c r="J53" i="93"/>
  <c r="I53" i="93"/>
  <c r="V52" i="93"/>
  <c r="U52" i="93"/>
  <c r="T52" i="93"/>
  <c r="S52" i="93"/>
  <c r="R52" i="93"/>
  <c r="J52" i="93"/>
  <c r="I52" i="93"/>
  <c r="V51" i="93"/>
  <c r="U51" i="93"/>
  <c r="U99" i="93" s="1"/>
  <c r="T51" i="93"/>
  <c r="T99" i="93" s="1"/>
  <c r="S51" i="93"/>
  <c r="R51" i="93"/>
  <c r="J51" i="93"/>
  <c r="I51" i="93"/>
  <c r="V50" i="93"/>
  <c r="V79" i="93" s="1"/>
  <c r="U50" i="93"/>
  <c r="U79" i="93" s="1"/>
  <c r="T50" i="93"/>
  <c r="T79" i="93" s="1"/>
  <c r="S50" i="93"/>
  <c r="S79" i="93" s="1"/>
  <c r="R50" i="93"/>
  <c r="R79" i="93" s="1"/>
  <c r="J50" i="93"/>
  <c r="I50" i="93"/>
  <c r="V49" i="93"/>
  <c r="V99" i="93" s="1"/>
  <c r="U49" i="93"/>
  <c r="T49" i="93"/>
  <c r="S49" i="93"/>
  <c r="R49" i="93"/>
  <c r="J49" i="93"/>
  <c r="I49" i="93"/>
  <c r="V48" i="93"/>
  <c r="U48" i="93"/>
  <c r="T48" i="93"/>
  <c r="S48" i="93"/>
  <c r="S99" i="93" s="1"/>
  <c r="R48" i="93"/>
  <c r="R99" i="93" s="1"/>
  <c r="J48" i="93"/>
  <c r="I48" i="93"/>
  <c r="V47" i="93"/>
  <c r="U47" i="93"/>
  <c r="T47" i="93"/>
  <c r="S47" i="93"/>
  <c r="R47" i="93"/>
  <c r="J47" i="93"/>
  <c r="I47" i="93"/>
  <c r="V46" i="93"/>
  <c r="U46" i="93"/>
  <c r="T46" i="93"/>
  <c r="S46" i="93"/>
  <c r="R46" i="93"/>
  <c r="J46" i="93"/>
  <c r="I46" i="93"/>
  <c r="V45" i="93"/>
  <c r="U45" i="93"/>
  <c r="T45" i="93"/>
  <c r="S45" i="93"/>
  <c r="R45" i="93"/>
  <c r="J45" i="93"/>
  <c r="I45" i="93"/>
  <c r="V44" i="93"/>
  <c r="U44" i="93"/>
  <c r="T44" i="93"/>
  <c r="S44" i="93"/>
  <c r="R44" i="93"/>
  <c r="J44" i="93"/>
  <c r="I44" i="93"/>
  <c r="V43" i="93"/>
  <c r="U43" i="93"/>
  <c r="T43" i="93"/>
  <c r="S43" i="93"/>
  <c r="R43" i="93"/>
  <c r="J43" i="93"/>
  <c r="I43" i="93"/>
  <c r="V42" i="93"/>
  <c r="U42" i="93"/>
  <c r="T42" i="93"/>
  <c r="S42" i="93"/>
  <c r="R42" i="93"/>
  <c r="J42" i="93"/>
  <c r="I42" i="93"/>
  <c r="V41" i="93"/>
  <c r="V76" i="93" s="1"/>
  <c r="U41" i="93"/>
  <c r="U76" i="93" s="1"/>
  <c r="T41" i="93"/>
  <c r="T76" i="93" s="1"/>
  <c r="S41" i="93"/>
  <c r="S76" i="93" s="1"/>
  <c r="R41" i="93"/>
  <c r="R76" i="93" s="1"/>
  <c r="J41" i="93"/>
  <c r="I41" i="93"/>
  <c r="V40" i="93"/>
  <c r="U40" i="93"/>
  <c r="T40" i="93"/>
  <c r="S40" i="93"/>
  <c r="R40" i="93"/>
  <c r="J40" i="93"/>
  <c r="I40" i="93"/>
  <c r="V39" i="93"/>
  <c r="U39" i="93"/>
  <c r="T39" i="93"/>
  <c r="S39" i="93"/>
  <c r="R39" i="93"/>
  <c r="J39" i="93"/>
  <c r="I39" i="93"/>
  <c r="V38" i="93"/>
  <c r="U38" i="93"/>
  <c r="T38" i="93"/>
  <c r="S38" i="93"/>
  <c r="R38" i="93"/>
  <c r="J38" i="93"/>
  <c r="I38" i="93"/>
  <c r="V37" i="93"/>
  <c r="U37" i="93"/>
  <c r="T37" i="93"/>
  <c r="S37" i="93"/>
  <c r="R37" i="93"/>
  <c r="J37" i="93"/>
  <c r="I37" i="93"/>
  <c r="V36" i="93"/>
  <c r="U36" i="93"/>
  <c r="T36" i="93"/>
  <c r="S36" i="93"/>
  <c r="R36" i="93"/>
  <c r="J36" i="93"/>
  <c r="I36" i="93"/>
  <c r="V35" i="93"/>
  <c r="U35" i="93"/>
  <c r="T35" i="93"/>
  <c r="S35" i="93"/>
  <c r="R35" i="93"/>
  <c r="J35" i="93"/>
  <c r="I35" i="93"/>
  <c r="V34" i="93"/>
  <c r="U34" i="93"/>
  <c r="T34" i="93"/>
  <c r="S34" i="93"/>
  <c r="R34" i="93"/>
  <c r="J34" i="93"/>
  <c r="I34" i="93"/>
  <c r="V33" i="93"/>
  <c r="U33" i="93"/>
  <c r="T33" i="93"/>
  <c r="S33" i="93"/>
  <c r="R33" i="93"/>
  <c r="J33" i="93"/>
  <c r="I33" i="93"/>
  <c r="V32" i="93"/>
  <c r="U32" i="93"/>
  <c r="T32" i="93"/>
  <c r="S32" i="93"/>
  <c r="R32" i="93"/>
  <c r="J32" i="93"/>
  <c r="I32" i="93"/>
  <c r="J31" i="93"/>
  <c r="J30" i="93"/>
  <c r="J29" i="93"/>
  <c r="J28" i="93"/>
  <c r="V27" i="93"/>
  <c r="U27" i="93"/>
  <c r="T27" i="93"/>
  <c r="S27" i="93"/>
  <c r="R27" i="93"/>
  <c r="J27" i="93"/>
  <c r="I27" i="93"/>
  <c r="V26" i="93"/>
  <c r="U26" i="93"/>
  <c r="T26" i="93"/>
  <c r="S26" i="93"/>
  <c r="R26" i="93"/>
  <c r="J26" i="93"/>
  <c r="I26" i="93"/>
  <c r="V25" i="93"/>
  <c r="U25" i="93"/>
  <c r="T25" i="93"/>
  <c r="S25" i="93"/>
  <c r="R25" i="93"/>
  <c r="J25" i="93"/>
  <c r="I25" i="93"/>
  <c r="V24" i="93"/>
  <c r="U24" i="93"/>
  <c r="T24" i="93"/>
  <c r="S24" i="93"/>
  <c r="R24" i="93"/>
  <c r="J24" i="93"/>
  <c r="I24" i="93"/>
  <c r="V23" i="93"/>
  <c r="U23" i="93"/>
  <c r="T23" i="93"/>
  <c r="S23" i="93"/>
  <c r="R23" i="93"/>
  <c r="J23" i="93"/>
  <c r="I23" i="93"/>
  <c r="J22" i="93"/>
  <c r="J21" i="93"/>
  <c r="J20" i="93"/>
  <c r="J19" i="93"/>
  <c r="V18" i="93"/>
  <c r="U18" i="93"/>
  <c r="T18" i="93"/>
  <c r="S18" i="93"/>
  <c r="R18" i="93"/>
  <c r="J18" i="93"/>
  <c r="I18" i="93"/>
  <c r="V17" i="93"/>
  <c r="V83" i="93" s="1"/>
  <c r="U17" i="93"/>
  <c r="U83" i="93" s="1"/>
  <c r="T17" i="93"/>
  <c r="T83" i="93" s="1"/>
  <c r="S17" i="93"/>
  <c r="S83" i="93" s="1"/>
  <c r="R17" i="93"/>
  <c r="R83" i="93" s="1"/>
  <c r="J17" i="93"/>
  <c r="I17" i="93"/>
  <c r="V16" i="93"/>
  <c r="U16" i="93"/>
  <c r="T16" i="93"/>
  <c r="S16" i="93"/>
  <c r="R16" i="93"/>
  <c r="J16" i="93"/>
  <c r="I16" i="93"/>
  <c r="V15" i="93"/>
  <c r="U15" i="93"/>
  <c r="T15" i="93"/>
  <c r="S15" i="93"/>
  <c r="R15" i="93"/>
  <c r="J15" i="93"/>
  <c r="I15" i="93"/>
  <c r="J14" i="93"/>
  <c r="I14" i="93"/>
  <c r="T14" i="93" s="1"/>
  <c r="J13" i="93"/>
  <c r="J12" i="93"/>
  <c r="J11" i="93"/>
  <c r="J10" i="93"/>
  <c r="A5" i="93"/>
  <c r="X3" i="93"/>
  <c r="A2" i="93"/>
  <c r="A1" i="93"/>
  <c r="W77" i="93" l="1"/>
  <c r="R82" i="93"/>
  <c r="R85" i="93"/>
  <c r="T82" i="93"/>
  <c r="U82" i="93"/>
  <c r="V97" i="93"/>
  <c r="S82" i="93"/>
  <c r="T75" i="93"/>
  <c r="W83" i="93"/>
  <c r="R97" i="93"/>
  <c r="V82" i="93"/>
  <c r="S97" i="93"/>
  <c r="T97" i="93"/>
  <c r="U97" i="93"/>
  <c r="W81" i="93"/>
  <c r="V85" i="93"/>
  <c r="S85" i="93"/>
  <c r="T85" i="93"/>
  <c r="U85" i="93"/>
  <c r="W99" i="93"/>
  <c r="W76" i="93"/>
  <c r="W79" i="93"/>
  <c r="W86" i="93"/>
  <c r="V78" i="93"/>
  <c r="V14" i="93"/>
  <c r="S14" i="93"/>
  <c r="S75" i="93" s="1"/>
  <c r="R14" i="93"/>
  <c r="R75" i="93" s="1"/>
  <c r="U14" i="93"/>
  <c r="U75" i="93" s="1"/>
  <c r="W82" i="93" l="1"/>
  <c r="V75" i="93"/>
  <c r="W97" i="93"/>
  <c r="W85" i="93"/>
  <c r="W78" i="93"/>
  <c r="W75" i="93" l="1"/>
  <c r="A1" i="92" l="1"/>
  <c r="D14" i="92"/>
  <c r="A3" i="92"/>
  <c r="K46" i="92" l="1"/>
  <c r="C137" i="89"/>
  <c r="C137" i="79"/>
  <c r="C137" i="90"/>
  <c r="C51" i="74" l="1"/>
  <c r="I70" i="89"/>
  <c r="I69" i="89"/>
  <c r="I68" i="89"/>
  <c r="I67" i="89"/>
  <c r="I66" i="89"/>
  <c r="I65" i="89"/>
  <c r="I64" i="89"/>
  <c r="I63" i="89"/>
  <c r="I62" i="89"/>
  <c r="I61" i="89"/>
  <c r="I60" i="89"/>
  <c r="I59" i="89"/>
  <c r="I58" i="89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I42" i="89"/>
  <c r="I41" i="89"/>
  <c r="I40" i="89"/>
  <c r="I39" i="89"/>
  <c r="I38" i="89"/>
  <c r="I37" i="89"/>
  <c r="I36" i="89"/>
  <c r="I35" i="89"/>
  <c r="I34" i="89"/>
  <c r="I33" i="89"/>
  <c r="I32" i="89"/>
  <c r="I27" i="89"/>
  <c r="I26" i="89"/>
  <c r="I25" i="89"/>
  <c r="I24" i="89"/>
  <c r="I23" i="89"/>
  <c r="I18" i="89"/>
  <c r="I17" i="89"/>
  <c r="I16" i="89"/>
  <c r="I15" i="89"/>
  <c r="I70" i="90"/>
  <c r="I69" i="90"/>
  <c r="I68" i="90"/>
  <c r="I67" i="90"/>
  <c r="I66" i="90"/>
  <c r="I65" i="90"/>
  <c r="I64" i="90"/>
  <c r="I63" i="90"/>
  <c r="I62" i="90"/>
  <c r="I61" i="90"/>
  <c r="I60" i="90"/>
  <c r="I57" i="90"/>
  <c r="I56" i="90"/>
  <c r="I55" i="90"/>
  <c r="I54" i="90"/>
  <c r="I53" i="90"/>
  <c r="I48" i="90"/>
  <c r="I47" i="90"/>
  <c r="I46" i="90"/>
  <c r="I45" i="90"/>
  <c r="I44" i="90"/>
  <c r="I43" i="90"/>
  <c r="I42" i="90"/>
  <c r="I41" i="90"/>
  <c r="I40" i="90"/>
  <c r="I33" i="90"/>
  <c r="I32" i="90"/>
  <c r="I31" i="90"/>
  <c r="I30" i="90"/>
  <c r="I29" i="90"/>
  <c r="I28" i="90"/>
  <c r="I27" i="90"/>
  <c r="I23" i="90"/>
  <c r="I20" i="90"/>
  <c r="I19" i="90"/>
  <c r="I18" i="90"/>
  <c r="I15" i="90"/>
  <c r="I70" i="79" l="1"/>
  <c r="I69" i="79"/>
  <c r="I68" i="79"/>
  <c r="I67" i="79"/>
  <c r="I66" i="79"/>
  <c r="I65" i="79"/>
  <c r="I64" i="79"/>
  <c r="I61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3" i="79"/>
  <c r="I42" i="79"/>
  <c r="I41" i="79"/>
  <c r="I38" i="79"/>
  <c r="V38" i="79" s="1"/>
  <c r="I37" i="79"/>
  <c r="I34" i="79"/>
  <c r="I33" i="79"/>
  <c r="I32" i="79"/>
  <c r="I31" i="79"/>
  <c r="I30" i="79"/>
  <c r="I29" i="79"/>
  <c r="I28" i="79"/>
  <c r="T28" i="79" s="1"/>
  <c r="I27" i="79"/>
  <c r="V27" i="79" s="1"/>
  <c r="I26" i="79"/>
  <c r="I23" i="79"/>
  <c r="I22" i="79"/>
  <c r="I21" i="79"/>
  <c r="I20" i="79"/>
  <c r="I19" i="79"/>
  <c r="I18" i="79"/>
  <c r="I17" i="79"/>
  <c r="I16" i="79"/>
  <c r="I15" i="79"/>
  <c r="I14" i="79"/>
  <c r="I12" i="79"/>
  <c r="B16" i="74"/>
  <c r="B14" i="74"/>
  <c r="I13" i="79" s="1"/>
  <c r="R22" i="79"/>
  <c r="V70" i="79"/>
  <c r="U70" i="79"/>
  <c r="T70" i="79"/>
  <c r="S70" i="79"/>
  <c r="R70" i="79"/>
  <c r="J70" i="79"/>
  <c r="V69" i="79"/>
  <c r="U69" i="79"/>
  <c r="T69" i="79"/>
  <c r="S69" i="79"/>
  <c r="R69" i="79"/>
  <c r="J69" i="79"/>
  <c r="V68" i="79"/>
  <c r="U68" i="79"/>
  <c r="T68" i="79"/>
  <c r="S68" i="79"/>
  <c r="R68" i="79"/>
  <c r="J68" i="79"/>
  <c r="V67" i="79"/>
  <c r="U67" i="79"/>
  <c r="T67" i="79"/>
  <c r="S67" i="79"/>
  <c r="R67" i="79"/>
  <c r="J67" i="79"/>
  <c r="V70" i="90"/>
  <c r="U70" i="90"/>
  <c r="T70" i="90"/>
  <c r="S70" i="90"/>
  <c r="R70" i="90"/>
  <c r="J70" i="90"/>
  <c r="V69" i="90"/>
  <c r="U69" i="90"/>
  <c r="T69" i="90"/>
  <c r="S69" i="90"/>
  <c r="R69" i="90"/>
  <c r="J69" i="90"/>
  <c r="V68" i="90"/>
  <c r="U68" i="90"/>
  <c r="T68" i="90"/>
  <c r="S68" i="90"/>
  <c r="R68" i="90"/>
  <c r="J68" i="90"/>
  <c r="V67" i="90"/>
  <c r="U67" i="90"/>
  <c r="T67" i="90"/>
  <c r="S67" i="90"/>
  <c r="R67" i="90"/>
  <c r="J67" i="90"/>
  <c r="V70" i="89"/>
  <c r="U70" i="89"/>
  <c r="T70" i="89"/>
  <c r="S70" i="89"/>
  <c r="R70" i="89"/>
  <c r="J70" i="89"/>
  <c r="V69" i="89"/>
  <c r="U69" i="89"/>
  <c r="T69" i="89"/>
  <c r="S69" i="89"/>
  <c r="R69" i="89"/>
  <c r="J69" i="89"/>
  <c r="V68" i="89"/>
  <c r="U68" i="89"/>
  <c r="T68" i="89"/>
  <c r="S68" i="89"/>
  <c r="R68" i="89"/>
  <c r="J68" i="89"/>
  <c r="V67" i="89"/>
  <c r="U67" i="89"/>
  <c r="T67" i="89"/>
  <c r="S67" i="89"/>
  <c r="R67" i="89"/>
  <c r="J67" i="89"/>
  <c r="J39" i="79"/>
  <c r="J38" i="79"/>
  <c r="V37" i="79"/>
  <c r="U37" i="79"/>
  <c r="T37" i="79"/>
  <c r="S37" i="79"/>
  <c r="R37" i="79"/>
  <c r="J37" i="79"/>
  <c r="J36" i="79"/>
  <c r="J35" i="79"/>
  <c r="V34" i="79"/>
  <c r="U34" i="79"/>
  <c r="T34" i="79"/>
  <c r="S34" i="79"/>
  <c r="R34" i="79"/>
  <c r="J34" i="79"/>
  <c r="V33" i="79"/>
  <c r="U33" i="79"/>
  <c r="T33" i="79"/>
  <c r="S33" i="79"/>
  <c r="R33" i="79"/>
  <c r="J33" i="79"/>
  <c r="V32" i="79"/>
  <c r="U32" i="79"/>
  <c r="T32" i="79"/>
  <c r="S32" i="79"/>
  <c r="R32" i="79"/>
  <c r="J32" i="79"/>
  <c r="V31" i="79"/>
  <c r="U31" i="79"/>
  <c r="T31" i="79"/>
  <c r="S31" i="79"/>
  <c r="R31" i="79"/>
  <c r="J31" i="79"/>
  <c r="V30" i="79"/>
  <c r="U30" i="79"/>
  <c r="T30" i="79"/>
  <c r="S30" i="79"/>
  <c r="R30" i="79"/>
  <c r="J30" i="79"/>
  <c r="V29" i="79"/>
  <c r="U29" i="79"/>
  <c r="T29" i="79"/>
  <c r="S29" i="79"/>
  <c r="R29" i="79"/>
  <c r="J29" i="79"/>
  <c r="S28" i="79"/>
  <c r="R28" i="79"/>
  <c r="J28" i="79"/>
  <c r="J27" i="79"/>
  <c r="V26" i="79"/>
  <c r="U26" i="79"/>
  <c r="T26" i="79"/>
  <c r="S26" i="79"/>
  <c r="R26" i="79"/>
  <c r="J26" i="79"/>
  <c r="J25" i="79"/>
  <c r="J24" i="79"/>
  <c r="V23" i="79"/>
  <c r="U23" i="79"/>
  <c r="T23" i="79"/>
  <c r="S23" i="79"/>
  <c r="R23" i="79"/>
  <c r="J23" i="79"/>
  <c r="V22" i="79"/>
  <c r="U22" i="79"/>
  <c r="T22" i="79"/>
  <c r="S22" i="79"/>
  <c r="J22" i="79"/>
  <c r="V21" i="79"/>
  <c r="U21" i="79"/>
  <c r="T21" i="79"/>
  <c r="S21" i="79"/>
  <c r="R21" i="79"/>
  <c r="J21" i="79"/>
  <c r="V20" i="79"/>
  <c r="U20" i="79"/>
  <c r="T20" i="79"/>
  <c r="S20" i="79"/>
  <c r="R20" i="79"/>
  <c r="J20" i="79"/>
  <c r="V19" i="79"/>
  <c r="U19" i="79"/>
  <c r="T19" i="79"/>
  <c r="S19" i="79"/>
  <c r="R19" i="79"/>
  <c r="J19" i="79"/>
  <c r="V18" i="79"/>
  <c r="U18" i="79"/>
  <c r="T18" i="79"/>
  <c r="S18" i="79"/>
  <c r="R18" i="79"/>
  <c r="J18" i="79"/>
  <c r="J17" i="79"/>
  <c r="V16" i="79"/>
  <c r="U16" i="79"/>
  <c r="T16" i="79"/>
  <c r="S16" i="79"/>
  <c r="R16" i="79"/>
  <c r="J16" i="79"/>
  <c r="J39" i="90"/>
  <c r="J38" i="90"/>
  <c r="J37" i="90"/>
  <c r="J36" i="90"/>
  <c r="J35" i="90"/>
  <c r="J34" i="90"/>
  <c r="J33" i="90"/>
  <c r="J32" i="90"/>
  <c r="J31" i="90"/>
  <c r="J30" i="90"/>
  <c r="J29" i="90"/>
  <c r="J28" i="90"/>
  <c r="J27" i="90"/>
  <c r="J26" i="90"/>
  <c r="J25" i="90"/>
  <c r="J24" i="90"/>
  <c r="J23" i="90"/>
  <c r="J22" i="90"/>
  <c r="J21" i="90"/>
  <c r="J20" i="90"/>
  <c r="J19" i="90"/>
  <c r="J18" i="90"/>
  <c r="J17" i="90"/>
  <c r="J16" i="90"/>
  <c r="V39" i="89"/>
  <c r="U39" i="89"/>
  <c r="T39" i="89"/>
  <c r="S39" i="89"/>
  <c r="R39" i="89"/>
  <c r="J39" i="89"/>
  <c r="V38" i="89"/>
  <c r="U38" i="89"/>
  <c r="T38" i="89"/>
  <c r="S38" i="89"/>
  <c r="R38" i="89"/>
  <c r="J38" i="89"/>
  <c r="V37" i="89"/>
  <c r="U37" i="89"/>
  <c r="T37" i="89"/>
  <c r="S37" i="89"/>
  <c r="R37" i="89"/>
  <c r="J37" i="89"/>
  <c r="V36" i="89"/>
  <c r="U36" i="89"/>
  <c r="T36" i="89"/>
  <c r="S36" i="89"/>
  <c r="R36" i="89"/>
  <c r="J36" i="89"/>
  <c r="V35" i="89"/>
  <c r="U35" i="89"/>
  <c r="T35" i="89"/>
  <c r="S35" i="89"/>
  <c r="R35" i="89"/>
  <c r="J35" i="89"/>
  <c r="V34" i="89"/>
  <c r="U34" i="89"/>
  <c r="T34" i="89"/>
  <c r="S34" i="89"/>
  <c r="R34" i="89"/>
  <c r="J34" i="89"/>
  <c r="V33" i="89"/>
  <c r="U33" i="89"/>
  <c r="T33" i="89"/>
  <c r="S33" i="89"/>
  <c r="R33" i="89"/>
  <c r="J33" i="89"/>
  <c r="V32" i="89"/>
  <c r="U32" i="89"/>
  <c r="T32" i="89"/>
  <c r="S32" i="89"/>
  <c r="R32" i="89"/>
  <c r="J32" i="89"/>
  <c r="J31" i="89"/>
  <c r="J30" i="89"/>
  <c r="J29" i="89"/>
  <c r="J28" i="89"/>
  <c r="V27" i="89"/>
  <c r="U27" i="89"/>
  <c r="T27" i="89"/>
  <c r="S27" i="89"/>
  <c r="R27" i="89"/>
  <c r="J27" i="89"/>
  <c r="V26" i="89"/>
  <c r="U26" i="89"/>
  <c r="T26" i="89"/>
  <c r="S26" i="89"/>
  <c r="R26" i="89"/>
  <c r="J26" i="89"/>
  <c r="V25" i="89"/>
  <c r="U25" i="89"/>
  <c r="T25" i="89"/>
  <c r="S25" i="89"/>
  <c r="R25" i="89"/>
  <c r="J25" i="89"/>
  <c r="V24" i="89"/>
  <c r="U24" i="89"/>
  <c r="T24" i="89"/>
  <c r="S24" i="89"/>
  <c r="R24" i="89"/>
  <c r="J24" i="89"/>
  <c r="V23" i="89"/>
  <c r="U23" i="89"/>
  <c r="T23" i="89"/>
  <c r="S23" i="89"/>
  <c r="R23" i="89"/>
  <c r="J23" i="89"/>
  <c r="J22" i="89"/>
  <c r="J21" i="89"/>
  <c r="J20" i="89"/>
  <c r="J19" i="89"/>
  <c r="V18" i="89"/>
  <c r="U18" i="89"/>
  <c r="T18" i="89"/>
  <c r="S18" i="89"/>
  <c r="R18" i="89"/>
  <c r="J18" i="89"/>
  <c r="V17" i="89"/>
  <c r="U17" i="89"/>
  <c r="T17" i="89"/>
  <c r="S17" i="89"/>
  <c r="R17" i="89"/>
  <c r="J17" i="89"/>
  <c r="V16" i="89"/>
  <c r="U16" i="89"/>
  <c r="T16" i="89"/>
  <c r="S16" i="89"/>
  <c r="R16" i="89"/>
  <c r="J16" i="89"/>
  <c r="C126" i="90"/>
  <c r="C124" i="90"/>
  <c r="C103" i="90"/>
  <c r="C92" i="90"/>
  <c r="C89" i="90"/>
  <c r="V66" i="90"/>
  <c r="U66" i="90"/>
  <c r="T66" i="90"/>
  <c r="S66" i="90"/>
  <c r="R66" i="90"/>
  <c r="J66" i="90"/>
  <c r="V65" i="90"/>
  <c r="U65" i="90"/>
  <c r="T65" i="90"/>
  <c r="S65" i="90"/>
  <c r="R65" i="90"/>
  <c r="J65" i="90"/>
  <c r="V64" i="90"/>
  <c r="U64" i="90"/>
  <c r="T64" i="90"/>
  <c r="S64" i="90"/>
  <c r="R64" i="90"/>
  <c r="J64" i="90"/>
  <c r="V63" i="90"/>
  <c r="U63" i="90"/>
  <c r="T63" i="90"/>
  <c r="S63" i="90"/>
  <c r="R63" i="90"/>
  <c r="J63" i="90"/>
  <c r="V62" i="90"/>
  <c r="U62" i="90"/>
  <c r="T62" i="90"/>
  <c r="S62" i="90"/>
  <c r="R62" i="90"/>
  <c r="J62" i="90"/>
  <c r="V61" i="90"/>
  <c r="U61" i="90"/>
  <c r="T61" i="90"/>
  <c r="S61" i="90"/>
  <c r="R61" i="90"/>
  <c r="J61" i="90"/>
  <c r="V60" i="90"/>
  <c r="U60" i="90"/>
  <c r="T60" i="90"/>
  <c r="S60" i="90"/>
  <c r="R60" i="90"/>
  <c r="J60" i="90"/>
  <c r="J59" i="90"/>
  <c r="J58" i="90"/>
  <c r="J57" i="90"/>
  <c r="J56" i="90"/>
  <c r="J55" i="90"/>
  <c r="J54" i="90"/>
  <c r="J53" i="90"/>
  <c r="J52" i="90"/>
  <c r="J51" i="90"/>
  <c r="J50" i="90"/>
  <c r="J49" i="90"/>
  <c r="J48" i="90"/>
  <c r="J47" i="90"/>
  <c r="J46" i="90"/>
  <c r="J45" i="90"/>
  <c r="J44" i="90"/>
  <c r="J43" i="90"/>
  <c r="J42" i="90"/>
  <c r="J41" i="90"/>
  <c r="J40" i="90"/>
  <c r="J15" i="90"/>
  <c r="J14" i="90"/>
  <c r="J13" i="90"/>
  <c r="J12" i="90"/>
  <c r="J11" i="90"/>
  <c r="J10" i="90"/>
  <c r="A5" i="90"/>
  <c r="X3" i="90"/>
  <c r="A2" i="90"/>
  <c r="A1" i="90"/>
  <c r="C126" i="89"/>
  <c r="C124" i="89"/>
  <c r="C103" i="89"/>
  <c r="C92" i="89"/>
  <c r="C89" i="89"/>
  <c r="V77" i="89"/>
  <c r="U77" i="89"/>
  <c r="T77" i="89"/>
  <c r="S77" i="89"/>
  <c r="R77" i="89"/>
  <c r="V66" i="89"/>
  <c r="U66" i="89"/>
  <c r="T66" i="89"/>
  <c r="S66" i="89"/>
  <c r="R66" i="89"/>
  <c r="J66" i="89"/>
  <c r="V65" i="89"/>
  <c r="U65" i="89"/>
  <c r="T65" i="89"/>
  <c r="S65" i="89"/>
  <c r="R65" i="89"/>
  <c r="J65" i="89"/>
  <c r="V64" i="89"/>
  <c r="U64" i="89"/>
  <c r="T64" i="89"/>
  <c r="S64" i="89"/>
  <c r="R64" i="89"/>
  <c r="J64" i="89"/>
  <c r="V63" i="89"/>
  <c r="U63" i="89"/>
  <c r="T63" i="89"/>
  <c r="S63" i="89"/>
  <c r="R63" i="89"/>
  <c r="J63" i="89"/>
  <c r="V62" i="89"/>
  <c r="U62" i="89"/>
  <c r="T62" i="89"/>
  <c r="S62" i="89"/>
  <c r="R62" i="89"/>
  <c r="J62" i="89"/>
  <c r="V61" i="89"/>
  <c r="U61" i="89"/>
  <c r="T61" i="89"/>
  <c r="S61" i="89"/>
  <c r="R61" i="89"/>
  <c r="J61" i="89"/>
  <c r="V60" i="89"/>
  <c r="U60" i="89"/>
  <c r="T60" i="89"/>
  <c r="S60" i="89"/>
  <c r="R60" i="89"/>
  <c r="J60" i="89"/>
  <c r="V59" i="89"/>
  <c r="U59" i="89"/>
  <c r="T59" i="89"/>
  <c r="S59" i="89"/>
  <c r="R59" i="89"/>
  <c r="J59" i="89"/>
  <c r="V58" i="89"/>
  <c r="U58" i="89"/>
  <c r="T58" i="89"/>
  <c r="S58" i="89"/>
  <c r="R58" i="89"/>
  <c r="J58" i="89"/>
  <c r="V57" i="89"/>
  <c r="U57" i="89"/>
  <c r="T57" i="89"/>
  <c r="S57" i="89"/>
  <c r="R57" i="89"/>
  <c r="J57" i="89"/>
  <c r="V56" i="89"/>
  <c r="U56" i="89"/>
  <c r="T56" i="89"/>
  <c r="S56" i="89"/>
  <c r="R56" i="89"/>
  <c r="J56" i="89"/>
  <c r="V55" i="89"/>
  <c r="U55" i="89"/>
  <c r="T55" i="89"/>
  <c r="S55" i="89"/>
  <c r="R55" i="89"/>
  <c r="J55" i="89"/>
  <c r="V54" i="89"/>
  <c r="U54" i="89"/>
  <c r="T54" i="89"/>
  <c r="S54" i="89"/>
  <c r="R54" i="89"/>
  <c r="J54" i="89"/>
  <c r="J53" i="89"/>
  <c r="V52" i="89"/>
  <c r="U52" i="89"/>
  <c r="T52" i="89"/>
  <c r="S52" i="89"/>
  <c r="R52" i="89"/>
  <c r="J52" i="89"/>
  <c r="V51" i="89"/>
  <c r="V86" i="89" s="1"/>
  <c r="U51" i="89"/>
  <c r="U86" i="89" s="1"/>
  <c r="T51" i="89"/>
  <c r="T86" i="89" s="1"/>
  <c r="S51" i="89"/>
  <c r="S86" i="89" s="1"/>
  <c r="R51" i="89"/>
  <c r="R86" i="89" s="1"/>
  <c r="J51" i="89"/>
  <c r="V50" i="89"/>
  <c r="U50" i="89"/>
  <c r="T50" i="89"/>
  <c r="S50" i="89"/>
  <c r="R50" i="89"/>
  <c r="J50" i="89"/>
  <c r="V49" i="89"/>
  <c r="U49" i="89"/>
  <c r="T49" i="89"/>
  <c r="S49" i="89"/>
  <c r="R49" i="89"/>
  <c r="J49" i="89"/>
  <c r="V48" i="89"/>
  <c r="U48" i="89"/>
  <c r="T48" i="89"/>
  <c r="S48" i="89"/>
  <c r="R48" i="89"/>
  <c r="J48" i="89"/>
  <c r="V47" i="89"/>
  <c r="U47" i="89"/>
  <c r="T47" i="89"/>
  <c r="S47" i="89"/>
  <c r="R47" i="89"/>
  <c r="J47" i="89"/>
  <c r="V46" i="89"/>
  <c r="U46" i="89"/>
  <c r="T46" i="89"/>
  <c r="S46" i="89"/>
  <c r="R46" i="89"/>
  <c r="J46" i="89"/>
  <c r="V45" i="89"/>
  <c r="U45" i="89"/>
  <c r="T45" i="89"/>
  <c r="S45" i="89"/>
  <c r="R45" i="89"/>
  <c r="J45" i="89"/>
  <c r="V44" i="89"/>
  <c r="U44" i="89"/>
  <c r="T44" i="89"/>
  <c r="S44" i="89"/>
  <c r="R44" i="89"/>
  <c r="J44" i="89"/>
  <c r="J43" i="89"/>
  <c r="V42" i="89"/>
  <c r="U42" i="89"/>
  <c r="T42" i="89"/>
  <c r="S42" i="89"/>
  <c r="R42" i="89"/>
  <c r="J42" i="89"/>
  <c r="V41" i="89"/>
  <c r="U41" i="89"/>
  <c r="T41" i="89"/>
  <c r="S41" i="89"/>
  <c r="R41" i="89"/>
  <c r="J41" i="89"/>
  <c r="V40" i="89"/>
  <c r="U40" i="89"/>
  <c r="T40" i="89"/>
  <c r="S40" i="89"/>
  <c r="R40" i="89"/>
  <c r="J40" i="89"/>
  <c r="V15" i="89"/>
  <c r="U15" i="89"/>
  <c r="T15" i="89"/>
  <c r="S15" i="89"/>
  <c r="R15" i="89"/>
  <c r="J15" i="89"/>
  <c r="J14" i="89"/>
  <c r="J13" i="89"/>
  <c r="J12" i="89"/>
  <c r="J11" i="89"/>
  <c r="J10" i="89"/>
  <c r="A5" i="89"/>
  <c r="X3" i="89"/>
  <c r="A2" i="89"/>
  <c r="A1" i="89"/>
  <c r="C103" i="79"/>
  <c r="I10" i="79" l="1"/>
  <c r="I12" i="93"/>
  <c r="I30" i="93"/>
  <c r="I21" i="93"/>
  <c r="I19" i="93"/>
  <c r="I10" i="93"/>
  <c r="I28" i="93"/>
  <c r="I19" i="89"/>
  <c r="I21" i="89"/>
  <c r="I30" i="89"/>
  <c r="I28" i="89"/>
  <c r="I45" i="79"/>
  <c r="I20" i="93"/>
  <c r="I31" i="93"/>
  <c r="I13" i="93"/>
  <c r="I11" i="93"/>
  <c r="I29" i="93"/>
  <c r="I22" i="93"/>
  <c r="I20" i="89"/>
  <c r="I29" i="89"/>
  <c r="I31" i="89"/>
  <c r="I22" i="89"/>
  <c r="I26" i="90"/>
  <c r="V17" i="79"/>
  <c r="U17" i="79"/>
  <c r="V83" i="89"/>
  <c r="U83" i="89"/>
  <c r="R82" i="89"/>
  <c r="S82" i="89"/>
  <c r="R83" i="89"/>
  <c r="T83" i="89"/>
  <c r="T82" i="89"/>
  <c r="U82" i="89"/>
  <c r="V82" i="89"/>
  <c r="S83" i="89"/>
  <c r="S17" i="79"/>
  <c r="T17" i="79"/>
  <c r="R17" i="79"/>
  <c r="U79" i="89"/>
  <c r="V79" i="89"/>
  <c r="I44" i="79"/>
  <c r="I39" i="79"/>
  <c r="V39" i="79" s="1"/>
  <c r="T79" i="89"/>
  <c r="I35" i="79"/>
  <c r="U35" i="79" s="1"/>
  <c r="I62" i="79"/>
  <c r="I13" i="90"/>
  <c r="I14" i="89"/>
  <c r="I13" i="89"/>
  <c r="I51" i="90"/>
  <c r="I21" i="90"/>
  <c r="I34" i="90"/>
  <c r="I16" i="90"/>
  <c r="I58" i="90"/>
  <c r="I12" i="90"/>
  <c r="I10" i="90"/>
  <c r="I12" i="89"/>
  <c r="I10" i="89"/>
  <c r="I24" i="90"/>
  <c r="I38" i="90"/>
  <c r="I36" i="90"/>
  <c r="I49" i="90"/>
  <c r="I24" i="79"/>
  <c r="R24" i="79" s="1"/>
  <c r="I39" i="90"/>
  <c r="I50" i="90"/>
  <c r="I14" i="90"/>
  <c r="I37" i="90"/>
  <c r="I25" i="90"/>
  <c r="I59" i="90"/>
  <c r="I35" i="90"/>
  <c r="I22" i="90"/>
  <c r="I17" i="90"/>
  <c r="I52" i="90"/>
  <c r="I36" i="79"/>
  <c r="U36" i="79" s="1"/>
  <c r="I25" i="79"/>
  <c r="U25" i="79" s="1"/>
  <c r="I63" i="79"/>
  <c r="I40" i="79"/>
  <c r="R39" i="79"/>
  <c r="S39" i="79"/>
  <c r="T39" i="79"/>
  <c r="U39" i="79"/>
  <c r="R38" i="79"/>
  <c r="T38" i="79"/>
  <c r="S38" i="79"/>
  <c r="U38" i="79"/>
  <c r="U28" i="79"/>
  <c r="V28" i="79"/>
  <c r="R27" i="79"/>
  <c r="T27" i="79"/>
  <c r="U27" i="79"/>
  <c r="S27" i="79"/>
  <c r="R78" i="90"/>
  <c r="S78" i="90"/>
  <c r="T78" i="90"/>
  <c r="V78" i="90"/>
  <c r="R83" i="90"/>
  <c r="S83" i="90"/>
  <c r="T86" i="90"/>
  <c r="R86" i="90"/>
  <c r="S86" i="90"/>
  <c r="V86" i="90"/>
  <c r="T83" i="90"/>
  <c r="U83" i="90"/>
  <c r="V83" i="90"/>
  <c r="U86" i="90"/>
  <c r="I11" i="90"/>
  <c r="I11" i="89"/>
  <c r="I11" i="79"/>
  <c r="R79" i="89"/>
  <c r="S79" i="89"/>
  <c r="R76" i="89"/>
  <c r="U76" i="89"/>
  <c r="S76" i="89"/>
  <c r="R85" i="89"/>
  <c r="T76" i="89"/>
  <c r="S85" i="89"/>
  <c r="R85" i="90"/>
  <c r="V76" i="89"/>
  <c r="U78" i="90"/>
  <c r="S85" i="90"/>
  <c r="T85" i="90"/>
  <c r="U85" i="90"/>
  <c r="V85" i="90"/>
  <c r="W86" i="89"/>
  <c r="T85" i="89"/>
  <c r="U85" i="89"/>
  <c r="V85" i="89"/>
  <c r="W77" i="89"/>
  <c r="R21" i="89" l="1"/>
  <c r="V21" i="89"/>
  <c r="T21" i="89"/>
  <c r="S21" i="89"/>
  <c r="U21" i="89"/>
  <c r="R29" i="89"/>
  <c r="U29" i="89"/>
  <c r="V29" i="89"/>
  <c r="T29" i="89"/>
  <c r="S29" i="89"/>
  <c r="R22" i="93"/>
  <c r="V22" i="93"/>
  <c r="S22" i="93"/>
  <c r="T22" i="93"/>
  <c r="U22" i="93"/>
  <c r="V10" i="93"/>
  <c r="T10" i="93"/>
  <c r="S10" i="93"/>
  <c r="U10" i="93"/>
  <c r="R10" i="93"/>
  <c r="U29" i="93"/>
  <c r="S29" i="93"/>
  <c r="V29" i="93"/>
  <c r="T29" i="93"/>
  <c r="R29" i="93"/>
  <c r="V19" i="93"/>
  <c r="S19" i="93"/>
  <c r="R19" i="93"/>
  <c r="U19" i="93"/>
  <c r="T19" i="93"/>
  <c r="V11" i="93"/>
  <c r="U11" i="93"/>
  <c r="R11" i="93"/>
  <c r="S11" i="93"/>
  <c r="T11" i="93"/>
  <c r="U13" i="93"/>
  <c r="T13" i="93"/>
  <c r="V13" i="93"/>
  <c r="S13" i="93"/>
  <c r="R13" i="93"/>
  <c r="S30" i="93"/>
  <c r="T30" i="93"/>
  <c r="U30" i="93"/>
  <c r="V30" i="93"/>
  <c r="R30" i="93"/>
  <c r="V28" i="89"/>
  <c r="U28" i="89"/>
  <c r="T28" i="89"/>
  <c r="S28" i="89"/>
  <c r="R28" i="89"/>
  <c r="V22" i="89"/>
  <c r="U22" i="89"/>
  <c r="T22" i="89"/>
  <c r="S22" i="89"/>
  <c r="R22" i="89"/>
  <c r="R31" i="89"/>
  <c r="T31" i="89"/>
  <c r="S31" i="89"/>
  <c r="V31" i="89"/>
  <c r="U31" i="89"/>
  <c r="R19" i="89"/>
  <c r="V19" i="89"/>
  <c r="U19" i="89"/>
  <c r="T19" i="89"/>
  <c r="S19" i="89"/>
  <c r="U28" i="93"/>
  <c r="V28" i="93"/>
  <c r="R28" i="93"/>
  <c r="T28" i="93"/>
  <c r="S28" i="93"/>
  <c r="V21" i="93"/>
  <c r="U21" i="93"/>
  <c r="S21" i="93"/>
  <c r="R21" i="93"/>
  <c r="T21" i="93"/>
  <c r="S31" i="93"/>
  <c r="U31" i="93"/>
  <c r="V31" i="93"/>
  <c r="T31" i="93"/>
  <c r="R31" i="93"/>
  <c r="V12" i="93"/>
  <c r="S12" i="93"/>
  <c r="T12" i="93"/>
  <c r="U12" i="93"/>
  <c r="R12" i="93"/>
  <c r="V30" i="89"/>
  <c r="U30" i="89"/>
  <c r="T30" i="89"/>
  <c r="S30" i="89"/>
  <c r="R30" i="89"/>
  <c r="V20" i="89"/>
  <c r="U20" i="89"/>
  <c r="T20" i="89"/>
  <c r="S20" i="89"/>
  <c r="R20" i="89"/>
  <c r="R20" i="93"/>
  <c r="T20" i="93"/>
  <c r="U20" i="93"/>
  <c r="V20" i="93"/>
  <c r="S20" i="93"/>
  <c r="W82" i="89"/>
  <c r="W83" i="89"/>
  <c r="T35" i="79"/>
  <c r="S35" i="79"/>
  <c r="R35" i="79"/>
  <c r="V24" i="79"/>
  <c r="V35" i="79"/>
  <c r="S24" i="79"/>
  <c r="U24" i="79"/>
  <c r="W79" i="89"/>
  <c r="S14" i="89"/>
  <c r="R14" i="89"/>
  <c r="V14" i="89"/>
  <c r="U14" i="89"/>
  <c r="T14" i="89"/>
  <c r="U58" i="90"/>
  <c r="T58" i="90"/>
  <c r="V58" i="90"/>
  <c r="S58" i="90"/>
  <c r="R58" i="90"/>
  <c r="T24" i="79"/>
  <c r="V36" i="79"/>
  <c r="S25" i="79"/>
  <c r="V25" i="79"/>
  <c r="T36" i="79"/>
  <c r="T25" i="79"/>
  <c r="S36" i="79"/>
  <c r="R36" i="79"/>
  <c r="T59" i="90"/>
  <c r="S59" i="90"/>
  <c r="R59" i="90"/>
  <c r="V59" i="90"/>
  <c r="U59" i="90"/>
  <c r="R25" i="79"/>
  <c r="W86" i="90"/>
  <c r="W83" i="90"/>
  <c r="W76" i="89"/>
  <c r="W85" i="89"/>
  <c r="W85" i="90"/>
  <c r="W78" i="90"/>
  <c r="T84" i="93" l="1"/>
  <c r="T100" i="93"/>
  <c r="S84" i="93"/>
  <c r="S100" i="93"/>
  <c r="R96" i="93"/>
  <c r="R74" i="93"/>
  <c r="U74" i="93"/>
  <c r="U96" i="93"/>
  <c r="S74" i="93"/>
  <c r="S96" i="93"/>
  <c r="T74" i="93"/>
  <c r="T96" i="93"/>
  <c r="U100" i="93"/>
  <c r="U84" i="93"/>
  <c r="V100" i="93"/>
  <c r="V84" i="93"/>
  <c r="V74" i="93"/>
  <c r="V96" i="93"/>
  <c r="R100" i="93"/>
  <c r="R84" i="93"/>
  <c r="D6" i="92"/>
  <c r="C50" i="82"/>
  <c r="C35" i="82"/>
  <c r="C20" i="82"/>
  <c r="A3" i="82"/>
  <c r="T80" i="93" l="1"/>
  <c r="T89" i="93" s="1"/>
  <c r="T90" i="93" s="1"/>
  <c r="S80" i="93"/>
  <c r="W100" i="93"/>
  <c r="W101" i="93" s="1"/>
  <c r="R101" i="93"/>
  <c r="R80" i="93"/>
  <c r="W74" i="93"/>
  <c r="W80" i="93" s="1"/>
  <c r="W96" i="93"/>
  <c r="W98" i="93" s="1"/>
  <c r="R98" i="93"/>
  <c r="R103" i="93" s="1"/>
  <c r="S101" i="93"/>
  <c r="S87" i="93"/>
  <c r="T98" i="93"/>
  <c r="S98" i="93"/>
  <c r="R87" i="93"/>
  <c r="W84" i="93"/>
  <c r="W87" i="93" s="1"/>
  <c r="U80" i="93"/>
  <c r="V98" i="93"/>
  <c r="V80" i="93"/>
  <c r="V87" i="93"/>
  <c r="V101" i="93"/>
  <c r="U87" i="93"/>
  <c r="T101" i="93"/>
  <c r="U98" i="93"/>
  <c r="U103" i="93" s="1"/>
  <c r="U104" i="93" s="1"/>
  <c r="U101" i="93"/>
  <c r="T87" i="93"/>
  <c r="V53" i="89"/>
  <c r="T53" i="89"/>
  <c r="U53" i="89"/>
  <c r="S53" i="89"/>
  <c r="R53" i="89"/>
  <c r="U11" i="89"/>
  <c r="V11" i="89"/>
  <c r="R11" i="89"/>
  <c r="S11" i="89"/>
  <c r="T11" i="89"/>
  <c r="V13" i="89"/>
  <c r="S13" i="89"/>
  <c r="R13" i="89"/>
  <c r="T13" i="89"/>
  <c r="U13" i="89"/>
  <c r="V12" i="89"/>
  <c r="R12" i="89"/>
  <c r="S12" i="89"/>
  <c r="T12" i="89"/>
  <c r="U12" i="89"/>
  <c r="U43" i="89"/>
  <c r="U75" i="89" s="1"/>
  <c r="V43" i="89"/>
  <c r="V75" i="89" s="1"/>
  <c r="S43" i="89"/>
  <c r="S75" i="89" s="1"/>
  <c r="T43" i="89"/>
  <c r="T75" i="89" s="1"/>
  <c r="R43" i="89"/>
  <c r="R75" i="89" s="1"/>
  <c r="T10" i="89"/>
  <c r="V10" i="89"/>
  <c r="U10" i="89"/>
  <c r="S10" i="89"/>
  <c r="R10" i="89"/>
  <c r="B23" i="74"/>
  <c r="U89" i="93" l="1"/>
  <c r="U90" i="93" s="1"/>
  <c r="S89" i="93"/>
  <c r="S90" i="93" s="1"/>
  <c r="S103" i="93"/>
  <c r="S104" i="93" s="1"/>
  <c r="T103" i="93"/>
  <c r="T104" i="93" s="1"/>
  <c r="V89" i="93"/>
  <c r="V90" i="93" s="1"/>
  <c r="R104" i="93"/>
  <c r="R89" i="93"/>
  <c r="V103" i="93"/>
  <c r="V104" i="93" s="1"/>
  <c r="T77" i="90"/>
  <c r="U77" i="90"/>
  <c r="S77" i="90"/>
  <c r="R77" i="90"/>
  <c r="V77" i="90"/>
  <c r="T99" i="90"/>
  <c r="T79" i="90"/>
  <c r="S79" i="90"/>
  <c r="S99" i="90"/>
  <c r="R79" i="90"/>
  <c r="R99" i="90"/>
  <c r="V79" i="90"/>
  <c r="V99" i="90"/>
  <c r="U99" i="90"/>
  <c r="U79" i="90"/>
  <c r="W75" i="89"/>
  <c r="R99" i="89"/>
  <c r="R78" i="89"/>
  <c r="S99" i="89"/>
  <c r="S78" i="89"/>
  <c r="U78" i="89"/>
  <c r="U99" i="89"/>
  <c r="T78" i="89"/>
  <c r="T99" i="89"/>
  <c r="V78" i="89"/>
  <c r="V99" i="89"/>
  <c r="U96" i="89"/>
  <c r="T96" i="89"/>
  <c r="T81" i="89"/>
  <c r="T97" i="89"/>
  <c r="R74" i="89"/>
  <c r="R96" i="89"/>
  <c r="U74" i="89"/>
  <c r="V84" i="90"/>
  <c r="V100" i="90"/>
  <c r="S81" i="89"/>
  <c r="S97" i="89"/>
  <c r="V81" i="89"/>
  <c r="V97" i="89"/>
  <c r="U81" i="89"/>
  <c r="U97" i="89"/>
  <c r="R84" i="89"/>
  <c r="R100" i="89"/>
  <c r="U84" i="90"/>
  <c r="U100" i="90"/>
  <c r="U84" i="89"/>
  <c r="U100" i="89"/>
  <c r="S84" i="90"/>
  <c r="S100" i="90"/>
  <c r="S96" i="89"/>
  <c r="T74" i="89"/>
  <c r="T84" i="89"/>
  <c r="T100" i="89"/>
  <c r="V96" i="89"/>
  <c r="V74" i="89"/>
  <c r="S84" i="89"/>
  <c r="S100" i="89"/>
  <c r="T84" i="90"/>
  <c r="T100" i="90"/>
  <c r="R84" i="90"/>
  <c r="R100" i="90"/>
  <c r="R81" i="89"/>
  <c r="R97" i="89"/>
  <c r="S74" i="89"/>
  <c r="V84" i="89"/>
  <c r="V100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26" i="79"/>
  <c r="C124" i="79"/>
  <c r="C40" i="74"/>
  <c r="C41" i="74" s="1"/>
  <c r="R90" i="93" l="1"/>
  <c r="D92" i="93"/>
  <c r="W89" i="93"/>
  <c r="W90" i="93" s="1"/>
  <c r="X90" i="93" s="1"/>
  <c r="W103" i="93"/>
  <c r="W104" i="93" s="1"/>
  <c r="X104" i="93" s="1"/>
  <c r="U112" i="93"/>
  <c r="R121" i="93"/>
  <c r="V133" i="93"/>
  <c r="S118" i="93"/>
  <c r="V114" i="93"/>
  <c r="S111" i="93"/>
  <c r="G58" i="82" s="1"/>
  <c r="U113" i="93"/>
  <c r="R118" i="93"/>
  <c r="R133" i="93"/>
  <c r="T113" i="93"/>
  <c r="T114" i="93"/>
  <c r="V116" i="93"/>
  <c r="U111" i="93"/>
  <c r="I58" i="82" s="1"/>
  <c r="S112" i="93"/>
  <c r="U133" i="93"/>
  <c r="T112" i="93"/>
  <c r="R111" i="93"/>
  <c r="T121" i="93"/>
  <c r="V121" i="93"/>
  <c r="T133" i="93"/>
  <c r="S113" i="93"/>
  <c r="T118" i="93"/>
  <c r="T116" i="93"/>
  <c r="R114" i="93"/>
  <c r="T111" i="93"/>
  <c r="H58" i="82" s="1"/>
  <c r="V118" i="93"/>
  <c r="U116" i="93"/>
  <c r="S121" i="93"/>
  <c r="U121" i="93"/>
  <c r="R116" i="93"/>
  <c r="R113" i="93"/>
  <c r="V111" i="93"/>
  <c r="V112" i="93"/>
  <c r="S133" i="93"/>
  <c r="S114" i="93"/>
  <c r="U114" i="93"/>
  <c r="U118" i="93"/>
  <c r="S116" i="93"/>
  <c r="R112" i="93"/>
  <c r="T110" i="93"/>
  <c r="H57" i="82" s="1"/>
  <c r="U131" i="93"/>
  <c r="T117" i="93"/>
  <c r="U120" i="93"/>
  <c r="T120" i="93"/>
  <c r="R120" i="93"/>
  <c r="R110" i="93"/>
  <c r="V120" i="93"/>
  <c r="S117" i="93"/>
  <c r="G61" i="82" s="1"/>
  <c r="V113" i="93"/>
  <c r="U110" i="93"/>
  <c r="T131" i="93"/>
  <c r="R117" i="93"/>
  <c r="S110" i="93"/>
  <c r="G57" i="82" s="1"/>
  <c r="V131" i="93"/>
  <c r="R131" i="93"/>
  <c r="U117" i="93"/>
  <c r="I61" i="82" s="1"/>
  <c r="S120" i="93"/>
  <c r="S131" i="93"/>
  <c r="V117" i="93"/>
  <c r="J61" i="82" s="1"/>
  <c r="V110" i="93"/>
  <c r="T109" i="93"/>
  <c r="S134" i="93"/>
  <c r="S135" i="93" s="1"/>
  <c r="U109" i="93"/>
  <c r="U130" i="93"/>
  <c r="S109" i="93"/>
  <c r="S119" i="93"/>
  <c r="V130" i="93"/>
  <c r="R134" i="93"/>
  <c r="V109" i="93"/>
  <c r="T130" i="93"/>
  <c r="U134" i="93"/>
  <c r="V119" i="93"/>
  <c r="T119" i="93"/>
  <c r="S130" i="93"/>
  <c r="S132" i="93" s="1"/>
  <c r="S137" i="93" s="1"/>
  <c r="S138" i="93" s="1"/>
  <c r="R109" i="93"/>
  <c r="R119" i="93"/>
  <c r="V134" i="93"/>
  <c r="V135" i="93" s="1"/>
  <c r="R130" i="93"/>
  <c r="U119" i="93"/>
  <c r="T134" i="93"/>
  <c r="W77" i="90"/>
  <c r="W99" i="90"/>
  <c r="W79" i="90"/>
  <c r="W78" i="89"/>
  <c r="W99" i="89"/>
  <c r="T130" i="89"/>
  <c r="T98" i="89"/>
  <c r="R134" i="90"/>
  <c r="R101" i="90"/>
  <c r="W100" i="90"/>
  <c r="W84" i="89"/>
  <c r="R119" i="89"/>
  <c r="V116" i="89"/>
  <c r="V87" i="89"/>
  <c r="U109" i="89"/>
  <c r="U80" i="89"/>
  <c r="V134" i="89"/>
  <c r="V101" i="89"/>
  <c r="V98" i="89"/>
  <c r="V130" i="89"/>
  <c r="U131" i="89"/>
  <c r="R130" i="89"/>
  <c r="W96" i="89"/>
  <c r="R98" i="89"/>
  <c r="R134" i="89"/>
  <c r="W100" i="89"/>
  <c r="R101" i="89"/>
  <c r="V80" i="89"/>
  <c r="V109" i="89"/>
  <c r="S109" i="89"/>
  <c r="S80" i="89"/>
  <c r="T134" i="89"/>
  <c r="T101" i="89"/>
  <c r="S101" i="90"/>
  <c r="S134" i="90"/>
  <c r="U116" i="89"/>
  <c r="U87" i="89"/>
  <c r="R109" i="89"/>
  <c r="W74" i="89"/>
  <c r="R80" i="89"/>
  <c r="R131" i="89"/>
  <c r="W97" i="89"/>
  <c r="T119" i="90"/>
  <c r="T119" i="89"/>
  <c r="S119" i="90"/>
  <c r="S131" i="89"/>
  <c r="T131" i="89"/>
  <c r="V131" i="89"/>
  <c r="V119" i="89"/>
  <c r="T101" i="90"/>
  <c r="T134" i="90"/>
  <c r="W81" i="89"/>
  <c r="R87" i="89"/>
  <c r="R116" i="89"/>
  <c r="S134" i="89"/>
  <c r="S101" i="89"/>
  <c r="T80" i="89"/>
  <c r="T109" i="89"/>
  <c r="U134" i="89"/>
  <c r="U101" i="89"/>
  <c r="S116" i="89"/>
  <c r="S87" i="89"/>
  <c r="T116" i="89"/>
  <c r="T87" i="89"/>
  <c r="T113" i="90"/>
  <c r="T118" i="89"/>
  <c r="T114" i="89"/>
  <c r="U111" i="89"/>
  <c r="R112" i="90"/>
  <c r="R117" i="89"/>
  <c r="R114" i="89"/>
  <c r="T113" i="89"/>
  <c r="S113" i="89"/>
  <c r="V118" i="90"/>
  <c r="T117" i="89"/>
  <c r="S113" i="90"/>
  <c r="U121" i="89"/>
  <c r="U114" i="89"/>
  <c r="V114" i="89"/>
  <c r="T114" i="90"/>
  <c r="V118" i="89"/>
  <c r="R114" i="90"/>
  <c r="R113" i="89"/>
  <c r="R118" i="90"/>
  <c r="T118" i="90"/>
  <c r="V121" i="89"/>
  <c r="S121" i="90"/>
  <c r="R112" i="89"/>
  <c r="U121" i="90"/>
  <c r="R121" i="90"/>
  <c r="S121" i="89"/>
  <c r="S114" i="89"/>
  <c r="V113" i="90"/>
  <c r="U118" i="90"/>
  <c r="V112" i="90"/>
  <c r="S114" i="90"/>
  <c r="U112" i="89"/>
  <c r="U117" i="89"/>
  <c r="R121" i="89"/>
  <c r="V114" i="90"/>
  <c r="T121" i="89"/>
  <c r="T112" i="89"/>
  <c r="R120" i="90"/>
  <c r="V112" i="89"/>
  <c r="S118" i="90"/>
  <c r="T112" i="90"/>
  <c r="U118" i="89"/>
  <c r="S118" i="89"/>
  <c r="T121" i="90"/>
  <c r="U114" i="90"/>
  <c r="R113" i="90"/>
  <c r="R118" i="89"/>
  <c r="S112" i="89"/>
  <c r="S117" i="89"/>
  <c r="U112" i="90"/>
  <c r="V117" i="89"/>
  <c r="U113" i="89"/>
  <c r="V113" i="89"/>
  <c r="V121" i="90"/>
  <c r="S112" i="90"/>
  <c r="R111" i="89"/>
  <c r="S120" i="89"/>
  <c r="V120" i="89"/>
  <c r="U133" i="90"/>
  <c r="V133" i="90"/>
  <c r="U120" i="90"/>
  <c r="T120" i="90"/>
  <c r="V133" i="89"/>
  <c r="S133" i="90"/>
  <c r="T133" i="89"/>
  <c r="U113" i="90"/>
  <c r="V120" i="90"/>
  <c r="S133" i="89"/>
  <c r="T110" i="89"/>
  <c r="V111" i="89"/>
  <c r="V110" i="89"/>
  <c r="U110" i="89"/>
  <c r="R110" i="89"/>
  <c r="U133" i="89"/>
  <c r="U120" i="89"/>
  <c r="S120" i="90"/>
  <c r="R133" i="89"/>
  <c r="T120" i="89"/>
  <c r="R120" i="89"/>
  <c r="T133" i="90"/>
  <c r="R133" i="90"/>
  <c r="T111" i="89"/>
  <c r="S110" i="89"/>
  <c r="S111" i="89"/>
  <c r="S119" i="89"/>
  <c r="S130" i="89"/>
  <c r="S98" i="89"/>
  <c r="U119" i="89"/>
  <c r="U101" i="90"/>
  <c r="U134" i="90"/>
  <c r="U98" i="89"/>
  <c r="V119" i="90"/>
  <c r="W84" i="90"/>
  <c r="R119" i="90"/>
  <c r="U119" i="90"/>
  <c r="U130" i="89"/>
  <c r="V134" i="90"/>
  <c r="V101" i="90"/>
  <c r="U132" i="93" l="1"/>
  <c r="J58" i="82"/>
  <c r="V132" i="93"/>
  <c r="W131" i="93"/>
  <c r="W113" i="93"/>
  <c r="F62" i="82"/>
  <c r="W118" i="93"/>
  <c r="R132" i="93"/>
  <c r="R137" i="93" s="1"/>
  <c r="W130" i="93"/>
  <c r="W132" i="93" s="1"/>
  <c r="S115" i="93"/>
  <c r="G56" i="82"/>
  <c r="G59" i="82" s="1"/>
  <c r="W111" i="93"/>
  <c r="F58" i="82"/>
  <c r="F56" i="82"/>
  <c r="W109" i="93"/>
  <c r="R115" i="93"/>
  <c r="U115" i="93"/>
  <c r="U124" i="93" s="1"/>
  <c r="U125" i="93" s="1"/>
  <c r="I56" i="82"/>
  <c r="W121" i="93"/>
  <c r="U135" i="93"/>
  <c r="U137" i="93" s="1"/>
  <c r="U138" i="93" s="1"/>
  <c r="J57" i="82"/>
  <c r="J60" i="82"/>
  <c r="V122" i="93"/>
  <c r="V124" i="93" s="1"/>
  <c r="V125" i="93" s="1"/>
  <c r="T132" i="93"/>
  <c r="T122" i="93"/>
  <c r="T124" i="93" s="1"/>
  <c r="T125" i="93" s="1"/>
  <c r="H60" i="82"/>
  <c r="V137" i="93"/>
  <c r="V138" i="93" s="1"/>
  <c r="H61" i="82"/>
  <c r="F60" i="82"/>
  <c r="W119" i="93"/>
  <c r="F61" i="82"/>
  <c r="W117" i="93"/>
  <c r="G62" i="82"/>
  <c r="W112" i="93"/>
  <c r="H56" i="82"/>
  <c r="H59" i="82" s="1"/>
  <c r="T115" i="93"/>
  <c r="I57" i="82"/>
  <c r="G60" i="82"/>
  <c r="S122" i="93"/>
  <c r="I62" i="82"/>
  <c r="V115" i="93"/>
  <c r="J56" i="82"/>
  <c r="W110" i="93"/>
  <c r="F57" i="82"/>
  <c r="H62" i="82"/>
  <c r="W116" i="93"/>
  <c r="W122" i="93" s="1"/>
  <c r="R122" i="93"/>
  <c r="I60" i="82"/>
  <c r="U122" i="93"/>
  <c r="J62" i="82"/>
  <c r="W114" i="93"/>
  <c r="T135" i="93"/>
  <c r="R135" i="93"/>
  <c r="W134" i="93"/>
  <c r="W120" i="93"/>
  <c r="W133" i="93"/>
  <c r="W101" i="89"/>
  <c r="W80" i="89"/>
  <c r="W101" i="90"/>
  <c r="T132" i="89"/>
  <c r="I32" i="82"/>
  <c r="V89" i="89"/>
  <c r="V90" i="89" s="1"/>
  <c r="J46" i="82"/>
  <c r="H46" i="82"/>
  <c r="J42" i="82"/>
  <c r="U135" i="90"/>
  <c r="T103" i="89"/>
  <c r="T104" i="89" s="1"/>
  <c r="S103" i="89"/>
  <c r="S104" i="89" s="1"/>
  <c r="G42" i="82"/>
  <c r="I46" i="82"/>
  <c r="T89" i="89"/>
  <c r="T90" i="89" s="1"/>
  <c r="G47" i="82"/>
  <c r="W133" i="90"/>
  <c r="I42" i="82"/>
  <c r="W87" i="89"/>
  <c r="I43" i="82"/>
  <c r="U89" i="89"/>
  <c r="U90" i="89" s="1"/>
  <c r="J47" i="82"/>
  <c r="H32" i="82"/>
  <c r="T135" i="90"/>
  <c r="G32" i="82"/>
  <c r="W120" i="90"/>
  <c r="U135" i="89"/>
  <c r="S135" i="89"/>
  <c r="R103" i="89"/>
  <c r="R104" i="89" s="1"/>
  <c r="W119" i="90"/>
  <c r="W133" i="89"/>
  <c r="U132" i="89"/>
  <c r="G43" i="82"/>
  <c r="V135" i="89"/>
  <c r="W112" i="89"/>
  <c r="S89" i="89"/>
  <c r="S90" i="89" s="1"/>
  <c r="I45" i="82"/>
  <c r="U122" i="89"/>
  <c r="S115" i="89"/>
  <c r="G41" i="82"/>
  <c r="H42" i="82"/>
  <c r="J32" i="82"/>
  <c r="W112" i="90"/>
  <c r="F45" i="82"/>
  <c r="R122" i="89"/>
  <c r="W116" i="89"/>
  <c r="F41" i="82"/>
  <c r="W109" i="89"/>
  <c r="R115" i="89"/>
  <c r="W119" i="89"/>
  <c r="H43" i="82"/>
  <c r="W120" i="89"/>
  <c r="W111" i="89"/>
  <c r="F43" i="82"/>
  <c r="G46" i="82"/>
  <c r="U103" i="89"/>
  <c r="U104" i="89" s="1"/>
  <c r="V115" i="89"/>
  <c r="J41" i="82"/>
  <c r="W98" i="89"/>
  <c r="R135" i="90"/>
  <c r="W134" i="90"/>
  <c r="T122" i="89"/>
  <c r="H45" i="82"/>
  <c r="R132" i="89"/>
  <c r="W130" i="89"/>
  <c r="F42" i="82"/>
  <c r="W110" i="89"/>
  <c r="V135" i="90"/>
  <c r="W121" i="89"/>
  <c r="T115" i="89"/>
  <c r="H41" i="82"/>
  <c r="V132" i="89"/>
  <c r="U115" i="89"/>
  <c r="I41" i="82"/>
  <c r="V103" i="89"/>
  <c r="V104" i="89" s="1"/>
  <c r="W118" i="89"/>
  <c r="F47" i="82"/>
  <c r="W121" i="90"/>
  <c r="I47" i="82"/>
  <c r="S122" i="89"/>
  <c r="G45" i="82"/>
  <c r="S132" i="89"/>
  <c r="W113" i="89"/>
  <c r="W114" i="89"/>
  <c r="H47" i="82"/>
  <c r="W131" i="89"/>
  <c r="T135" i="89"/>
  <c r="W118" i="90"/>
  <c r="F32" i="82"/>
  <c r="J43" i="82"/>
  <c r="S135" i="90"/>
  <c r="W113" i="90"/>
  <c r="W114" i="90"/>
  <c r="W117" i="89"/>
  <c r="F46" i="82"/>
  <c r="R89" i="89"/>
  <c r="R135" i="89"/>
  <c r="W134" i="89"/>
  <c r="J45" i="82"/>
  <c r="V122" i="89"/>
  <c r="C92" i="79"/>
  <c r="K61" i="82" l="1"/>
  <c r="R124" i="93"/>
  <c r="S124" i="93"/>
  <c r="S125" i="93" s="1"/>
  <c r="G63" i="82"/>
  <c r="G45" i="92" s="1"/>
  <c r="K58" i="82"/>
  <c r="W115" i="93"/>
  <c r="F59" i="82"/>
  <c r="K56" i="82"/>
  <c r="K59" i="82" s="1"/>
  <c r="T137" i="93"/>
  <c r="T138" i="93" s="1"/>
  <c r="J63" i="82"/>
  <c r="J45" i="92" s="1"/>
  <c r="K57" i="82"/>
  <c r="R138" i="93"/>
  <c r="H63" i="82"/>
  <c r="H45" i="92" s="1"/>
  <c r="W135" i="93"/>
  <c r="J59" i="82"/>
  <c r="D126" i="93"/>
  <c r="W124" i="93"/>
  <c r="W125" i="93" s="1"/>
  <c r="R125" i="93"/>
  <c r="I63" i="82"/>
  <c r="I45" i="92" s="1"/>
  <c r="H44" i="92"/>
  <c r="H47" i="92" s="1"/>
  <c r="G44" i="92"/>
  <c r="G47" i="92" s="1"/>
  <c r="G65" i="82"/>
  <c r="F63" i="82"/>
  <c r="F45" i="92" s="1"/>
  <c r="K60" i="82"/>
  <c r="I59" i="82"/>
  <c r="K62" i="82"/>
  <c r="D92" i="89"/>
  <c r="T137" i="89"/>
  <c r="T138" i="89" s="1"/>
  <c r="W135" i="90"/>
  <c r="R124" i="89"/>
  <c r="U124" i="89"/>
  <c r="U125" i="89" s="1"/>
  <c r="U137" i="89"/>
  <c r="U138" i="89" s="1"/>
  <c r="K47" i="82"/>
  <c r="S137" i="89"/>
  <c r="S138" i="89" s="1"/>
  <c r="V137" i="89"/>
  <c r="V138" i="89" s="1"/>
  <c r="S124" i="89"/>
  <c r="S125" i="89" s="1"/>
  <c r="W135" i="89"/>
  <c r="W132" i="89"/>
  <c r="W103" i="89"/>
  <c r="W104" i="89" s="1"/>
  <c r="X104" i="89" s="1"/>
  <c r="R137" i="89"/>
  <c r="W115" i="89"/>
  <c r="W89" i="89"/>
  <c r="R90" i="89"/>
  <c r="T124" i="89"/>
  <c r="T125" i="89" s="1"/>
  <c r="V124" i="89"/>
  <c r="V125" i="89" s="1"/>
  <c r="W122" i="89"/>
  <c r="K32" i="82"/>
  <c r="G48" i="82"/>
  <c r="J48" i="82"/>
  <c r="K45" i="82"/>
  <c r="F48" i="82"/>
  <c r="F34" i="92" s="1"/>
  <c r="I48" i="82"/>
  <c r="H48" i="82"/>
  <c r="A2" i="79"/>
  <c r="A1" i="79"/>
  <c r="A2" i="74"/>
  <c r="A1" i="74"/>
  <c r="C89" i="79"/>
  <c r="V66" i="79"/>
  <c r="U66" i="79"/>
  <c r="T66" i="79"/>
  <c r="S66" i="79"/>
  <c r="R66" i="79"/>
  <c r="J66" i="79"/>
  <c r="V65" i="79"/>
  <c r="U65" i="79"/>
  <c r="T65" i="79"/>
  <c r="S65" i="79"/>
  <c r="R65" i="79"/>
  <c r="J65" i="79"/>
  <c r="V64" i="79"/>
  <c r="U64" i="79"/>
  <c r="T64" i="79"/>
  <c r="S64" i="79"/>
  <c r="R64" i="79"/>
  <c r="J64" i="79"/>
  <c r="V63" i="79"/>
  <c r="U63" i="79"/>
  <c r="T63" i="79"/>
  <c r="S63" i="79"/>
  <c r="R63" i="79"/>
  <c r="J63" i="79"/>
  <c r="V62" i="79"/>
  <c r="U62" i="79"/>
  <c r="T62" i="79"/>
  <c r="S62" i="79"/>
  <c r="R62" i="79"/>
  <c r="J62" i="79"/>
  <c r="V61" i="79"/>
  <c r="U61" i="79"/>
  <c r="T61" i="79"/>
  <c r="S61" i="79"/>
  <c r="R61" i="79"/>
  <c r="J61" i="79"/>
  <c r="V60" i="79"/>
  <c r="U60" i="79"/>
  <c r="T60" i="79"/>
  <c r="S60" i="79"/>
  <c r="R60" i="79"/>
  <c r="J60" i="79"/>
  <c r="V59" i="79"/>
  <c r="U59" i="79"/>
  <c r="T59" i="79"/>
  <c r="S59" i="79"/>
  <c r="R59" i="79"/>
  <c r="J59" i="79"/>
  <c r="V58" i="79"/>
  <c r="U58" i="79"/>
  <c r="T58" i="79"/>
  <c r="S58" i="79"/>
  <c r="R58" i="79"/>
  <c r="J58" i="79"/>
  <c r="V57" i="79"/>
  <c r="U57" i="79"/>
  <c r="T57" i="79"/>
  <c r="S57" i="79"/>
  <c r="R57" i="79"/>
  <c r="J57" i="79"/>
  <c r="V56" i="79"/>
  <c r="U56" i="79"/>
  <c r="T56" i="79"/>
  <c r="S56" i="79"/>
  <c r="R56" i="79"/>
  <c r="J56" i="79"/>
  <c r="V55" i="79"/>
  <c r="U55" i="79"/>
  <c r="T55" i="79"/>
  <c r="S55" i="79"/>
  <c r="R55" i="79"/>
  <c r="J55" i="79"/>
  <c r="V54" i="79"/>
  <c r="U54" i="79"/>
  <c r="T54" i="79"/>
  <c r="S54" i="79"/>
  <c r="R54" i="79"/>
  <c r="J54" i="79"/>
  <c r="J53" i="79"/>
  <c r="R53" i="79"/>
  <c r="V52" i="79"/>
  <c r="U52" i="79"/>
  <c r="T52" i="79"/>
  <c r="S52" i="79"/>
  <c r="R52" i="79"/>
  <c r="J52" i="79"/>
  <c r="V51" i="79"/>
  <c r="V86" i="79" s="1"/>
  <c r="V121" i="79" s="1"/>
  <c r="U51" i="79"/>
  <c r="U86" i="79" s="1"/>
  <c r="U121" i="79" s="1"/>
  <c r="T51" i="79"/>
  <c r="T86" i="79" s="1"/>
  <c r="T121" i="79" s="1"/>
  <c r="S51" i="79"/>
  <c r="S86" i="79" s="1"/>
  <c r="S121" i="79" s="1"/>
  <c r="R51" i="79"/>
  <c r="R86" i="79" s="1"/>
  <c r="R121" i="79" s="1"/>
  <c r="J51" i="79"/>
  <c r="V50" i="79"/>
  <c r="U50" i="79"/>
  <c r="T50" i="79"/>
  <c r="S50" i="79"/>
  <c r="R50" i="79"/>
  <c r="J50" i="79"/>
  <c r="V49" i="79"/>
  <c r="U49" i="79"/>
  <c r="T49" i="79"/>
  <c r="S49" i="79"/>
  <c r="R49" i="79"/>
  <c r="J49" i="79"/>
  <c r="J48" i="79"/>
  <c r="R48" i="79"/>
  <c r="R77" i="79" s="1"/>
  <c r="R112" i="79" s="1"/>
  <c r="V47" i="79"/>
  <c r="U47" i="79"/>
  <c r="T47" i="79"/>
  <c r="S47" i="79"/>
  <c r="R47" i="79"/>
  <c r="J47" i="79"/>
  <c r="V46" i="79"/>
  <c r="U46" i="79"/>
  <c r="T46" i="79"/>
  <c r="S46" i="79"/>
  <c r="R46" i="79"/>
  <c r="J46" i="79"/>
  <c r="J45" i="79"/>
  <c r="V45" i="79"/>
  <c r="V44" i="79"/>
  <c r="U44" i="79"/>
  <c r="T44" i="79"/>
  <c r="S44" i="79"/>
  <c r="R44" i="79"/>
  <c r="J44" i="79"/>
  <c r="J43" i="79"/>
  <c r="V43" i="79"/>
  <c r="V81" i="79" s="1"/>
  <c r="V42" i="79"/>
  <c r="U42" i="79"/>
  <c r="T42" i="79"/>
  <c r="S42" i="79"/>
  <c r="R42" i="79"/>
  <c r="J42" i="79"/>
  <c r="V41" i="79"/>
  <c r="U41" i="79"/>
  <c r="T41" i="79"/>
  <c r="S41" i="79"/>
  <c r="R41" i="79"/>
  <c r="J41" i="79"/>
  <c r="V40" i="79"/>
  <c r="U40" i="79"/>
  <c r="T40" i="79"/>
  <c r="S40" i="79"/>
  <c r="R40" i="79"/>
  <c r="J40" i="79"/>
  <c r="V15" i="79"/>
  <c r="U15" i="79"/>
  <c r="T15" i="79"/>
  <c r="S15" i="79"/>
  <c r="R15" i="79"/>
  <c r="J15" i="79"/>
  <c r="V14" i="79"/>
  <c r="U14" i="79"/>
  <c r="T14" i="79"/>
  <c r="S14" i="79"/>
  <c r="R14" i="79"/>
  <c r="J14" i="79"/>
  <c r="J13" i="79"/>
  <c r="V13" i="79"/>
  <c r="J12" i="79"/>
  <c r="R12" i="79"/>
  <c r="J11" i="79"/>
  <c r="U11" i="79"/>
  <c r="J10" i="79"/>
  <c r="V10" i="79"/>
  <c r="A5" i="79"/>
  <c r="X3" i="79"/>
  <c r="X125" i="93" l="1"/>
  <c r="J44" i="92"/>
  <c r="J47" i="92" s="1"/>
  <c r="J65" i="82"/>
  <c r="I44" i="92"/>
  <c r="I65" i="82"/>
  <c r="K45" i="92"/>
  <c r="W137" i="93"/>
  <c r="W138" i="93" s="1"/>
  <c r="X138" i="93" s="1"/>
  <c r="H65" i="82"/>
  <c r="K63" i="82"/>
  <c r="I47" i="92"/>
  <c r="K65" i="82"/>
  <c r="L65" i="82" s="1"/>
  <c r="F44" i="92"/>
  <c r="F65" i="82"/>
  <c r="H34" i="92"/>
  <c r="I34" i="92"/>
  <c r="G34" i="92"/>
  <c r="J34" i="92"/>
  <c r="R125" i="89"/>
  <c r="D126" i="89"/>
  <c r="R79" i="79"/>
  <c r="R114" i="79" s="1"/>
  <c r="W124" i="89"/>
  <c r="W90" i="89"/>
  <c r="X90" i="89" s="1"/>
  <c r="R138" i="89"/>
  <c r="W137" i="89"/>
  <c r="W138" i="89" s="1"/>
  <c r="W121" i="79"/>
  <c r="T53" i="79"/>
  <c r="T84" i="79" s="1"/>
  <c r="T119" i="79" s="1"/>
  <c r="W86" i="79"/>
  <c r="R85" i="79"/>
  <c r="R120" i="79" s="1"/>
  <c r="R100" i="79"/>
  <c r="R134" i="79" s="1"/>
  <c r="R84" i="79"/>
  <c r="R119" i="79" s="1"/>
  <c r="T85" i="79"/>
  <c r="T120" i="79" s="1"/>
  <c r="U85" i="79"/>
  <c r="U120" i="79" s="1"/>
  <c r="R78" i="79"/>
  <c r="R113" i="79" s="1"/>
  <c r="R99" i="79"/>
  <c r="R133" i="79" s="1"/>
  <c r="V85" i="79"/>
  <c r="V120" i="79" s="1"/>
  <c r="S53" i="79"/>
  <c r="S85" i="79" s="1"/>
  <c r="S120" i="79" s="1"/>
  <c r="U53" i="79"/>
  <c r="U100" i="79" s="1"/>
  <c r="U134" i="79" s="1"/>
  <c r="V53" i="79"/>
  <c r="V100" i="79" s="1"/>
  <c r="V134" i="79" s="1"/>
  <c r="V116" i="79"/>
  <c r="R43" i="79"/>
  <c r="R81" i="79" s="1"/>
  <c r="S43" i="79"/>
  <c r="S81" i="79" s="1"/>
  <c r="T43" i="79"/>
  <c r="T81" i="79" s="1"/>
  <c r="U43" i="79"/>
  <c r="U81" i="79" s="1"/>
  <c r="V76" i="79"/>
  <c r="U82" i="79"/>
  <c r="U117" i="79" s="1"/>
  <c r="T82" i="79"/>
  <c r="T117" i="79" s="1"/>
  <c r="R82" i="79"/>
  <c r="V97" i="79"/>
  <c r="V131" i="79" s="1"/>
  <c r="V82" i="79"/>
  <c r="V117" i="79" s="1"/>
  <c r="S82" i="79"/>
  <c r="S117" i="79" s="1"/>
  <c r="K46" i="82"/>
  <c r="K48" i="82" s="1"/>
  <c r="U12" i="79"/>
  <c r="V12" i="79"/>
  <c r="V48" i="79"/>
  <c r="V77" i="79" s="1"/>
  <c r="V112" i="79" s="1"/>
  <c r="U48" i="79"/>
  <c r="S48" i="79"/>
  <c r="T48" i="79"/>
  <c r="S12" i="79"/>
  <c r="T12" i="79"/>
  <c r="S45" i="79"/>
  <c r="R45" i="79"/>
  <c r="U45" i="79"/>
  <c r="T45" i="79"/>
  <c r="R10" i="79"/>
  <c r="V11" i="79"/>
  <c r="U10" i="79"/>
  <c r="T11" i="79"/>
  <c r="S10" i="79"/>
  <c r="T10" i="79"/>
  <c r="S11" i="79"/>
  <c r="R13" i="79"/>
  <c r="S13" i="79"/>
  <c r="R11" i="79"/>
  <c r="T13" i="79"/>
  <c r="U13" i="79"/>
  <c r="K34" i="92" l="1"/>
  <c r="F67" i="82"/>
  <c r="K44" i="92"/>
  <c r="K47" i="92" s="1"/>
  <c r="F47" i="92"/>
  <c r="F49" i="92" s="1"/>
  <c r="K35" i="92"/>
  <c r="U76" i="79"/>
  <c r="U111" i="79" s="1"/>
  <c r="T79" i="79"/>
  <c r="T114" i="79" s="1"/>
  <c r="T77" i="79"/>
  <c r="T112" i="79" s="1"/>
  <c r="S79" i="79"/>
  <c r="S114" i="79" s="1"/>
  <c r="S77" i="79"/>
  <c r="S112" i="79" s="1"/>
  <c r="U79" i="79"/>
  <c r="U114" i="79" s="1"/>
  <c r="U77" i="79"/>
  <c r="U112" i="79" s="1"/>
  <c r="V79" i="79"/>
  <c r="V114" i="79" s="1"/>
  <c r="T76" i="79"/>
  <c r="T111" i="79" s="1"/>
  <c r="S76" i="79"/>
  <c r="R76" i="79"/>
  <c r="R83" i="79"/>
  <c r="R87" i="79" s="1"/>
  <c r="T83" i="79"/>
  <c r="R75" i="79"/>
  <c r="R110" i="79" s="1"/>
  <c r="F12" i="82" s="1"/>
  <c r="W125" i="89"/>
  <c r="X125" i="89" s="1"/>
  <c r="T100" i="79"/>
  <c r="T134" i="79" s="1"/>
  <c r="J16" i="82"/>
  <c r="X138" i="89"/>
  <c r="R135" i="79"/>
  <c r="R117" i="79"/>
  <c r="W120" i="79"/>
  <c r="H16" i="82"/>
  <c r="I16" i="82"/>
  <c r="V111" i="79"/>
  <c r="G16" i="82"/>
  <c r="T97" i="79"/>
  <c r="T131" i="79" s="1"/>
  <c r="S83" i="79"/>
  <c r="S84" i="79"/>
  <c r="S119" i="79" s="1"/>
  <c r="U99" i="79"/>
  <c r="U78" i="79"/>
  <c r="U113" i="79" s="1"/>
  <c r="T99" i="79"/>
  <c r="T78" i="79"/>
  <c r="T113" i="79" s="1"/>
  <c r="R101" i="79"/>
  <c r="S78" i="79"/>
  <c r="S113" i="79" s="1"/>
  <c r="S99" i="79"/>
  <c r="S133" i="79" s="1"/>
  <c r="S100" i="79"/>
  <c r="V83" i="79"/>
  <c r="V118" i="79" s="1"/>
  <c r="J17" i="82" s="1"/>
  <c r="V84" i="79"/>
  <c r="V75" i="79"/>
  <c r="V110" i="79" s="1"/>
  <c r="V99" i="79"/>
  <c r="V78" i="79"/>
  <c r="V113" i="79" s="1"/>
  <c r="U83" i="79"/>
  <c r="U84" i="79"/>
  <c r="R97" i="79"/>
  <c r="R131" i="79" s="1"/>
  <c r="U97" i="79"/>
  <c r="U131" i="79" s="1"/>
  <c r="U116" i="79"/>
  <c r="S97" i="79"/>
  <c r="S131" i="79" s="1"/>
  <c r="T116" i="79"/>
  <c r="S116" i="79"/>
  <c r="W81" i="79"/>
  <c r="R116" i="79"/>
  <c r="U75" i="79"/>
  <c r="U110" i="79" s="1"/>
  <c r="S75" i="79"/>
  <c r="S110" i="79" s="1"/>
  <c r="V74" i="79"/>
  <c r="T75" i="79"/>
  <c r="T110" i="79" s="1"/>
  <c r="U96" i="79"/>
  <c r="U130" i="79" s="1"/>
  <c r="U74" i="79"/>
  <c r="V96" i="79"/>
  <c r="R74" i="79"/>
  <c r="R96" i="79"/>
  <c r="R130" i="79" s="1"/>
  <c r="T96" i="79"/>
  <c r="T130" i="79" s="1"/>
  <c r="T74" i="79"/>
  <c r="S74" i="79"/>
  <c r="S96" i="79"/>
  <c r="S130" i="79" s="1"/>
  <c r="W85" i="79"/>
  <c r="W82" i="79"/>
  <c r="H13" i="82" l="1"/>
  <c r="I13" i="82"/>
  <c r="W112" i="79"/>
  <c r="W114" i="79"/>
  <c r="W79" i="79"/>
  <c r="J13" i="82"/>
  <c r="R118" i="79"/>
  <c r="F17" i="82" s="1"/>
  <c r="W76" i="79"/>
  <c r="R111" i="79"/>
  <c r="F13" i="82" s="1"/>
  <c r="S111" i="79"/>
  <c r="G13" i="82" s="1"/>
  <c r="T87" i="79"/>
  <c r="T118" i="79"/>
  <c r="H17" i="82" s="1"/>
  <c r="T132" i="79"/>
  <c r="I12" i="82"/>
  <c r="G12" i="82"/>
  <c r="W113" i="79"/>
  <c r="W131" i="79"/>
  <c r="V98" i="79"/>
  <c r="V130" i="79"/>
  <c r="V132" i="79" s="1"/>
  <c r="U119" i="79"/>
  <c r="I15" i="82" s="1"/>
  <c r="W100" i="79"/>
  <c r="S134" i="79"/>
  <c r="W134" i="79" s="1"/>
  <c r="U101" i="79"/>
  <c r="U133" i="79"/>
  <c r="U135" i="79" s="1"/>
  <c r="U118" i="79"/>
  <c r="I17" i="82" s="1"/>
  <c r="T101" i="79"/>
  <c r="T133" i="79"/>
  <c r="T135" i="79" s="1"/>
  <c r="W117" i="79"/>
  <c r="F16" i="82"/>
  <c r="S132" i="79"/>
  <c r="U132" i="79"/>
  <c r="S118" i="79"/>
  <c r="G17" i="82" s="1"/>
  <c r="R132" i="79"/>
  <c r="R137" i="79" s="1"/>
  <c r="V101" i="79"/>
  <c r="V133" i="79"/>
  <c r="V135" i="79" s="1"/>
  <c r="J12" i="82"/>
  <c r="H12" i="82"/>
  <c r="V119" i="79"/>
  <c r="J15" i="82" s="1"/>
  <c r="F15" i="82"/>
  <c r="G15" i="82"/>
  <c r="H15" i="82"/>
  <c r="S87" i="79"/>
  <c r="V87" i="79"/>
  <c r="T98" i="79"/>
  <c r="W84" i="79"/>
  <c r="S98" i="79"/>
  <c r="S101" i="79"/>
  <c r="V80" i="79"/>
  <c r="W83" i="79"/>
  <c r="W99" i="79"/>
  <c r="U87" i="79"/>
  <c r="U98" i="79"/>
  <c r="W97" i="79"/>
  <c r="W116" i="79"/>
  <c r="W96" i="79"/>
  <c r="R98" i="79"/>
  <c r="R103" i="79" s="1"/>
  <c r="W78" i="79"/>
  <c r="R80" i="79"/>
  <c r="R89" i="79" s="1"/>
  <c r="W77" i="79"/>
  <c r="U80" i="79"/>
  <c r="S80" i="79"/>
  <c r="T80" i="79"/>
  <c r="W75" i="79"/>
  <c r="W74" i="79"/>
  <c r="H18" i="82" l="1"/>
  <c r="T122" i="79"/>
  <c r="R122" i="79"/>
  <c r="T89" i="79"/>
  <c r="T90" i="79" s="1"/>
  <c r="T137" i="79"/>
  <c r="T138" i="79" s="1"/>
  <c r="V122" i="79"/>
  <c r="S122" i="79"/>
  <c r="T103" i="79"/>
  <c r="T104" i="79" s="1"/>
  <c r="V103" i="79"/>
  <c r="V104" i="79" s="1"/>
  <c r="S89" i="79"/>
  <c r="S90" i="79" s="1"/>
  <c r="W133" i="79"/>
  <c r="W135" i="79" s="1"/>
  <c r="U103" i="79"/>
  <c r="U104" i="79" s="1"/>
  <c r="W119" i="79"/>
  <c r="U137" i="79"/>
  <c r="U138" i="79" s="1"/>
  <c r="W130" i="79"/>
  <c r="W132" i="79" s="1"/>
  <c r="W118" i="79"/>
  <c r="V137" i="79"/>
  <c r="V138" i="79" s="1"/>
  <c r="R138" i="79"/>
  <c r="W101" i="79"/>
  <c r="U122" i="79"/>
  <c r="S135" i="79"/>
  <c r="S137" i="79" s="1"/>
  <c r="K15" i="82"/>
  <c r="G18" i="82"/>
  <c r="V89" i="79"/>
  <c r="V90" i="79" s="1"/>
  <c r="W87" i="79"/>
  <c r="K17" i="82"/>
  <c r="U89" i="79"/>
  <c r="U90" i="79" s="1"/>
  <c r="J18" i="82"/>
  <c r="I18" i="82"/>
  <c r="S103" i="79"/>
  <c r="S104" i="79" s="1"/>
  <c r="W98" i="79"/>
  <c r="R104" i="79"/>
  <c r="W80" i="79"/>
  <c r="K16" i="82"/>
  <c r="F18" i="82"/>
  <c r="R90" i="79"/>
  <c r="F12" i="92" l="1"/>
  <c r="G12" i="92"/>
  <c r="H12" i="92"/>
  <c r="I12" i="92"/>
  <c r="J12" i="92"/>
  <c r="D92" i="79"/>
  <c r="W122" i="79"/>
  <c r="S138" i="79"/>
  <c r="W137" i="79"/>
  <c r="K18" i="82"/>
  <c r="W103" i="79"/>
  <c r="W104" i="79" s="1"/>
  <c r="X104" i="79" s="1"/>
  <c r="W89" i="79"/>
  <c r="K13" i="92" l="1"/>
  <c r="W138" i="79"/>
  <c r="X138" i="79" s="1"/>
  <c r="W90" i="79"/>
  <c r="X90" i="79" s="1"/>
  <c r="V109" i="79" l="1"/>
  <c r="U109" i="79"/>
  <c r="S109" i="79"/>
  <c r="T109" i="79"/>
  <c r="R109" i="79"/>
  <c r="U115" i="79" l="1"/>
  <c r="U124" i="79" s="1"/>
  <c r="U125" i="79" s="1"/>
  <c r="I11" i="82"/>
  <c r="I14" i="82" s="1"/>
  <c r="R115" i="79"/>
  <c r="R124" i="79" s="1"/>
  <c r="F11" i="82"/>
  <c r="F14" i="82" s="1"/>
  <c r="V115" i="79"/>
  <c r="V124" i="79" s="1"/>
  <c r="V125" i="79" s="1"/>
  <c r="J11" i="82"/>
  <c r="J14" i="82" s="1"/>
  <c r="T115" i="79"/>
  <c r="T124" i="79" s="1"/>
  <c r="T125" i="79" s="1"/>
  <c r="H11" i="82"/>
  <c r="H14" i="82" s="1"/>
  <c r="S115" i="79"/>
  <c r="S124" i="79" s="1"/>
  <c r="S125" i="79" s="1"/>
  <c r="G11" i="82"/>
  <c r="G14" i="82" s="1"/>
  <c r="F44" i="82"/>
  <c r="F33" i="92" s="1"/>
  <c r="W111" i="79"/>
  <c r="W110" i="79"/>
  <c r="W109" i="79"/>
  <c r="G11" i="92" l="1"/>
  <c r="G14" i="92" s="1"/>
  <c r="H11" i="92"/>
  <c r="H14" i="92" s="1"/>
  <c r="J11" i="92"/>
  <c r="J14" i="92" s="1"/>
  <c r="F11" i="92"/>
  <c r="F14" i="92" s="1"/>
  <c r="I11" i="92"/>
  <c r="I14" i="92" s="1"/>
  <c r="F50" i="82"/>
  <c r="R125" i="79"/>
  <c r="D126" i="79"/>
  <c r="W115" i="79"/>
  <c r="F20" i="82"/>
  <c r="J20" i="82"/>
  <c r="G20" i="82"/>
  <c r="H20" i="82"/>
  <c r="I20" i="82"/>
  <c r="I44" i="82"/>
  <c r="I33" i="92" s="1"/>
  <c r="J44" i="82"/>
  <c r="J33" i="92" s="1"/>
  <c r="G44" i="82"/>
  <c r="G33" i="92" s="1"/>
  <c r="H44" i="82"/>
  <c r="H33" i="92" s="1"/>
  <c r="K11" i="82"/>
  <c r="K12" i="82"/>
  <c r="K13" i="82"/>
  <c r="K42" i="82"/>
  <c r="K41" i="82"/>
  <c r="K43" i="82"/>
  <c r="W124" i="79"/>
  <c r="J50" i="82" l="1"/>
  <c r="J36" i="92"/>
  <c r="I50" i="82"/>
  <c r="I36" i="92"/>
  <c r="H50" i="82"/>
  <c r="H36" i="92"/>
  <c r="F36" i="92"/>
  <c r="K33" i="92"/>
  <c r="K36" i="92" s="1"/>
  <c r="G50" i="82"/>
  <c r="G36" i="92"/>
  <c r="F22" i="82"/>
  <c r="W125" i="79"/>
  <c r="X125" i="79" s="1"/>
  <c r="K44" i="82"/>
  <c r="K50" i="82" s="1"/>
  <c r="K14" i="82"/>
  <c r="K20" i="82" s="1"/>
  <c r="L20" i="82" s="1"/>
  <c r="F52" i="82" l="1"/>
  <c r="F38" i="92"/>
  <c r="L50" i="82"/>
  <c r="S81" i="90" l="1"/>
  <c r="S116" i="90" s="1"/>
  <c r="T81" i="90" l="1"/>
  <c r="T116" i="90" s="1"/>
  <c r="H30" i="82" s="1"/>
  <c r="U81" i="90"/>
  <c r="V81" i="90"/>
  <c r="G30" i="82"/>
  <c r="V116" i="90" l="1"/>
  <c r="U116" i="90"/>
  <c r="J30" i="82" l="1"/>
  <c r="I30" i="82"/>
  <c r="V13" i="90" l="1"/>
  <c r="R36" i="90"/>
  <c r="R11" i="90"/>
  <c r="R81" i="90" s="1"/>
  <c r="T18" i="90"/>
  <c r="U39" i="90"/>
  <c r="S23" i="90"/>
  <c r="S76" i="90" s="1"/>
  <c r="S28" i="90"/>
  <c r="V31" i="90"/>
  <c r="R32" i="90"/>
  <c r="R33" i="90"/>
  <c r="T19" i="90"/>
  <c r="S18" i="90"/>
  <c r="S31" i="90"/>
  <c r="U30" i="90"/>
  <c r="T48" i="90"/>
  <c r="R50" i="90"/>
  <c r="T28" i="90"/>
  <c r="T53" i="90"/>
  <c r="S32" i="90"/>
  <c r="U24" i="90"/>
  <c r="U19" i="90"/>
  <c r="S26" i="90"/>
  <c r="U40" i="90"/>
  <c r="V45" i="90"/>
  <c r="T13" i="90"/>
  <c r="S19" i="90"/>
  <c r="R29" i="90"/>
  <c r="U13" i="90"/>
  <c r="R21" i="90"/>
  <c r="T31" i="90"/>
  <c r="V33" i="90"/>
  <c r="U52" i="90"/>
  <c r="R41" i="90"/>
  <c r="R28" i="90"/>
  <c r="U31" i="90"/>
  <c r="R38" i="90"/>
  <c r="V27" i="90"/>
  <c r="S47" i="90"/>
  <c r="U21" i="90"/>
  <c r="U51" i="90"/>
  <c r="V49" i="90"/>
  <c r="R53" i="90"/>
  <c r="V24" i="90"/>
  <c r="S15" i="90"/>
  <c r="T16" i="90"/>
  <c r="U38" i="90"/>
  <c r="U44" i="90"/>
  <c r="S25" i="90"/>
  <c r="R24" i="90"/>
  <c r="R39" i="90"/>
  <c r="S57" i="90"/>
  <c r="V20" i="90"/>
  <c r="U32" i="90"/>
  <c r="R34" i="90"/>
  <c r="T46" i="90"/>
  <c r="U49" i="90"/>
  <c r="S49" i="90"/>
  <c r="R12" i="90"/>
  <c r="T23" i="90"/>
  <c r="T76" i="90" s="1"/>
  <c r="V23" i="90"/>
  <c r="V76" i="90" s="1"/>
  <c r="U42" i="90"/>
  <c r="T20" i="90"/>
  <c r="R16" i="90"/>
  <c r="R19" i="90"/>
  <c r="U34" i="90"/>
  <c r="R55" i="90"/>
  <c r="S30" i="90"/>
  <c r="U41" i="90"/>
  <c r="T56" i="90"/>
  <c r="V29" i="90"/>
  <c r="R27" i="90"/>
  <c r="V52" i="90"/>
  <c r="T49" i="90"/>
  <c r="V46" i="90"/>
  <c r="S50" i="90"/>
  <c r="T29" i="90"/>
  <c r="S45" i="90"/>
  <c r="U50" i="90"/>
  <c r="U20" i="90"/>
  <c r="T51" i="90"/>
  <c r="T30" i="90"/>
  <c r="R20" i="90"/>
  <c r="U57" i="90"/>
  <c r="V15" i="90"/>
  <c r="R54" i="90"/>
  <c r="R30" i="90"/>
  <c r="V48" i="90"/>
  <c r="S33" i="90"/>
  <c r="U54" i="90"/>
  <c r="S54" i="90"/>
  <c r="S20" i="90"/>
  <c r="V50" i="90"/>
  <c r="U48" i="90"/>
  <c r="V10" i="90"/>
  <c r="T55" i="90"/>
  <c r="U35" i="90"/>
  <c r="R43" i="90"/>
  <c r="R47" i="90"/>
  <c r="T11" i="90"/>
  <c r="V40" i="90"/>
  <c r="T36" i="90"/>
  <c r="T47" i="90"/>
  <c r="U36" i="90"/>
  <c r="S22" i="90"/>
  <c r="R18" i="90"/>
  <c r="T50" i="90"/>
  <c r="V42" i="90"/>
  <c r="R40" i="90"/>
  <c r="V38" i="90"/>
  <c r="R48" i="90"/>
  <c r="S12" i="90"/>
  <c r="T35" i="90"/>
  <c r="U33" i="90"/>
  <c r="R42" i="90"/>
  <c r="S55" i="90"/>
  <c r="V35" i="90"/>
  <c r="S43" i="90"/>
  <c r="T45" i="90"/>
  <c r="T57" i="90"/>
  <c r="V56" i="90"/>
  <c r="U45" i="90"/>
  <c r="T32" i="90"/>
  <c r="U16" i="90"/>
  <c r="U10" i="90"/>
  <c r="S42" i="90"/>
  <c r="V34" i="90"/>
  <c r="T33" i="90"/>
  <c r="S34" i="90"/>
  <c r="S40" i="90"/>
  <c r="U46" i="90"/>
  <c r="U43" i="90"/>
  <c r="U15" i="90"/>
  <c r="U27" i="90"/>
  <c r="V41" i="90"/>
  <c r="V25" i="90"/>
  <c r="U25" i="90"/>
  <c r="T26" i="90"/>
  <c r="V17" i="90"/>
  <c r="R52" i="90"/>
  <c r="T37" i="90"/>
  <c r="S29" i="90"/>
  <c r="V32" i="90"/>
  <c r="R17" i="90"/>
  <c r="U14" i="90"/>
  <c r="V12" i="90"/>
  <c r="R45" i="90"/>
  <c r="T34" i="90"/>
  <c r="S10" i="90"/>
  <c r="R44" i="90"/>
  <c r="S51" i="90"/>
  <c r="U37" i="90"/>
  <c r="R46" i="90"/>
  <c r="R14" i="90"/>
  <c r="V44" i="90"/>
  <c r="T22" i="90"/>
  <c r="S46" i="90"/>
  <c r="R25" i="90"/>
  <c r="T15" i="90"/>
  <c r="V21" i="90"/>
  <c r="U47" i="90"/>
  <c r="S48" i="90"/>
  <c r="S37" i="90"/>
  <c r="S14" i="90"/>
  <c r="V43" i="90"/>
  <c r="V11" i="90"/>
  <c r="V26" i="90"/>
  <c r="R23" i="90"/>
  <c r="R76" i="90" s="1"/>
  <c r="U18" i="90"/>
  <c r="V16" i="90"/>
  <c r="R26" i="90"/>
  <c r="V54" i="90"/>
  <c r="S27" i="90"/>
  <c r="V47" i="90"/>
  <c r="R13" i="90"/>
  <c r="U26" i="90"/>
  <c r="V39" i="90"/>
  <c r="S13" i="90"/>
  <c r="U11" i="90"/>
  <c r="T44" i="90"/>
  <c r="R35" i="90"/>
  <c r="T24" i="90"/>
  <c r="S53" i="90"/>
  <c r="R51" i="90"/>
  <c r="S56" i="90"/>
  <c r="T41" i="90"/>
  <c r="R31" i="90"/>
  <c r="U23" i="90"/>
  <c r="U76" i="90" s="1"/>
  <c r="S41" i="90"/>
  <c r="T14" i="90"/>
  <c r="S52" i="90"/>
  <c r="V51" i="90"/>
  <c r="R57" i="90"/>
  <c r="V53" i="90"/>
  <c r="R22" i="90"/>
  <c r="S16" i="90"/>
  <c r="V36" i="90"/>
  <c r="T39" i="90"/>
  <c r="T54" i="90"/>
  <c r="T27" i="90"/>
  <c r="S17" i="90"/>
  <c r="V19" i="90"/>
  <c r="T12" i="90"/>
  <c r="V37" i="90"/>
  <c r="V18" i="90"/>
  <c r="V28" i="90"/>
  <c r="U53" i="90"/>
  <c r="T25" i="90"/>
  <c r="S21" i="90"/>
  <c r="R37" i="90"/>
  <c r="T43" i="90"/>
  <c r="T52" i="90"/>
  <c r="T38" i="90"/>
  <c r="T40" i="90"/>
  <c r="S39" i="90"/>
  <c r="V57" i="90"/>
  <c r="R49" i="90"/>
  <c r="S38" i="90"/>
  <c r="R56" i="90"/>
  <c r="S11" i="90"/>
  <c r="V30" i="90"/>
  <c r="S36" i="90"/>
  <c r="U22" i="90"/>
  <c r="U55" i="90"/>
  <c r="V22" i="90"/>
  <c r="S35" i="90"/>
  <c r="V14" i="90"/>
  <c r="U28" i="90"/>
  <c r="S44" i="90"/>
  <c r="U29" i="90"/>
  <c r="V55" i="90"/>
  <c r="S24" i="90"/>
  <c r="U12" i="90"/>
  <c r="T21" i="90"/>
  <c r="T17" i="90"/>
  <c r="U56" i="90"/>
  <c r="T42" i="90"/>
  <c r="T10" i="90"/>
  <c r="U17" i="90"/>
  <c r="U97" i="90" l="1"/>
  <c r="U131" i="90" s="1"/>
  <c r="S82" i="90"/>
  <c r="S117" i="90" s="1"/>
  <c r="V97" i="90"/>
  <c r="V131" i="90" s="1"/>
  <c r="S97" i="90"/>
  <c r="S131" i="90" s="1"/>
  <c r="T97" i="90"/>
  <c r="T131" i="90" s="1"/>
  <c r="T82" i="90"/>
  <c r="V82" i="90"/>
  <c r="R82" i="90"/>
  <c r="R87" i="90" s="1"/>
  <c r="R97" i="90"/>
  <c r="R131" i="90" s="1"/>
  <c r="U82" i="90"/>
  <c r="R15" i="90"/>
  <c r="R75" i="90" s="1"/>
  <c r="V111" i="90"/>
  <c r="J28" i="82" s="1"/>
  <c r="U111" i="90"/>
  <c r="I28" i="82" s="1"/>
  <c r="U75" i="90"/>
  <c r="T111" i="90"/>
  <c r="H28" i="82" s="1"/>
  <c r="R10" i="90"/>
  <c r="T96" i="90"/>
  <c r="T74" i="90"/>
  <c r="S111" i="90"/>
  <c r="G28" i="82" s="1"/>
  <c r="W76" i="90"/>
  <c r="R111" i="90"/>
  <c r="V96" i="90"/>
  <c r="V74" i="90"/>
  <c r="V75" i="90"/>
  <c r="T75" i="90"/>
  <c r="S74" i="90"/>
  <c r="S96" i="90"/>
  <c r="R116" i="90"/>
  <c r="W81" i="90"/>
  <c r="U96" i="90"/>
  <c r="U74" i="90"/>
  <c r="S75" i="90"/>
  <c r="S87" i="90" l="1"/>
  <c r="U117" i="90"/>
  <c r="U87" i="90"/>
  <c r="R117" i="90"/>
  <c r="R122" i="90" s="1"/>
  <c r="W82" i="90"/>
  <c r="W87" i="90" s="1"/>
  <c r="S122" i="90"/>
  <c r="G31" i="82"/>
  <c r="W97" i="90"/>
  <c r="T117" i="90"/>
  <c r="T87" i="90"/>
  <c r="V117" i="90"/>
  <c r="V87" i="90"/>
  <c r="S109" i="90"/>
  <c r="S80" i="90"/>
  <c r="W111" i="90"/>
  <c r="F28" i="82"/>
  <c r="K28" i="82" s="1"/>
  <c r="S110" i="90"/>
  <c r="G27" i="82" s="1"/>
  <c r="T110" i="90"/>
  <c r="H27" i="82" s="1"/>
  <c r="U98" i="90"/>
  <c r="U103" i="90" s="1"/>
  <c r="U104" i="90" s="1"/>
  <c r="U130" i="90"/>
  <c r="V110" i="90"/>
  <c r="J27" i="82" s="1"/>
  <c r="W75" i="90"/>
  <c r="R110" i="90"/>
  <c r="V130" i="90"/>
  <c r="V98" i="90"/>
  <c r="V103" i="90" s="1"/>
  <c r="V104" i="90" s="1"/>
  <c r="T80" i="90"/>
  <c r="T109" i="90"/>
  <c r="T98" i="90"/>
  <c r="T103" i="90" s="1"/>
  <c r="T104" i="90" s="1"/>
  <c r="T130" i="90"/>
  <c r="U80" i="90"/>
  <c r="U89" i="90" s="1"/>
  <c r="U90" i="90" s="1"/>
  <c r="U109" i="90"/>
  <c r="R74" i="90"/>
  <c r="R96" i="90"/>
  <c r="V109" i="90"/>
  <c r="V80" i="90"/>
  <c r="U110" i="90"/>
  <c r="I27" i="82" s="1"/>
  <c r="W131" i="90"/>
  <c r="F30" i="82"/>
  <c r="W116" i="90"/>
  <c r="S130" i="90"/>
  <c r="S98" i="90"/>
  <c r="S103" i="90" s="1"/>
  <c r="S104" i="90" s="1"/>
  <c r="V89" i="90" l="1"/>
  <c r="V90" i="90" s="1"/>
  <c r="S89" i="90"/>
  <c r="S90" i="90" s="1"/>
  <c r="T89" i="90"/>
  <c r="T90" i="90" s="1"/>
  <c r="H31" i="82"/>
  <c r="H33" i="82" s="1"/>
  <c r="T122" i="90"/>
  <c r="F31" i="82"/>
  <c r="F33" i="82" s="1"/>
  <c r="F23" i="92" s="1"/>
  <c r="W117" i="90"/>
  <c r="W122" i="90" s="1"/>
  <c r="J31" i="82"/>
  <c r="J33" i="82" s="1"/>
  <c r="V122" i="90"/>
  <c r="I31" i="82"/>
  <c r="I33" i="82" s="1"/>
  <c r="U122" i="90"/>
  <c r="G33" i="82"/>
  <c r="R80" i="90"/>
  <c r="R89" i="90" s="1"/>
  <c r="R109" i="90"/>
  <c r="W74" i="90"/>
  <c r="W80" i="90" s="1"/>
  <c r="U115" i="90"/>
  <c r="I26" i="82"/>
  <c r="I29" i="82" s="1"/>
  <c r="I22" i="92" s="1"/>
  <c r="H26" i="82"/>
  <c r="H29" i="82" s="1"/>
  <c r="H22" i="92" s="1"/>
  <c r="T115" i="90"/>
  <c r="U132" i="90"/>
  <c r="U137" i="90" s="1"/>
  <c r="U138" i="90" s="1"/>
  <c r="K30" i="82"/>
  <c r="J26" i="82"/>
  <c r="J29" i="82" s="1"/>
  <c r="J22" i="92" s="1"/>
  <c r="V115" i="90"/>
  <c r="S132" i="90"/>
  <c r="S137" i="90" s="1"/>
  <c r="S138" i="90" s="1"/>
  <c r="V132" i="90"/>
  <c r="V137" i="90" s="1"/>
  <c r="V138" i="90" s="1"/>
  <c r="R98" i="90"/>
  <c r="R103" i="90" s="1"/>
  <c r="R130" i="90"/>
  <c r="W96" i="90"/>
  <c r="W98" i="90" s="1"/>
  <c r="T132" i="90"/>
  <c r="T137" i="90" s="1"/>
  <c r="T138" i="90" s="1"/>
  <c r="F27" i="82"/>
  <c r="K27" i="82" s="1"/>
  <c r="W110" i="90"/>
  <c r="S115" i="90"/>
  <c r="S124" i="90" s="1"/>
  <c r="S125" i="90" s="1"/>
  <c r="G26" i="82"/>
  <c r="G29" i="82" s="1"/>
  <c r="J23" i="92" l="1"/>
  <c r="J25" i="92" s="1"/>
  <c r="G22" i="92"/>
  <c r="H23" i="92"/>
  <c r="H25" i="92" s="1"/>
  <c r="G23" i="92"/>
  <c r="I23" i="92"/>
  <c r="I25" i="92" s="1"/>
  <c r="T124" i="90"/>
  <c r="T125" i="90" s="1"/>
  <c r="D92" i="90"/>
  <c r="K31" i="82"/>
  <c r="K33" i="82" s="1"/>
  <c r="K12" i="92"/>
  <c r="U124" i="90"/>
  <c r="U125" i="90" s="1"/>
  <c r="V124" i="90"/>
  <c r="V125" i="90" s="1"/>
  <c r="H35" i="82"/>
  <c r="I35" i="82"/>
  <c r="G35" i="82"/>
  <c r="J35" i="82"/>
  <c r="R132" i="90"/>
  <c r="R137" i="90" s="1"/>
  <c r="W130" i="90"/>
  <c r="W132" i="90" s="1"/>
  <c r="F26" i="82"/>
  <c r="R115" i="90"/>
  <c r="R124" i="90" s="1"/>
  <c r="W109" i="90"/>
  <c r="R90" i="90"/>
  <c r="W89" i="90"/>
  <c r="R104" i="90"/>
  <c r="W103" i="90"/>
  <c r="W104" i="90" s="1"/>
  <c r="K23" i="92" l="1"/>
  <c r="G25" i="92"/>
  <c r="K24" i="92"/>
  <c r="D126" i="90"/>
  <c r="W124" i="90"/>
  <c r="R125" i="90"/>
  <c r="F29" i="82"/>
  <c r="F22" i="92" s="1"/>
  <c r="K26" i="82"/>
  <c r="K29" i="82" s="1"/>
  <c r="K35" i="82" s="1"/>
  <c r="W115" i="90"/>
  <c r="R138" i="90"/>
  <c r="W137" i="90"/>
  <c r="W138" i="90" s="1"/>
  <c r="X104" i="90"/>
  <c r="W90" i="90"/>
  <c r="X90" i="90" s="1"/>
  <c r="K22" i="92" l="1"/>
  <c r="K25" i="92" s="1"/>
  <c r="F25" i="92"/>
  <c r="F27" i="92" s="1"/>
  <c r="F35" i="82"/>
  <c r="F37" i="82" s="1"/>
  <c r="X138" i="90"/>
  <c r="L35" i="82"/>
  <c r="W125" i="90"/>
  <c r="X125" i="90" s="1"/>
  <c r="K11" i="92" l="1"/>
  <c r="K14" i="92" s="1"/>
  <c r="F16" i="9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<sst xmlns="http://schemas.openxmlformats.org/spreadsheetml/2006/main" count="1133" uniqueCount="103">
  <si>
    <t>Total</t>
  </si>
  <si>
    <t>Recurrent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</si>
  <si>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</si>
  <si>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</si>
  <si>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</si>
  <si>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</si>
  <si>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</si>
  <si>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</si>
  <si>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</si>
  <si>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</si>
  <si>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</si>
  <si>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</si>
  <si>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</si>
  <si>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</si>
  <si>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</si>
  <si>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</si>
  <si>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</si>
  <si>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</si>
  <si>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</si>
  <si>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</si>
  <si>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</si>
  <si>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</si>
  <si>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</si>
  <si>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</si>
  <si>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</si>
  <si>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</si>
  <si>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</si>
  <si>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</si>
  <si>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</si>
  <si>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</si>
  <si>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</si>
  <si>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IT labour (blended)</t>
  </si>
  <si>
    <t>IT specialist labour (blended)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</si>
  <si>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</si>
  <si>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</si>
  <si>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</si>
  <si>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</si>
  <si>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</si>
  <si>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</si>
  <si>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IT labour (blended) ($/hr)</t>
  </si>
  <si>
    <t>$122.20</t>
  </si>
  <si>
    <t>$</t>
  </si>
  <si>
    <t>IT specialist labour (blended) ($/hr)</t>
  </si>
  <si>
    <t>For List:</t>
  </si>
  <si>
    <t>IT labour</t>
  </si>
  <si>
    <t>IT specialist</t>
  </si>
  <si>
    <t>Description</t>
  </si>
  <si>
    <t>Capex /</t>
  </si>
  <si>
    <t>L / M / C</t>
  </si>
  <si>
    <t>Labour type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</si>
  <si>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</si>
  <si>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</si>
  <si>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</si>
  <si>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</si>
  <si>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</si>
  <si>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</si>
  <si>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</si>
  <si>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</si>
  <si>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</si>
  <si>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</si>
  <si>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</si>
  <si>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</si>
  <si>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</si>
  <si>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</si>
  <si>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</si>
  <si>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</si>
  <si>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</si>
  <si>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</si>
  <si>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</si>
  <si>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</si>
  <si>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</si>
  <si>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Infrastructure refresh</t>
  </si>
  <si>
    <t>Totex</t>
  </si>
  <si>
    <t>$ June 2018 (2021-26 reset)</t>
  </si>
  <si>
    <t>Option 4</t>
  </si>
  <si>
    <t>CitiPower &amp; Powercor</t>
  </si>
  <si>
    <t>Database Lifecycle Replacement</t>
  </si>
  <si>
    <t>Network Lifecycle Replacement</t>
  </si>
  <si>
    <t xml:space="preserve">Server Lifecycle Replacement </t>
  </si>
  <si>
    <t>Storage Lifecycle Replacement</t>
  </si>
  <si>
    <t>Database Lifecycle Maintenance</t>
  </si>
  <si>
    <t>Networking Maintenance</t>
  </si>
  <si>
    <t>Server Maintenance</t>
  </si>
  <si>
    <t>Storage Maintenance</t>
  </si>
  <si>
    <t>Base year forecast</t>
  </si>
  <si>
    <t>Infrastructure networking &amp; capacity upgrade</t>
  </si>
  <si>
    <t>Infrastructure networking &amp; capacity maintenance</t>
  </si>
  <si>
    <t>Infrastructure networking &amp; capacity</t>
  </si>
  <si>
    <t>IT application migrations</t>
  </si>
  <si>
    <t>IT cloud maintenance</t>
  </si>
  <si>
    <t>IT cloud consumption</t>
  </si>
  <si>
    <t>OT application migrations</t>
  </si>
  <si>
    <t>OT cloud maintenance</t>
  </si>
  <si>
    <t>Base case (maintain existing infrastructure with structured lifecycle management)</t>
  </si>
  <si>
    <t>Criteria based IT infrastructure refresh</t>
  </si>
  <si>
    <t>Public cloud infrastructure refresh</t>
  </si>
  <si>
    <t>Opex (excl real price escalation)</t>
  </si>
  <si>
    <t xml:space="preserve">Opex (incl real price escalation) * </t>
  </si>
  <si>
    <t>Opex (incl real price escalation) **</t>
  </si>
  <si>
    <t>Maintain existing infrastructure with more frequent upgrades</t>
  </si>
  <si>
    <t>* refer to PAL MOD 9.03 - Opex step changes - Jan 2025 - Public for the Real price escalation</t>
  </si>
  <si>
    <t>** refer to PAL MOD 9.03 - Opex step changes - Jan 2025</t>
  </si>
  <si>
    <t xml:space="preserve">Escalation: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</si>
</sst>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0.0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FFFFCC"/>
        <bgColor rgb="FF000000"/>
      </patternFill>
    </fill>
    <fill>
      <patternFill patternType="gray125">
        <fgColor rgb="FFD9D9D9"/>
        <bgColor rgb="FFFFFFFF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172" fontId="38" fillId="0" borderId="0">
      <alignment horizontal="center" vertical="center"/>
    </xf>
    <xf numFmtId="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13" applyFont="1" applyAlignment="1">
      <alignment horizontal="left" vertical="center"/>
    </xf>
    <xf numFmtId="1" fontId="25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6" fillId="6" borderId="0" xfId="0" applyFont="1" applyFill="1"/>
    <xf numFmtId="167" fontId="27" fillId="6" borderId="0" xfId="0" applyNumberFormat="1" applyFont="1" applyFill="1"/>
    <xf numFmtId="0" fontId="30" fillId="5" borderId="0" xfId="14" applyFont="1" applyFill="1"/>
    <xf numFmtId="0" fontId="31" fillId="0" borderId="0" xfId="0" applyFont="1"/>
    <xf numFmtId="0" fontId="32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166" fontId="12" fillId="6" borderId="0" xfId="0" applyNumberFormat="1" applyFont="1" applyFill="1"/>
    <xf numFmtId="10" fontId="15" fillId="3" borderId="0" xfId="0" applyNumberFormat="1" applyFont="1" applyFill="1"/>
    <xf numFmtId="0" fontId="24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29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3" fillId="0" borderId="2" xfId="0" applyFont="1" applyBorder="1"/>
    <xf numFmtId="0" fontId="12" fillId="0" borderId="2" xfId="0" applyFont="1" applyBorder="1" applyAlignment="1">
      <alignment horizontal="center"/>
    </xf>
    <xf numFmtId="0" fontId="33" fillId="0" borderId="0" xfId="0" applyFont="1"/>
    <xf numFmtId="0" fontId="13" fillId="0" borderId="0" xfId="0" applyFont="1" applyAlignment="1">
      <alignment horizontal="center"/>
    </xf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4" fillId="0" borderId="3" xfId="0" applyFont="1" applyBorder="1"/>
    <xf numFmtId="10" fontId="28" fillId="2" borderId="1" xfId="26" applyNumberFormat="1" applyFont="1" applyFill="1" applyBorder="1" applyProtection="1">
      <protection locked="0"/>
    </xf>
    <xf numFmtId="10" fontId="28" fillId="2" borderId="1" xfId="26" applyNumberFormat="1" applyFont="1" applyFill="1" applyBorder="1" applyAlignment="1" applyProtection="1">
      <alignment horizontal="right"/>
      <protection locked="0"/>
    </xf>
    <xf numFmtId="1" fontId="28" fillId="2" borderId="1" xfId="26" applyNumberFormat="1" applyFont="1" applyFill="1" applyBorder="1" applyAlignment="1" applyProtection="1">
      <alignment horizontal="right"/>
      <protection locked="0"/>
    </xf>
    <xf numFmtId="0" fontId="29" fillId="2" borderId="7" xfId="0" applyFont="1" applyFill="1" applyBorder="1" applyAlignment="1" applyProtection="1">
      <alignment vertical="center"/>
      <protection locked="0"/>
    </xf>
    <xf numFmtId="0" fontId="29" fillId="2" borderId="6" xfId="0" applyFont="1" applyFill="1" applyBorder="1" applyAlignment="1" applyProtection="1">
      <alignment vertical="center"/>
      <protection locked="0"/>
    </xf>
    <xf numFmtId="0" fontId="29" fillId="2" borderId="5" xfId="0" applyFont="1" applyFill="1" applyBorder="1" applyAlignment="1" applyProtection="1">
      <alignment vertical="center"/>
      <protection locked="0"/>
    </xf>
    <xf numFmtId="168" fontId="29" fillId="2" borderId="1" xfId="0" applyNumberFormat="1" applyFont="1" applyFill="1" applyBorder="1" applyAlignment="1" applyProtection="1">
      <alignment horizontal="right" vertical="top"/>
      <protection locked="0"/>
    </xf>
    <xf numFmtId="0" fontId="36" fillId="0" borderId="0" xfId="0" applyFont="1" applyAlignment="1">
      <alignment horizontal="left"/>
    </xf>
    <xf numFmtId="10" fontId="28" fillId="2" borderId="13" xfId="26" applyNumberFormat="1" applyFont="1" applyFill="1" applyBorder="1" applyProtection="1">
      <protection locked="0"/>
    </xf>
    <xf numFmtId="10" fontId="28" fillId="2" borderId="2" xfId="26" applyNumberFormat="1" applyFont="1" applyFill="1" applyBorder="1" applyProtection="1">
      <protection locked="0"/>
    </xf>
    <xf numFmtId="10" fontId="28" fillId="2" borderId="12" xfId="26" applyNumberFormat="1" applyFont="1" applyFill="1" applyBorder="1" applyProtection="1">
      <protection locked="0"/>
    </xf>
    <xf numFmtId="10" fontId="28" fillId="2" borderId="6" xfId="26" applyNumberFormat="1" applyFont="1" applyFill="1" applyBorder="1" applyProtection="1">
      <protection locked="0"/>
    </xf>
    <xf numFmtId="10" fontId="28" fillId="2" borderId="5" xfId="26" applyNumberFormat="1" applyFont="1" applyFill="1" applyBorder="1" applyProtection="1">
      <protection locked="0"/>
    </xf>
    <xf numFmtId="10" fontId="28" fillId="2" borderId="7" xfId="26" applyNumberFormat="1" applyFont="1" applyFill="1" applyBorder="1" applyProtection="1">
      <protection locked="0"/>
    </xf>
    <xf numFmtId="10" fontId="28" fillId="0" borderId="0" xfId="26" applyNumberFormat="1" applyFont="1" applyFill="1" applyBorder="1" applyProtection="1">
      <protection locked="0"/>
    </xf>
    <xf numFmtId="9" fontId="28" fillId="2" borderId="1" xfId="26" applyFont="1" applyFill="1" applyBorder="1" applyProtection="1">
      <protection locked="0"/>
    </xf>
    <xf numFmtId="9" fontId="28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5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3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0" fontId="39" fillId="0" borderId="0" xfId="0" applyFont="1"/>
    <xf numFmtId="0" fontId="32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0" fillId="0" borderId="5" xfId="0" applyFont="1" applyBorder="1"/>
    <xf numFmtId="0" fontId="26" fillId="0" borderId="0" xfId="0" applyFont="1"/>
    <xf numFmtId="167" fontId="27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5" fillId="0" borderId="2" xfId="0" applyFont="1" applyBorder="1" applyAlignment="1">
      <alignment horizontal="left"/>
    </xf>
    <xf numFmtId="0" fontId="35" fillId="0" borderId="2" xfId="0" applyFont="1" applyBorder="1"/>
    <xf numFmtId="0" fontId="41" fillId="0" borderId="2" xfId="0" applyFont="1" applyBorder="1"/>
    <xf numFmtId="0" fontId="25" fillId="0" borderId="2" xfId="0" applyFont="1" applyBorder="1" applyAlignment="1">
      <alignment horizontal="right"/>
    </xf>
    <xf numFmtId="169" fontId="25" fillId="0" borderId="2" xfId="0" applyNumberFormat="1" applyFont="1" applyBorder="1" applyAlignment="1">
      <alignment horizontal="right"/>
    </xf>
    <xf numFmtId="10" fontId="25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2" fillId="0" borderId="0" xfId="33" applyFont="1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173" fontId="48" fillId="0" borderId="0" xfId="33" applyNumberFormat="1" applyFont="1" applyAlignment="1">
      <alignment horizontal="left"/>
    </xf>
    <xf numFmtId="0" fontId="49" fillId="0" borderId="0" xfId="33" applyFont="1"/>
    <xf numFmtId="49" fontId="23" fillId="0" borderId="0" xfId="0" applyNumberFormat="1" applyFont="1" applyAlignment="1">
      <alignment horizontal="right"/>
    </xf>
    <xf numFmtId="0" fontId="50" fillId="0" borderId="5" xfId="0" applyFont="1" applyBorder="1"/>
    <xf numFmtId="10" fontId="28" fillId="2" borderId="1" xfId="26" applyNumberFormat="1" applyFont="1" applyFill="1" applyBorder="1" applyAlignment="1">
      <alignment horizontal="right"/>
    </xf>
    <xf numFmtId="8" fontId="29" fillId="2" borderId="1" xfId="0" applyNumberFormat="1" applyFont="1" applyFill="1" applyBorder="1" applyAlignment="1">
      <alignment horizontal="right"/>
    </xf>
    <xf numFmtId="49" fontId="28" fillId="2" borderId="1" xfId="26" applyNumberFormat="1" applyFont="1" applyFill="1" applyBorder="1" applyAlignment="1">
      <alignment horizontal="right"/>
    </xf>
    <xf numFmtId="7" fontId="28" fillId="2" borderId="1" xfId="26" applyNumberFormat="1" applyFont="1" applyFill="1" applyBorder="1" applyAlignment="1">
      <alignment horizontal="right"/>
    </xf>
    <xf numFmtId="0" fontId="29" fillId="10" borderId="6" xfId="0" applyFont="1" applyFill="1" applyBorder="1" applyAlignment="1" applyProtection="1">
      <alignment vertical="center"/>
      <protection locked="0"/>
    </xf>
    <xf numFmtId="0" fontId="29" fillId="10" borderId="5" xfId="0" applyFont="1" applyFill="1" applyBorder="1" applyAlignment="1" applyProtection="1">
      <alignment vertical="center"/>
      <protection locked="0"/>
    </xf>
    <xf numFmtId="0" fontId="29" fillId="11" borderId="5" xfId="0" applyFont="1" applyFill="1" applyBorder="1" applyAlignment="1" applyProtection="1">
      <alignment vertical="center"/>
      <protection locked="0"/>
    </xf>
    <xf numFmtId="0" fontId="29" fillId="10" borderId="7" xfId="0" applyFont="1" applyFill="1" applyBorder="1" applyAlignment="1" applyProtection="1">
      <alignment vertical="center"/>
      <protection locked="0"/>
    </xf>
    <xf numFmtId="6" fontId="50" fillId="0" borderId="5" xfId="0" applyNumberFormat="1" applyFont="1" applyBorder="1"/>
    <xf numFmtId="174" fontId="46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A3753970-CC8A-4DE0-ACC1-72B12416CAE9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EB1CDDF8-D551-4F00-891D-CF8E4386858F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58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950D335E-769D-4C19-B745-6DBD7F6C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76E3-4AEB-4321-88C1-9C55A63C40D3}">
  <dimension ref="A1:K43"/>
  <sheetViews>
    <sheetView showGridLines="0" workbookViewId="0">
      <selection activeCell="C5" sqref="C5"/>
    </sheetView>
  </sheetViews>
  <sheetFormatPr defaultColWidth="0" defaultRowHeight="12.95" customHeight="1" zeroHeight="1" x14ac:dyDescent="0.2"/>
  <cols>
    <col min="1" max="1" width="12.85546875" style="122" customWidth="1"/>
    <col min="2" max="2" width="2.5703125" style="122" customWidth="1"/>
    <col min="3" max="3" width="16.85546875" style="122" customWidth="1"/>
    <col min="4" max="11" width="10.5703125" style="122" customWidth="1"/>
    <col min="12" max="16384" width="10.5703125" style="122" hidden="1"/>
  </cols>
  <sheetData>
    <row r="1" spans="1:11" ht="15" x14ac:dyDescent="0.25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3.25" x14ac:dyDescent="0.35">
      <c r="A2" s="120"/>
      <c r="B2" s="121"/>
      <c r="C2" s="123" t="s">
        <v>2</v>
      </c>
      <c r="D2" s="124"/>
      <c r="E2" s="124"/>
      <c r="F2" s="121"/>
      <c r="G2" s="121"/>
      <c r="H2" s="121"/>
      <c r="I2" s="121"/>
      <c r="J2" s="121"/>
      <c r="K2" s="121"/>
    </row>
    <row r="3" spans="1:11" ht="15.75" x14ac:dyDescent="0.25">
      <c r="A3" s="120"/>
      <c r="B3" s="121"/>
      <c r="C3" s="125" t="s">
        <v>65</v>
      </c>
      <c r="D3" s="124"/>
      <c r="E3" s="124"/>
      <c r="F3" s="121"/>
      <c r="G3" s="121"/>
      <c r="H3" s="121"/>
      <c r="I3" s="121"/>
      <c r="J3" s="121"/>
      <c r="K3" s="121"/>
    </row>
    <row r="4" spans="1:11" ht="15" x14ac:dyDescent="0.25">
      <c r="A4" s="120"/>
      <c r="B4" s="121"/>
      <c r="C4" s="121"/>
      <c r="D4" s="124"/>
      <c r="E4" s="124"/>
      <c r="F4" s="121"/>
      <c r="G4" s="121"/>
      <c r="H4" s="121"/>
      <c r="I4" s="121"/>
      <c r="J4" s="121"/>
      <c r="K4" s="121"/>
    </row>
    <row r="5" spans="1:11" ht="15" x14ac:dyDescent="0.25">
      <c r="A5" s="120"/>
      <c r="B5" s="121"/>
      <c r="C5" s="126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Infrastructure refresh cost</v>
      </c>
      <c r="D5" s="121"/>
      <c r="E5" s="121"/>
      <c r="F5" s="121"/>
      <c r="G5" s="121"/>
      <c r="H5" s="121"/>
      <c r="I5" s="121"/>
      <c r="J5" s="121"/>
      <c r="K5" s="121"/>
    </row>
    <row r="6" spans="1:11" ht="15" x14ac:dyDescent="0.25">
      <c r="A6" s="120"/>
      <c r="B6" s="121"/>
      <c r="C6" s="127" t="s">
        <v>66</v>
      </c>
      <c r="D6" s="142" t="str" cm="1">
        <f t="array" aca="1" ref="D6" ca="1">LEFT(_xlfn.TEXTAFTER(CELL("filename")," MOD "),FIND(" - ",_xlfn.TEXTAFTER(CELL("filename")," MOD "),1)-1)</f>
        <v>7.07</v>
      </c>
      <c r="E6" s="127"/>
      <c r="F6" s="121"/>
      <c r="G6" s="121"/>
      <c r="H6" s="121"/>
      <c r="I6" s="121"/>
      <c r="J6" s="121"/>
      <c r="K6" s="121"/>
    </row>
    <row r="7" spans="1:11" ht="15" x14ac:dyDescent="0.25">
      <c r="A7" s="120"/>
      <c r="B7" s="121"/>
      <c r="C7" s="121"/>
      <c r="D7" s="121"/>
      <c r="E7" s="121"/>
      <c r="F7" s="128"/>
      <c r="G7" s="128"/>
      <c r="H7" s="128"/>
      <c r="I7" s="121"/>
      <c r="J7" s="128"/>
      <c r="K7" s="128"/>
    </row>
    <row r="8" spans="1:11" ht="15" x14ac:dyDescent="0.25">
      <c r="A8" s="120"/>
      <c r="B8" s="121"/>
      <c r="C8" s="129">
        <v>45688</v>
      </c>
      <c r="D8" s="121"/>
      <c r="E8" s="121"/>
      <c r="F8" s="128"/>
      <c r="G8" s="128"/>
      <c r="H8" s="128"/>
      <c r="I8" s="121"/>
      <c r="J8" s="128"/>
      <c r="K8" s="128"/>
    </row>
    <row r="9" spans="1:11" ht="15" x14ac:dyDescent="0.25">
      <c r="A9" s="120"/>
      <c r="B9" s="121"/>
      <c r="C9" s="130"/>
      <c r="D9" s="130"/>
      <c r="E9" s="121"/>
      <c r="F9" s="128"/>
      <c r="G9" s="128"/>
      <c r="H9" s="128"/>
      <c r="I9" s="128"/>
      <c r="J9" s="128"/>
      <c r="K9" s="128"/>
    </row>
    <row r="10" spans="1:11" ht="15" x14ac:dyDescent="0.25">
      <c r="A10" s="120"/>
      <c r="B10" s="121"/>
      <c r="C10" s="130"/>
      <c r="D10" s="130"/>
      <c r="E10" s="121"/>
      <c r="F10" s="128"/>
      <c r="G10" s="128"/>
      <c r="H10" s="128"/>
      <c r="I10" s="128"/>
      <c r="J10" s="128"/>
      <c r="K10" s="128"/>
    </row>
    <row r="11" spans="1:11" ht="15" x14ac:dyDescent="0.25">
      <c r="A11" s="120"/>
      <c r="B11" s="121"/>
      <c r="C11" s="130"/>
      <c r="D11" s="130"/>
      <c r="E11" s="121"/>
      <c r="F11" s="128"/>
      <c r="G11" s="128"/>
      <c r="H11" s="128"/>
      <c r="I11" s="128"/>
      <c r="J11" s="128"/>
      <c r="K11" s="128"/>
    </row>
    <row r="12" spans="1:11" ht="15" x14ac:dyDescent="0.25">
      <c r="A12" s="120"/>
      <c r="B12" s="121"/>
      <c r="C12" s="130"/>
      <c r="D12" s="130"/>
      <c r="E12" s="121"/>
      <c r="F12" s="128"/>
      <c r="G12" s="128"/>
      <c r="H12" s="128"/>
      <c r="I12" s="128"/>
      <c r="J12" s="128"/>
      <c r="K12" s="128"/>
    </row>
    <row r="13" spans="1:11" ht="15" x14ac:dyDescent="0.25">
      <c r="A13" s="120"/>
      <c r="B13" s="121"/>
      <c r="C13" s="130"/>
      <c r="D13" s="130"/>
      <c r="E13" s="121"/>
      <c r="F13" s="128"/>
      <c r="G13" s="128"/>
      <c r="H13" s="128"/>
      <c r="I13" s="128"/>
      <c r="J13" s="128"/>
      <c r="K13" s="128"/>
    </row>
    <row r="14" spans="1:11" ht="15" x14ac:dyDescent="0.25">
      <c r="A14" s="120"/>
      <c r="B14" s="121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ht="15" x14ac:dyDescent="0.25">
      <c r="A15" s="120"/>
      <c r="B15" s="121"/>
      <c r="C15" s="126"/>
      <c r="D15" s="128"/>
      <c r="E15" s="128"/>
      <c r="F15" s="128"/>
      <c r="G15" s="128"/>
      <c r="H15" s="128"/>
      <c r="I15" s="128"/>
      <c r="J15" s="128"/>
      <c r="K15" s="128"/>
    </row>
    <row r="16" spans="1:11" ht="15" x14ac:dyDescent="0.25">
      <c r="A16" s="120"/>
      <c r="B16" s="121"/>
      <c r="C16" s="126"/>
      <c r="D16" s="128"/>
      <c r="E16" s="128"/>
      <c r="F16" s="128"/>
      <c r="G16" s="128"/>
      <c r="H16" s="128"/>
      <c r="I16" s="128"/>
      <c r="J16" s="128"/>
      <c r="K16" s="128"/>
    </row>
    <row r="17" spans="1:11" ht="15" x14ac:dyDescent="0.25">
      <c r="A17" s="120"/>
      <c r="B17" s="121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15" x14ac:dyDescent="0.25">
      <c r="A18" s="120"/>
      <c r="B18" s="121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15" x14ac:dyDescent="0.25">
      <c r="A19" s="120"/>
      <c r="B19" s="121"/>
      <c r="C19" s="128"/>
      <c r="D19" s="128"/>
      <c r="E19" s="128"/>
      <c r="F19" s="128"/>
      <c r="H19" s="128"/>
      <c r="I19" s="128"/>
      <c r="J19" s="128"/>
      <c r="K19" s="128"/>
    </row>
    <row r="20" spans="1:11" ht="15" x14ac:dyDescent="0.25">
      <c r="A20" s="120"/>
      <c r="B20" s="121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15" x14ac:dyDescent="0.25">
      <c r="A21" s="120"/>
      <c r="B21" s="121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ht="15" x14ac:dyDescent="0.25">
      <c r="A22" s="120"/>
      <c r="B22" s="121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15" x14ac:dyDescent="0.25">
      <c r="A23" s="120"/>
      <c r="B23" s="121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15" x14ac:dyDescent="0.25">
      <c r="A24" s="120"/>
      <c r="B24" s="121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ht="15" x14ac:dyDescent="0.25">
      <c r="A25" s="120"/>
      <c r="B25" s="121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15" x14ac:dyDescent="0.25">
      <c r="A26" s="120"/>
      <c r="B26" s="121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15" x14ac:dyDescent="0.25">
      <c r="A27" s="120"/>
      <c r="B27" s="121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15" x14ac:dyDescent="0.25">
      <c r="A28" s="120"/>
      <c r="B28" s="121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ht="15" x14ac:dyDescent="0.25">
      <c r="A29" s="120"/>
      <c r="B29" s="121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15" x14ac:dyDescent="0.25">
      <c r="A30" s="120"/>
      <c r="B30" s="121"/>
      <c r="C30" s="128"/>
      <c r="D30" s="121"/>
      <c r="E30" s="128"/>
      <c r="F30" s="128"/>
      <c r="G30" s="128"/>
      <c r="H30" s="128"/>
      <c r="I30" s="128"/>
      <c r="J30" s="128"/>
      <c r="K30" s="128"/>
    </row>
    <row r="31" spans="1:11" ht="15" x14ac:dyDescent="0.25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ht="15" x14ac:dyDescent="0.2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15" x14ac:dyDescent="0.25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ht="15" x14ac:dyDescent="0.25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ht="15" x14ac:dyDescent="0.25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15" x14ac:dyDescent="0.25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ht="15" x14ac:dyDescent="0.25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ht="15" x14ac:dyDescent="0.25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ht="15" x14ac:dyDescent="0.25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ht="15" x14ac:dyDescent="0.25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ht="15" x14ac:dyDescent="0.25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ht="15" x14ac:dyDescent="0.25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ht="15" x14ac:dyDescent="0.25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</sheetData>
  <conditionalFormatting sqref="C5">
    <cfRule type="expression" dxfId="57" priority="1">
      <formula>LEFT(C5,1)="&lt;"</formula>
    </cfRule>
  </conditionalFormatting>
  <conditionalFormatting sqref="D6">
    <cfRule type="expression" dxfId="56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2D77-B554-4794-BF9E-F7D60C960890}">
  <dimension ref="A1:P51"/>
  <sheetViews>
    <sheetView showGridLines="0" tabSelected="1" workbookViewId="0">
      <selection activeCell="D6" sqref="D6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2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"&amp;Assumptions!$C$39&amp;")"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2" t="str">
        <f>'Project summary'!D6</f>
        <v>Option 3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5</v>
      </c>
      <c r="C10" s="36"/>
      <c r="D10" s="36"/>
      <c r="E10" s="37"/>
      <c r="F10" s="38" t="s">
        <v>7</v>
      </c>
      <c r="G10" s="38" t="s">
        <v>8</v>
      </c>
      <c r="H10" s="38" t="s">
        <v>9</v>
      </c>
      <c r="I10" s="38" t="s">
        <v>10</v>
      </c>
      <c r="J10" s="38" t="s">
        <v>11</v>
      </c>
      <c r="K10" s="70" t="s">
        <v>0</v>
      </c>
      <c r="P10"/>
    </row>
    <row r="11" spans="1:16" ht="12.75" customHeight="1" x14ac:dyDescent="0.25">
      <c r="C11" s="1" t="s">
        <v>57</v>
      </c>
      <c r="D11" s="103"/>
      <c r="E11" s="2"/>
      <c r="F11" s="6">
        <f>'Project summary'!F14*Assumptions!$B$20</f>
        <v>6087160.3816938791</v>
      </c>
      <c r="G11" s="6">
        <f>'Project summary'!G14*Assumptions!$B$20</f>
        <v>7586121.3934352659</v>
      </c>
      <c r="H11" s="6">
        <f>'Project summary'!H14*Assumptions!$B$20</f>
        <v>5897208.9659888754</v>
      </c>
      <c r="I11" s="6">
        <f>'Project summary'!I14*Assumptions!$B$20</f>
        <v>8145202.7552335532</v>
      </c>
      <c r="J11" s="6">
        <f>'Project summary'!J14*Assumptions!$B$20</f>
        <v>3989906.6501333541</v>
      </c>
      <c r="K11" s="6">
        <f>SUM(F11:J11)</f>
        <v>31705600.146484926</v>
      </c>
      <c r="M11" s="95"/>
      <c r="P11"/>
    </row>
    <row r="12" spans="1:16" ht="12.75" customHeight="1" x14ac:dyDescent="0.25">
      <c r="C12" s="1" t="s">
        <v>96</v>
      </c>
      <c r="D12" s="103"/>
      <c r="E12" s="2"/>
      <c r="F12" s="6">
        <f>'Project summary'!F18*Assumptions!$B$20</f>
        <v>0</v>
      </c>
      <c r="G12" s="6">
        <f>'Project summary'!G18*Assumptions!$B$20</f>
        <v>0</v>
      </c>
      <c r="H12" s="6">
        <f>'Project summary'!H18*Assumptions!$B$20</f>
        <v>0</v>
      </c>
      <c r="I12" s="6">
        <f>'Project summary'!I18*Assumptions!$B$20</f>
        <v>0</v>
      </c>
      <c r="J12" s="6">
        <f>'Project summary'!J18*Assumptions!$B$20</f>
        <v>0</v>
      </c>
      <c r="K12" s="6">
        <f>SUM(F12:J12)</f>
        <v>0</v>
      </c>
      <c r="M12" s="95"/>
      <c r="P12"/>
    </row>
    <row r="13" spans="1:16" x14ac:dyDescent="0.2">
      <c r="C13" s="1" t="s">
        <v>97</v>
      </c>
      <c r="D13" s="103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5"/>
    </row>
    <row r="14" spans="1:16" x14ac:dyDescent="0.2">
      <c r="C14" s="98" t="s">
        <v>72</v>
      </c>
      <c r="D14" s="132" t="str">
        <f>"($ "&amp;Assumptions!$C$39&amp;")"</f>
        <v>($ June 2026)</v>
      </c>
      <c r="E14" s="98"/>
      <c r="F14" s="102">
        <f>F11+F13</f>
        <v>6087160.3816938791</v>
      </c>
      <c r="G14" s="102">
        <f t="shared" ref="G14:K14" si="0">G11+G13</f>
        <v>7586121.3934352659</v>
      </c>
      <c r="H14" s="102">
        <f t="shared" si="0"/>
        <v>5897208.9659888754</v>
      </c>
      <c r="I14" s="102">
        <f t="shared" si="0"/>
        <v>8145202.7552335532</v>
      </c>
      <c r="J14" s="102">
        <f t="shared" si="0"/>
        <v>3989906.6501333541</v>
      </c>
      <c r="K14" s="102">
        <f t="shared" si="0"/>
        <v>31705600.146484926</v>
      </c>
      <c r="M14" s="95"/>
    </row>
    <row r="15" spans="1:16" x14ac:dyDescent="0.2">
      <c r="D15" s="103"/>
      <c r="F15" s="6"/>
      <c r="G15" s="6"/>
      <c r="H15" s="6"/>
      <c r="I15" s="6"/>
      <c r="J15" s="6"/>
      <c r="K15" s="6"/>
      <c r="M15" s="95"/>
    </row>
    <row r="16" spans="1:16" x14ac:dyDescent="0.2">
      <c r="C16" s="98" t="s">
        <v>19</v>
      </c>
      <c r="D16" s="132"/>
      <c r="E16" s="132"/>
      <c r="F16" s="141">
        <f>NPV(Real_Discount_rate,F14:J14)</f>
        <v>28739452.45593217</v>
      </c>
      <c r="G16" s="6"/>
      <c r="H16" s="6"/>
    </row>
    <row r="17" spans="2:11" x14ac:dyDescent="0.2">
      <c r="D17" s="103"/>
      <c r="F17" s="6"/>
      <c r="G17" s="6"/>
      <c r="H17" s="6"/>
    </row>
    <row r="18" spans="2:11" x14ac:dyDescent="0.2">
      <c r="C18" s="1" t="s">
        <v>100</v>
      </c>
    </row>
    <row r="21" spans="2:11" x14ac:dyDescent="0.2">
      <c r="B21" s="36" t="s">
        <v>4</v>
      </c>
      <c r="C21" s="36"/>
      <c r="D21" s="36"/>
      <c r="E21" s="37"/>
      <c r="F21" s="38" t="s">
        <v>7</v>
      </c>
      <c r="G21" s="38" t="s">
        <v>8</v>
      </c>
      <c r="H21" s="38" t="s">
        <v>9</v>
      </c>
      <c r="I21" s="38" t="s">
        <v>10</v>
      </c>
      <c r="J21" s="38" t="s">
        <v>11</v>
      </c>
      <c r="K21" s="70" t="s">
        <v>0</v>
      </c>
    </row>
    <row r="22" spans="2:11" x14ac:dyDescent="0.2">
      <c r="C22" s="1" t="s">
        <v>57</v>
      </c>
      <c r="D22" s="103"/>
      <c r="E22" s="2"/>
      <c r="F22" s="6">
        <f>'Project summary'!F29*Assumptions!$B$20</f>
        <v>12278373.120176557</v>
      </c>
      <c r="G22" s="6">
        <f>'Project summary'!G29*Assumptions!$B$20</f>
        <v>6280742.630332672</v>
      </c>
      <c r="H22" s="6">
        <f>'Project summary'!H29*Assumptions!$B$20</f>
        <v>9528706.4624664411</v>
      </c>
      <c r="I22" s="6">
        <f>'Project summary'!I29*Assumptions!$B$20</f>
        <v>6457133.6257383302</v>
      </c>
      <c r="J22" s="6">
        <f>'Project summary'!J29*Assumptions!$B$20</f>
        <v>3586586.3100574994</v>
      </c>
      <c r="K22" s="6">
        <f>SUM(F22:J22)</f>
        <v>38131542.148771502</v>
      </c>
    </row>
    <row r="23" spans="2:11" x14ac:dyDescent="0.2">
      <c r="C23" s="1" t="s">
        <v>96</v>
      </c>
      <c r="D23" s="103"/>
      <c r="E23" s="2"/>
      <c r="F23" s="6">
        <f>'Project summary'!F33*Assumptions!$B$20</f>
        <v>-1813600.9294747233</v>
      </c>
      <c r="G23" s="6">
        <f>'Project summary'!G33*Assumptions!$B$20</f>
        <v>-524071.56960123882</v>
      </c>
      <c r="H23" s="6">
        <f>'Project summary'!H33*Assumptions!$B$20</f>
        <v>607882.0884780495</v>
      </c>
      <c r="I23" s="6">
        <f>'Project summary'!I33*Assumptions!$B$20</f>
        <v>1679639.8039447363</v>
      </c>
      <c r="J23" s="6">
        <f>'Project summary'!J33*Assumptions!$B$20</f>
        <v>2252715.9750951938</v>
      </c>
      <c r="K23" s="6">
        <f>SUM(F23:J23)</f>
        <v>2202565.3684420176</v>
      </c>
    </row>
    <row r="24" spans="2:11" x14ac:dyDescent="0.2">
      <c r="C24" s="1" t="s">
        <v>97</v>
      </c>
      <c r="D24" s="103"/>
      <c r="F24" s="6">
        <v>-1885792.2299869328</v>
      </c>
      <c r="G24" s="6">
        <v>-549299.76899985864</v>
      </c>
      <c r="H24" s="6">
        <v>642990.49364825746</v>
      </c>
      <c r="I24" s="6">
        <v>1794651.7445170588</v>
      </c>
      <c r="J24" s="6">
        <v>2430280.2594453092</v>
      </c>
      <c r="K24" s="6">
        <f>SUM(F24:J24)</f>
        <v>2432830.498623834</v>
      </c>
    </row>
    <row r="25" spans="2:11" x14ac:dyDescent="0.2">
      <c r="C25" s="98" t="s">
        <v>72</v>
      </c>
      <c r="D25" s="132" t="str">
        <f>"($ "&amp;Assumptions!$C$39&amp;")"</f>
        <v>($ June 2026)</v>
      </c>
      <c r="E25" s="98"/>
      <c r="F25" s="102">
        <f>F22+F24</f>
        <v>10392580.890189625</v>
      </c>
      <c r="G25" s="102">
        <f t="shared" ref="G25" si="1">G22+G24</f>
        <v>5731442.8613328133</v>
      </c>
      <c r="H25" s="102">
        <f t="shared" ref="H25" si="2">H22+H24</f>
        <v>10171696.956114698</v>
      </c>
      <c r="I25" s="102">
        <f t="shared" ref="I25" si="3">I22+I24</f>
        <v>8251785.3702553893</v>
      </c>
      <c r="J25" s="102">
        <f t="shared" ref="J25" si="4">J22+J24</f>
        <v>6016866.5695028082</v>
      </c>
      <c r="K25" s="102">
        <f t="shared" ref="K25" si="5">K22+K24</f>
        <v>40564372.647395335</v>
      </c>
    </row>
    <row r="26" spans="2:11" x14ac:dyDescent="0.2">
      <c r="D26" s="103"/>
      <c r="F26" s="6"/>
      <c r="G26" s="6"/>
      <c r="H26" s="6"/>
      <c r="I26" s="6"/>
      <c r="J26" s="6"/>
      <c r="K26" s="6"/>
    </row>
    <row r="27" spans="2:11" x14ac:dyDescent="0.2">
      <c r="C27" s="98" t="s">
        <v>19</v>
      </c>
      <c r="D27" s="132"/>
      <c r="E27" s="132"/>
      <c r="F27" s="141">
        <f>NPV(Real_Discount_rate,F25:J25)</f>
        <v>36822786.495766357</v>
      </c>
      <c r="G27" s="6"/>
      <c r="H27" s="6"/>
    </row>
    <row r="28" spans="2:11" x14ac:dyDescent="0.2">
      <c r="D28" s="103"/>
      <c r="F28" s="6"/>
      <c r="G28" s="6"/>
      <c r="H28" s="6"/>
    </row>
    <row r="29" spans="2:11" x14ac:dyDescent="0.2">
      <c r="C29" s="1" t="s">
        <v>100</v>
      </c>
    </row>
    <row r="32" spans="2:11" x14ac:dyDescent="0.2">
      <c r="B32" s="36" t="s">
        <v>20</v>
      </c>
      <c r="C32" s="36"/>
      <c r="D32" s="36"/>
      <c r="E32" s="37"/>
      <c r="F32" s="38" t="s">
        <v>7</v>
      </c>
      <c r="G32" s="38" t="s">
        <v>8</v>
      </c>
      <c r="H32" s="38" t="s">
        <v>9</v>
      </c>
      <c r="I32" s="38" t="s">
        <v>10</v>
      </c>
      <c r="J32" s="38" t="s">
        <v>11</v>
      </c>
      <c r="K32" s="70" t="s">
        <v>0</v>
      </c>
    </row>
    <row r="33" spans="2:11" x14ac:dyDescent="0.2">
      <c r="C33" s="1" t="s">
        <v>57</v>
      </c>
      <c r="D33" s="103"/>
      <c r="E33" s="2"/>
      <c r="F33" s="6">
        <f>'Project summary'!F44*Assumptions!$B$20</f>
        <v>11272583.406752568</v>
      </c>
      <c r="G33" s="6">
        <f>'Project summary'!G44*Assumptions!$B$20</f>
        <v>6943016.863341812</v>
      </c>
      <c r="H33" s="6">
        <f>'Project summary'!H44*Assumptions!$B$20</f>
        <v>6163150.2264870014</v>
      </c>
      <c r="I33" s="6">
        <f>'Project summary'!I44*Assumptions!$B$20</f>
        <v>4265723.1900758147</v>
      </c>
      <c r="J33" s="6">
        <f>'Project summary'!J44*Assumptions!$B$20</f>
        <v>2869293.0309053371</v>
      </c>
      <c r="K33" s="6">
        <f>SUM(F33:J33)</f>
        <v>31513766.717562534</v>
      </c>
    </row>
    <row r="34" spans="2:11" x14ac:dyDescent="0.2">
      <c r="C34" s="1" t="s">
        <v>96</v>
      </c>
      <c r="D34" s="103"/>
      <c r="E34" s="2"/>
      <c r="F34" s="6">
        <f>'Project summary'!F48*Assumptions!$B$20</f>
        <v>212899.53414950837</v>
      </c>
      <c r="G34" s="6">
        <f>'Project summary'!G48*Assumptions!$B$20</f>
        <v>716161.35424008826</v>
      </c>
      <c r="H34" s="6">
        <f>'Project summary'!H48*Assumptions!$B$20</f>
        <v>1528984.6740388372</v>
      </c>
      <c r="I34" s="6">
        <f>'Project summary'!I48*Assumptions!$B$20</f>
        <v>2290873.3615470212</v>
      </c>
      <c r="J34" s="6">
        <f>'Project summary'!J48*Assumptions!$B$20</f>
        <v>2282318.6114317304</v>
      </c>
      <c r="K34" s="6">
        <f>SUM(F34:J34)</f>
        <v>7031237.5354071856</v>
      </c>
    </row>
    <row r="35" spans="2:11" x14ac:dyDescent="0.2">
      <c r="C35" s="1" t="s">
        <v>98</v>
      </c>
      <c r="D35" s="103"/>
      <c r="F35" s="6">
        <v>221374.10757903793</v>
      </c>
      <c r="G35" s="6">
        <v>750636.53376585792</v>
      </c>
      <c r="H35" s="6">
        <v>1617291.6244370511</v>
      </c>
      <c r="I35" s="6">
        <v>2447739.0123241516</v>
      </c>
      <c r="J35" s="6">
        <v>2462216.2440574761</v>
      </c>
      <c r="K35" s="6">
        <f>SUM(F35:J35)</f>
        <v>7499257.5221635755</v>
      </c>
    </row>
    <row r="36" spans="2:11" x14ac:dyDescent="0.2">
      <c r="C36" s="98" t="s">
        <v>72</v>
      </c>
      <c r="D36" s="132" t="str">
        <f>"($ "&amp;Assumptions!$C$39&amp;")"</f>
        <v>($ June 2026)</v>
      </c>
      <c r="E36" s="98"/>
      <c r="F36" s="102">
        <f>F33+F35</f>
        <v>11493957.514331605</v>
      </c>
      <c r="G36" s="102">
        <f t="shared" ref="G36" si="6">G33+G35</f>
        <v>7693653.3971076701</v>
      </c>
      <c r="H36" s="102">
        <f t="shared" ref="H36" si="7">H33+H35</f>
        <v>7780441.8509240523</v>
      </c>
      <c r="I36" s="102">
        <f t="shared" ref="I36" si="8">I33+I35</f>
        <v>6713462.2023999663</v>
      </c>
      <c r="J36" s="102">
        <f t="shared" ref="J36" si="9">J33+J35</f>
        <v>5331509.2749628127</v>
      </c>
      <c r="K36" s="102">
        <f t="shared" ref="K36" si="10">K33+K35</f>
        <v>39013024.239726111</v>
      </c>
    </row>
    <row r="37" spans="2:11" x14ac:dyDescent="0.2">
      <c r="D37" s="103"/>
      <c r="F37" s="6"/>
      <c r="G37" s="6"/>
      <c r="H37" s="6"/>
      <c r="I37" s="6"/>
      <c r="J37" s="6"/>
      <c r="K37" s="6"/>
    </row>
    <row r="38" spans="2:11" x14ac:dyDescent="0.2">
      <c r="C38" s="98" t="s">
        <v>19</v>
      </c>
      <c r="D38" s="132"/>
      <c r="E38" s="132"/>
      <c r="F38" s="141">
        <f>NPV(Real_Discount_rate,F36:J36)</f>
        <v>35644275.711737983</v>
      </c>
      <c r="G38" s="6"/>
      <c r="H38" s="6"/>
    </row>
    <row r="39" spans="2:11" x14ac:dyDescent="0.2">
      <c r="D39" s="103"/>
      <c r="F39" s="6"/>
      <c r="G39" s="6"/>
      <c r="H39" s="6"/>
    </row>
    <row r="40" spans="2:11" x14ac:dyDescent="0.2">
      <c r="C40" s="1" t="s">
        <v>101</v>
      </c>
    </row>
    <row r="43" spans="2:11" x14ac:dyDescent="0.2">
      <c r="B43" s="36" t="s">
        <v>74</v>
      </c>
      <c r="C43" s="36"/>
      <c r="D43" s="36"/>
      <c r="E43" s="37"/>
      <c r="F43" s="38" t="s">
        <v>7</v>
      </c>
      <c r="G43" s="38" t="s">
        <v>8</v>
      </c>
      <c r="H43" s="38" t="s">
        <v>9</v>
      </c>
      <c r="I43" s="38" t="s">
        <v>10</v>
      </c>
      <c r="J43" s="38" t="s">
        <v>11</v>
      </c>
      <c r="K43" s="70" t="s">
        <v>0</v>
      </c>
    </row>
    <row r="44" spans="2:11" x14ac:dyDescent="0.2">
      <c r="C44" s="1" t="s">
        <v>57</v>
      </c>
      <c r="D44" s="103"/>
      <c r="E44" s="2"/>
      <c r="F44" s="6">
        <f>'Project summary'!F59*Assumptions!$B$20</f>
        <v>7475240.2923680246</v>
      </c>
      <c r="G44" s="6">
        <f>'Project summary'!G59*Assumptions!$B$20</f>
        <v>3406310.5730275824</v>
      </c>
      <c r="H44" s="6">
        <f>'Project summary'!H59*Assumptions!$B$20</f>
        <v>2359635.8422236554</v>
      </c>
      <c r="I44" s="6">
        <f>'Project summary'!I59*Assumptions!$B$20</f>
        <v>3597279.8821719564</v>
      </c>
      <c r="J44" s="6">
        <f>'Project summary'!J59*Assumptions!$B$20</f>
        <v>866641.18973597791</v>
      </c>
      <c r="K44" s="6">
        <f>SUM(F44:J44)</f>
        <v>17705107.779527199</v>
      </c>
    </row>
    <row r="45" spans="2:11" x14ac:dyDescent="0.2">
      <c r="C45" s="1" t="s">
        <v>96</v>
      </c>
      <c r="D45" s="103"/>
      <c r="E45" s="2"/>
      <c r="F45" s="6">
        <f>'Project summary'!F63*Assumptions!$B$20</f>
        <v>3720693.375684977</v>
      </c>
      <c r="G45" s="6">
        <f>'Project summary'!G63*Assumptions!$B$20</f>
        <v>4629220.2936141053</v>
      </c>
      <c r="H45" s="6">
        <f>'Project summary'!H63*Assumptions!$B$20</f>
        <v>4893999.847546461</v>
      </c>
      <c r="I45" s="6">
        <f>'Project summary'!I63*Assumptions!$B$20</f>
        <v>6250010.67705754</v>
      </c>
      <c r="J45" s="6">
        <f>'Project summary'!J63*Assumptions!$B$20</f>
        <v>5958101.0416631959</v>
      </c>
      <c r="K45" s="6">
        <f>SUM(F45:J45)</f>
        <v>25452025.235566277</v>
      </c>
    </row>
    <row r="46" spans="2:11" x14ac:dyDescent="0.2">
      <c r="C46" s="1" t="s">
        <v>97</v>
      </c>
      <c r="D46" s="103"/>
      <c r="F46" s="6">
        <v>3868797.4537280211</v>
      </c>
      <c r="G46" s="6">
        <v>4852065.6059753466</v>
      </c>
      <c r="H46" s="6">
        <v>5176654.2188584749</v>
      </c>
      <c r="I46" s="6">
        <v>6677974.9673047215</v>
      </c>
      <c r="J46" s="6">
        <v>6427732.3486032085</v>
      </c>
      <c r="K46" s="6">
        <f>SUM(F46:J46)</f>
        <v>27003224.594469775</v>
      </c>
    </row>
    <row r="47" spans="2:11" x14ac:dyDescent="0.2">
      <c r="C47" s="98" t="s">
        <v>72</v>
      </c>
      <c r="D47" s="132" t="str">
        <f>"($ "&amp;Assumptions!$C$39&amp;")"</f>
        <v>($ June 2026)</v>
      </c>
      <c r="E47" s="98"/>
      <c r="F47" s="102">
        <f>F44+F46</f>
        <v>11344037.746096045</v>
      </c>
      <c r="G47" s="102">
        <f t="shared" ref="G47" si="11">G44+G46</f>
        <v>8258376.1790029295</v>
      </c>
      <c r="H47" s="102">
        <f t="shared" ref="H47" si="12">H44+H46</f>
        <v>7536290.0610821303</v>
      </c>
      <c r="I47" s="102">
        <f t="shared" ref="I47" si="13">I44+I46</f>
        <v>10275254.849476678</v>
      </c>
      <c r="J47" s="102">
        <f t="shared" ref="J47" si="14">J44+J46</f>
        <v>7294373.5383391865</v>
      </c>
      <c r="K47" s="102">
        <f t="shared" ref="K47" si="15">K44+K46</f>
        <v>44708332.373996973</v>
      </c>
    </row>
    <row r="48" spans="2:11" x14ac:dyDescent="0.2">
      <c r="D48" s="103"/>
      <c r="F48" s="6"/>
      <c r="G48" s="6"/>
      <c r="H48" s="6"/>
      <c r="I48" s="6"/>
      <c r="J48" s="6"/>
      <c r="K48" s="6"/>
    </row>
    <row r="49" spans="3:8" x14ac:dyDescent="0.2">
      <c r="C49" s="98" t="s">
        <v>19</v>
      </c>
      <c r="D49" s="132"/>
      <c r="E49" s="132"/>
      <c r="F49" s="141">
        <f>NPV(Real_Discount_rate,F47:J47)</f>
        <v>40562965.086752631</v>
      </c>
      <c r="G49" s="6"/>
      <c r="H49" s="6"/>
    </row>
    <row r="50" spans="3:8" x14ac:dyDescent="0.2">
      <c r="D50" s="103"/>
      <c r="F50" s="6"/>
      <c r="G50" s="6"/>
      <c r="H50" s="6"/>
    </row>
    <row r="51" spans="3:8" x14ac:dyDescent="0.2">
      <c r="C51" s="1" t="s"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67"/>
  <sheetViews>
    <sheetView showGridLines="0" zoomScale="85" zoomScaleNormal="85" workbookViewId="0">
      <selection activeCell="D6" sqref="D6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"&amp;Assumptions!$C$39&amp;")"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2" t="s">
        <v>20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5</v>
      </c>
      <c r="C10" s="36" t="s">
        <v>6</v>
      </c>
      <c r="D10" s="36"/>
      <c r="E10" s="37"/>
      <c r="F10" s="38" t="s">
        <v>7</v>
      </c>
      <c r="G10" s="38" t="s">
        <v>8</v>
      </c>
      <c r="H10" s="38" t="s">
        <v>9</v>
      </c>
      <c r="I10" s="38" t="s">
        <v>10</v>
      </c>
      <c r="J10" s="38" t="s">
        <v>11</v>
      </c>
      <c r="K10" s="70" t="s">
        <v>0</v>
      </c>
      <c r="P10"/>
    </row>
    <row r="11" spans="1:16" ht="12.75" customHeight="1" x14ac:dyDescent="0.25">
      <c r="C11" s="1" t="s">
        <v>12</v>
      </c>
      <c r="D11" s="103" t="s">
        <v>13</v>
      </c>
      <c r="E11" s="2"/>
      <c r="F11" s="6">
        <f>'Option 1'!R109+'Option 1'!R112</f>
        <v>3839973.7100607385</v>
      </c>
      <c r="G11" s="6">
        <f>'Option 1'!S109+'Option 1'!S112</f>
        <v>4334136.6809644923</v>
      </c>
      <c r="H11" s="6">
        <f>'Option 1'!T109+'Option 1'!T112</f>
        <v>6803853.3799715145</v>
      </c>
      <c r="I11" s="6">
        <f>'Option 1'!U109+'Option 1'!U112</f>
        <v>2685231.6775495233</v>
      </c>
      <c r="J11" s="6">
        <f>'Option 1'!V109+'Option 1'!V112</f>
        <v>1315353.8407033035</v>
      </c>
      <c r="K11" s="6">
        <f>SUM(F11:J11)</f>
        <v>18978549.289249573</v>
      </c>
      <c r="M11" s="95"/>
      <c r="P11"/>
    </row>
    <row r="12" spans="1:16" ht="12.75" customHeight="1" x14ac:dyDescent="0.25">
      <c r="C12" s="1" t="s">
        <v>14</v>
      </c>
      <c r="D12" s="103" t="s">
        <v>13</v>
      </c>
      <c r="E12" s="2"/>
      <c r="F12" s="6">
        <f>'Option 1'!R110+'Option 1'!R113</f>
        <v>4855969.6923590899</v>
      </c>
      <c r="G12" s="6">
        <f>'Option 1'!S110+'Option 1'!S113</f>
        <v>6503179.5953716021</v>
      </c>
      <c r="H12" s="6">
        <f>'Option 1'!T110+'Option 1'!T113</f>
        <v>1620730.8571554511</v>
      </c>
      <c r="I12" s="6">
        <f>'Option 1'!U110+'Option 1'!U113</f>
        <v>8950772.2584984116</v>
      </c>
      <c r="J12" s="6">
        <f>'Option 1'!V110+'Option 1'!V113</f>
        <v>4384512.8023443455</v>
      </c>
      <c r="K12" s="6">
        <f t="shared" ref="K12:K13" si="0">SUM(F12:J12)</f>
        <v>26315165.2057289</v>
      </c>
      <c r="M12" s="95"/>
      <c r="P12"/>
    </row>
    <row r="13" spans="1:16" ht="12.75" customHeight="1" x14ac:dyDescent="0.2">
      <c r="C13" s="1" t="s">
        <v>15</v>
      </c>
      <c r="D13" s="103" t="s">
        <v>13</v>
      </c>
      <c r="F13" s="6">
        <f>'Option 1'!R111+'Option 1'!R114</f>
        <v>0</v>
      </c>
      <c r="G13" s="6">
        <f>'Option 1'!S111+'Option 1'!S114</f>
        <v>0</v>
      </c>
      <c r="H13" s="6">
        <f>'Option 1'!T111+'Option 1'!T114</f>
        <v>0</v>
      </c>
      <c r="I13" s="6">
        <f>'Option 1'!U111+'Option 1'!U114</f>
        <v>0</v>
      </c>
      <c r="J13" s="6">
        <f>'Option 1'!V111+'Option 1'!V114</f>
        <v>0</v>
      </c>
      <c r="K13" s="6">
        <f t="shared" si="0"/>
        <v>0</v>
      </c>
      <c r="M13" s="95"/>
    </row>
    <row r="14" spans="1:16" ht="12.75" customHeight="1" x14ac:dyDescent="0.2">
      <c r="C14" s="98" t="s">
        <v>16</v>
      </c>
      <c r="D14" s="104"/>
      <c r="E14" s="98"/>
      <c r="F14" s="102">
        <f>SUM(F11:F13)</f>
        <v>8695943.4024198279</v>
      </c>
      <c r="G14" s="102">
        <f t="shared" ref="G14:K14" si="1">SUM(G11:G13)</f>
        <v>10837316.276336094</v>
      </c>
      <c r="H14" s="102">
        <f t="shared" si="1"/>
        <v>8424584.2371269651</v>
      </c>
      <c r="I14" s="102">
        <f t="shared" si="1"/>
        <v>11636003.936047934</v>
      </c>
      <c r="J14" s="102">
        <f t="shared" si="1"/>
        <v>5699866.6430476494</v>
      </c>
      <c r="K14" s="102">
        <f t="shared" si="1"/>
        <v>45293714.494978473</v>
      </c>
      <c r="M14" s="95"/>
    </row>
    <row r="15" spans="1:16" ht="12.75" customHeight="1" x14ac:dyDescent="0.2">
      <c r="C15" s="1" t="s">
        <v>12</v>
      </c>
      <c r="D15" s="103" t="s">
        <v>17</v>
      </c>
      <c r="F15" s="6">
        <f>'Option 1'!R116+'Option 1'!R119</f>
        <v>0</v>
      </c>
      <c r="G15" s="6">
        <f>'Option 1'!S116+'Option 1'!S119</f>
        <v>0</v>
      </c>
      <c r="H15" s="6">
        <f>'Option 1'!T116+'Option 1'!T119</f>
        <v>0</v>
      </c>
      <c r="I15" s="6">
        <f>'Option 1'!U116+'Option 1'!U119</f>
        <v>0</v>
      </c>
      <c r="J15" s="6">
        <f>'Option 1'!V116+'Option 1'!V119</f>
        <v>0</v>
      </c>
      <c r="K15" s="6">
        <f>SUM(F15:J15)</f>
        <v>0</v>
      </c>
      <c r="M15" s="95"/>
    </row>
    <row r="16" spans="1:16" ht="12.75" customHeight="1" x14ac:dyDescent="0.2">
      <c r="C16" s="1" t="s">
        <v>14</v>
      </c>
      <c r="D16" s="103" t="s">
        <v>17</v>
      </c>
      <c r="F16" s="6">
        <f>'Option 1'!R117+'Option 1'!R120</f>
        <v>0</v>
      </c>
      <c r="G16" s="6">
        <f>'Option 1'!S117+'Option 1'!S120</f>
        <v>0</v>
      </c>
      <c r="H16" s="6">
        <f>'Option 1'!T117+'Option 1'!T120</f>
        <v>0</v>
      </c>
      <c r="I16" s="6">
        <f>'Option 1'!U117+'Option 1'!U120</f>
        <v>0</v>
      </c>
      <c r="J16" s="6">
        <f>'Option 1'!V117+'Option 1'!V120</f>
        <v>0</v>
      </c>
      <c r="K16" s="6">
        <f t="shared" ref="K16:K17" si="2">SUM(F16:J16)</f>
        <v>0</v>
      </c>
      <c r="M16" s="95"/>
    </row>
    <row r="17" spans="2:13" ht="12.75" customHeight="1" x14ac:dyDescent="0.2">
      <c r="C17" s="1" t="s">
        <v>15</v>
      </c>
      <c r="D17" s="103" t="s">
        <v>17</v>
      </c>
      <c r="F17" s="6">
        <f>'Option 1'!R118+'Option 1'!R121</f>
        <v>0</v>
      </c>
      <c r="G17" s="6">
        <f>'Option 1'!S118+'Option 1'!S121</f>
        <v>0</v>
      </c>
      <c r="H17" s="6">
        <f>'Option 1'!T118+'Option 1'!T121</f>
        <v>0</v>
      </c>
      <c r="I17" s="6">
        <f>'Option 1'!U118+'Option 1'!U121</f>
        <v>0</v>
      </c>
      <c r="J17" s="6">
        <f>'Option 1'!V118+'Option 1'!V121</f>
        <v>0</v>
      </c>
      <c r="K17" s="6">
        <f t="shared" si="2"/>
        <v>0</v>
      </c>
      <c r="M17" s="95"/>
    </row>
    <row r="18" spans="2:13" ht="12.75" customHeight="1" x14ac:dyDescent="0.2">
      <c r="C18" s="98" t="s">
        <v>18</v>
      </c>
      <c r="D18" s="104"/>
      <c r="E18" s="98"/>
      <c r="F18" s="102">
        <f>SUM(F15:F17)</f>
        <v>0</v>
      </c>
      <c r="G18" s="102">
        <f t="shared" ref="G18:K18" si="3">SUM(G15:G17)</f>
        <v>0</v>
      </c>
      <c r="H18" s="102">
        <f t="shared" si="3"/>
        <v>0</v>
      </c>
      <c r="I18" s="102">
        <f t="shared" si="3"/>
        <v>0</v>
      </c>
      <c r="J18" s="102">
        <f t="shared" si="3"/>
        <v>0</v>
      </c>
      <c r="K18" s="102">
        <f t="shared" si="3"/>
        <v>0</v>
      </c>
      <c r="M18" s="95"/>
    </row>
    <row r="19" spans="2:13" ht="12.75" customHeight="1" x14ac:dyDescent="0.2">
      <c r="D19" s="48"/>
      <c r="F19" s="6"/>
      <c r="G19" s="6"/>
      <c r="H19" s="6"/>
      <c r="I19" s="6"/>
      <c r="J19" s="6"/>
      <c r="K19" s="6"/>
      <c r="M19" s="95"/>
    </row>
    <row r="20" spans="2:13" ht="12.75" customHeight="1" x14ac:dyDescent="0.2">
      <c r="C20" s="109" t="str">
        <f>"Total Cost ($ "&amp;Assumptions!$C39&amp;")"</f>
        <v>Total Cost ($ June 2026)</v>
      </c>
      <c r="D20" s="21"/>
      <c r="E20" s="21"/>
      <c r="F20" s="22">
        <f t="shared" ref="F20:K20" si="4">F14+F18</f>
        <v>8695943.4024198279</v>
      </c>
      <c r="G20" s="22">
        <f t="shared" si="4"/>
        <v>10837316.276336094</v>
      </c>
      <c r="H20" s="22">
        <f t="shared" si="4"/>
        <v>8424584.2371269651</v>
      </c>
      <c r="I20" s="22">
        <f t="shared" si="4"/>
        <v>11636003.936047934</v>
      </c>
      <c r="J20" s="22">
        <f t="shared" si="4"/>
        <v>5699866.6430476494</v>
      </c>
      <c r="K20" s="22">
        <f t="shared" si="4"/>
        <v>45293714.494978473</v>
      </c>
      <c r="L20" s="56">
        <f>K20-'Option 1'!$W$124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3" t="s">
        <v>19</v>
      </c>
      <c r="D22" s="22"/>
      <c r="E22" s="22"/>
      <c r="F22" s="22">
        <f>NPV(Assumptions!$B$10,F20:J20)</f>
        <v>41056360.651331678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4</v>
      </c>
      <c r="C25" s="36" t="s">
        <v>6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0" t="s">
        <v>0</v>
      </c>
    </row>
    <row r="26" spans="2:13" ht="12.75" customHeight="1" x14ac:dyDescent="0.2">
      <c r="C26" s="1" t="s">
        <v>12</v>
      </c>
      <c r="D26" s="103" t="s">
        <v>13</v>
      </c>
      <c r="E26" s="2"/>
      <c r="F26" s="6">
        <f>'Option 2'!R109+'Option 2'!R112</f>
        <v>6141559.5256111752</v>
      </c>
      <c r="G26" s="6">
        <f>'Option 2'!S109+'Option 2'!S112</f>
        <v>4432229.6716598589</v>
      </c>
      <c r="H26" s="6">
        <f>'Option 2'!T109+'Option 2'!T112</f>
        <v>5041486.6261202209</v>
      </c>
      <c r="I26" s="6">
        <f>'Option 2'!U109+'Option 2'!U112</f>
        <v>4316788.6977392165</v>
      </c>
      <c r="J26" s="6">
        <f>'Option 2'!V109+'Option 2'!V112</f>
        <v>2944200.8796208175</v>
      </c>
      <c r="K26" s="6">
        <f>SUM(F26:J26)</f>
        <v>22876265.400751289</v>
      </c>
      <c r="M26" s="95"/>
    </row>
    <row r="27" spans="2:13" x14ac:dyDescent="0.2">
      <c r="C27" s="1" t="s">
        <v>14</v>
      </c>
      <c r="D27" s="103" t="s">
        <v>13</v>
      </c>
      <c r="E27" s="2"/>
      <c r="F27" s="6">
        <f>'Option 2'!R110+'Option 2'!R113</f>
        <v>11398973.50321248</v>
      </c>
      <c r="G27" s="6">
        <f>'Option 2'!S110+'Option 2'!S113</f>
        <v>4540259.8002439588</v>
      </c>
      <c r="H27" s="6">
        <f>'Option 2'!T110+'Option 2'!T113</f>
        <v>8570951.1774032675</v>
      </c>
      <c r="I27" s="6">
        <f>'Option 2'!U110+'Option 2'!U113</f>
        <v>4907687.9104583981</v>
      </c>
      <c r="J27" s="6">
        <f>'Option 2'!V110+'Option 2'!V113</f>
        <v>2179493.8490327531</v>
      </c>
      <c r="K27" s="6">
        <f t="shared" ref="K27:K28" si="6">SUM(F27:J27)</f>
        <v>31597366.240350854</v>
      </c>
      <c r="M27" s="95"/>
    </row>
    <row r="28" spans="2:13" x14ac:dyDescent="0.2">
      <c r="C28" s="1" t="s">
        <v>15</v>
      </c>
      <c r="D28" s="103" t="s">
        <v>13</v>
      </c>
      <c r="F28" s="6">
        <f>'Option 2'!R111+'Option 2'!R114</f>
        <v>0</v>
      </c>
      <c r="G28" s="6">
        <f>'Option 2'!S111+'Option 2'!S114</f>
        <v>0</v>
      </c>
      <c r="H28" s="6">
        <f>'Option 2'!T111+'Option 2'!T114</f>
        <v>0</v>
      </c>
      <c r="I28" s="6">
        <f>'Option 2'!U111+'Option 2'!U114</f>
        <v>0</v>
      </c>
      <c r="J28" s="6">
        <f>'Option 2'!V111+'Option 2'!V114</f>
        <v>0</v>
      </c>
      <c r="K28" s="6">
        <f t="shared" si="6"/>
        <v>0</v>
      </c>
      <c r="M28" s="95"/>
    </row>
    <row r="29" spans="2:13" x14ac:dyDescent="0.2">
      <c r="C29" s="98" t="s">
        <v>16</v>
      </c>
      <c r="D29" s="104"/>
      <c r="E29" s="98"/>
      <c r="F29" s="102">
        <f>SUM(F26:F28)</f>
        <v>17540533.028823655</v>
      </c>
      <c r="G29" s="102">
        <f t="shared" ref="G29" si="7">SUM(G26:G28)</f>
        <v>8972489.4719038177</v>
      </c>
      <c r="H29" s="102">
        <f t="shared" ref="H29" si="8">SUM(H26:H28)</f>
        <v>13612437.803523488</v>
      </c>
      <c r="I29" s="102">
        <f t="shared" ref="I29" si="9">SUM(I26:I28)</f>
        <v>9224476.6081976146</v>
      </c>
      <c r="J29" s="102">
        <f t="shared" ref="J29" si="10">SUM(J26:J28)</f>
        <v>5123694.7286535706</v>
      </c>
      <c r="K29" s="102">
        <f t="shared" ref="K29" si="11">SUM(K26:K28)</f>
        <v>54473631.641102143</v>
      </c>
      <c r="M29" s="95"/>
    </row>
    <row r="30" spans="2:13" x14ac:dyDescent="0.2">
      <c r="C30" s="1" t="s">
        <v>12</v>
      </c>
      <c r="D30" s="103" t="s">
        <v>17</v>
      </c>
      <c r="F30" s="6">
        <f>'Option 2'!R116+'Option 2'!R119</f>
        <v>0</v>
      </c>
      <c r="G30" s="6">
        <f>'Option 2'!S116+'Option 2'!S119</f>
        <v>0</v>
      </c>
      <c r="H30" s="6">
        <f>'Option 2'!T116+'Option 2'!T119</f>
        <v>0</v>
      </c>
      <c r="I30" s="6">
        <f>'Option 2'!U116+'Option 2'!U119</f>
        <v>0</v>
      </c>
      <c r="J30" s="6">
        <f>'Option 2'!V116+'Option 2'!V119</f>
        <v>0</v>
      </c>
      <c r="K30" s="6">
        <f>SUM(F30:J30)</f>
        <v>0</v>
      </c>
      <c r="M30" s="95"/>
    </row>
    <row r="31" spans="2:13" x14ac:dyDescent="0.2">
      <c r="C31" s="1" t="s">
        <v>14</v>
      </c>
      <c r="D31" s="103" t="s">
        <v>17</v>
      </c>
      <c r="F31" s="6">
        <f>'Option 2'!R117+'Option 2'!R120</f>
        <v>-2590858.4706781763</v>
      </c>
      <c r="G31" s="6">
        <f>'Option 2'!S117+'Option 2'!S120</f>
        <v>-748673.67085891264</v>
      </c>
      <c r="H31" s="6">
        <f>'Option 2'!T117+'Option 2'!T120</f>
        <v>868402.98354007083</v>
      </c>
      <c r="I31" s="6">
        <f>'Option 2'!U117+'Option 2'!U120</f>
        <v>2399485.4342067661</v>
      </c>
      <c r="J31" s="6">
        <f>'Option 2'!V117+'Option 2'!V120</f>
        <v>3218165.6787074199</v>
      </c>
      <c r="K31" s="6">
        <f t="shared" ref="K31:K32" si="12">SUM(F31:J31)</f>
        <v>3146521.9549171678</v>
      </c>
      <c r="M31" s="95"/>
    </row>
    <row r="32" spans="2:13" x14ac:dyDescent="0.2">
      <c r="C32" s="1" t="s">
        <v>15</v>
      </c>
      <c r="D32" s="103" t="s">
        <v>17</v>
      </c>
      <c r="F32" s="6">
        <f>'Option 2'!R118+'Option 2'!R121</f>
        <v>0</v>
      </c>
      <c r="G32" s="6">
        <f>'Option 2'!S118+'Option 2'!S121</f>
        <v>0</v>
      </c>
      <c r="H32" s="6">
        <f>'Option 2'!T118+'Option 2'!T121</f>
        <v>0</v>
      </c>
      <c r="I32" s="6">
        <f>'Option 2'!U118+'Option 2'!U121</f>
        <v>0</v>
      </c>
      <c r="J32" s="6">
        <f>'Option 2'!V118+'Option 2'!V121</f>
        <v>0</v>
      </c>
      <c r="K32" s="6">
        <f t="shared" si="12"/>
        <v>0</v>
      </c>
      <c r="M32" s="95"/>
    </row>
    <row r="33" spans="2:13" x14ac:dyDescent="0.2">
      <c r="C33" s="98" t="s">
        <v>18</v>
      </c>
      <c r="D33" s="104"/>
      <c r="E33" s="98"/>
      <c r="F33" s="102">
        <f>SUM(F30:F32)</f>
        <v>-2590858.4706781763</v>
      </c>
      <c r="G33" s="102">
        <f t="shared" ref="G33" si="13">SUM(G30:G32)</f>
        <v>-748673.67085891264</v>
      </c>
      <c r="H33" s="102">
        <f t="shared" ref="H33" si="14">SUM(H30:H32)</f>
        <v>868402.98354007083</v>
      </c>
      <c r="I33" s="102">
        <f t="shared" ref="I33" si="15">SUM(I30:I32)</f>
        <v>2399485.4342067661</v>
      </c>
      <c r="J33" s="102">
        <f t="shared" ref="J33" si="16">SUM(J30:J32)</f>
        <v>3218165.6787074199</v>
      </c>
      <c r="K33" s="102">
        <f t="shared" ref="K33" si="17">SUM(K30:K32)</f>
        <v>3146521.9549171678</v>
      </c>
      <c r="M33" s="95"/>
    </row>
    <row r="34" spans="2:13" x14ac:dyDescent="0.2">
      <c r="D34" s="48"/>
      <c r="F34" s="6"/>
      <c r="G34" s="6"/>
      <c r="H34" s="6"/>
      <c r="I34" s="6"/>
      <c r="J34" s="6"/>
      <c r="K34" s="6"/>
      <c r="M34" s="95"/>
    </row>
    <row r="35" spans="2:13" x14ac:dyDescent="0.2">
      <c r="C35" s="109" t="str">
        <f>"Total Cost ($ "&amp;Assumptions!$C$39&amp;")"</f>
        <v>Total Cost ($ June 2026)</v>
      </c>
      <c r="D35" s="21"/>
      <c r="E35" s="21"/>
      <c r="F35" s="22">
        <f t="shared" ref="F35:K35" si="18">F29+F33</f>
        <v>14949674.558145478</v>
      </c>
      <c r="G35" s="22">
        <f t="shared" si="18"/>
        <v>8223815.8010449056</v>
      </c>
      <c r="H35" s="22">
        <f t="shared" si="18"/>
        <v>14480840.78706356</v>
      </c>
      <c r="I35" s="22">
        <f t="shared" si="18"/>
        <v>11623962.04240438</v>
      </c>
      <c r="J35" s="22">
        <f t="shared" si="18"/>
        <v>8341860.4073609905</v>
      </c>
      <c r="K35" s="22">
        <f t="shared" si="18"/>
        <v>57620153.596019313</v>
      </c>
      <c r="L35" s="56">
        <f>K35-'Option 2'!$W$124</f>
        <v>0</v>
      </c>
    </row>
    <row r="37" spans="2:13" x14ac:dyDescent="0.2">
      <c r="C37" s="53" t="s">
        <v>19</v>
      </c>
      <c r="D37" s="22"/>
      <c r="E37" s="22"/>
      <c r="F37" s="22">
        <f>NPV(Assumptions!$B$10,F35:J35)</f>
        <v>52335272.777413696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20</v>
      </c>
      <c r="C40" s="36" t="s">
        <v>6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0" t="s">
        <v>0</v>
      </c>
    </row>
    <row r="41" spans="2:13" x14ac:dyDescent="0.2">
      <c r="C41" s="1" t="s">
        <v>12</v>
      </c>
      <c r="D41" s="103" t="s">
        <v>13</v>
      </c>
      <c r="E41" s="2"/>
      <c r="F41" s="6">
        <f>'Option 3'!R109+'Option 3'!R112</f>
        <v>6392802.1220448297</v>
      </c>
      <c r="G41" s="6">
        <f>'Option 3'!S109+'Option 3'!S112</f>
        <v>7031183.7227871437</v>
      </c>
      <c r="H41" s="6">
        <f>'Option 3'!T109+'Option 3'!T112</f>
        <v>4827458.013426709</v>
      </c>
      <c r="I41" s="6">
        <f>'Option 3'!U109+'Option 3'!U112</f>
        <v>5743322.7879156508</v>
      </c>
      <c r="J41" s="6">
        <f>'Option 3'!V109+'Option 3'!V112</f>
        <v>3623019.5635310318</v>
      </c>
      <c r="K41" s="6">
        <f>SUM(F41:J41)</f>
        <v>27617786.209705368</v>
      </c>
      <c r="M41" s="95"/>
    </row>
    <row r="42" spans="2:13" x14ac:dyDescent="0.2">
      <c r="C42" s="1" t="s">
        <v>14</v>
      </c>
      <c r="D42" s="103" t="s">
        <v>13</v>
      </c>
      <c r="E42" s="2"/>
      <c r="F42" s="6">
        <f>'Option 3'!R110+'Option 3'!R113</f>
        <v>9710888.4590302687</v>
      </c>
      <c r="G42" s="6">
        <f>'Option 3'!S110+'Option 3'!S113</f>
        <v>2887411.7962725889</v>
      </c>
      <c r="H42" s="6">
        <f>'Option 3'!T110+'Option 3'!T113</f>
        <v>3977042.3101261505</v>
      </c>
      <c r="I42" s="6">
        <f>'Option 3'!U110+'Option 3'!U113</f>
        <v>350567.4836212279</v>
      </c>
      <c r="J42" s="6">
        <f>'Option 3'!V110+'Option 3'!V113</f>
        <v>475970.48061945004</v>
      </c>
      <c r="K42" s="6">
        <f t="shared" ref="K42:K43" si="20">SUM(F42:J42)</f>
        <v>17401880.529669683</v>
      </c>
      <c r="M42" s="95"/>
    </row>
    <row r="43" spans="2:13" x14ac:dyDescent="0.2">
      <c r="C43" s="1" t="s">
        <v>15</v>
      </c>
      <c r="D43" s="103" t="s">
        <v>13</v>
      </c>
      <c r="F43" s="6">
        <f>'Option 3'!R111+'Option 3'!R114</f>
        <v>0</v>
      </c>
      <c r="G43" s="6">
        <f>'Option 3'!S111+'Option 3'!S114</f>
        <v>0</v>
      </c>
      <c r="H43" s="6">
        <f>'Option 3'!T111+'Option 3'!T114</f>
        <v>0</v>
      </c>
      <c r="I43" s="6">
        <f>'Option 3'!U111+'Option 3'!U114</f>
        <v>0</v>
      </c>
      <c r="J43" s="6">
        <f>'Option 3'!V111+'Option 3'!V114</f>
        <v>0</v>
      </c>
      <c r="K43" s="6">
        <f t="shared" si="20"/>
        <v>0</v>
      </c>
      <c r="M43" s="95"/>
    </row>
    <row r="44" spans="2:13" x14ac:dyDescent="0.2">
      <c r="C44" s="98" t="s">
        <v>16</v>
      </c>
      <c r="D44" s="104"/>
      <c r="E44" s="98"/>
      <c r="F44" s="102">
        <f>SUM(F41:F43)</f>
        <v>16103690.581075098</v>
      </c>
      <c r="G44" s="102">
        <f t="shared" ref="G44" si="21">SUM(G41:G43)</f>
        <v>9918595.5190597326</v>
      </c>
      <c r="H44" s="102">
        <f t="shared" ref="H44" si="22">SUM(H41:H43)</f>
        <v>8804500.3235528599</v>
      </c>
      <c r="I44" s="102">
        <f t="shared" ref="I44" si="23">SUM(I41:I43)</f>
        <v>6093890.2715368783</v>
      </c>
      <c r="J44" s="102">
        <f t="shared" ref="J44" si="24">SUM(J41:J43)</f>
        <v>4098990.0441504819</v>
      </c>
      <c r="K44" s="102">
        <f t="shared" ref="K44" si="25">SUM(K41:K43)</f>
        <v>45019666.739375055</v>
      </c>
      <c r="M44" s="95"/>
    </row>
    <row r="45" spans="2:13" x14ac:dyDescent="0.2">
      <c r="C45" s="1" t="s">
        <v>12</v>
      </c>
      <c r="D45" s="103" t="s">
        <v>17</v>
      </c>
      <c r="F45" s="6">
        <f>'Option 3'!R116+'Option 3'!R119</f>
        <v>1094762.5564563375</v>
      </c>
      <c r="G45" s="6">
        <f>'Option 3'!S116+'Option 3'!S119</f>
        <v>886677.88863941981</v>
      </c>
      <c r="H45" s="6">
        <f>'Option 3'!T116+'Option 3'!T119</f>
        <v>955712.30595036817</v>
      </c>
      <c r="I45" s="6">
        <f>'Option 3'!U116+'Option 3'!U119</f>
        <v>1395357.854011022</v>
      </c>
      <c r="J45" s="6">
        <f>'Option 3'!V116+'Option 3'!V119</f>
        <v>895636.68014078517</v>
      </c>
      <c r="K45" s="6">
        <f>SUM(F45:J45)</f>
        <v>5228147.2851979323</v>
      </c>
      <c r="M45" s="95"/>
    </row>
    <row r="46" spans="2:13" x14ac:dyDescent="0.2">
      <c r="C46" s="1" t="s">
        <v>14</v>
      </c>
      <c r="D46" s="103" t="s">
        <v>17</v>
      </c>
      <c r="F46" s="6">
        <f>'Option 3'!R117+'Option 3'!R120</f>
        <v>-1178172.7179574501</v>
      </c>
      <c r="G46" s="6">
        <f>'Option 3'!S117+'Option 3'!S120</f>
        <v>-573138.82657437329</v>
      </c>
      <c r="H46" s="6">
        <f>'Option 3'!T117+'Option 3'!T120</f>
        <v>519002.92725574854</v>
      </c>
      <c r="I46" s="6">
        <f>'Option 3'!U117+'Option 3'!U120</f>
        <v>1167769.7899210714</v>
      </c>
      <c r="J46" s="6">
        <f>'Option 3'!V117+'Option 3'!V120</f>
        <v>1655269.8921980364</v>
      </c>
      <c r="K46" s="6">
        <f t="shared" ref="K46:K47" si="26">SUM(F46:J46)</f>
        <v>1590731.064843033</v>
      </c>
      <c r="M46" s="95"/>
    </row>
    <row r="47" spans="2:13" x14ac:dyDescent="0.2">
      <c r="C47" s="1" t="s">
        <v>15</v>
      </c>
      <c r="D47" s="103" t="s">
        <v>17</v>
      </c>
      <c r="F47" s="6">
        <f>'Option 3'!R118+'Option 3'!R121</f>
        <v>387552.35314326745</v>
      </c>
      <c r="G47" s="6">
        <f>'Option 3'!S118+'Option 3'!S121</f>
        <v>709548.58684936538</v>
      </c>
      <c r="H47" s="6">
        <f>'Option 3'!T118+'Option 3'!T121</f>
        <v>709548.58684936538</v>
      </c>
      <c r="I47" s="6">
        <f>'Option 3'!U118+'Option 3'!U121</f>
        <v>709548.58684936538</v>
      </c>
      <c r="J47" s="6">
        <f>'Option 3'!V118+'Option 3'!V121</f>
        <v>709548.58684936538</v>
      </c>
      <c r="K47" s="6">
        <f t="shared" si="26"/>
        <v>3225746.7005407289</v>
      </c>
      <c r="M47" s="95"/>
    </row>
    <row r="48" spans="2:13" x14ac:dyDescent="0.2">
      <c r="C48" s="98" t="s">
        <v>18</v>
      </c>
      <c r="D48" s="104"/>
      <c r="E48" s="98"/>
      <c r="F48" s="102">
        <f>SUM(F45:F47)</f>
        <v>304142.19164215482</v>
      </c>
      <c r="G48" s="102">
        <f t="shared" ref="G48" si="27">SUM(G45:G47)</f>
        <v>1023087.6489144119</v>
      </c>
      <c r="H48" s="102">
        <f t="shared" ref="H48" si="28">SUM(H45:H47)</f>
        <v>2184263.820055482</v>
      </c>
      <c r="I48" s="102">
        <f t="shared" ref="I48" si="29">SUM(I45:I47)</f>
        <v>3272676.2307814588</v>
      </c>
      <c r="J48" s="102">
        <f t="shared" ref="J48" si="30">SUM(J45:J47)</f>
        <v>3260455.1591881867</v>
      </c>
      <c r="K48" s="102">
        <f t="shared" ref="K48" si="31">SUM(K45:K47)</f>
        <v>10044625.050581694</v>
      </c>
      <c r="M48" s="95"/>
    </row>
    <row r="49" spans="2:13" x14ac:dyDescent="0.2">
      <c r="D49" s="48"/>
      <c r="F49" s="6"/>
      <c r="G49" s="6"/>
      <c r="H49" s="6"/>
      <c r="I49" s="6"/>
      <c r="J49" s="6"/>
      <c r="K49" s="6"/>
      <c r="M49" s="95"/>
    </row>
    <row r="50" spans="2:13" x14ac:dyDescent="0.2">
      <c r="C50" s="109" t="str">
        <f>"Total Cost ($ "&amp;Assumptions!$C39&amp;")"</f>
        <v>Total Cost ($ June 2026)</v>
      </c>
      <c r="D50" s="21"/>
      <c r="E50" s="21"/>
      <c r="F50" s="22">
        <f t="shared" ref="F50:K50" si="32">F44+F48</f>
        <v>16407832.772717252</v>
      </c>
      <c r="G50" s="22">
        <f t="shared" si="32"/>
        <v>10941683.167974144</v>
      </c>
      <c r="H50" s="22">
        <f t="shared" si="32"/>
        <v>10988764.143608343</v>
      </c>
      <c r="I50" s="22">
        <f t="shared" si="32"/>
        <v>9366566.5023183376</v>
      </c>
      <c r="J50" s="22">
        <f t="shared" si="32"/>
        <v>7359445.2033386687</v>
      </c>
      <c r="K50" s="22">
        <f t="shared" si="32"/>
        <v>55064291.789956748</v>
      </c>
      <c r="L50" s="56">
        <f>K50-'Option 3'!$W$124</f>
        <v>0</v>
      </c>
    </row>
    <row r="52" spans="2:13" x14ac:dyDescent="0.2">
      <c r="B52" s="26"/>
      <c r="C52" s="53" t="s">
        <v>19</v>
      </c>
      <c r="D52" s="22"/>
      <c r="E52" s="22"/>
      <c r="F52" s="22">
        <f>NPV(Assumptions!$B$10,F50:J50)</f>
        <v>50337269.468165129</v>
      </c>
      <c r="G52" s="26"/>
      <c r="H52" s="26"/>
      <c r="I52" s="26"/>
      <c r="J52" s="26"/>
      <c r="K52" s="26"/>
    </row>
    <row r="55" spans="2:13" x14ac:dyDescent="0.2">
      <c r="B55" s="36" t="s">
        <v>74</v>
      </c>
      <c r="C55" s="36" t="s">
        <v>6</v>
      </c>
      <c r="D55" s="36"/>
      <c r="E55" s="37"/>
      <c r="F55" s="38" t="str">
        <f>F$10</f>
        <v>2026/27</v>
      </c>
      <c r="G55" s="38" t="str">
        <f t="shared" ref="G55:J55" si="33">G$10</f>
        <v>2027/28</v>
      </c>
      <c r="H55" s="38" t="str">
        <f t="shared" si="33"/>
        <v>2028/29</v>
      </c>
      <c r="I55" s="38" t="str">
        <f t="shared" si="33"/>
        <v>2029/30</v>
      </c>
      <c r="J55" s="38" t="str">
        <f t="shared" si="33"/>
        <v>2030/31</v>
      </c>
      <c r="K55" s="70" t="s">
        <v>0</v>
      </c>
    </row>
    <row r="56" spans="2:13" x14ac:dyDescent="0.2">
      <c r="C56" s="1" t="s">
        <v>12</v>
      </c>
      <c r="D56" s="103" t="s">
        <v>13</v>
      </c>
      <c r="E56" s="2"/>
      <c r="F56" s="6">
        <f>'Option 4'!R109+'Option 4'!R112</f>
        <v>4623521.3810255053</v>
      </c>
      <c r="G56" s="6">
        <f>'Option 4'!S109+'Option 4'!S112</f>
        <v>2258844.0200455151</v>
      </c>
      <c r="H56" s="6">
        <f>'Option 4'!T109+'Option 4'!T112</f>
        <v>2856415.5070712795</v>
      </c>
      <c r="I56" s="6">
        <f>'Option 4'!U109+'Option 4'!U112</f>
        <v>4759189.8196559884</v>
      </c>
      <c r="J56" s="6">
        <f>'Option 4'!V109+'Option 4'!V112</f>
        <v>822185.64476701466</v>
      </c>
      <c r="K56" s="6">
        <f>SUM(F56:J56)</f>
        <v>15320156.372565303</v>
      </c>
      <c r="M56" s="95"/>
    </row>
    <row r="57" spans="2:13" x14ac:dyDescent="0.2">
      <c r="C57" s="1" t="s">
        <v>14</v>
      </c>
      <c r="D57" s="103" t="s">
        <v>13</v>
      </c>
      <c r="E57" s="2"/>
      <c r="F57" s="6">
        <f>'Option 4'!R110+'Option 4'!R113</f>
        <v>6055393.3223573873</v>
      </c>
      <c r="G57" s="6">
        <f>'Option 4'!S110+'Option 4'!S113</f>
        <v>2607313.9414224597</v>
      </c>
      <c r="H57" s="6">
        <f>'Option 4'!T110+'Option 4'!T113</f>
        <v>514492.83896251413</v>
      </c>
      <c r="I57" s="6">
        <f>'Option 4'!U110+'Option 4'!U113</f>
        <v>379781.44058966357</v>
      </c>
      <c r="J57" s="6">
        <f>'Option 4'!V110+'Option 4'!V113</f>
        <v>415873.19771295384</v>
      </c>
      <c r="K57" s="6">
        <f t="shared" ref="K57:K58" si="34">SUM(F57:J57)</f>
        <v>9972854.7410449795</v>
      </c>
      <c r="M57" s="95"/>
    </row>
    <row r="58" spans="2:13" x14ac:dyDescent="0.2">
      <c r="C58" s="1" t="s">
        <v>15</v>
      </c>
      <c r="D58" s="103" t="s">
        <v>13</v>
      </c>
      <c r="F58" s="6">
        <f>'Option 4'!R111+'Option 4'!R114</f>
        <v>0</v>
      </c>
      <c r="G58" s="6">
        <f>'Option 4'!S111+'Option 4'!S114</f>
        <v>0</v>
      </c>
      <c r="H58" s="6">
        <f>'Option 4'!T111+'Option 4'!T114</f>
        <v>0</v>
      </c>
      <c r="I58" s="6">
        <f>'Option 4'!U111+'Option 4'!U114</f>
        <v>0</v>
      </c>
      <c r="J58" s="6">
        <f>'Option 4'!V111+'Option 4'!V114</f>
        <v>0</v>
      </c>
      <c r="K58" s="6">
        <f t="shared" si="34"/>
        <v>0</v>
      </c>
      <c r="M58" s="95"/>
    </row>
    <row r="59" spans="2:13" x14ac:dyDescent="0.2">
      <c r="C59" s="98" t="s">
        <v>16</v>
      </c>
      <c r="D59" s="104"/>
      <c r="E59" s="98"/>
      <c r="F59" s="102">
        <f>SUM(F56:F58)</f>
        <v>10678914.703382893</v>
      </c>
      <c r="G59" s="102">
        <f t="shared" ref="G59:K59" si="35">SUM(G56:G58)</f>
        <v>4866157.9614679748</v>
      </c>
      <c r="H59" s="102">
        <f t="shared" si="35"/>
        <v>3370908.3460337934</v>
      </c>
      <c r="I59" s="102">
        <f t="shared" si="35"/>
        <v>5138971.2602456519</v>
      </c>
      <c r="J59" s="102">
        <f t="shared" si="35"/>
        <v>1238058.8424799684</v>
      </c>
      <c r="K59" s="102">
        <f t="shared" si="35"/>
        <v>25293011.113610283</v>
      </c>
      <c r="M59" s="95"/>
    </row>
    <row r="60" spans="2:13" x14ac:dyDescent="0.2">
      <c r="C60" s="1" t="s">
        <v>12</v>
      </c>
      <c r="D60" s="103" t="s">
        <v>17</v>
      </c>
      <c r="F60" s="6">
        <f>'Option 4'!R116+'Option 4'!R119</f>
        <v>5019715.7057878384</v>
      </c>
      <c r="G60" s="6">
        <f>'Option 4'!S116+'Option 4'!S119</f>
        <v>4699629.3296058122</v>
      </c>
      <c r="H60" s="6">
        <f>'Option 4'!T116+'Option 4'!T119</f>
        <v>1778187.3157580884</v>
      </c>
      <c r="I60" s="6">
        <f>'Option 4'!U116+'Option 4'!U119</f>
        <v>1917726.9265881171</v>
      </c>
      <c r="J60" s="6">
        <f>'Option 4'!V116+'Option 4'!V119</f>
        <v>925887.22480939433</v>
      </c>
      <c r="K60" s="6">
        <f>SUM(F60:J60)</f>
        <v>14341146.502549252</v>
      </c>
      <c r="M60" s="95"/>
    </row>
    <row r="61" spans="2:13" x14ac:dyDescent="0.2">
      <c r="C61" s="1" t="s">
        <v>14</v>
      </c>
      <c r="D61" s="103" t="s">
        <v>17</v>
      </c>
      <c r="F61" s="6">
        <f>'Option 4'!R117+'Option 4'!R120</f>
        <v>-1856922.6290078841</v>
      </c>
      <c r="G61" s="6">
        <f>'Option 4'!S117+'Option 4'!S120</f>
        <v>-1164826.3821475769</v>
      </c>
      <c r="H61" s="6">
        <f>'Option 4'!T117+'Option 4'!T120</f>
        <v>811069.30201084574</v>
      </c>
      <c r="I61" s="6">
        <f>'Option 4'!U117+'Option 4'!U120</f>
        <v>1347917.2173019301</v>
      </c>
      <c r="J61" s="6">
        <f>'Option 4'!V117+'Option 4'!V120</f>
        <v>1872766.253766547</v>
      </c>
      <c r="K61" s="6">
        <f t="shared" ref="K61:K62" si="36">SUM(F61:J61)</f>
        <v>1010003.7619238619</v>
      </c>
      <c r="M61" s="95"/>
    </row>
    <row r="62" spans="2:13" x14ac:dyDescent="0.2">
      <c r="C62" s="1" t="s">
        <v>15</v>
      </c>
      <c r="D62" s="103" t="s">
        <v>17</v>
      </c>
      <c r="F62" s="6">
        <f>'Option 4'!R118+'Option 4'!R121</f>
        <v>2152483.1741985846</v>
      </c>
      <c r="G62" s="6">
        <f>'Option 4'!S118+'Option 4'!S121</f>
        <v>3078368.9005619157</v>
      </c>
      <c r="H62" s="6">
        <f>'Option 4'!T118+'Option 4'!T121</f>
        <v>4402171.7358688684</v>
      </c>
      <c r="I62" s="6">
        <f>'Option 4'!U118+'Option 4'!U121</f>
        <v>5662942.5376207251</v>
      </c>
      <c r="J62" s="6">
        <f>'Option 4'!V118+'Option 4'!V121</f>
        <v>5712919.4380857674</v>
      </c>
      <c r="K62" s="6">
        <f t="shared" si="36"/>
        <v>21008885.786335859</v>
      </c>
      <c r="M62" s="95"/>
    </row>
    <row r="63" spans="2:13" x14ac:dyDescent="0.2">
      <c r="C63" s="98" t="s">
        <v>18</v>
      </c>
      <c r="D63" s="104"/>
      <c r="E63" s="98"/>
      <c r="F63" s="102">
        <f>SUM(F60:F62)</f>
        <v>5315276.2509785388</v>
      </c>
      <c r="G63" s="102">
        <f t="shared" ref="G63:K63" si="37">SUM(G60:G62)</f>
        <v>6613171.8480201513</v>
      </c>
      <c r="H63" s="102">
        <f t="shared" si="37"/>
        <v>6991428.3536378024</v>
      </c>
      <c r="I63" s="102">
        <f t="shared" si="37"/>
        <v>8928586.6815107726</v>
      </c>
      <c r="J63" s="102">
        <f t="shared" si="37"/>
        <v>8511572.9166617095</v>
      </c>
      <c r="K63" s="102">
        <f t="shared" si="37"/>
        <v>36360036.050808974</v>
      </c>
      <c r="M63" s="95"/>
    </row>
    <row r="64" spans="2:13" x14ac:dyDescent="0.2">
      <c r="D64" s="48"/>
      <c r="F64" s="6"/>
      <c r="G64" s="6"/>
      <c r="H64" s="6"/>
      <c r="I64" s="6"/>
      <c r="J64" s="6"/>
      <c r="K64" s="6"/>
      <c r="M64" s="95"/>
    </row>
    <row r="65" spans="2:12" x14ac:dyDescent="0.2">
      <c r="C65" s="109" t="str">
        <f>"Total Cost ($ "&amp;Assumptions!$C54&amp;")"</f>
        <v>Total Cost ($ )</v>
      </c>
      <c r="D65" s="21"/>
      <c r="E65" s="21"/>
      <c r="F65" s="22">
        <f t="shared" ref="F65:K65" si="38">F59+F63</f>
        <v>15994190.954361431</v>
      </c>
      <c r="G65" s="22">
        <f t="shared" si="38"/>
        <v>11479329.809488125</v>
      </c>
      <c r="H65" s="22">
        <f t="shared" si="38"/>
        <v>10362336.699671596</v>
      </c>
      <c r="I65" s="22">
        <f t="shared" si="38"/>
        <v>14067557.941756424</v>
      </c>
      <c r="J65" s="22">
        <f t="shared" si="38"/>
        <v>9749631.759141678</v>
      </c>
      <c r="K65" s="22">
        <f t="shared" si="38"/>
        <v>61653047.164419256</v>
      </c>
      <c r="L65" s="56">
        <f>K65-'Option 4'!$W$124</f>
        <v>0</v>
      </c>
    </row>
    <row r="67" spans="2:12" x14ac:dyDescent="0.2">
      <c r="B67" s="26"/>
      <c r="C67" s="53" t="s">
        <v>19</v>
      </c>
      <c r="D67" s="22"/>
      <c r="E67" s="22"/>
      <c r="F67" s="22">
        <f>NPV(Assumptions!$B$10,F65:J65)</f>
        <v>55983628.162714884</v>
      </c>
      <c r="G67" s="26"/>
      <c r="H67" s="26"/>
      <c r="I67" s="26"/>
      <c r="J67" s="26"/>
      <c r="K67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5BE079-FB86-4C66-B12D-ACCA98C4B177}">
          <x14:formula1>
            <xm:f>Assumptions!$A$26:$A$29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6"/>
  <sheetViews>
    <sheetView showGridLines="0" zoomScale="90" zoomScaleNormal="90" workbookViewId="0">
      <selection activeCell="H29" sqref="H29"/>
    </sheetView>
  </sheetViews>
  <sheetFormatPr defaultColWidth="14.42578125" defaultRowHeight="15" customHeight="1" x14ac:dyDescent="0.25"/>
  <cols>
    <col min="1" max="1" width="24.42578125" customWidth="1"/>
    <col min="2" max="2" width="19.425781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0" t="str">
        <f>Project_name</f>
        <v>Infrastructure refresh</v>
      </c>
      <c r="B1" s="14"/>
      <c r="C1" s="14"/>
      <c r="D1" s="14"/>
      <c r="E1" s="14"/>
      <c r="F1" s="14"/>
      <c r="G1" s="14"/>
      <c r="H1" s="14"/>
      <c r="I1" s="11"/>
      <c r="J1" s="11"/>
      <c r="K1" s="11"/>
    </row>
    <row r="2" spans="1:35" ht="15.75" x14ac:dyDescent="0.25">
      <c r="A2" s="57" t="str">
        <f>Business</f>
        <v>CitiPower &amp; Powercor</v>
      </c>
      <c r="B2" s="13"/>
      <c r="C2" s="13"/>
      <c r="D2" s="13"/>
      <c r="E2" s="13"/>
      <c r="F2" s="13"/>
      <c r="G2" s="13"/>
      <c r="H2" s="13"/>
      <c r="I2" s="11"/>
      <c r="J2" s="11"/>
      <c r="K2" s="11"/>
    </row>
    <row r="3" spans="1:35" s="18" customFormat="1" ht="12.75" customHeight="1" x14ac:dyDescent="0.25">
      <c r="A3" s="30" t="s">
        <v>22</v>
      </c>
      <c r="B3" s="28"/>
      <c r="C3" s="28"/>
      <c r="D3" s="28"/>
      <c r="E3" s="28"/>
      <c r="F3" s="28"/>
      <c r="G3" s="28"/>
      <c r="H3" s="13"/>
      <c r="I3" s="11"/>
      <c r="J3" s="11"/>
      <c r="K3" s="1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21</v>
      </c>
      <c r="B4" s="41" t="s">
        <v>22</v>
      </c>
      <c r="C4" s="27" t="s">
        <v>23</v>
      </c>
      <c r="D4" s="27" t="s">
        <v>24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25</v>
      </c>
      <c r="B6" s="73" t="s">
        <v>71</v>
      </c>
      <c r="C6" s="2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26</v>
      </c>
      <c r="B8" s="74" t="s">
        <v>75</v>
      </c>
      <c r="C8" s="27"/>
      <c r="D8" s="27"/>
    </row>
    <row r="9" spans="1:35" ht="12.75" customHeight="1" x14ac:dyDescent="0.25">
      <c r="A9" s="27"/>
      <c r="B9" s="58"/>
      <c r="C9" s="27"/>
      <c r="D9" s="27"/>
    </row>
    <row r="10" spans="1:35" ht="12.75" customHeight="1" x14ac:dyDescent="0.25">
      <c r="A10" s="1" t="s">
        <v>27</v>
      </c>
      <c r="B10" s="133">
        <v>3.5000000000000003E-2</v>
      </c>
      <c r="C10" s="43"/>
      <c r="D10" s="27"/>
    </row>
    <row r="11" spans="1:35" ht="12.75" customHeight="1" x14ac:dyDescent="0.25">
      <c r="A11" s="27"/>
      <c r="B11" s="58"/>
      <c r="C11" s="27"/>
      <c r="D11" s="27"/>
    </row>
    <row r="12" spans="1:35" ht="12.75" customHeight="1" x14ac:dyDescent="0.25">
      <c r="A12" s="43" t="s">
        <v>28</v>
      </c>
      <c r="B12" s="75" t="s">
        <v>68</v>
      </c>
      <c r="C12" s="43" t="s">
        <v>29</v>
      </c>
      <c r="D12" s="27"/>
    </row>
    <row r="13" spans="1:35" ht="12.75" customHeight="1" x14ac:dyDescent="0.25">
      <c r="A13" s="43"/>
      <c r="B13" s="59"/>
      <c r="C13" s="43"/>
      <c r="D13" s="43"/>
      <c r="E13" s="43"/>
    </row>
    <row r="14" spans="1:35" ht="12.75" customHeight="1" x14ac:dyDescent="0.25">
      <c r="A14" s="43" t="s">
        <v>30</v>
      </c>
      <c r="B14" s="134">
        <f>INDEX($C$46:$C$48,MATCH($B$12,$E$46:$E$48,0))</f>
        <v>145.77740895836223</v>
      </c>
      <c r="C14" s="43" t="s">
        <v>31</v>
      </c>
      <c r="D14" s="43"/>
      <c r="E14" s="43"/>
    </row>
    <row r="15" spans="1:35" ht="12.75" customHeight="1" x14ac:dyDescent="0.25">
      <c r="B15" s="43"/>
      <c r="C15" s="43"/>
      <c r="D15" s="43"/>
      <c r="E15" s="43"/>
    </row>
    <row r="16" spans="1:35" ht="12.75" customHeight="1" x14ac:dyDescent="0.25">
      <c r="A16" s="43" t="s">
        <v>30</v>
      </c>
      <c r="B16" s="134">
        <f>INDEX($C$51:$C$52,MATCH($B$12,$E$51:$E$52,0))</f>
        <v>230.16624999999999</v>
      </c>
      <c r="C16" s="43" t="s">
        <v>32</v>
      </c>
      <c r="D16" s="43"/>
      <c r="E16" s="43"/>
    </row>
    <row r="17" spans="1:11" ht="12.75" customHeight="1" x14ac:dyDescent="0.25">
      <c r="A17" s="80"/>
      <c r="C17" s="43"/>
      <c r="D17" s="43"/>
      <c r="E17" s="43"/>
    </row>
    <row r="18" spans="1:11" ht="12.75" customHeight="1" x14ac:dyDescent="0.25">
      <c r="A18" s="43"/>
      <c r="B18" s="43"/>
      <c r="C18" s="43"/>
      <c r="D18" s="43"/>
      <c r="E18" s="43"/>
    </row>
    <row r="19" spans="1:11" ht="12.75" customHeight="1" x14ac:dyDescent="0.25">
      <c r="A19" s="52" t="s">
        <v>33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12.75" customHeight="1" x14ac:dyDescent="0.25">
      <c r="A20" s="43" t="s">
        <v>2</v>
      </c>
      <c r="B20" s="88">
        <v>0.7</v>
      </c>
    </row>
    <row r="21" spans="1:11" ht="12.75" customHeight="1" x14ac:dyDescent="0.25">
      <c r="A21" s="43" t="s">
        <v>34</v>
      </c>
      <c r="B21" s="88">
        <v>0.3</v>
      </c>
      <c r="D21" s="43"/>
      <c r="E21" s="43"/>
    </row>
    <row r="22" spans="1:11" ht="12.75" customHeight="1" x14ac:dyDescent="0.25">
      <c r="A22" s="43"/>
      <c r="B22" s="89"/>
      <c r="D22" s="43"/>
      <c r="E22" s="43"/>
    </row>
    <row r="23" spans="1:11" ht="12.75" customHeight="1" x14ac:dyDescent="0.25">
      <c r="A23" s="43"/>
      <c r="B23" s="90">
        <f>SUM(B20:B22)</f>
        <v>1</v>
      </c>
      <c r="D23" s="43"/>
      <c r="E23" s="43"/>
    </row>
    <row r="24" spans="1:11" ht="12.75" customHeight="1" x14ac:dyDescent="0.25">
      <c r="A24" s="43"/>
      <c r="B24" s="43"/>
      <c r="C24" s="43"/>
      <c r="D24" s="43"/>
      <c r="E24" s="43"/>
    </row>
    <row r="25" spans="1:11" ht="12.75" customHeight="1" x14ac:dyDescent="0.25">
      <c r="A25" s="52" t="s">
        <v>35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12.75" customHeight="1" x14ac:dyDescent="0.25">
      <c r="A26" s="43" t="s">
        <v>5</v>
      </c>
      <c r="B26" s="81" t="s">
        <v>93</v>
      </c>
      <c r="C26" s="82"/>
      <c r="D26" s="82"/>
      <c r="E26" s="82"/>
      <c r="F26" s="82"/>
      <c r="G26" s="83"/>
    </row>
    <row r="27" spans="1:11" ht="12.75" customHeight="1" x14ac:dyDescent="0.25">
      <c r="A27" s="43" t="s">
        <v>4</v>
      </c>
      <c r="B27" s="84" t="s">
        <v>99</v>
      </c>
      <c r="C27" s="85"/>
      <c r="D27" s="85"/>
      <c r="E27" s="85"/>
      <c r="F27" s="85"/>
      <c r="G27" s="86"/>
    </row>
    <row r="28" spans="1:11" ht="12.75" customHeight="1" x14ac:dyDescent="0.25">
      <c r="A28" s="43" t="s">
        <v>20</v>
      </c>
      <c r="B28" s="84" t="s">
        <v>94</v>
      </c>
      <c r="C28" s="85"/>
      <c r="D28" s="85"/>
      <c r="E28" s="85"/>
      <c r="F28" s="85"/>
      <c r="G28" s="86"/>
    </row>
    <row r="29" spans="1:11" ht="12.75" customHeight="1" x14ac:dyDescent="0.25">
      <c r="A29" s="43" t="s">
        <v>74</v>
      </c>
      <c r="B29" s="84" t="s">
        <v>95</v>
      </c>
      <c r="C29" s="85"/>
      <c r="D29" s="85"/>
      <c r="E29" s="85"/>
      <c r="F29" s="85"/>
      <c r="G29" s="86"/>
    </row>
    <row r="30" spans="1:11" ht="12.75" customHeight="1" x14ac:dyDescent="0.25">
      <c r="A30" s="43"/>
      <c r="B30" s="87"/>
      <c r="C30" s="87"/>
      <c r="D30" s="87"/>
      <c r="E30" s="87"/>
      <c r="F30" s="87"/>
      <c r="G30" s="87"/>
    </row>
    <row r="31" spans="1:11" ht="12.75" customHeight="1" x14ac:dyDescent="0.25">
      <c r="A31" s="43"/>
      <c r="B31" s="43"/>
      <c r="C31" s="43"/>
      <c r="D31" s="43"/>
      <c r="E31" s="43"/>
    </row>
    <row r="32" spans="1:11" ht="12.75" customHeight="1" x14ac:dyDescent="0.25">
      <c r="A32" s="43"/>
      <c r="B32" s="43"/>
      <c r="C32" s="43"/>
      <c r="D32" s="43"/>
      <c r="E32" s="43"/>
    </row>
    <row r="33" spans="1:11" x14ac:dyDescent="0.25">
      <c r="A33" s="39" t="s">
        <v>102</v>
      </c>
      <c r="B33" s="39"/>
      <c r="C33" s="39"/>
      <c r="D33" s="40"/>
      <c r="E33" s="131" t="s">
        <v>67</v>
      </c>
      <c r="F33" s="131" t="s">
        <v>68</v>
      </c>
      <c r="G33" s="131" t="s">
        <v>69</v>
      </c>
      <c r="H33" s="131" t="s">
        <v>70</v>
      </c>
      <c r="I33" s="97"/>
      <c r="J33" s="40"/>
      <c r="K33" s="40"/>
    </row>
    <row r="34" spans="1:11" x14ac:dyDescent="0.25">
      <c r="A34" s="114" t="s">
        <v>64</v>
      </c>
      <c r="B34" s="115"/>
      <c r="C34" s="116"/>
      <c r="D34" s="117"/>
      <c r="E34" s="118">
        <v>1.1757125218136175</v>
      </c>
      <c r="F34" s="118">
        <v>1.1129126464165966</v>
      </c>
      <c r="G34" s="118">
        <v>1.050660524730181</v>
      </c>
      <c r="H34" s="118">
        <v>1.014889156509222</v>
      </c>
      <c r="I34" s="119"/>
      <c r="J34" s="117"/>
      <c r="K34" s="117"/>
    </row>
    <row r="35" spans="1:11" ht="12.75" customHeight="1" x14ac:dyDescent="0.25"/>
    <row r="36" spans="1:11" ht="12.75" customHeight="1" x14ac:dyDescent="0.25"/>
    <row r="37" spans="1:11" ht="12.7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ht="12.75" customHeight="1" x14ac:dyDescent="0.25"/>
    <row r="39" spans="1:11" ht="12.75" customHeight="1" x14ac:dyDescent="0.25">
      <c r="A39" s="43" t="s">
        <v>36</v>
      </c>
      <c r="C39" s="135" t="s">
        <v>70</v>
      </c>
      <c r="D39" t="s">
        <v>29</v>
      </c>
    </row>
    <row r="40" spans="1:11" ht="12.75" customHeight="1" x14ac:dyDescent="0.25">
      <c r="A40" s="43" t="s">
        <v>37</v>
      </c>
      <c r="C40" s="42" t="str">
        <f>$B$12</f>
        <v>June 2024</v>
      </c>
    </row>
    <row r="41" spans="1:11" ht="12.75" customHeight="1" x14ac:dyDescent="0.25">
      <c r="A41" s="43" t="s">
        <v>38</v>
      </c>
      <c r="C41" s="91">
        <f>INDEX($E$34:$H$34,MATCH($C$40,$E$33:$H$33))</f>
        <v>1.1129126464165966</v>
      </c>
    </row>
    <row r="42" spans="1:11" ht="12.75" customHeight="1" x14ac:dyDescent="0.25"/>
    <row r="43" spans="1:11" ht="12.7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ht="12.75" customHeight="1" x14ac:dyDescent="0.25"/>
    <row r="45" spans="1:11" ht="12.75" customHeight="1" x14ac:dyDescent="0.25">
      <c r="A45" t="s">
        <v>39</v>
      </c>
      <c r="C45" s="136" t="s">
        <v>40</v>
      </c>
      <c r="D45" t="s">
        <v>73</v>
      </c>
    </row>
    <row r="46" spans="1:11" ht="12.75" customHeight="1" x14ac:dyDescent="0.25">
      <c r="A46" s="43"/>
      <c r="C46" s="93">
        <v>135.18960020374115</v>
      </c>
      <c r="D46" s="113" t="s">
        <v>41</v>
      </c>
      <c r="E46" t="s">
        <v>67</v>
      </c>
    </row>
    <row r="47" spans="1:11" ht="12.75" customHeight="1" x14ac:dyDescent="0.25">
      <c r="A47" s="43"/>
      <c r="C47" s="94">
        <v>145.77740895836223</v>
      </c>
      <c r="D47" s="113" t="s">
        <v>41</v>
      </c>
      <c r="E47" t="s">
        <v>68</v>
      </c>
    </row>
    <row r="48" spans="1:11" ht="12.75" customHeight="1" x14ac:dyDescent="0.25">
      <c r="C48" s="94">
        <v>151.6842917372561</v>
      </c>
      <c r="D48" s="113" t="s">
        <v>41</v>
      </c>
      <c r="E48" t="s">
        <v>69</v>
      </c>
    </row>
    <row r="49" spans="1:5" ht="12.75" customHeight="1" x14ac:dyDescent="0.25"/>
    <row r="50" spans="1:5" ht="12.75" customHeight="1" x14ac:dyDescent="0.25"/>
    <row r="51" spans="1:5" ht="12.75" customHeight="1" x14ac:dyDescent="0.25">
      <c r="A51" t="s">
        <v>42</v>
      </c>
      <c r="C51" s="136">
        <f>1841.33/8</f>
        <v>230.16624999999999</v>
      </c>
      <c r="D51" s="113" t="s">
        <v>41</v>
      </c>
      <c r="E51" t="s">
        <v>68</v>
      </c>
    </row>
    <row r="52" spans="1:5" ht="12.75" customHeight="1" x14ac:dyDescent="0.25">
      <c r="C52" s="93">
        <v>239.49255829510699</v>
      </c>
      <c r="D52" s="113" t="s">
        <v>41</v>
      </c>
      <c r="E52" t="s">
        <v>69</v>
      </c>
    </row>
    <row r="53" spans="1:5" ht="12.7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>
      <c r="A56" t="s">
        <v>43</v>
      </c>
    </row>
    <row r="57" spans="1:5" ht="12.75" customHeight="1" x14ac:dyDescent="0.25">
      <c r="A57" t="s">
        <v>44</v>
      </c>
    </row>
    <row r="58" spans="1:5" ht="12.75" customHeight="1" x14ac:dyDescent="0.25">
      <c r="A58" t="s">
        <v>45</v>
      </c>
    </row>
    <row r="59" spans="1:5" ht="12.75" customHeight="1" x14ac:dyDescent="0.25"/>
    <row r="60" spans="1:5" ht="12.75" customHeight="1" x14ac:dyDescent="0.25"/>
    <row r="61" spans="1:5" ht="12.75" customHeight="1" x14ac:dyDescent="0.25"/>
    <row r="62" spans="1:5" ht="12.75" customHeight="1" x14ac:dyDescent="0.25"/>
    <row r="63" spans="1:5" ht="12.75" customHeight="1" x14ac:dyDescent="0.25"/>
    <row r="64" spans="1: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</sheetData>
  <dataValidations count="1">
    <dataValidation type="list" allowBlank="1" showInputMessage="1" showErrorMessage="1" sqref="B12" xr:uid="{F4530B8B-E1E8-402D-B0E6-F53F35029D26}">
      <formula1>$E$33:$G$33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AA138"/>
  <sheetViews>
    <sheetView showGridLines="0" zoomScale="80" zoomScaleNormal="80" workbookViewId="0">
      <pane xSplit="6" ySplit="9" topLeftCell="G10" activePane="bottomRight" state="frozen"/>
      <selection activeCell="I18" sqref="I18"/>
      <selection pane="topRight" activeCell="I18" sqref="I18"/>
      <selection pane="bottomLeft" activeCell="I18" sqref="I18"/>
      <selection pane="bottomRight" activeCell="C11" sqref="C11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75" x14ac:dyDescent="0.25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2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2">
      <c r="H9" s="16"/>
    </row>
    <row r="10" spans="1:27" x14ac:dyDescent="0.2">
      <c r="A10" s="4"/>
      <c r="C10" s="77" t="s">
        <v>76</v>
      </c>
      <c r="D10" s="78" t="s">
        <v>57</v>
      </c>
      <c r="E10" s="78" t="s">
        <v>14</v>
      </c>
      <c r="F10" s="78"/>
      <c r="G10" s="76" t="s">
        <v>1</v>
      </c>
      <c r="H10" s="2"/>
      <c r="I10" s="61" t="str">
        <f>IF(AND($E10="Labour",$F10="IT Labour"),Assumptions!$B$14,
IF(AND($E10="Labour",$F10="IT Specialist"),Assumptions!$B$16,""))</f>
        <v/>
      </c>
      <c r="J10" s="9" t="str">
        <f>IF($E10="Labour","Hours","$")</f>
        <v>$</v>
      </c>
      <c r="K10" s="2"/>
      <c r="L10" s="79">
        <v>1646643.0841862769</v>
      </c>
      <c r="M10" s="79">
        <v>1234982.3131397078</v>
      </c>
      <c r="N10" s="79">
        <v>0</v>
      </c>
      <c r="O10" s="79">
        <v>2469964.6262794156</v>
      </c>
      <c r="P10" s="79">
        <v>1234982.3131397078</v>
      </c>
      <c r="Q10" s="2"/>
      <c r="R10" s="5">
        <f t="shared" ref="R10:R41" si="0">IF($E10="Labour",$I10*L10,L10)</f>
        <v>1646643.0841862769</v>
      </c>
      <c r="S10" s="5">
        <f t="shared" ref="S10:S41" si="1">IF($E10="Labour",$I10*M10,M10)</f>
        <v>1234982.3131397078</v>
      </c>
      <c r="T10" s="5">
        <f t="shared" ref="T10:T41" si="2">IF($E10="Labour",$I10*N10,N10)</f>
        <v>0</v>
      </c>
      <c r="U10" s="5">
        <f t="shared" ref="U10:U41" si="3">IF($E10="Labour",$I10*O10,O10)</f>
        <v>2469964.6262794156</v>
      </c>
      <c r="V10" s="5">
        <f t="shared" ref="V10:V41" si="4">IF($E10="Labour",$I10*P10,P10)</f>
        <v>1234982.3131397078</v>
      </c>
    </row>
    <row r="11" spans="1:27" ht="12.75" customHeight="1" x14ac:dyDescent="0.2">
      <c r="A11" s="4"/>
      <c r="C11" s="77" t="s">
        <v>76</v>
      </c>
      <c r="D11" s="78" t="s">
        <v>57</v>
      </c>
      <c r="E11" s="78" t="s">
        <v>12</v>
      </c>
      <c r="F11" s="78" t="s">
        <v>44</v>
      </c>
      <c r="G11" s="76" t="s">
        <v>1</v>
      </c>
      <c r="H11" s="2"/>
      <c r="I11" s="61">
        <f>IF(AND($E11="Labour",$F11="IT Labour"),Assumptions!$B$14,
IF(AND($E11="Labour",$F11="IT Specialist"),Assumptions!$B$16,""))</f>
        <v>145.77740895836223</v>
      </c>
      <c r="J11" s="9" t="str">
        <f t="shared" ref="J11:J70" si="5">IF($E11="Labour","Hours","$")</f>
        <v>Hours</v>
      </c>
      <c r="K11" s="2"/>
      <c r="L11" s="79">
        <v>3388.6795545733708</v>
      </c>
      <c r="M11" s="79">
        <v>2541.5096659300284</v>
      </c>
      <c r="N11" s="79">
        <v>0</v>
      </c>
      <c r="O11" s="79">
        <v>5083.0193318600568</v>
      </c>
      <c r="P11" s="79">
        <v>2541.5096659300284</v>
      </c>
      <c r="Q11" s="2"/>
      <c r="R11" s="5">
        <f t="shared" si="0"/>
        <v>493992.92525588302</v>
      </c>
      <c r="S11" s="5">
        <f t="shared" si="1"/>
        <v>370494.69394191232</v>
      </c>
      <c r="T11" s="5">
        <f t="shared" si="2"/>
        <v>0</v>
      </c>
      <c r="U11" s="5">
        <f t="shared" si="3"/>
        <v>740989.38788382465</v>
      </c>
      <c r="V11" s="5">
        <f t="shared" si="4"/>
        <v>370494.69394191232</v>
      </c>
    </row>
    <row r="12" spans="1:27" ht="12.75" customHeight="1" x14ac:dyDescent="0.2">
      <c r="A12" s="4"/>
      <c r="C12" s="77" t="s">
        <v>77</v>
      </c>
      <c r="D12" s="78" t="s">
        <v>57</v>
      </c>
      <c r="E12" s="78" t="s">
        <v>14</v>
      </c>
      <c r="F12" s="78"/>
      <c r="G12" s="76" t="s">
        <v>1</v>
      </c>
      <c r="H12" s="2"/>
      <c r="I12" s="61" t="str">
        <f>IF(AND($E12="Labour",$F12="IT Labour"),Assumptions!$B$14,
IF(AND($E12="Labour",$F12="IT Specialist"),Assumptions!$B$16,""))</f>
        <v/>
      </c>
      <c r="J12" s="9" t="str">
        <f t="shared" si="5"/>
        <v>$</v>
      </c>
      <c r="K12" s="2"/>
      <c r="L12" s="79">
        <v>1187889.5472559999</v>
      </c>
      <c r="M12" s="79">
        <v>1035873.921904</v>
      </c>
      <c r="N12" s="79">
        <v>0</v>
      </c>
      <c r="O12" s="79">
        <v>4081690.1924240002</v>
      </c>
      <c r="P12" s="79">
        <v>917394.93492000003</v>
      </c>
      <c r="Q12" s="2"/>
      <c r="R12" s="5">
        <f t="shared" si="0"/>
        <v>1187889.5472559999</v>
      </c>
      <c r="S12" s="5">
        <f t="shared" si="1"/>
        <v>1035873.921904</v>
      </c>
      <c r="T12" s="5">
        <f t="shared" si="2"/>
        <v>0</v>
      </c>
      <c r="U12" s="5">
        <f t="shared" si="3"/>
        <v>4081690.1924240002</v>
      </c>
      <c r="V12" s="5">
        <f t="shared" si="4"/>
        <v>917394.93492000003</v>
      </c>
    </row>
    <row r="13" spans="1:27" ht="12.75" customHeight="1" x14ac:dyDescent="0.25">
      <c r="A13" s="4"/>
      <c r="C13" s="77" t="s">
        <v>77</v>
      </c>
      <c r="D13" s="78" t="s">
        <v>57</v>
      </c>
      <c r="E13" s="78" t="s">
        <v>12</v>
      </c>
      <c r="F13" s="78" t="s">
        <v>44</v>
      </c>
      <c r="G13" s="76" t="s">
        <v>1</v>
      </c>
      <c r="H13" s="2"/>
      <c r="I13" s="61">
        <f>IF(AND($E13="Labour",$F13="IT Labour"),Assumptions!$B$14,
IF(AND($E13="Labour",$F13="IT Specialist"),Assumptions!$B$16,""))</f>
        <v>145.77740895836223</v>
      </c>
      <c r="J13" s="9" t="str">
        <f t="shared" si="5"/>
        <v>Hours</v>
      </c>
      <c r="K13" s="2"/>
      <c r="L13" s="79">
        <v>2444.5959543607169</v>
      </c>
      <c r="M13" s="79">
        <v>2131.7581289976256</v>
      </c>
      <c r="N13" s="79">
        <v>38940.647300762961</v>
      </c>
      <c r="O13" s="79">
        <v>8399.8410074427284</v>
      </c>
      <c r="P13" s="79">
        <v>1887.9364261070757</v>
      </c>
      <c r="Q13" s="2"/>
      <c r="R13" s="5">
        <f t="shared" si="0"/>
        <v>356366.86417680001</v>
      </c>
      <c r="S13" s="5">
        <f t="shared" si="1"/>
        <v>310762.17657119996</v>
      </c>
      <c r="T13" s="5">
        <f t="shared" si="2"/>
        <v>5676666.666666666</v>
      </c>
      <c r="U13" s="5">
        <f t="shared" si="3"/>
        <v>1224507.0577272</v>
      </c>
      <c r="V13" s="5">
        <f t="shared" si="4"/>
        <v>275218.480476</v>
      </c>
      <c r="AA13"/>
    </row>
    <row r="14" spans="1:27" ht="12.75" customHeight="1" x14ac:dyDescent="0.25">
      <c r="A14" s="4"/>
      <c r="C14" s="77" t="s">
        <v>78</v>
      </c>
      <c r="D14" s="78" t="s">
        <v>57</v>
      </c>
      <c r="E14" s="78" t="s">
        <v>14</v>
      </c>
      <c r="F14" s="78"/>
      <c r="G14" s="76" t="s">
        <v>1</v>
      </c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>
        <v>1098000</v>
      </c>
      <c r="M14" s="79">
        <v>2711000</v>
      </c>
      <c r="N14" s="79">
        <v>164000</v>
      </c>
      <c r="O14" s="79">
        <v>1491000</v>
      </c>
      <c r="P14" s="79">
        <v>495000</v>
      </c>
      <c r="Q14" s="2"/>
      <c r="R14" s="5">
        <f t="shared" si="0"/>
        <v>1098000</v>
      </c>
      <c r="S14" s="5">
        <f t="shared" si="1"/>
        <v>2711000</v>
      </c>
      <c r="T14" s="5">
        <f t="shared" si="2"/>
        <v>164000</v>
      </c>
      <c r="U14" s="5">
        <f t="shared" si="3"/>
        <v>1491000</v>
      </c>
      <c r="V14" s="5">
        <f t="shared" si="4"/>
        <v>495000</v>
      </c>
      <c r="AA14"/>
    </row>
    <row r="15" spans="1:27" ht="12.75" customHeight="1" x14ac:dyDescent="0.25">
      <c r="A15" s="4"/>
      <c r="C15" s="77" t="s">
        <v>78</v>
      </c>
      <c r="D15" s="78" t="s">
        <v>57</v>
      </c>
      <c r="E15" s="78" t="s">
        <v>12</v>
      </c>
      <c r="F15" s="78" t="s">
        <v>44</v>
      </c>
      <c r="G15" s="76" t="s">
        <v>1</v>
      </c>
      <c r="H15" s="2"/>
      <c r="I15" s="61">
        <f>IF(AND($E15="Labour",$F15="IT Labour"),Assumptions!$B$14,
IF(AND($E15="Labour",$F15="IT Specialist"),Assumptions!$B$16,""))</f>
        <v>145.77740895836223</v>
      </c>
      <c r="J15" s="9" t="str">
        <f t="shared" si="5"/>
        <v>Hours</v>
      </c>
      <c r="K15" s="2"/>
      <c r="L15" s="79">
        <v>16949.076849342655</v>
      </c>
      <c r="M15" s="79">
        <v>20268.521223183969</v>
      </c>
      <c r="N15" s="79">
        <v>337.50085388095204</v>
      </c>
      <c r="O15" s="79">
        <v>3068.3766654664605</v>
      </c>
      <c r="P15" s="79">
        <v>1018.6763577504345</v>
      </c>
      <c r="Q15" s="2"/>
      <c r="R15" s="5">
        <f t="shared" si="0"/>
        <v>2470792.5073333336</v>
      </c>
      <c r="S15" s="5">
        <f t="shared" si="1"/>
        <v>2954692.5073333336</v>
      </c>
      <c r="T15" s="5">
        <f t="shared" si="2"/>
        <v>49200</v>
      </c>
      <c r="U15" s="5">
        <f t="shared" si="3"/>
        <v>447300</v>
      </c>
      <c r="V15" s="5">
        <f t="shared" si="4"/>
        <v>148500</v>
      </c>
      <c r="AA15"/>
    </row>
    <row r="16" spans="1:27" ht="12.75" customHeight="1" x14ac:dyDescent="0.25">
      <c r="A16" s="4"/>
      <c r="C16" s="77" t="s">
        <v>79</v>
      </c>
      <c r="D16" s="78" t="s">
        <v>57</v>
      </c>
      <c r="E16" s="78" t="s">
        <v>14</v>
      </c>
      <c r="F16" s="78"/>
      <c r="G16" s="76" t="s">
        <v>1</v>
      </c>
      <c r="H16" s="2"/>
      <c r="I16" s="61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9">
        <v>430765.51958022016</v>
      </c>
      <c r="M16" s="79">
        <v>861531.03916044033</v>
      </c>
      <c r="N16" s="79">
        <v>1292296.5587406605</v>
      </c>
      <c r="O16" s="79">
        <v>0</v>
      </c>
      <c r="P16" s="79">
        <v>1292296.5587406605</v>
      </c>
      <c r="Q16" s="2"/>
      <c r="R16" s="5">
        <f t="shared" si="0"/>
        <v>430765.51958022016</v>
      </c>
      <c r="S16" s="5">
        <f t="shared" si="1"/>
        <v>861531.03916044033</v>
      </c>
      <c r="T16" s="5">
        <f t="shared" si="2"/>
        <v>1292296.5587406605</v>
      </c>
      <c r="U16" s="5">
        <f t="shared" si="3"/>
        <v>0</v>
      </c>
      <c r="V16" s="5">
        <f t="shared" si="4"/>
        <v>1292296.5587406605</v>
      </c>
      <c r="AA16"/>
    </row>
    <row r="17" spans="1:27" ht="12.75" customHeight="1" x14ac:dyDescent="0.25">
      <c r="A17" s="4"/>
      <c r="C17" s="77" t="s">
        <v>79</v>
      </c>
      <c r="D17" s="78" t="s">
        <v>57</v>
      </c>
      <c r="E17" s="78" t="s">
        <v>12</v>
      </c>
      <c r="F17" s="78" t="s">
        <v>44</v>
      </c>
      <c r="G17" s="76" t="s">
        <v>1</v>
      </c>
      <c r="H17" s="2"/>
      <c r="I17" s="61">
        <f>IF(AND($E17="Labour",$F17="IT Labour"),Assumptions!$B$14,
IF(AND($E17="Labour",$F17="IT Specialist"),Assumptions!$B$16,""))</f>
        <v>145.77740895836223</v>
      </c>
      <c r="J17" s="9" t="str">
        <f t="shared" si="5"/>
        <v>Hours</v>
      </c>
      <c r="K17" s="2"/>
      <c r="L17" s="79">
        <v>886.4861626877821</v>
      </c>
      <c r="M17" s="79">
        <v>1772.9723253755642</v>
      </c>
      <c r="N17" s="79">
        <v>2659.4584880633465</v>
      </c>
      <c r="O17" s="79">
        <v>0</v>
      </c>
      <c r="P17" s="79">
        <v>2659.4584880633465</v>
      </c>
      <c r="Q17" s="2"/>
      <c r="R17" s="5">
        <f t="shared" si="0"/>
        <v>129229.65587406604</v>
      </c>
      <c r="S17" s="5">
        <f t="shared" si="1"/>
        <v>258459.31174813208</v>
      </c>
      <c r="T17" s="5">
        <f t="shared" si="2"/>
        <v>387688.96762219816</v>
      </c>
      <c r="U17" s="5">
        <f t="shared" si="3"/>
        <v>0</v>
      </c>
      <c r="V17" s="5">
        <f t="shared" si="4"/>
        <v>387688.96762219816</v>
      </c>
      <c r="AA17"/>
    </row>
    <row r="18" spans="1:27" ht="12.75" customHeight="1" x14ac:dyDescent="0.25">
      <c r="A18" s="4"/>
      <c r="C18" s="77"/>
      <c r="D18" s="78"/>
      <c r="E18" s="78"/>
      <c r="F18" s="78"/>
      <c r="G18" s="76"/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/>
      <c r="M18" s="79"/>
      <c r="N18" s="79"/>
      <c r="O18" s="79"/>
      <c r="P18" s="79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25">
      <c r="A19" s="4"/>
      <c r="C19" s="77"/>
      <c r="D19" s="78"/>
      <c r="E19" s="78"/>
      <c r="F19" s="78"/>
      <c r="G19" s="76"/>
      <c r="H19" s="2"/>
      <c r="I19" s="61" t="str">
        <f>IF(AND($E19="Labour",$F19="IT Labour"),Assumptions!$B$14,
IF(AND($E19="Labour",$F19="IT Specialist"),Assumptions!$B$16,""))</f>
        <v/>
      </c>
      <c r="J19" s="9" t="str">
        <f t="shared" si="5"/>
        <v>$</v>
      </c>
      <c r="K19" s="2"/>
      <c r="L19" s="79"/>
      <c r="M19" s="79"/>
      <c r="N19" s="79"/>
      <c r="O19" s="79"/>
      <c r="P19" s="79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25">
      <c r="A20" s="4"/>
      <c r="C20" s="77"/>
      <c r="D20" s="78"/>
      <c r="E20" s="78"/>
      <c r="F20" s="78"/>
      <c r="G20" s="76"/>
      <c r="H20" s="2"/>
      <c r="I20" s="61" t="str">
        <f>IF(AND($E20="Labour",$F20="IT Labour"),Assumptions!$B$14,
IF(AND($E20="Labour",$F20="IT Specialist"),Assumptions!$B$16,""))</f>
        <v/>
      </c>
      <c r="J20" s="9" t="str">
        <f t="shared" si="5"/>
        <v>$</v>
      </c>
      <c r="K20" s="2"/>
      <c r="L20" s="79"/>
      <c r="M20" s="79"/>
      <c r="N20" s="79"/>
      <c r="O20" s="79"/>
      <c r="P20" s="79"/>
      <c r="Q20" s="2"/>
      <c r="R20" s="5">
        <f t="shared" si="0"/>
        <v>0</v>
      </c>
      <c r="S20" s="5">
        <f t="shared" si="1"/>
        <v>0</v>
      </c>
      <c r="T20" s="5">
        <f t="shared" si="2"/>
        <v>0</v>
      </c>
      <c r="U20" s="5">
        <f t="shared" si="3"/>
        <v>0</v>
      </c>
      <c r="V20" s="5">
        <f t="shared" si="4"/>
        <v>0</v>
      </c>
      <c r="AA20"/>
    </row>
    <row r="21" spans="1:27" ht="12.75" customHeight="1" x14ac:dyDescent="0.25">
      <c r="A21" s="4"/>
      <c r="C21" s="77"/>
      <c r="D21" s="78"/>
      <c r="E21" s="78"/>
      <c r="F21" s="78"/>
      <c r="G21" s="76"/>
      <c r="H21" s="2"/>
      <c r="I21" s="61" t="str">
        <f>IF(AND($E21="Labour",$F21="IT Labour"),Assumptions!$B$14,
IF(AND($E21="Labour",$F21="IT Specialist"),Assumptions!$B$16,""))</f>
        <v/>
      </c>
      <c r="J21" s="9" t="str">
        <f t="shared" si="5"/>
        <v>$</v>
      </c>
      <c r="K21" s="2"/>
      <c r="L21" s="79"/>
      <c r="M21" s="79"/>
      <c r="N21" s="79"/>
      <c r="O21" s="79"/>
      <c r="P21" s="79"/>
      <c r="Q21" s="2"/>
      <c r="R21" s="5">
        <f t="shared" si="0"/>
        <v>0</v>
      </c>
      <c r="S21" s="5">
        <f t="shared" si="1"/>
        <v>0</v>
      </c>
      <c r="T21" s="5">
        <f t="shared" si="2"/>
        <v>0</v>
      </c>
      <c r="U21" s="5">
        <f t="shared" si="3"/>
        <v>0</v>
      </c>
      <c r="V21" s="5">
        <f t="shared" si="4"/>
        <v>0</v>
      </c>
      <c r="AA21"/>
    </row>
    <row r="22" spans="1:27" ht="12.75" customHeight="1" x14ac:dyDescent="0.25">
      <c r="A22" s="4"/>
      <c r="C22" s="77"/>
      <c r="D22" s="78"/>
      <c r="E22" s="78"/>
      <c r="F22" s="78"/>
      <c r="G22" s="76"/>
      <c r="H22" s="2"/>
      <c r="I22" s="61" t="str">
        <f>IF(AND($E22="Labour",$F22="IT Labour"),Assumptions!$B$14,
IF(AND($E22="Labour",$F22="IT Specialist"),Assumptions!$B$16,""))</f>
        <v/>
      </c>
      <c r="J22" s="9" t="str">
        <f t="shared" si="5"/>
        <v>$</v>
      </c>
      <c r="K22" s="2"/>
      <c r="L22" s="79"/>
      <c r="M22" s="79"/>
      <c r="N22" s="79"/>
      <c r="O22" s="79"/>
      <c r="P22" s="79"/>
      <c r="Q22" s="2"/>
      <c r="R22" s="5">
        <f t="shared" si="0"/>
        <v>0</v>
      </c>
      <c r="S22" s="5">
        <f t="shared" si="1"/>
        <v>0</v>
      </c>
      <c r="T22" s="5">
        <f t="shared" si="2"/>
        <v>0</v>
      </c>
      <c r="U22" s="5">
        <f t="shared" si="3"/>
        <v>0</v>
      </c>
      <c r="V22" s="5">
        <f t="shared" si="4"/>
        <v>0</v>
      </c>
      <c r="AA22"/>
    </row>
    <row r="23" spans="1:27" ht="12.75" customHeight="1" x14ac:dyDescent="0.25">
      <c r="A23" s="4"/>
      <c r="C23" s="77"/>
      <c r="D23" s="78"/>
      <c r="E23" s="78"/>
      <c r="F23" s="78"/>
      <c r="G23" s="76"/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/>
      <c r="M23" s="79"/>
      <c r="N23" s="79"/>
      <c r="O23" s="79"/>
      <c r="P23" s="79"/>
      <c r="Q23" s="2"/>
      <c r="R23" s="5">
        <f t="shared" si="0"/>
        <v>0</v>
      </c>
      <c r="S23" s="5">
        <f t="shared" si="1"/>
        <v>0</v>
      </c>
      <c r="T23" s="5">
        <f t="shared" si="2"/>
        <v>0</v>
      </c>
      <c r="U23" s="5">
        <f t="shared" si="3"/>
        <v>0</v>
      </c>
      <c r="V23" s="5">
        <f t="shared" si="4"/>
        <v>0</v>
      </c>
      <c r="AA23"/>
    </row>
    <row r="24" spans="1:27" ht="12.75" customHeight="1" x14ac:dyDescent="0.25">
      <c r="A24" s="4"/>
      <c r="C24" s="77"/>
      <c r="D24" s="78"/>
      <c r="E24" s="78"/>
      <c r="F24" s="78"/>
      <c r="G24" s="76"/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/>
      <c r="M24" s="79"/>
      <c r="N24" s="79"/>
      <c r="O24" s="79"/>
      <c r="P24" s="79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25">
      <c r="A25" s="4"/>
      <c r="C25" s="77"/>
      <c r="D25" s="78"/>
      <c r="E25" s="78"/>
      <c r="F25" s="78"/>
      <c r="G25" s="76"/>
      <c r="H25" s="2"/>
      <c r="I25" s="61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9"/>
      <c r="M25" s="79"/>
      <c r="N25" s="79"/>
      <c r="O25" s="79"/>
      <c r="P25" s="79"/>
      <c r="Q25" s="2"/>
      <c r="R25" s="5">
        <f t="shared" si="0"/>
        <v>0</v>
      </c>
      <c r="S25" s="5">
        <f t="shared" si="1"/>
        <v>0</v>
      </c>
      <c r="T25" s="5">
        <f t="shared" si="2"/>
        <v>0</v>
      </c>
      <c r="U25" s="5">
        <f t="shared" si="3"/>
        <v>0</v>
      </c>
      <c r="V25" s="5">
        <f t="shared" si="4"/>
        <v>0</v>
      </c>
      <c r="AA25"/>
    </row>
    <row r="26" spans="1:27" ht="12.75" customHeight="1" x14ac:dyDescent="0.25">
      <c r="A26" s="4"/>
      <c r="C26" s="77"/>
      <c r="D26" s="78"/>
      <c r="E26" s="78"/>
      <c r="F26" s="78"/>
      <c r="G26" s="76"/>
      <c r="H26" s="2"/>
      <c r="I26" s="61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9"/>
      <c r="M26" s="79"/>
      <c r="N26" s="79"/>
      <c r="O26" s="79"/>
      <c r="P26" s="79"/>
      <c r="Q26" s="2"/>
      <c r="R26" s="5">
        <f t="shared" si="0"/>
        <v>0</v>
      </c>
      <c r="S26" s="5">
        <f t="shared" si="1"/>
        <v>0</v>
      </c>
      <c r="T26" s="5">
        <f t="shared" si="2"/>
        <v>0</v>
      </c>
      <c r="U26" s="5">
        <f t="shared" si="3"/>
        <v>0</v>
      </c>
      <c r="V26" s="5">
        <f t="shared" si="4"/>
        <v>0</v>
      </c>
      <c r="AA26"/>
    </row>
    <row r="27" spans="1:27" ht="12.75" customHeight="1" x14ac:dyDescent="0.25">
      <c r="A27" s="4"/>
      <c r="C27" s="77"/>
      <c r="D27" s="78"/>
      <c r="E27" s="78"/>
      <c r="F27" s="78"/>
      <c r="G27" s="76"/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/>
      <c r="M27" s="79"/>
      <c r="N27" s="79"/>
      <c r="O27" s="79"/>
      <c r="P27" s="79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25">
      <c r="A28" s="4"/>
      <c r="C28" s="77"/>
      <c r="D28" s="78"/>
      <c r="E28" s="78"/>
      <c r="F28" s="78"/>
      <c r="G28" s="76"/>
      <c r="H28" s="2"/>
      <c r="I28" s="61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9"/>
      <c r="M28" s="79"/>
      <c r="N28" s="79"/>
      <c r="O28" s="79"/>
      <c r="P28" s="79"/>
      <c r="Q28" s="2"/>
      <c r="R28" s="5">
        <f t="shared" si="0"/>
        <v>0</v>
      </c>
      <c r="S28" s="5">
        <f t="shared" si="1"/>
        <v>0</v>
      </c>
      <c r="T28" s="5">
        <f t="shared" si="2"/>
        <v>0</v>
      </c>
      <c r="U28" s="5">
        <f t="shared" si="3"/>
        <v>0</v>
      </c>
      <c r="V28" s="5">
        <f t="shared" si="4"/>
        <v>0</v>
      </c>
      <c r="AA28"/>
    </row>
    <row r="29" spans="1:27" ht="12.75" customHeight="1" x14ac:dyDescent="0.25">
      <c r="A29" s="4"/>
      <c r="C29" s="77"/>
      <c r="D29" s="78"/>
      <c r="E29" s="78"/>
      <c r="F29" s="78"/>
      <c r="G29" s="76"/>
      <c r="H29" s="2"/>
      <c r="I29" s="61" t="str">
        <f>IF(AND($E29="Labour",$F29="IT Labour"),Assumptions!$B$14,
IF(AND($E29="Labour",$F29="IT Specialist"),Assumptions!$B$16,""))</f>
        <v/>
      </c>
      <c r="J29" s="9" t="str">
        <f t="shared" si="5"/>
        <v>$</v>
      </c>
      <c r="K29" s="2"/>
      <c r="L29" s="79"/>
      <c r="M29" s="79"/>
      <c r="N29" s="79"/>
      <c r="O29" s="79"/>
      <c r="P29" s="79"/>
      <c r="Q29" s="2"/>
      <c r="R29" s="5">
        <f t="shared" si="0"/>
        <v>0</v>
      </c>
      <c r="S29" s="5">
        <f t="shared" si="1"/>
        <v>0</v>
      </c>
      <c r="T29" s="5">
        <f t="shared" si="2"/>
        <v>0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25">
      <c r="A30" s="4"/>
      <c r="C30" s="77"/>
      <c r="D30" s="78"/>
      <c r="E30" s="78"/>
      <c r="F30" s="78"/>
      <c r="G30" s="76"/>
      <c r="H30" s="2"/>
      <c r="I30" s="61" t="str">
        <f>IF(AND($E30="Labour",$F30="IT Labour"),Assumptions!$B$14,
IF(AND($E30="Labour",$F30="IT Specialist"),Assumptions!$B$16,""))</f>
        <v/>
      </c>
      <c r="J30" s="9" t="str">
        <f t="shared" si="5"/>
        <v>$</v>
      </c>
      <c r="K30" s="2"/>
      <c r="L30" s="79"/>
      <c r="M30" s="79"/>
      <c r="N30" s="79"/>
      <c r="O30" s="79"/>
      <c r="P30" s="79"/>
      <c r="Q30" s="2"/>
      <c r="R30" s="5">
        <f t="shared" si="0"/>
        <v>0</v>
      </c>
      <c r="S30" s="5">
        <f t="shared" si="1"/>
        <v>0</v>
      </c>
      <c r="T30" s="5">
        <f t="shared" si="2"/>
        <v>0</v>
      </c>
      <c r="U30" s="5">
        <f t="shared" si="3"/>
        <v>0</v>
      </c>
      <c r="V30" s="5">
        <f t="shared" si="4"/>
        <v>0</v>
      </c>
      <c r="AA30"/>
    </row>
    <row r="31" spans="1:27" ht="12.75" customHeight="1" x14ac:dyDescent="0.25">
      <c r="A31" s="4"/>
      <c r="C31" s="77"/>
      <c r="D31" s="78"/>
      <c r="E31" s="78"/>
      <c r="F31" s="78"/>
      <c r="G31" s="76"/>
      <c r="H31" s="2"/>
      <c r="I31" s="61" t="str">
        <f>IF(AND($E31="Labour",$F31="IT Labour"),Assumptions!$B$14,
IF(AND($E31="Labour",$F31="IT Specialist"),Assumptions!$B$16,""))</f>
        <v/>
      </c>
      <c r="J31" s="9" t="str">
        <f t="shared" si="5"/>
        <v>$</v>
      </c>
      <c r="K31" s="2"/>
      <c r="L31" s="79"/>
      <c r="M31" s="79"/>
      <c r="N31" s="79"/>
      <c r="O31" s="79"/>
      <c r="P31" s="79"/>
      <c r="Q31" s="2"/>
      <c r="R31" s="5">
        <f t="shared" si="0"/>
        <v>0</v>
      </c>
      <c r="S31" s="5">
        <f t="shared" si="1"/>
        <v>0</v>
      </c>
      <c r="T31" s="5">
        <f t="shared" si="2"/>
        <v>0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25">
      <c r="A32" s="4"/>
      <c r="C32" s="77"/>
      <c r="D32" s="78"/>
      <c r="E32" s="78"/>
      <c r="F32" s="78"/>
      <c r="G32" s="76"/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/>
      <c r="M32" s="79"/>
      <c r="N32" s="79"/>
      <c r="O32" s="79"/>
      <c r="P32" s="79"/>
      <c r="Q32" s="2"/>
      <c r="R32" s="5">
        <f t="shared" si="0"/>
        <v>0</v>
      </c>
      <c r="S32" s="5">
        <f t="shared" si="1"/>
        <v>0</v>
      </c>
      <c r="T32" s="5">
        <f t="shared" si="2"/>
        <v>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7"/>
      <c r="D33" s="78"/>
      <c r="E33" s="78"/>
      <c r="F33" s="78"/>
      <c r="G33" s="76"/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/>
      <c r="M33" s="79"/>
      <c r="N33" s="79"/>
      <c r="O33" s="79"/>
      <c r="P33" s="79"/>
      <c r="Q33" s="2"/>
      <c r="R33" s="5">
        <f t="shared" si="0"/>
        <v>0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2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7"/>
      <c r="D35" s="78"/>
      <c r="E35" s="78"/>
      <c r="F35" s="78"/>
      <c r="G35" s="76"/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/>
      <c r="M35" s="79"/>
      <c r="N35" s="79"/>
      <c r="O35" s="79"/>
      <c r="P35" s="79"/>
      <c r="Q35" s="2"/>
      <c r="R35" s="5">
        <f t="shared" si="0"/>
        <v>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2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2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3450381.9526400827</v>
      </c>
      <c r="S74" s="25">
        <f t="shared" si="11"/>
        <v>3894408.689594578</v>
      </c>
      <c r="T74" s="25">
        <f t="shared" si="11"/>
        <v>6113555.6342888642</v>
      </c>
      <c r="U74" s="25">
        <f t="shared" si="11"/>
        <v>2412796.4456110247</v>
      </c>
      <c r="V74" s="25">
        <f t="shared" si="11"/>
        <v>1181902.1420401104</v>
      </c>
      <c r="W74" s="67">
        <f>SUM(R74:V74)</f>
        <v>17053044.86417466</v>
      </c>
    </row>
    <row r="75" spans="1:27" ht="12.75" customHeight="1" x14ac:dyDescent="0.2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4363298.1510224966</v>
      </c>
      <c r="S75" s="6">
        <f t="shared" si="11"/>
        <v>5843387.2742041489</v>
      </c>
      <c r="T75" s="6">
        <f t="shared" si="11"/>
        <v>1456296.5587406605</v>
      </c>
      <c r="U75" s="6">
        <f t="shared" si="11"/>
        <v>8042654.8187034158</v>
      </c>
      <c r="V75" s="6">
        <f t="shared" si="11"/>
        <v>3939673.8068003682</v>
      </c>
      <c r="W75" s="68">
        <f t="shared" ref="W75:W89" si="12">SUM(R75:V75)</f>
        <v>23645310.60947109</v>
      </c>
    </row>
    <row r="76" spans="1:27" ht="12.75" customHeight="1" x14ac:dyDescent="0.2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2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ref="W77:W79" si="13">SUM(R77:V77)</f>
        <v>0</v>
      </c>
    </row>
    <row r="78" spans="1:27" ht="12.75" customHeight="1" x14ac:dyDescent="0.2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3"/>
        <v>0</v>
      </c>
    </row>
    <row r="79" spans="1:27" ht="12.75" customHeight="1" x14ac:dyDescent="0.2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3"/>
        <v>0</v>
      </c>
    </row>
    <row r="80" spans="1:27" ht="12.75" customHeight="1" x14ac:dyDescent="0.2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7813680.1036625793</v>
      </c>
      <c r="S80" s="22">
        <f t="shared" ref="S80:V80" si="14">SUM(S74:S79)</f>
        <v>9737795.9637987278</v>
      </c>
      <c r="T80" s="22">
        <f t="shared" si="14"/>
        <v>7569852.1930295248</v>
      </c>
      <c r="U80" s="22">
        <f t="shared" si="14"/>
        <v>10455451.264314441</v>
      </c>
      <c r="V80" s="22">
        <f t="shared" si="14"/>
        <v>5121575.9488404784</v>
      </c>
      <c r="W80" s="22">
        <f>SUM(W74:W79)</f>
        <v>40698355.473645747</v>
      </c>
    </row>
    <row r="81" spans="3:24" ht="12.75" customHeight="1" x14ac:dyDescent="0.2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5">SUMIFS(R$10:R$70,$E$10:$E$70,$C81,$D$10:$D$70,$D81,$G$10:$G$70,$G81)</f>
        <v>0</v>
      </c>
      <c r="S81" s="6">
        <f t="shared" si="15"/>
        <v>0</v>
      </c>
      <c r="T81" s="6">
        <f t="shared" si="15"/>
        <v>0</v>
      </c>
      <c r="U81" s="6">
        <f t="shared" si="15"/>
        <v>0</v>
      </c>
      <c r="V81" s="6">
        <f t="shared" si="15"/>
        <v>0</v>
      </c>
      <c r="W81" s="68">
        <f t="shared" si="12"/>
        <v>0</v>
      </c>
    </row>
    <row r="82" spans="3:24" ht="12.75" customHeight="1" x14ac:dyDescent="0.2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5"/>
        <v>0</v>
      </c>
      <c r="S82" s="6">
        <f t="shared" si="15"/>
        <v>0</v>
      </c>
      <c r="T82" s="6">
        <f t="shared" si="15"/>
        <v>0</v>
      </c>
      <c r="U82" s="6">
        <f t="shared" si="15"/>
        <v>0</v>
      </c>
      <c r="V82" s="6">
        <f t="shared" si="15"/>
        <v>0</v>
      </c>
      <c r="W82" s="68">
        <f t="shared" si="12"/>
        <v>0</v>
      </c>
    </row>
    <row r="83" spans="3:24" ht="12.75" customHeight="1" x14ac:dyDescent="0.2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5"/>
        <v>0</v>
      </c>
      <c r="S83" s="6">
        <f t="shared" si="15"/>
        <v>0</v>
      </c>
      <c r="T83" s="6">
        <f t="shared" si="15"/>
        <v>0</v>
      </c>
      <c r="U83" s="6">
        <f t="shared" si="15"/>
        <v>0</v>
      </c>
      <c r="V83" s="6">
        <f t="shared" si="15"/>
        <v>0</v>
      </c>
      <c r="W83" s="68">
        <f t="shared" si="12"/>
        <v>0</v>
      </c>
    </row>
    <row r="84" spans="3:24" ht="12.75" customHeight="1" x14ac:dyDescent="0.2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5"/>
        <v>0</v>
      </c>
      <c r="S84" s="6">
        <f t="shared" si="15"/>
        <v>0</v>
      </c>
      <c r="T84" s="6">
        <f t="shared" si="15"/>
        <v>0</v>
      </c>
      <c r="U84" s="6">
        <f t="shared" si="15"/>
        <v>0</v>
      </c>
      <c r="V84" s="6">
        <f t="shared" si="15"/>
        <v>0</v>
      </c>
      <c r="W84" s="68">
        <f t="shared" ref="W84:W85" si="16">SUM(R84:V84)</f>
        <v>0</v>
      </c>
    </row>
    <row r="85" spans="3:24" ht="12.75" customHeight="1" x14ac:dyDescent="0.2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5"/>
        <v>0</v>
      </c>
      <c r="S85" s="6">
        <f t="shared" si="15"/>
        <v>0</v>
      </c>
      <c r="T85" s="6">
        <f t="shared" si="15"/>
        <v>0</v>
      </c>
      <c r="U85" s="6">
        <f t="shared" si="15"/>
        <v>0</v>
      </c>
      <c r="V85" s="6">
        <f t="shared" si="15"/>
        <v>0</v>
      </c>
      <c r="W85" s="68">
        <f t="shared" si="16"/>
        <v>0</v>
      </c>
    </row>
    <row r="86" spans="3:24" ht="12.75" customHeight="1" x14ac:dyDescent="0.2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5"/>
        <v>0</v>
      </c>
      <c r="S86" s="6">
        <f t="shared" si="15"/>
        <v>0</v>
      </c>
      <c r="T86" s="6">
        <f t="shared" si="15"/>
        <v>0</v>
      </c>
      <c r="U86" s="6">
        <f t="shared" si="15"/>
        <v>0</v>
      </c>
      <c r="V86" s="6">
        <f t="shared" si="15"/>
        <v>0</v>
      </c>
      <c r="W86" s="68">
        <f t="shared" ref="W86" si="17">SUM(R86:V86)</f>
        <v>0</v>
      </c>
    </row>
    <row r="87" spans="3:24" ht="12.75" customHeight="1" x14ac:dyDescent="0.2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0</v>
      </c>
      <c r="S87" s="22">
        <f t="shared" ref="S87:V87" si="18">SUM(S81:S86)</f>
        <v>0</v>
      </c>
      <c r="T87" s="22">
        <f t="shared" si="18"/>
        <v>0</v>
      </c>
      <c r="U87" s="22">
        <f t="shared" si="18"/>
        <v>0</v>
      </c>
      <c r="V87" s="22">
        <f t="shared" si="18"/>
        <v>0</v>
      </c>
      <c r="W87" s="22">
        <f>SUM(W81:W86)</f>
        <v>0</v>
      </c>
    </row>
    <row r="88" spans="3:24" ht="12.75" customHeight="1" x14ac:dyDescent="0.2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7813680.1036625793</v>
      </c>
      <c r="S89" s="8">
        <f t="shared" ref="S89:V89" si="19">S80+S87</f>
        <v>9737795.9637987278</v>
      </c>
      <c r="T89" s="8">
        <f t="shared" si="19"/>
        <v>7569852.1930295248</v>
      </c>
      <c r="U89" s="8">
        <f t="shared" si="19"/>
        <v>10455451.264314441</v>
      </c>
      <c r="V89" s="8">
        <f t="shared" si="19"/>
        <v>5121575.9488404784</v>
      </c>
      <c r="W89" s="69">
        <f t="shared" si="12"/>
        <v>40698355.473645754</v>
      </c>
    </row>
    <row r="90" spans="3:24" ht="12.75" customHeight="1" x14ac:dyDescent="0.2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4" t="str">
        <f>"NPV ($ "&amp;Assumptions!$B$12&amp;")"</f>
        <v>NPV ($ June 2024)</v>
      </c>
      <c r="D92" s="55">
        <f>NPV(Real_Discount_rate,R89:V89)</f>
        <v>36890910.336518049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2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20">SUMIFS(R$10:R$70,$D$10:$D$70,$D96,$G$10:$G$70,$G96)</f>
        <v>7813680.1036625793</v>
      </c>
      <c r="S96" s="25">
        <f t="shared" si="20"/>
        <v>9737795.963798726</v>
      </c>
      <c r="T96" s="25">
        <f t="shared" si="20"/>
        <v>7569852.1930295248</v>
      </c>
      <c r="U96" s="25">
        <f t="shared" si="20"/>
        <v>10455451.264314439</v>
      </c>
      <c r="V96" s="25">
        <f t="shared" si="20"/>
        <v>5121575.9488404784</v>
      </c>
      <c r="W96" s="68">
        <f t="shared" ref="W96:W97" si="21">SUM(R96:V96)</f>
        <v>40698355.473645739</v>
      </c>
    </row>
    <row r="97" spans="3:24" ht="12.75" customHeight="1" x14ac:dyDescent="0.2">
      <c r="D97" s="1" t="s">
        <v>54</v>
      </c>
      <c r="G97" s="1" t="s">
        <v>1</v>
      </c>
      <c r="H97" s="2"/>
      <c r="K97" s="2"/>
      <c r="Q97" s="2"/>
      <c r="R97" s="107">
        <f t="shared" si="20"/>
        <v>0</v>
      </c>
      <c r="S97" s="107">
        <f t="shared" si="20"/>
        <v>0</v>
      </c>
      <c r="T97" s="107">
        <f t="shared" si="20"/>
        <v>0</v>
      </c>
      <c r="U97" s="107">
        <f t="shared" si="20"/>
        <v>0</v>
      </c>
      <c r="V97" s="107">
        <f t="shared" si="20"/>
        <v>0</v>
      </c>
      <c r="W97" s="68">
        <f t="shared" si="21"/>
        <v>0</v>
      </c>
    </row>
    <row r="98" spans="3:24" ht="12.75" customHeight="1" x14ac:dyDescent="0.2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7813680.1036625793</v>
      </c>
      <c r="S98" s="22">
        <f t="shared" ref="S98:W98" si="22">SUM(S96:S97)</f>
        <v>9737795.963798726</v>
      </c>
      <c r="T98" s="22">
        <f t="shared" si="22"/>
        <v>7569852.1930295248</v>
      </c>
      <c r="U98" s="22">
        <f t="shared" si="22"/>
        <v>10455451.264314439</v>
      </c>
      <c r="V98" s="22">
        <f t="shared" si="22"/>
        <v>5121575.9488404784</v>
      </c>
      <c r="W98" s="22">
        <f t="shared" si="22"/>
        <v>40698355.473645739</v>
      </c>
    </row>
    <row r="99" spans="3:24" ht="12.75" customHeight="1" x14ac:dyDescent="0.2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3">SUMIFS(R$10:R$70,$D$10:$D$70,$D99,$G$10:$G$70,$G99)</f>
        <v>0</v>
      </c>
      <c r="S99" s="6">
        <f t="shared" si="23"/>
        <v>0</v>
      </c>
      <c r="T99" s="6">
        <f t="shared" si="23"/>
        <v>0</v>
      </c>
      <c r="U99" s="6">
        <f t="shared" si="23"/>
        <v>0</v>
      </c>
      <c r="V99" s="6">
        <f t="shared" si="23"/>
        <v>0</v>
      </c>
      <c r="W99" s="68">
        <f t="shared" ref="W99:W100" si="24">SUM(R99:V99)</f>
        <v>0</v>
      </c>
    </row>
    <row r="100" spans="3:24" ht="12.75" customHeight="1" x14ac:dyDescent="0.2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3"/>
        <v>0</v>
      </c>
      <c r="S100" s="6">
        <f t="shared" si="23"/>
        <v>0</v>
      </c>
      <c r="T100" s="6">
        <f t="shared" si="23"/>
        <v>0</v>
      </c>
      <c r="U100" s="6">
        <f t="shared" si="23"/>
        <v>0</v>
      </c>
      <c r="V100" s="6">
        <f t="shared" si="23"/>
        <v>0</v>
      </c>
      <c r="W100" s="68">
        <f t="shared" si="24"/>
        <v>0</v>
      </c>
    </row>
    <row r="101" spans="3:24" ht="12.75" customHeight="1" x14ac:dyDescent="0.2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0</v>
      </c>
      <c r="S101" s="22">
        <f t="shared" ref="S101:V101" si="25">SUM(S99:S100)</f>
        <v>0</v>
      </c>
      <c r="T101" s="22">
        <f t="shared" si="25"/>
        <v>0</v>
      </c>
      <c r="U101" s="22">
        <f t="shared" si="25"/>
        <v>0</v>
      </c>
      <c r="V101" s="22">
        <f t="shared" si="25"/>
        <v>0</v>
      </c>
      <c r="W101" s="22">
        <f t="shared" ref="W101" si="26">SUM(W99:W100)</f>
        <v>0</v>
      </c>
    </row>
    <row r="102" spans="3:24" ht="12.75" customHeight="1" x14ac:dyDescent="0.2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7813680.1036625793</v>
      </c>
      <c r="S103" s="8">
        <f t="shared" ref="S103:V103" si="27">S98+S101</f>
        <v>9737795.963798726</v>
      </c>
      <c r="T103" s="8">
        <f t="shared" si="27"/>
        <v>7569852.1930295248</v>
      </c>
      <c r="U103" s="8">
        <f t="shared" si="27"/>
        <v>10455451.264314439</v>
      </c>
      <c r="V103" s="8">
        <f t="shared" si="27"/>
        <v>5121575.9488404784</v>
      </c>
      <c r="W103" s="69">
        <f t="shared" ref="W103" si="28">SUM(R103:V103)</f>
        <v>40698355.473645739</v>
      </c>
    </row>
    <row r="104" spans="3:24" ht="12.75" customHeight="1" x14ac:dyDescent="0.2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2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2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2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2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2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9">R74*business_case_dollars</f>
        <v>3839973.7100607385</v>
      </c>
      <c r="S109" s="34">
        <f t="shared" si="29"/>
        <v>4334136.6809644923</v>
      </c>
      <c r="T109" s="34">
        <f t="shared" si="29"/>
        <v>6803853.3799715145</v>
      </c>
      <c r="U109" s="34">
        <f t="shared" si="29"/>
        <v>2685231.6775495233</v>
      </c>
      <c r="V109" s="34">
        <f t="shared" si="29"/>
        <v>1315353.8407033035</v>
      </c>
      <c r="W109" s="67">
        <f>SUM(R109:V109)</f>
        <v>18978549.289249573</v>
      </c>
    </row>
    <row r="110" spans="3:24" ht="12.75" customHeight="1" x14ac:dyDescent="0.2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9"/>
        <v>4855969.6923590899</v>
      </c>
      <c r="S110" s="6">
        <f t="shared" si="29"/>
        <v>6503179.5953716021</v>
      </c>
      <c r="T110" s="6">
        <f t="shared" si="29"/>
        <v>1620730.8571554511</v>
      </c>
      <c r="U110" s="6">
        <f t="shared" si="29"/>
        <v>8950772.2584984116</v>
      </c>
      <c r="V110" s="6">
        <f t="shared" si="29"/>
        <v>4384512.8023443455</v>
      </c>
      <c r="W110" s="68">
        <f t="shared" ref="W110:W124" si="30">SUM(R110:V110)</f>
        <v>26315165.2057289</v>
      </c>
    </row>
    <row r="111" spans="3:24" ht="12.75" customHeight="1" x14ac:dyDescent="0.2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9"/>
        <v>0</v>
      </c>
      <c r="S111" s="6">
        <f t="shared" si="29"/>
        <v>0</v>
      </c>
      <c r="T111" s="6">
        <f t="shared" si="29"/>
        <v>0</v>
      </c>
      <c r="U111" s="6">
        <f t="shared" si="29"/>
        <v>0</v>
      </c>
      <c r="V111" s="6">
        <f t="shared" si="29"/>
        <v>0</v>
      </c>
      <c r="W111" s="68">
        <f t="shared" si="30"/>
        <v>0</v>
      </c>
    </row>
    <row r="112" spans="3:24" ht="12.75" customHeight="1" x14ac:dyDescent="0.2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9"/>
        <v>0</v>
      </c>
      <c r="S112" s="6">
        <f t="shared" si="29"/>
        <v>0</v>
      </c>
      <c r="T112" s="6">
        <f t="shared" si="29"/>
        <v>0</v>
      </c>
      <c r="U112" s="6">
        <f t="shared" si="29"/>
        <v>0</v>
      </c>
      <c r="V112" s="6">
        <f t="shared" si="29"/>
        <v>0</v>
      </c>
      <c r="W112" s="6">
        <f t="shared" si="30"/>
        <v>0</v>
      </c>
    </row>
    <row r="113" spans="3:24" ht="12.75" customHeight="1" x14ac:dyDescent="0.2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9"/>
        <v>0</v>
      </c>
      <c r="S113" s="6">
        <f t="shared" si="29"/>
        <v>0</v>
      </c>
      <c r="T113" s="6">
        <f t="shared" si="29"/>
        <v>0</v>
      </c>
      <c r="U113" s="6">
        <f t="shared" si="29"/>
        <v>0</v>
      </c>
      <c r="V113" s="6">
        <f t="shared" si="29"/>
        <v>0</v>
      </c>
      <c r="W113" s="6">
        <f t="shared" si="30"/>
        <v>0</v>
      </c>
    </row>
    <row r="114" spans="3:24" ht="12.75" customHeight="1" x14ac:dyDescent="0.2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9"/>
        <v>0</v>
      </c>
      <c r="S114" s="6">
        <f t="shared" si="29"/>
        <v>0</v>
      </c>
      <c r="T114" s="6">
        <f t="shared" si="29"/>
        <v>0</v>
      </c>
      <c r="U114" s="6">
        <f t="shared" si="29"/>
        <v>0</v>
      </c>
      <c r="V114" s="6">
        <f t="shared" si="29"/>
        <v>0</v>
      </c>
      <c r="W114" s="6">
        <f t="shared" si="30"/>
        <v>0</v>
      </c>
    </row>
    <row r="115" spans="3:24" ht="12.75" customHeight="1" x14ac:dyDescent="0.2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8695943.4024198279</v>
      </c>
      <c r="S115" s="22">
        <f t="shared" ref="S115:V115" si="31">SUM(S109:S114)</f>
        <v>10837316.276336094</v>
      </c>
      <c r="T115" s="22">
        <f t="shared" si="31"/>
        <v>8424584.2371269651</v>
      </c>
      <c r="U115" s="22">
        <f t="shared" si="31"/>
        <v>11636003.936047934</v>
      </c>
      <c r="V115" s="22">
        <f t="shared" si="31"/>
        <v>5699866.6430476494</v>
      </c>
      <c r="W115" s="22">
        <f>SUM(W109:W114)</f>
        <v>45293714.494978473</v>
      </c>
    </row>
    <row r="116" spans="3:24" ht="12.75" customHeight="1" x14ac:dyDescent="0.2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32">R81*business_case_dollars</f>
        <v>0</v>
      </c>
      <c r="S116" s="112">
        <f t="shared" si="32"/>
        <v>0</v>
      </c>
      <c r="T116" s="112">
        <f t="shared" si="32"/>
        <v>0</v>
      </c>
      <c r="U116" s="112">
        <f t="shared" si="32"/>
        <v>0</v>
      </c>
      <c r="V116" s="112">
        <f t="shared" si="32"/>
        <v>0</v>
      </c>
      <c r="W116" s="68">
        <f>SUM(R116:V116)</f>
        <v>0</v>
      </c>
    </row>
    <row r="117" spans="3:24" ht="12.75" customHeight="1" x14ac:dyDescent="0.2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6">
        <f t="shared" si="32"/>
        <v>0</v>
      </c>
      <c r="W117" s="68">
        <f t="shared" ref="W117:W121" si="33">SUM(R117:V117)</f>
        <v>0</v>
      </c>
    </row>
    <row r="118" spans="3:24" ht="12.75" customHeight="1" x14ac:dyDescent="0.2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6">
        <f t="shared" si="32"/>
        <v>0</v>
      </c>
      <c r="W118" s="68">
        <f t="shared" si="33"/>
        <v>0</v>
      </c>
    </row>
    <row r="119" spans="3:24" ht="12.75" customHeight="1" x14ac:dyDescent="0.2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32"/>
        <v>0</v>
      </c>
      <c r="S119" s="6">
        <f t="shared" si="32"/>
        <v>0</v>
      </c>
      <c r="T119" s="6">
        <f t="shared" si="32"/>
        <v>0</v>
      </c>
      <c r="U119" s="6">
        <f t="shared" si="32"/>
        <v>0</v>
      </c>
      <c r="V119" s="6">
        <f t="shared" si="32"/>
        <v>0</v>
      </c>
      <c r="W119" s="6">
        <f t="shared" si="33"/>
        <v>0</v>
      </c>
    </row>
    <row r="120" spans="3:24" ht="12.75" customHeight="1" x14ac:dyDescent="0.2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32"/>
        <v>0</v>
      </c>
      <c r="S120" s="6">
        <f t="shared" si="32"/>
        <v>0</v>
      </c>
      <c r="T120" s="6">
        <f t="shared" si="32"/>
        <v>0</v>
      </c>
      <c r="U120" s="6">
        <f t="shared" si="32"/>
        <v>0</v>
      </c>
      <c r="V120" s="6">
        <f t="shared" si="32"/>
        <v>0</v>
      </c>
      <c r="W120" s="6">
        <f t="shared" si="33"/>
        <v>0</v>
      </c>
    </row>
    <row r="121" spans="3:24" ht="12.75" customHeight="1" x14ac:dyDescent="0.2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32"/>
        <v>0</v>
      </c>
      <c r="S121" s="6">
        <f t="shared" si="32"/>
        <v>0</v>
      </c>
      <c r="T121" s="6">
        <f t="shared" si="32"/>
        <v>0</v>
      </c>
      <c r="U121" s="6">
        <f t="shared" si="32"/>
        <v>0</v>
      </c>
      <c r="V121" s="6">
        <f t="shared" si="32"/>
        <v>0</v>
      </c>
      <c r="W121" s="6">
        <f t="shared" si="33"/>
        <v>0</v>
      </c>
    </row>
    <row r="122" spans="3:24" ht="12.75" customHeight="1" x14ac:dyDescent="0.2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0</v>
      </c>
      <c r="S122" s="22">
        <f t="shared" ref="S122:W122" si="34">SUM(S116:S121)</f>
        <v>0</v>
      </c>
      <c r="T122" s="22">
        <f t="shared" si="34"/>
        <v>0</v>
      </c>
      <c r="U122" s="22">
        <f t="shared" si="34"/>
        <v>0</v>
      </c>
      <c r="V122" s="22">
        <f t="shared" si="34"/>
        <v>0</v>
      </c>
      <c r="W122" s="22">
        <f t="shared" si="34"/>
        <v>0</v>
      </c>
    </row>
    <row r="123" spans="3:24" ht="12.75" customHeight="1" x14ac:dyDescent="0.2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2">
      <c r="C124" s="7" t="str">
        <f>"Total Expenditure ($ "&amp;Assumptions!$C$39&amp;")"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8695943.4024198279</v>
      </c>
      <c r="S124" s="8">
        <f t="shared" ref="S124:V124" si="35">S115+S122</f>
        <v>10837316.276336094</v>
      </c>
      <c r="T124" s="8">
        <f t="shared" si="35"/>
        <v>8424584.2371269651</v>
      </c>
      <c r="U124" s="8">
        <f t="shared" si="35"/>
        <v>11636003.936047934</v>
      </c>
      <c r="V124" s="8">
        <f t="shared" si="35"/>
        <v>5699866.6430476494</v>
      </c>
      <c r="W124" s="69">
        <f t="shared" si="30"/>
        <v>45293714.494978473</v>
      </c>
    </row>
    <row r="125" spans="3:24" x14ac:dyDescent="0.2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2">
      <c r="C126" s="54" t="str">
        <f>"NPV ($ "&amp;Assumptions!$C$39&amp;")"</f>
        <v>NPV ($ June 2026)</v>
      </c>
      <c r="D126" s="55">
        <f>NPV(Real_Discount_rate,R124:V124)</f>
        <v>41056360.651331678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2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2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6">R96*business_case_dollars</f>
        <v>8695943.4024198279</v>
      </c>
      <c r="S130" s="25">
        <f t="shared" si="36"/>
        <v>10837316.276336093</v>
      </c>
      <c r="T130" s="25">
        <f t="shared" si="36"/>
        <v>8424584.2371269651</v>
      </c>
      <c r="U130" s="25">
        <f t="shared" si="36"/>
        <v>11636003.936047934</v>
      </c>
      <c r="V130" s="25">
        <f t="shared" si="36"/>
        <v>5699866.6430476485</v>
      </c>
      <c r="W130" s="68">
        <f t="shared" ref="W130:W131" si="37">SUM(R130:V130)</f>
        <v>45293714.494978465</v>
      </c>
    </row>
    <row r="131" spans="3:24" x14ac:dyDescent="0.2">
      <c r="D131" s="1" t="s">
        <v>54</v>
      </c>
      <c r="G131" s="1" t="s">
        <v>1</v>
      </c>
      <c r="H131" s="2"/>
      <c r="K131" s="2"/>
      <c r="Q131" s="2"/>
      <c r="R131" s="107">
        <f t="shared" si="36"/>
        <v>0</v>
      </c>
      <c r="S131" s="107">
        <f t="shared" si="36"/>
        <v>0</v>
      </c>
      <c r="T131" s="107">
        <f t="shared" si="36"/>
        <v>0</v>
      </c>
      <c r="U131" s="107">
        <f t="shared" si="36"/>
        <v>0</v>
      </c>
      <c r="V131" s="107">
        <f t="shared" si="36"/>
        <v>0</v>
      </c>
      <c r="W131" s="68">
        <f t="shared" si="37"/>
        <v>0</v>
      </c>
    </row>
    <row r="132" spans="3:24" x14ac:dyDescent="0.2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8695943.4024198279</v>
      </c>
      <c r="S132" s="22">
        <f t="shared" ref="S132:W132" si="38">SUM(S130:S131)</f>
        <v>10837316.276336093</v>
      </c>
      <c r="T132" s="22">
        <f t="shared" si="38"/>
        <v>8424584.2371269651</v>
      </c>
      <c r="U132" s="22">
        <f t="shared" si="38"/>
        <v>11636003.936047934</v>
      </c>
      <c r="V132" s="22">
        <f t="shared" si="38"/>
        <v>5699866.6430476485</v>
      </c>
      <c r="W132" s="22">
        <f t="shared" si="38"/>
        <v>45293714.494978465</v>
      </c>
    </row>
    <row r="133" spans="3:24" x14ac:dyDescent="0.2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9">R99*business_case_dollars</f>
        <v>0</v>
      </c>
      <c r="S133" s="6">
        <f t="shared" si="39"/>
        <v>0</v>
      </c>
      <c r="T133" s="6">
        <f t="shared" si="39"/>
        <v>0</v>
      </c>
      <c r="U133" s="6">
        <f t="shared" si="39"/>
        <v>0</v>
      </c>
      <c r="V133" s="6">
        <f t="shared" si="39"/>
        <v>0</v>
      </c>
      <c r="W133" s="68">
        <f t="shared" ref="W133:W134" si="40">SUM(R133:V133)</f>
        <v>0</v>
      </c>
    </row>
    <row r="134" spans="3:24" x14ac:dyDescent="0.2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9"/>
        <v>0</v>
      </c>
      <c r="S134" s="6">
        <f t="shared" si="39"/>
        <v>0</v>
      </c>
      <c r="T134" s="6">
        <f t="shared" si="39"/>
        <v>0</v>
      </c>
      <c r="U134" s="6">
        <f t="shared" si="39"/>
        <v>0</v>
      </c>
      <c r="V134" s="6">
        <f t="shared" si="39"/>
        <v>0</v>
      </c>
      <c r="W134" s="68">
        <f t="shared" si="40"/>
        <v>0</v>
      </c>
    </row>
    <row r="135" spans="3:24" x14ac:dyDescent="0.2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0</v>
      </c>
      <c r="S135" s="22">
        <f t="shared" ref="S135:W135" si="41">SUM(S133:S134)</f>
        <v>0</v>
      </c>
      <c r="T135" s="22">
        <f t="shared" si="41"/>
        <v>0</v>
      </c>
      <c r="U135" s="22">
        <f t="shared" si="41"/>
        <v>0</v>
      </c>
      <c r="V135" s="22">
        <f t="shared" si="41"/>
        <v>0</v>
      </c>
      <c r="W135" s="22">
        <f t="shared" si="41"/>
        <v>0</v>
      </c>
    </row>
    <row r="136" spans="3:24" x14ac:dyDescent="0.2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8695943.4024198279</v>
      </c>
      <c r="S137" s="8">
        <f t="shared" ref="S137:V137" si="42">S132+S135</f>
        <v>10837316.276336093</v>
      </c>
      <c r="T137" s="8">
        <f t="shared" si="42"/>
        <v>8424584.2371269651</v>
      </c>
      <c r="U137" s="8">
        <f t="shared" si="42"/>
        <v>11636003.936047934</v>
      </c>
      <c r="V137" s="8">
        <f t="shared" si="42"/>
        <v>5699866.6430476485</v>
      </c>
      <c r="W137" s="69">
        <f t="shared" ref="W137" si="43">SUM(R137:V137)</f>
        <v>45293714.494978465</v>
      </c>
    </row>
    <row r="138" spans="3:24" x14ac:dyDescent="0.2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55" priority="1">
      <formula>$E10="Contracts"</formula>
    </cfRule>
    <cfRule type="expression" dxfId="54" priority="2">
      <formula>$E10="Materials"</formula>
    </cfRule>
    <cfRule type="expression" dxfId="53" priority="3">
      <formula>$E10="Labour"</formula>
    </cfRule>
  </conditionalFormatting>
  <conditionalFormatting sqref="I10:I70">
    <cfRule type="expression" dxfId="52" priority="26">
      <formula>$E10="Contracts"</formula>
    </cfRule>
    <cfRule type="expression" dxfId="51" priority="27">
      <formula>$E10="Materials"</formula>
    </cfRule>
    <cfRule type="expression" dxfId="50" priority="28">
      <formula>$E10="Labour"</formula>
    </cfRule>
  </conditionalFormatting>
  <conditionalFormatting sqref="R90:W90">
    <cfRule type="expression" dxfId="49" priority="19">
      <formula>ABS(R90)&gt;0.001</formula>
    </cfRule>
  </conditionalFormatting>
  <conditionalFormatting sqref="R104:W107">
    <cfRule type="expression" dxfId="48" priority="16">
      <formula>ABS(R104)&gt;0.001</formula>
    </cfRule>
  </conditionalFormatting>
  <conditionalFormatting sqref="R125:W125">
    <cfRule type="expression" dxfId="47" priority="20">
      <formula>ABS(R125)&gt;0.001</formula>
    </cfRule>
  </conditionalFormatting>
  <conditionalFormatting sqref="R138:W138">
    <cfRule type="expression" dxfId="46" priority="13">
      <formula>ABS(R138)&gt;0.001</formula>
    </cfRule>
  </conditionalFormatting>
  <conditionalFormatting sqref="X90">
    <cfRule type="expression" dxfId="45" priority="32">
      <formula>ABS(X90)&gt;0.001</formula>
    </cfRule>
  </conditionalFormatting>
  <conditionalFormatting sqref="X104:X107">
    <cfRule type="expression" dxfId="44" priority="17">
      <formula>ABS(X104)&gt;0.001</formula>
    </cfRule>
  </conditionalFormatting>
  <conditionalFormatting sqref="X125">
    <cfRule type="expression" dxfId="43" priority="22">
      <formula>ABS(X125)&gt;0.001</formula>
    </cfRule>
  </conditionalFormatting>
  <conditionalFormatting sqref="X138">
    <cfRule type="expression" dxfId="42" priority="14">
      <formula>ABS(X138)&gt;0.001</formula>
    </cfRule>
  </conditionalFormatting>
  <dataValidations count="3">
    <dataValidation type="list" allowBlank="1" showInputMessage="1" showErrorMessage="1" sqref="E10:E70" xr:uid="{B0E8B852-301B-4563-9163-FFDB1711704F}">
      <formula1>"Labour, Materials, Contracts"</formula1>
    </dataValidation>
    <dataValidation type="list" allowBlank="1" showInputMessage="1" showErrorMessage="1" sqref="D10:D70" xr:uid="{056126DF-837A-45EA-97BA-3AA3767E7A6C}">
      <formula1>"Capex, Opex"</formula1>
    </dataValidation>
    <dataValidation type="list" allowBlank="1" showInputMessage="1" showErrorMessage="1" sqref="G10:G70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R80:W80 R98:V98 R115:W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493BA-41F3-4894-AE4D-A4C19AA11C2A}">
          <x14:formula1>
            <xm:f>IF($E18="Labour",Assumptions!$A$57:$A$58,Assumptions!$K$11:$K$12)</xm:f>
          </x14:formula1>
          <xm:sqref>F18:F70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AA138"/>
  <sheetViews>
    <sheetView showGridLines="0" zoomScale="80" zoomScaleNormal="80" workbookViewId="0">
      <pane ySplit="9" topLeftCell="A10" activePane="bottomLeft" state="frozen"/>
      <selection activeCell="I18" sqref="I18"/>
      <selection pane="bottomLeft" activeCell="C11" sqref="C11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2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2">
      <c r="H9" s="16"/>
    </row>
    <row r="10" spans="1:27" ht="12.75" customHeight="1" x14ac:dyDescent="0.2">
      <c r="A10" s="4"/>
      <c r="C10" s="77" t="s">
        <v>76</v>
      </c>
      <c r="D10" s="78" t="s">
        <v>57</v>
      </c>
      <c r="E10" s="78" t="s">
        <v>12</v>
      </c>
      <c r="F10" s="78" t="s">
        <v>44</v>
      </c>
      <c r="G10" s="76" t="s">
        <v>1</v>
      </c>
      <c r="H10" s="2"/>
      <c r="I10" s="61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9">
        <v>604.79999999999995</v>
      </c>
      <c r="M10" s="79">
        <v>0</v>
      </c>
      <c r="N10" s="79">
        <v>705.6</v>
      </c>
      <c r="O10" s="79">
        <v>0</v>
      </c>
      <c r="P10" s="79">
        <v>0</v>
      </c>
      <c r="Q10" s="2"/>
      <c r="R10" s="5">
        <f t="shared" ref="R10:R41" si="0">IF($E10="Labour",$I10*L10,L10)</f>
        <v>88166.176938017466</v>
      </c>
      <c r="S10" s="5">
        <f t="shared" ref="S10:S41" si="1">IF($E10="Labour",$I10*M10,M10)</f>
        <v>0</v>
      </c>
      <c r="T10" s="5">
        <f t="shared" ref="T10:T41" si="2">IF($E10="Labour",$I10*N10,N10)</f>
        <v>102860.53976102039</v>
      </c>
      <c r="U10" s="5">
        <f t="shared" ref="U10:U41" si="3">IF($E10="Labour",$I10*O10,O10)</f>
        <v>0</v>
      </c>
      <c r="V10" s="5">
        <f t="shared" ref="V10:V41" si="4">IF($E10="Labour",$I10*P10,P10)</f>
        <v>0</v>
      </c>
    </row>
    <row r="11" spans="1:27" ht="12.75" customHeight="1" x14ac:dyDescent="0.2">
      <c r="A11" s="4"/>
      <c r="C11" s="77" t="s">
        <v>76</v>
      </c>
      <c r="D11" s="78" t="s">
        <v>57</v>
      </c>
      <c r="E11" s="78" t="s">
        <v>12</v>
      </c>
      <c r="F11" s="78" t="s">
        <v>45</v>
      </c>
      <c r="G11" s="76" t="s">
        <v>1</v>
      </c>
      <c r="H11" s="2"/>
      <c r="I11" s="61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9">
        <v>1814.4</v>
      </c>
      <c r="M11" s="79">
        <v>0</v>
      </c>
      <c r="N11" s="79">
        <v>2116.8000000000002</v>
      </c>
      <c r="O11" s="79">
        <v>0</v>
      </c>
      <c r="P11" s="79">
        <v>0</v>
      </c>
      <c r="Q11" s="2"/>
      <c r="R11" s="5">
        <f t="shared" si="0"/>
        <v>417613.64400000003</v>
      </c>
      <c r="S11" s="5">
        <f t="shared" si="1"/>
        <v>0</v>
      </c>
      <c r="T11" s="5">
        <f t="shared" si="2"/>
        <v>487215.91800000001</v>
      </c>
      <c r="U11" s="5">
        <f t="shared" si="3"/>
        <v>0</v>
      </c>
      <c r="V11" s="5">
        <f t="shared" si="4"/>
        <v>0</v>
      </c>
    </row>
    <row r="12" spans="1:27" ht="12.75" customHeight="1" x14ac:dyDescent="0.2">
      <c r="A12" s="4"/>
      <c r="C12" s="77" t="s">
        <v>76</v>
      </c>
      <c r="D12" s="78" t="s">
        <v>57</v>
      </c>
      <c r="E12" s="78" t="s">
        <v>14</v>
      </c>
      <c r="F12" s="78"/>
      <c r="G12" s="76" t="s">
        <v>1</v>
      </c>
      <c r="H12" s="2"/>
      <c r="I12" s="61" t="str">
        <f>IF(AND($E12="Labour",$F12="IT Labour"),Assumptions!$B$14,
IF(AND($E12="Labour",$F12="IT Specialist"),Assumptions!$B$16,""))</f>
        <v/>
      </c>
      <c r="J12" s="9" t="str">
        <f t="shared" si="5"/>
        <v>$</v>
      </c>
      <c r="K12" s="2"/>
      <c r="L12" s="79">
        <f>756000+2362500</f>
        <v>3118500</v>
      </c>
      <c r="M12" s="79">
        <v>0</v>
      </c>
      <c r="N12" s="79">
        <v>3150000</v>
      </c>
      <c r="O12" s="79">
        <v>0</v>
      </c>
      <c r="P12" s="79">
        <v>0</v>
      </c>
      <c r="Q12" s="2"/>
      <c r="R12" s="5">
        <f t="shared" si="0"/>
        <v>3118500</v>
      </c>
      <c r="S12" s="5">
        <f t="shared" si="1"/>
        <v>0</v>
      </c>
      <c r="T12" s="5">
        <f t="shared" si="2"/>
        <v>3150000</v>
      </c>
      <c r="U12" s="5">
        <f t="shared" si="3"/>
        <v>0</v>
      </c>
      <c r="V12" s="5">
        <f t="shared" si="4"/>
        <v>0</v>
      </c>
    </row>
    <row r="13" spans="1:27" ht="12.75" customHeight="1" x14ac:dyDescent="0.25">
      <c r="A13" s="4"/>
      <c r="C13" s="137" t="s">
        <v>80</v>
      </c>
      <c r="D13" s="138" t="s">
        <v>54</v>
      </c>
      <c r="E13" s="138" t="s">
        <v>14</v>
      </c>
      <c r="F13" s="139"/>
      <c r="G13" s="76" t="s">
        <v>1</v>
      </c>
      <c r="H13" s="2"/>
      <c r="I13" s="61" t="str">
        <f>IF(AND($E13="Labour",$F13="IT Labour"),Assumptions!$B$14,
IF(AND($E13="Labour",$F13="IT Specialist"),Assumptions!$B$16,""))</f>
        <v/>
      </c>
      <c r="J13" s="9" t="str">
        <f t="shared" si="5"/>
        <v>$</v>
      </c>
      <c r="K13" s="2"/>
      <c r="L13" s="79">
        <v>343035</v>
      </c>
      <c r="M13" s="79">
        <v>686070</v>
      </c>
      <c r="N13" s="79">
        <v>1032570</v>
      </c>
      <c r="O13" s="79">
        <v>1379070</v>
      </c>
      <c r="P13" s="79">
        <v>1379070</v>
      </c>
      <c r="Q13" s="2"/>
      <c r="R13" s="5">
        <f t="shared" si="0"/>
        <v>343035</v>
      </c>
      <c r="S13" s="5">
        <f t="shared" si="1"/>
        <v>686070</v>
      </c>
      <c r="T13" s="5">
        <f t="shared" si="2"/>
        <v>1032570</v>
      </c>
      <c r="U13" s="5">
        <f t="shared" si="3"/>
        <v>1379070</v>
      </c>
      <c r="V13" s="5">
        <f t="shared" si="4"/>
        <v>1379070</v>
      </c>
      <c r="AA13"/>
    </row>
    <row r="14" spans="1:27" ht="12.75" customHeight="1" x14ac:dyDescent="0.25">
      <c r="A14" s="4"/>
      <c r="C14" s="77"/>
      <c r="D14" s="78"/>
      <c r="E14" s="78"/>
      <c r="F14" s="78"/>
      <c r="G14" s="76"/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/>
      <c r="M14" s="79"/>
      <c r="N14" s="79"/>
      <c r="O14" s="79"/>
      <c r="P14" s="79"/>
      <c r="Q14" s="2"/>
      <c r="R14" s="5">
        <f t="shared" si="0"/>
        <v>0</v>
      </c>
      <c r="S14" s="5">
        <f t="shared" si="1"/>
        <v>0</v>
      </c>
      <c r="T14" s="5">
        <f t="shared" si="2"/>
        <v>0</v>
      </c>
      <c r="U14" s="5">
        <f t="shared" si="3"/>
        <v>0</v>
      </c>
      <c r="V14" s="5">
        <f t="shared" si="4"/>
        <v>0</v>
      </c>
      <c r="AA14"/>
    </row>
    <row r="15" spans="1:27" ht="12.75" customHeight="1" x14ac:dyDescent="0.25">
      <c r="A15" s="4"/>
      <c r="C15" s="77" t="s">
        <v>77</v>
      </c>
      <c r="D15" s="78" t="s">
        <v>57</v>
      </c>
      <c r="E15" s="78" t="s">
        <v>14</v>
      </c>
      <c r="F15" s="78"/>
      <c r="G15" s="76" t="s">
        <v>1</v>
      </c>
      <c r="H15" s="2"/>
      <c r="I15" s="61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9">
        <v>1240500</v>
      </c>
      <c r="M15" s="79">
        <v>1421750</v>
      </c>
      <c r="N15" s="79">
        <v>1121750</v>
      </c>
      <c r="O15" s="79">
        <v>1496750</v>
      </c>
      <c r="P15" s="79">
        <v>1552750</v>
      </c>
      <c r="Q15" s="2"/>
      <c r="R15" s="5">
        <f t="shared" si="0"/>
        <v>1240500</v>
      </c>
      <c r="S15" s="5">
        <f t="shared" si="1"/>
        <v>1421750</v>
      </c>
      <c r="T15" s="5">
        <f t="shared" si="2"/>
        <v>1121750</v>
      </c>
      <c r="U15" s="5">
        <f t="shared" si="3"/>
        <v>1496750</v>
      </c>
      <c r="V15" s="5">
        <f t="shared" si="4"/>
        <v>1552750</v>
      </c>
      <c r="AA15"/>
    </row>
    <row r="16" spans="1:27" ht="12.75" customHeight="1" x14ac:dyDescent="0.25">
      <c r="A16" s="4"/>
      <c r="C16" s="77" t="s">
        <v>77</v>
      </c>
      <c r="D16" s="78" t="s">
        <v>57</v>
      </c>
      <c r="E16" s="78" t="s">
        <v>12</v>
      </c>
      <c r="F16" s="78" t="s">
        <v>44</v>
      </c>
      <c r="G16" s="76" t="s">
        <v>1</v>
      </c>
      <c r="H16" s="2"/>
      <c r="I16" s="61">
        <f>IF(AND($E16="Labour",$F16="IT Labour"),Assumptions!$B$14,
IF(AND($E16="Labour",$F16="IT Specialist"),Assumptions!$B$16,""))</f>
        <v>145.77740895836223</v>
      </c>
      <c r="J16" s="9" t="str">
        <f t="shared" si="5"/>
        <v>Hours</v>
      </c>
      <c r="K16" s="2"/>
      <c r="L16" s="79">
        <v>1200</v>
      </c>
      <c r="M16" s="79">
        <v>880</v>
      </c>
      <c r="N16" s="79">
        <v>800</v>
      </c>
      <c r="O16" s="79">
        <v>800</v>
      </c>
      <c r="P16" s="79">
        <v>479.99999999999994</v>
      </c>
      <c r="Q16" s="2"/>
      <c r="R16" s="5">
        <f t="shared" si="0"/>
        <v>174932.89075003468</v>
      </c>
      <c r="S16" s="5">
        <f t="shared" si="1"/>
        <v>128284.11988335877</v>
      </c>
      <c r="T16" s="5">
        <f t="shared" si="2"/>
        <v>116621.92716668978</v>
      </c>
      <c r="U16" s="5">
        <f t="shared" si="3"/>
        <v>116621.92716668978</v>
      </c>
      <c r="V16" s="5">
        <f t="shared" si="4"/>
        <v>69973.156300013856</v>
      </c>
      <c r="AA16"/>
    </row>
    <row r="17" spans="1:27" ht="12.75" customHeight="1" x14ac:dyDescent="0.25">
      <c r="A17" s="4"/>
      <c r="C17" s="77" t="s">
        <v>77</v>
      </c>
      <c r="D17" s="78" t="s">
        <v>57</v>
      </c>
      <c r="E17" s="78" t="s">
        <v>12</v>
      </c>
      <c r="F17" s="78" t="s">
        <v>45</v>
      </c>
      <c r="G17" s="76" t="s">
        <v>1</v>
      </c>
      <c r="H17" s="2"/>
      <c r="I17" s="61">
        <f>IF(AND($E17="Labour",$F17="IT Labour"),Assumptions!$B$14,
IF(AND($E17="Labour",$F17="IT Specialist"),Assumptions!$B$16,""))</f>
        <v>230.16624999999999</v>
      </c>
      <c r="J17" s="9" t="str">
        <f t="shared" si="5"/>
        <v>Hours</v>
      </c>
      <c r="K17" s="2"/>
      <c r="L17" s="79">
        <v>6000</v>
      </c>
      <c r="M17" s="79">
        <v>4400</v>
      </c>
      <c r="N17" s="79">
        <v>3999.9999999999995</v>
      </c>
      <c r="O17" s="79">
        <v>3999.9999999999995</v>
      </c>
      <c r="P17" s="79">
        <v>2400</v>
      </c>
      <c r="Q17" s="2"/>
      <c r="R17" s="5">
        <f t="shared" si="0"/>
        <v>1380997.5</v>
      </c>
      <c r="S17" s="5">
        <f t="shared" si="1"/>
        <v>1012731.5</v>
      </c>
      <c r="T17" s="5">
        <f t="shared" si="2"/>
        <v>920664.99999999988</v>
      </c>
      <c r="U17" s="5">
        <f t="shared" si="3"/>
        <v>920664.99999999988</v>
      </c>
      <c r="V17" s="5">
        <f t="shared" si="4"/>
        <v>552399</v>
      </c>
      <c r="AA17"/>
    </row>
    <row r="18" spans="1:27" ht="12.75" customHeight="1" x14ac:dyDescent="0.25">
      <c r="A18" s="4"/>
      <c r="C18" s="137" t="s">
        <v>81</v>
      </c>
      <c r="D18" s="138" t="s">
        <v>54</v>
      </c>
      <c r="E18" s="138" t="s">
        <v>14</v>
      </c>
      <c r="F18" s="139"/>
      <c r="G18" s="140" t="s">
        <v>1</v>
      </c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>
        <v>218398.95</v>
      </c>
      <c r="M18" s="79">
        <v>613114.42500000005</v>
      </c>
      <c r="N18" s="79">
        <v>965643.52500000002</v>
      </c>
      <c r="O18" s="79">
        <v>1354555.125</v>
      </c>
      <c r="P18" s="79">
        <v>1786640.625</v>
      </c>
      <c r="Q18" s="2"/>
      <c r="R18" s="5">
        <f t="shared" si="0"/>
        <v>218398.95</v>
      </c>
      <c r="S18" s="5">
        <f t="shared" si="1"/>
        <v>613114.42500000005</v>
      </c>
      <c r="T18" s="5">
        <f t="shared" si="2"/>
        <v>965643.52500000002</v>
      </c>
      <c r="U18" s="5">
        <f t="shared" si="3"/>
        <v>1354555.125</v>
      </c>
      <c r="V18" s="5">
        <f t="shared" si="4"/>
        <v>1786640.625</v>
      </c>
      <c r="AA18"/>
    </row>
    <row r="19" spans="1:27" ht="12.75" customHeight="1" x14ac:dyDescent="0.25">
      <c r="A19" s="4"/>
      <c r="C19" s="77"/>
      <c r="D19" s="78"/>
      <c r="E19" s="78"/>
      <c r="F19" s="78"/>
      <c r="G19" s="76"/>
      <c r="H19" s="2"/>
      <c r="I19" s="61" t="str">
        <f>IF(AND($E19="Labour",$F19="IT Labour"),Assumptions!$B$14,
IF(AND($E19="Labour",$F19="IT Specialist"),Assumptions!$B$16,""))</f>
        <v/>
      </c>
      <c r="J19" s="9" t="str">
        <f t="shared" si="5"/>
        <v>$</v>
      </c>
      <c r="K19" s="2"/>
      <c r="L19" s="79"/>
      <c r="M19" s="79"/>
      <c r="N19" s="79"/>
      <c r="O19" s="79"/>
      <c r="P19" s="79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25">
      <c r="A20" s="4"/>
      <c r="C20" s="77" t="s">
        <v>78</v>
      </c>
      <c r="D20" s="78" t="s">
        <v>57</v>
      </c>
      <c r="E20" s="78" t="s">
        <v>14</v>
      </c>
      <c r="F20" s="78"/>
      <c r="G20" s="76" t="s">
        <v>1</v>
      </c>
      <c r="H20" s="2"/>
      <c r="I20" s="61" t="str">
        <f>IF(AND($E20="Labour",$F20="IT Labour"),Assumptions!$B$14,
IF(AND($E20="Labour",$F20="IT Specialist"),Assumptions!$B$16,""))</f>
        <v/>
      </c>
      <c r="J20" s="9" t="str">
        <f t="shared" si="5"/>
        <v>$</v>
      </c>
      <c r="K20" s="2"/>
      <c r="L20" s="79">
        <v>4371469.1999999993</v>
      </c>
      <c r="M20" s="79">
        <v>1955419.2000000002</v>
      </c>
      <c r="N20" s="79">
        <v>1955419.2000000002</v>
      </c>
      <c r="O20" s="79">
        <v>1955419.2000000002</v>
      </c>
      <c r="P20" s="79">
        <v>2419.1999999999998</v>
      </c>
      <c r="Q20" s="2"/>
      <c r="R20" s="5">
        <f t="shared" si="0"/>
        <v>4371469.1999999993</v>
      </c>
      <c r="S20" s="5">
        <f t="shared" si="1"/>
        <v>1955419.2000000002</v>
      </c>
      <c r="T20" s="5">
        <f t="shared" si="2"/>
        <v>1955419.2000000002</v>
      </c>
      <c r="U20" s="5">
        <f t="shared" si="3"/>
        <v>1955419.2000000002</v>
      </c>
      <c r="V20" s="5">
        <f t="shared" si="4"/>
        <v>2419.1999999999998</v>
      </c>
      <c r="AA20"/>
    </row>
    <row r="21" spans="1:27" ht="12.75" customHeight="1" x14ac:dyDescent="0.25">
      <c r="A21" s="4"/>
      <c r="C21" s="77" t="s">
        <v>78</v>
      </c>
      <c r="D21" s="78" t="s">
        <v>57</v>
      </c>
      <c r="E21" s="78" t="s">
        <v>12</v>
      </c>
      <c r="F21" s="78" t="s">
        <v>44</v>
      </c>
      <c r="G21" s="76" t="s">
        <v>1</v>
      </c>
      <c r="H21" s="2"/>
      <c r="I21" s="61">
        <f>IF(AND($E21="Labour",$F21="IT Labour"),Assumptions!$B$14,
IF(AND($E21="Labour",$F21="IT Specialist"),Assumptions!$B$16,""))</f>
        <v>145.77740895836223</v>
      </c>
      <c r="J21" s="9" t="str">
        <f t="shared" si="5"/>
        <v>Hours</v>
      </c>
      <c r="K21" s="2"/>
      <c r="L21" s="79">
        <v>4006.7999999999997</v>
      </c>
      <c r="M21" s="79">
        <v>3301.2</v>
      </c>
      <c r="N21" s="79">
        <v>3301.2</v>
      </c>
      <c r="O21" s="79">
        <v>3301.2</v>
      </c>
      <c r="P21" s="79">
        <v>2419.1999999999998</v>
      </c>
      <c r="Q21" s="2"/>
      <c r="R21" s="5">
        <f t="shared" si="0"/>
        <v>584100.9222143658</v>
      </c>
      <c r="S21" s="5">
        <f t="shared" si="1"/>
        <v>481240.38245334534</v>
      </c>
      <c r="T21" s="5">
        <f t="shared" si="2"/>
        <v>481240.38245334534</v>
      </c>
      <c r="U21" s="5">
        <f t="shared" si="3"/>
        <v>481240.38245334534</v>
      </c>
      <c r="V21" s="5">
        <f t="shared" si="4"/>
        <v>352664.70775206987</v>
      </c>
      <c r="AA21"/>
    </row>
    <row r="22" spans="1:27" ht="12.75" customHeight="1" x14ac:dyDescent="0.25">
      <c r="A22" s="4"/>
      <c r="C22" s="77" t="s">
        <v>78</v>
      </c>
      <c r="D22" s="78" t="s">
        <v>57</v>
      </c>
      <c r="E22" s="78" t="s">
        <v>12</v>
      </c>
      <c r="F22" s="78" t="s">
        <v>45</v>
      </c>
      <c r="G22" s="76" t="s">
        <v>1</v>
      </c>
      <c r="H22" s="2"/>
      <c r="I22" s="61">
        <f>IF(AND($E22="Labour",$F22="IT Labour"),Assumptions!$B$14,
IF(AND($E22="Labour",$F22="IT Specialist"),Assumptions!$B$16,""))</f>
        <v>230.16624999999999</v>
      </c>
      <c r="J22" s="9" t="str">
        <f t="shared" si="5"/>
        <v>Hours</v>
      </c>
      <c r="K22" s="2"/>
      <c r="L22" s="79">
        <v>10357.200000000001</v>
      </c>
      <c r="M22" s="79">
        <v>8946</v>
      </c>
      <c r="N22" s="79">
        <v>8946</v>
      </c>
      <c r="O22" s="79">
        <v>8946</v>
      </c>
      <c r="P22" s="79">
        <v>7257.6</v>
      </c>
      <c r="Q22" s="2"/>
      <c r="R22" s="5">
        <f t="shared" si="0"/>
        <v>2383877.8845000002</v>
      </c>
      <c r="S22" s="5">
        <f t="shared" si="1"/>
        <v>2059067.2725</v>
      </c>
      <c r="T22" s="5">
        <f t="shared" si="2"/>
        <v>2059067.2725</v>
      </c>
      <c r="U22" s="5">
        <f t="shared" si="3"/>
        <v>2059067.2725</v>
      </c>
      <c r="V22" s="5">
        <f t="shared" si="4"/>
        <v>1670454.5760000001</v>
      </c>
      <c r="AA22"/>
    </row>
    <row r="23" spans="1:27" ht="12.75" customHeight="1" x14ac:dyDescent="0.25">
      <c r="A23" s="4"/>
      <c r="C23" s="77" t="s">
        <v>82</v>
      </c>
      <c r="D23" s="138" t="s">
        <v>54</v>
      </c>
      <c r="E23" s="138" t="s">
        <v>14</v>
      </c>
      <c r="F23" s="139"/>
      <c r="G23" s="140" t="s">
        <v>1</v>
      </c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>
        <v>586278</v>
      </c>
      <c r="M23" s="79">
        <v>1176021</v>
      </c>
      <c r="N23" s="79">
        <v>1605681</v>
      </c>
      <c r="O23" s="79">
        <v>2035341</v>
      </c>
      <c r="P23" s="79">
        <v>2250171</v>
      </c>
      <c r="Q23" s="2"/>
      <c r="R23" s="5">
        <f t="shared" si="0"/>
        <v>586278</v>
      </c>
      <c r="S23" s="5">
        <f t="shared" si="1"/>
        <v>1176021</v>
      </c>
      <c r="T23" s="5">
        <f t="shared" si="2"/>
        <v>1605681</v>
      </c>
      <c r="U23" s="5">
        <f t="shared" si="3"/>
        <v>2035341</v>
      </c>
      <c r="V23" s="5">
        <f t="shared" si="4"/>
        <v>2250171</v>
      </c>
      <c r="AA23"/>
    </row>
    <row r="24" spans="1:27" ht="12.75" customHeight="1" x14ac:dyDescent="0.25">
      <c r="A24" s="4"/>
      <c r="C24" s="77"/>
      <c r="D24" s="78"/>
      <c r="E24" s="78"/>
      <c r="F24" s="78"/>
      <c r="G24" s="76"/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/>
      <c r="M24" s="79"/>
      <c r="N24" s="79"/>
      <c r="O24" s="79"/>
      <c r="P24" s="79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25">
      <c r="A25" s="4"/>
      <c r="C25" s="77" t="s">
        <v>79</v>
      </c>
      <c r="D25" s="78" t="s">
        <v>57</v>
      </c>
      <c r="E25" s="78" t="s">
        <v>12</v>
      </c>
      <c r="F25" s="78" t="s">
        <v>44</v>
      </c>
      <c r="G25" s="76" t="s">
        <v>1</v>
      </c>
      <c r="H25" s="2"/>
      <c r="I25" s="61">
        <f>IF(AND($E25="Labour",$F25="IT Labour"),Assumptions!$B$14,
IF(AND($E25="Labour",$F25="IT Specialist"),Assumptions!$B$16,""))</f>
        <v>145.77740895836223</v>
      </c>
      <c r="J25" s="9" t="str">
        <f t="shared" si="5"/>
        <v>Hours</v>
      </c>
      <c r="K25" s="2"/>
      <c r="L25" s="79">
        <v>806.4</v>
      </c>
      <c r="M25" s="79">
        <v>554.4</v>
      </c>
      <c r="N25" s="79">
        <v>655.20000000000005</v>
      </c>
      <c r="O25" s="79">
        <v>554.4</v>
      </c>
      <c r="P25" s="79">
        <v>0</v>
      </c>
      <c r="Q25" s="2"/>
      <c r="R25" s="5">
        <f t="shared" si="0"/>
        <v>117554.90258402329</v>
      </c>
      <c r="S25" s="5">
        <f t="shared" si="1"/>
        <v>80818.99552651601</v>
      </c>
      <c r="T25" s="5">
        <f t="shared" si="2"/>
        <v>95513.358349518938</v>
      </c>
      <c r="U25" s="5">
        <f t="shared" si="3"/>
        <v>80818.99552651601</v>
      </c>
      <c r="V25" s="5">
        <f t="shared" si="4"/>
        <v>0</v>
      </c>
      <c r="AA25"/>
    </row>
    <row r="26" spans="1:27" ht="12.75" customHeight="1" x14ac:dyDescent="0.25">
      <c r="A26" s="4"/>
      <c r="C26" s="77" t="s">
        <v>79</v>
      </c>
      <c r="D26" s="78" t="s">
        <v>57</v>
      </c>
      <c r="E26" s="78" t="s">
        <v>12</v>
      </c>
      <c r="F26" s="78" t="s">
        <v>45</v>
      </c>
      <c r="G26" s="76" t="s">
        <v>1</v>
      </c>
      <c r="H26" s="2"/>
      <c r="I26" s="61">
        <f>IF(AND($E26="Labour",$F26="IT Labour"),Assumptions!$B$14,
IF(AND($E26="Labour",$F26="IT Specialist"),Assumptions!$B$16,""))</f>
        <v>230.16624999999999</v>
      </c>
      <c r="J26" s="9" t="str">
        <f t="shared" si="5"/>
        <v>Hours</v>
      </c>
      <c r="K26" s="2"/>
      <c r="L26" s="79">
        <v>1612.8</v>
      </c>
      <c r="M26" s="79">
        <v>957.59999999999991</v>
      </c>
      <c r="N26" s="79">
        <v>1159.2</v>
      </c>
      <c r="O26" s="79">
        <v>957.59999999999991</v>
      </c>
      <c r="P26" s="79">
        <v>0</v>
      </c>
      <c r="Q26" s="2"/>
      <c r="R26" s="5">
        <f t="shared" si="0"/>
        <v>371212.12799999997</v>
      </c>
      <c r="S26" s="5">
        <f t="shared" si="1"/>
        <v>220407.20099999997</v>
      </c>
      <c r="T26" s="5">
        <f t="shared" si="2"/>
        <v>266808.717</v>
      </c>
      <c r="U26" s="5">
        <f t="shared" si="3"/>
        <v>220407.20099999997</v>
      </c>
      <c r="V26" s="5">
        <f t="shared" si="4"/>
        <v>0</v>
      </c>
      <c r="AA26"/>
    </row>
    <row r="27" spans="1:27" ht="12.75" customHeight="1" x14ac:dyDescent="0.25">
      <c r="A27" s="4"/>
      <c r="C27" s="77" t="s">
        <v>79</v>
      </c>
      <c r="D27" s="78" t="s">
        <v>57</v>
      </c>
      <c r="E27" s="78" t="s">
        <v>14</v>
      </c>
      <c r="F27" s="78"/>
      <c r="G27" s="76" t="s">
        <v>1</v>
      </c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>
        <v>1512000</v>
      </c>
      <c r="M27" s="79">
        <v>702450</v>
      </c>
      <c r="N27" s="79">
        <v>1474200</v>
      </c>
      <c r="O27" s="79">
        <v>957600</v>
      </c>
      <c r="P27" s="79">
        <v>403200</v>
      </c>
      <c r="Q27" s="2"/>
      <c r="R27" s="5">
        <f t="shared" si="0"/>
        <v>1512000</v>
      </c>
      <c r="S27" s="5">
        <f t="shared" si="1"/>
        <v>702450</v>
      </c>
      <c r="T27" s="5">
        <f t="shared" si="2"/>
        <v>1474200</v>
      </c>
      <c r="U27" s="5">
        <f t="shared" si="3"/>
        <v>957600</v>
      </c>
      <c r="V27" s="5">
        <f t="shared" si="4"/>
        <v>403200</v>
      </c>
      <c r="AA27"/>
    </row>
    <row r="28" spans="1:27" ht="12.75" customHeight="1" x14ac:dyDescent="0.25">
      <c r="A28" s="4"/>
      <c r="C28" s="77" t="s">
        <v>83</v>
      </c>
      <c r="D28" s="78" t="s">
        <v>54</v>
      </c>
      <c r="E28" s="78" t="s">
        <v>14</v>
      </c>
      <c r="F28" s="78"/>
      <c r="G28" s="76" t="s">
        <v>1</v>
      </c>
      <c r="H28" s="2"/>
      <c r="I28" s="61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9">
        <v>159390</v>
      </c>
      <c r="M28" s="79">
        <v>487179</v>
      </c>
      <c r="N28" s="79">
        <v>811503</v>
      </c>
      <c r="O28" s="79">
        <v>1022175</v>
      </c>
      <c r="P28" s="79">
        <v>1110879</v>
      </c>
      <c r="Q28" s="2"/>
      <c r="R28" s="5">
        <f t="shared" si="0"/>
        <v>159390</v>
      </c>
      <c r="S28" s="5">
        <f t="shared" si="1"/>
        <v>487179</v>
      </c>
      <c r="T28" s="5">
        <f t="shared" si="2"/>
        <v>811503</v>
      </c>
      <c r="U28" s="5">
        <f t="shared" si="3"/>
        <v>1022175</v>
      </c>
      <c r="V28" s="5">
        <f t="shared" si="4"/>
        <v>1110879</v>
      </c>
      <c r="AA28"/>
    </row>
    <row r="29" spans="1:27" ht="12.75" customHeight="1" x14ac:dyDescent="0.25">
      <c r="A29" s="4"/>
      <c r="C29" s="77"/>
      <c r="D29" s="78"/>
      <c r="E29" s="78"/>
      <c r="F29" s="78"/>
      <c r="G29" s="76"/>
      <c r="H29" s="2"/>
      <c r="I29" s="61" t="str">
        <f>IF(AND($E29="Labour",$F29="IT Labour"),Assumptions!$B$14,
IF(AND($E29="Labour",$F29="IT Specialist"),Assumptions!$B$16,""))</f>
        <v/>
      </c>
      <c r="J29" s="9" t="str">
        <f t="shared" si="5"/>
        <v>$</v>
      </c>
      <c r="K29" s="2"/>
      <c r="L29" s="79"/>
      <c r="M29" s="79"/>
      <c r="N29" s="79"/>
      <c r="O29" s="79"/>
      <c r="P29" s="79"/>
      <c r="Q29" s="2"/>
      <c r="R29" s="5">
        <f t="shared" si="0"/>
        <v>0</v>
      </c>
      <c r="S29" s="5">
        <f t="shared" si="1"/>
        <v>0</v>
      </c>
      <c r="T29" s="5">
        <f t="shared" si="2"/>
        <v>0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25">
      <c r="A30" s="4"/>
      <c r="C30" s="77" t="s">
        <v>84</v>
      </c>
      <c r="D30" s="78" t="s">
        <v>54</v>
      </c>
      <c r="E30" s="78" t="s">
        <v>14</v>
      </c>
      <c r="F30" s="78"/>
      <c r="G30" s="76" t="s">
        <v>1</v>
      </c>
      <c r="H30" s="2"/>
      <c r="I30" s="61" t="str">
        <f>IF(AND($E30="Labour",$F30="IT Labour"),Assumptions!$B$14,
IF(AND($E30="Labour",$F30="IT Specialist"),Assumptions!$B$16,""))</f>
        <v/>
      </c>
      <c r="J30" s="9" t="str">
        <f t="shared" si="5"/>
        <v>$</v>
      </c>
      <c r="K30" s="2"/>
      <c r="L30" s="79">
        <v>-3635100</v>
      </c>
      <c r="M30" s="79">
        <v>-3635100</v>
      </c>
      <c r="N30" s="79">
        <v>-3635100</v>
      </c>
      <c r="O30" s="79">
        <v>-3635100</v>
      </c>
      <c r="P30" s="79">
        <v>-3635100</v>
      </c>
      <c r="Q30" s="2"/>
      <c r="R30" s="5">
        <f t="shared" si="0"/>
        <v>-3635100</v>
      </c>
      <c r="S30" s="5">
        <f t="shared" si="1"/>
        <v>-3635100</v>
      </c>
      <c r="T30" s="5">
        <f t="shared" si="2"/>
        <v>-3635100</v>
      </c>
      <c r="U30" s="5">
        <f t="shared" si="3"/>
        <v>-3635100</v>
      </c>
      <c r="V30" s="5">
        <f t="shared" si="4"/>
        <v>-3635100</v>
      </c>
      <c r="AA30"/>
    </row>
    <row r="31" spans="1:27" ht="12.75" customHeight="1" x14ac:dyDescent="0.25">
      <c r="A31" s="4"/>
      <c r="C31" s="77"/>
      <c r="D31" s="78"/>
      <c r="E31" s="78"/>
      <c r="F31" s="78"/>
      <c r="G31" s="76"/>
      <c r="H31" s="2"/>
      <c r="I31" s="61" t="str">
        <f>IF(AND($E31="Labour",$F31="IT Labour"),Assumptions!$B$14,
IF(AND($E31="Labour",$F31="IT Specialist"),Assumptions!$B$16,""))</f>
        <v/>
      </c>
      <c r="J31" s="9" t="str">
        <f t="shared" si="5"/>
        <v>$</v>
      </c>
      <c r="K31" s="2"/>
      <c r="L31" s="79"/>
      <c r="M31" s="79"/>
      <c r="N31" s="79"/>
      <c r="O31" s="79"/>
      <c r="P31" s="79"/>
      <c r="Q31" s="2"/>
      <c r="R31" s="5">
        <f t="shared" si="0"/>
        <v>0</v>
      </c>
      <c r="S31" s="5">
        <f t="shared" si="1"/>
        <v>0</v>
      </c>
      <c r="T31" s="5">
        <f t="shared" si="2"/>
        <v>0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25">
      <c r="A32" s="4"/>
      <c r="C32" s="77"/>
      <c r="D32" s="78"/>
      <c r="E32" s="78"/>
      <c r="F32" s="78"/>
      <c r="G32" s="76"/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/>
      <c r="M32" s="79"/>
      <c r="N32" s="79"/>
      <c r="O32" s="79"/>
      <c r="P32" s="79"/>
      <c r="Q32" s="2"/>
      <c r="R32" s="5">
        <f t="shared" si="0"/>
        <v>0</v>
      </c>
      <c r="S32" s="5">
        <f t="shared" si="1"/>
        <v>0</v>
      </c>
      <c r="T32" s="5">
        <f t="shared" si="2"/>
        <v>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7"/>
      <c r="D33" s="78"/>
      <c r="E33" s="78"/>
      <c r="F33" s="78"/>
      <c r="G33" s="76"/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/>
      <c r="M33" s="79"/>
      <c r="N33" s="79"/>
      <c r="O33" s="79"/>
      <c r="P33" s="79"/>
      <c r="Q33" s="2"/>
      <c r="R33" s="5">
        <f t="shared" si="0"/>
        <v>0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2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7"/>
      <c r="D35" s="78"/>
      <c r="E35" s="78"/>
      <c r="F35" s="78"/>
      <c r="G35" s="76"/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/>
      <c r="M35" s="79"/>
      <c r="N35" s="79"/>
      <c r="O35" s="79"/>
      <c r="P35" s="79"/>
      <c r="Q35" s="2"/>
      <c r="R35" s="5">
        <f t="shared" si="0"/>
        <v>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2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2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5518456.0489864405</v>
      </c>
      <c r="S74" s="25">
        <f t="shared" si="11"/>
        <v>3982549.4713632199</v>
      </c>
      <c r="T74" s="25">
        <f t="shared" si="11"/>
        <v>4529993.1152305743</v>
      </c>
      <c r="U74" s="25">
        <f t="shared" si="11"/>
        <v>3878820.7786465506</v>
      </c>
      <c r="V74" s="25">
        <f t="shared" si="11"/>
        <v>2645491.4400520837</v>
      </c>
      <c r="W74" s="67">
        <f>SUM(R74:V74)</f>
        <v>20555310.85427887</v>
      </c>
    </row>
    <row r="75" spans="1:27" ht="12.75" customHeight="1" x14ac:dyDescent="0.2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10242469.199999999</v>
      </c>
      <c r="S75" s="6">
        <f t="shared" si="11"/>
        <v>4079619.2</v>
      </c>
      <c r="T75" s="6">
        <f t="shared" si="11"/>
        <v>7701369.2000000002</v>
      </c>
      <c r="U75" s="6">
        <f t="shared" si="11"/>
        <v>4409769.2</v>
      </c>
      <c r="V75" s="6">
        <f t="shared" si="11"/>
        <v>1958369.2</v>
      </c>
      <c r="W75" s="68">
        <f t="shared" ref="W75:W89" si="12">SUM(R75:V75)</f>
        <v>28391595.999999996</v>
      </c>
    </row>
    <row r="76" spans="1:27" ht="12.75" customHeight="1" x14ac:dyDescent="0.2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2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si="12"/>
        <v>0</v>
      </c>
    </row>
    <row r="78" spans="1:27" ht="12.75" customHeight="1" x14ac:dyDescent="0.2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2"/>
        <v>0</v>
      </c>
    </row>
    <row r="79" spans="1:27" ht="12.75" customHeight="1" x14ac:dyDescent="0.2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2"/>
        <v>0</v>
      </c>
    </row>
    <row r="80" spans="1:27" ht="12.75" customHeight="1" x14ac:dyDescent="0.2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15760925.24898644</v>
      </c>
      <c r="S80" s="22">
        <f t="shared" ref="S80:V80" si="13">SUM(S74:S79)</f>
        <v>8062168.6713632196</v>
      </c>
      <c r="T80" s="22">
        <f t="shared" si="13"/>
        <v>12231362.315230574</v>
      </c>
      <c r="U80" s="22">
        <f t="shared" si="13"/>
        <v>8288589.9786465503</v>
      </c>
      <c r="V80" s="22">
        <f t="shared" si="13"/>
        <v>4603860.6400520839</v>
      </c>
      <c r="W80" s="22">
        <f>SUM(W74:W79)</f>
        <v>48946906.854278862</v>
      </c>
    </row>
    <row r="81" spans="3:24" ht="12.75" customHeight="1" x14ac:dyDescent="0.2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8">
        <f t="shared" si="12"/>
        <v>0</v>
      </c>
    </row>
    <row r="82" spans="3:24" ht="12.75" customHeight="1" x14ac:dyDescent="0.2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4"/>
        <v>-2327998.0499999998</v>
      </c>
      <c r="S82" s="6">
        <f t="shared" si="14"/>
        <v>-672715.57500000019</v>
      </c>
      <c r="T82" s="6">
        <f t="shared" si="14"/>
        <v>780297.52500000037</v>
      </c>
      <c r="U82" s="6">
        <f t="shared" si="14"/>
        <v>2156041.125</v>
      </c>
      <c r="V82" s="6">
        <f t="shared" si="14"/>
        <v>2891660.625</v>
      </c>
      <c r="W82" s="68">
        <f t="shared" si="12"/>
        <v>2827285.6500000004</v>
      </c>
    </row>
    <row r="83" spans="3:24" ht="12.75" customHeight="1" x14ac:dyDescent="0.2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4"/>
        <v>0</v>
      </c>
      <c r="S83" s="6">
        <f t="shared" si="14"/>
        <v>0</v>
      </c>
      <c r="T83" s="6">
        <f t="shared" si="14"/>
        <v>0</v>
      </c>
      <c r="U83" s="6">
        <f t="shared" si="14"/>
        <v>0</v>
      </c>
      <c r="V83" s="6">
        <f t="shared" si="14"/>
        <v>0</v>
      </c>
      <c r="W83" s="68">
        <f t="shared" si="12"/>
        <v>0</v>
      </c>
    </row>
    <row r="84" spans="3:24" ht="12.75" customHeight="1" x14ac:dyDescent="0.2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4"/>
        <v>0</v>
      </c>
      <c r="S84" s="6">
        <f t="shared" si="14"/>
        <v>0</v>
      </c>
      <c r="T84" s="6">
        <f t="shared" si="14"/>
        <v>0</v>
      </c>
      <c r="U84" s="6">
        <f t="shared" si="14"/>
        <v>0</v>
      </c>
      <c r="V84" s="6">
        <f t="shared" si="14"/>
        <v>0</v>
      </c>
      <c r="W84" s="68">
        <f t="shared" si="12"/>
        <v>0</v>
      </c>
    </row>
    <row r="85" spans="3:24" ht="12.75" customHeight="1" x14ac:dyDescent="0.2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4"/>
        <v>0</v>
      </c>
      <c r="S85" s="6">
        <f t="shared" si="14"/>
        <v>0</v>
      </c>
      <c r="T85" s="6">
        <f t="shared" si="14"/>
        <v>0</v>
      </c>
      <c r="U85" s="6">
        <f t="shared" si="14"/>
        <v>0</v>
      </c>
      <c r="V85" s="6">
        <f t="shared" si="14"/>
        <v>0</v>
      </c>
      <c r="W85" s="68">
        <f t="shared" si="12"/>
        <v>0</v>
      </c>
    </row>
    <row r="86" spans="3:24" ht="12.75" customHeight="1" x14ac:dyDescent="0.2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8">
        <f t="shared" si="12"/>
        <v>0</v>
      </c>
    </row>
    <row r="87" spans="3:24" ht="12.75" customHeight="1" x14ac:dyDescent="0.2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-2327998.0499999998</v>
      </c>
      <c r="S87" s="22">
        <f t="shared" ref="S87:V87" si="15">SUM(S81:S86)</f>
        <v>-672715.57500000019</v>
      </c>
      <c r="T87" s="22">
        <f t="shared" si="15"/>
        <v>780297.52500000037</v>
      </c>
      <c r="U87" s="22">
        <f t="shared" si="15"/>
        <v>2156041.125</v>
      </c>
      <c r="V87" s="22">
        <f t="shared" si="15"/>
        <v>2891660.625</v>
      </c>
      <c r="W87" s="22">
        <f>SUM(W81:W86)</f>
        <v>2827285.6500000004</v>
      </c>
    </row>
    <row r="88" spans="3:24" ht="12.75" customHeight="1" x14ac:dyDescent="0.2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13432927.198986441</v>
      </c>
      <c r="S89" s="8">
        <f t="shared" ref="S89:V89" si="16">S80+S87</f>
        <v>7389453.0963632194</v>
      </c>
      <c r="T89" s="8">
        <f t="shared" si="16"/>
        <v>13011659.840230575</v>
      </c>
      <c r="U89" s="8">
        <f t="shared" si="16"/>
        <v>10444631.10364655</v>
      </c>
      <c r="V89" s="8">
        <f t="shared" si="16"/>
        <v>7495521.2650520839</v>
      </c>
      <c r="W89" s="69">
        <f t="shared" si="12"/>
        <v>51774192.504278868</v>
      </c>
    </row>
    <row r="90" spans="3:24" ht="12.75" customHeight="1" x14ac:dyDescent="0.2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4" t="str">
        <f>"NPV ($ "&amp;Assumptions!$B$12&amp;")"</f>
        <v>NPV ($ June 2024)</v>
      </c>
      <c r="D92" s="55">
        <f>NPV(Real_Discount_rate,R89:V89)</f>
        <v>47025499.212292217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2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15760925.248986444</v>
      </c>
      <c r="S96" s="25">
        <f t="shared" si="17"/>
        <v>8062168.6713632206</v>
      </c>
      <c r="T96" s="25">
        <f t="shared" si="17"/>
        <v>12231362.315230576</v>
      </c>
      <c r="U96" s="25">
        <f t="shared" si="17"/>
        <v>8288589.9786465522</v>
      </c>
      <c r="V96" s="25">
        <f t="shared" si="17"/>
        <v>4603860.6400520839</v>
      </c>
      <c r="W96" s="68">
        <f t="shared" ref="W96:W97" si="18">SUM(R96:V96)</f>
        <v>48946906.854278877</v>
      </c>
    </row>
    <row r="97" spans="3:24" ht="12.75" customHeight="1" x14ac:dyDescent="0.2">
      <c r="D97" s="1" t="s">
        <v>54</v>
      </c>
      <c r="G97" s="1" t="s">
        <v>1</v>
      </c>
      <c r="H97" s="2"/>
      <c r="K97" s="2"/>
      <c r="Q97" s="2"/>
      <c r="R97" s="107">
        <f t="shared" si="17"/>
        <v>-2327998.0499999998</v>
      </c>
      <c r="S97" s="107">
        <f t="shared" si="17"/>
        <v>-672715.57500000019</v>
      </c>
      <c r="T97" s="107">
        <f t="shared" si="17"/>
        <v>780297.52500000037</v>
      </c>
      <c r="U97" s="107">
        <f t="shared" si="17"/>
        <v>2156041.125</v>
      </c>
      <c r="V97" s="107">
        <f t="shared" si="17"/>
        <v>2891660.625</v>
      </c>
      <c r="W97" s="68">
        <f t="shared" si="18"/>
        <v>2827285.6500000004</v>
      </c>
    </row>
    <row r="98" spans="3:24" ht="12.75" customHeight="1" x14ac:dyDescent="0.2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13432927.198986445</v>
      </c>
      <c r="S98" s="22">
        <f t="shared" ref="S98:W98" si="19">SUM(S96:S97)</f>
        <v>7389453.0963632204</v>
      </c>
      <c r="T98" s="22">
        <f t="shared" si="19"/>
        <v>13011659.840230577</v>
      </c>
      <c r="U98" s="22">
        <f t="shared" si="19"/>
        <v>10444631.103646552</v>
      </c>
      <c r="V98" s="22">
        <f t="shared" si="19"/>
        <v>7495521.2650520839</v>
      </c>
      <c r="W98" s="22">
        <f t="shared" si="19"/>
        <v>51774192.504278876</v>
      </c>
    </row>
    <row r="99" spans="3:24" ht="12.75" customHeight="1" x14ac:dyDescent="0.2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8">
        <f t="shared" ref="W99:W100" si="21">SUM(R99:V99)</f>
        <v>0</v>
      </c>
    </row>
    <row r="100" spans="3:24" ht="12.75" customHeight="1" x14ac:dyDescent="0.2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0"/>
        <v>0</v>
      </c>
      <c r="S100" s="6">
        <f t="shared" si="20"/>
        <v>0</v>
      </c>
      <c r="T100" s="6">
        <f t="shared" si="20"/>
        <v>0</v>
      </c>
      <c r="U100" s="6">
        <f t="shared" si="20"/>
        <v>0</v>
      </c>
      <c r="V100" s="6">
        <f t="shared" si="20"/>
        <v>0</v>
      </c>
      <c r="W100" s="68">
        <f t="shared" si="21"/>
        <v>0</v>
      </c>
    </row>
    <row r="101" spans="3:24" ht="12.75" customHeight="1" x14ac:dyDescent="0.2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0</v>
      </c>
      <c r="S101" s="22">
        <f t="shared" ref="S101:W101" si="22">SUM(S99:S100)</f>
        <v>0</v>
      </c>
      <c r="T101" s="22">
        <f t="shared" si="22"/>
        <v>0</v>
      </c>
      <c r="U101" s="22">
        <f t="shared" si="22"/>
        <v>0</v>
      </c>
      <c r="V101" s="22">
        <f t="shared" si="22"/>
        <v>0</v>
      </c>
      <c r="W101" s="22">
        <f t="shared" si="22"/>
        <v>0</v>
      </c>
    </row>
    <row r="102" spans="3:24" ht="12.75" customHeight="1" x14ac:dyDescent="0.2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13432927.198986445</v>
      </c>
      <c r="S103" s="8">
        <f t="shared" ref="S103:V103" si="23">S98+S101</f>
        <v>7389453.0963632204</v>
      </c>
      <c r="T103" s="8">
        <f t="shared" si="23"/>
        <v>13011659.840230577</v>
      </c>
      <c r="U103" s="8">
        <f t="shared" si="23"/>
        <v>10444631.103646552</v>
      </c>
      <c r="V103" s="8">
        <f t="shared" si="23"/>
        <v>7495521.2650520839</v>
      </c>
      <c r="W103" s="69">
        <f t="shared" ref="W103" si="24">SUM(R103:V103)</f>
        <v>51774192.504278883</v>
      </c>
    </row>
    <row r="104" spans="3:24" ht="12.75" customHeight="1" x14ac:dyDescent="0.2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2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2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2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2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2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5">R74*business_case_dollars</f>
        <v>6141559.5256111752</v>
      </c>
      <c r="S109" s="34">
        <f t="shared" si="25"/>
        <v>4432229.6716598589</v>
      </c>
      <c r="T109" s="34">
        <f t="shared" si="25"/>
        <v>5041486.6261202209</v>
      </c>
      <c r="U109" s="34">
        <f t="shared" si="25"/>
        <v>4316788.6977392165</v>
      </c>
      <c r="V109" s="34">
        <f t="shared" si="25"/>
        <v>2944200.8796208175</v>
      </c>
      <c r="W109" s="67">
        <f>SUM(R109:V109)</f>
        <v>22876265.400751289</v>
      </c>
    </row>
    <row r="110" spans="3:24" ht="12.75" customHeight="1" x14ac:dyDescent="0.2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5"/>
        <v>11398973.50321248</v>
      </c>
      <c r="S110" s="6">
        <f t="shared" si="25"/>
        <v>4540259.8002439588</v>
      </c>
      <c r="T110" s="6">
        <f t="shared" si="25"/>
        <v>8570951.1774032675</v>
      </c>
      <c r="U110" s="6">
        <f t="shared" si="25"/>
        <v>4907687.9104583981</v>
      </c>
      <c r="V110" s="6">
        <f t="shared" si="25"/>
        <v>2179493.8490327531</v>
      </c>
      <c r="W110" s="68">
        <f t="shared" ref="W110:W124" si="26">SUM(R110:V110)</f>
        <v>31597366.240350854</v>
      </c>
    </row>
    <row r="111" spans="3:24" ht="12.75" customHeight="1" x14ac:dyDescent="0.2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8">
        <f t="shared" si="26"/>
        <v>0</v>
      </c>
    </row>
    <row r="112" spans="3:24" ht="12.75" customHeight="1" x14ac:dyDescent="0.2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2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2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2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17540533.028823655</v>
      </c>
      <c r="S115" s="22">
        <f t="shared" ref="S115:V115" si="27">SUM(S109:S114)</f>
        <v>8972489.4719038177</v>
      </c>
      <c r="T115" s="22">
        <f t="shared" si="27"/>
        <v>13612437.803523488</v>
      </c>
      <c r="U115" s="22">
        <f t="shared" si="27"/>
        <v>9224476.6081976146</v>
      </c>
      <c r="V115" s="22">
        <f t="shared" si="27"/>
        <v>5123694.7286535706</v>
      </c>
      <c r="W115" s="22">
        <f>SUM(W109:W114)</f>
        <v>54473631.641102143</v>
      </c>
    </row>
    <row r="116" spans="3:24" ht="12.75" customHeight="1" x14ac:dyDescent="0.2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28">R81*business_case_dollars</f>
        <v>0</v>
      </c>
      <c r="S116" s="112">
        <f t="shared" si="28"/>
        <v>0</v>
      </c>
      <c r="T116" s="112">
        <f t="shared" si="28"/>
        <v>0</v>
      </c>
      <c r="U116" s="112">
        <f t="shared" si="28"/>
        <v>0</v>
      </c>
      <c r="V116" s="112">
        <f t="shared" si="28"/>
        <v>0</v>
      </c>
      <c r="W116" s="68">
        <f>SUM(R116:V116)</f>
        <v>0</v>
      </c>
    </row>
    <row r="117" spans="3:24" ht="12.75" customHeight="1" x14ac:dyDescent="0.2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28"/>
        <v>-2590858.4706781763</v>
      </c>
      <c r="S117" s="6">
        <f t="shared" si="28"/>
        <v>-748673.67085891264</v>
      </c>
      <c r="T117" s="6">
        <f t="shared" si="28"/>
        <v>868402.98354007083</v>
      </c>
      <c r="U117" s="6">
        <f t="shared" si="28"/>
        <v>2399485.4342067661</v>
      </c>
      <c r="V117" s="6">
        <f t="shared" si="28"/>
        <v>3218165.6787074199</v>
      </c>
      <c r="W117" s="68">
        <f t="shared" ref="W117:W121" si="29">SUM(R117:V117)</f>
        <v>3146521.9549171678</v>
      </c>
    </row>
    <row r="118" spans="3:24" ht="12.75" customHeight="1" x14ac:dyDescent="0.2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28"/>
        <v>0</v>
      </c>
      <c r="S118" s="6">
        <f t="shared" si="28"/>
        <v>0</v>
      </c>
      <c r="T118" s="6">
        <f t="shared" si="28"/>
        <v>0</v>
      </c>
      <c r="U118" s="6">
        <f t="shared" si="28"/>
        <v>0</v>
      </c>
      <c r="V118" s="6">
        <f t="shared" si="28"/>
        <v>0</v>
      </c>
      <c r="W118" s="68">
        <f t="shared" si="29"/>
        <v>0</v>
      </c>
    </row>
    <row r="119" spans="3:24" ht="12.75" customHeight="1" x14ac:dyDescent="0.2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28"/>
        <v>0</v>
      </c>
      <c r="S119" s="6">
        <f t="shared" si="28"/>
        <v>0</v>
      </c>
      <c r="T119" s="6">
        <f t="shared" si="28"/>
        <v>0</v>
      </c>
      <c r="U119" s="6">
        <f t="shared" si="28"/>
        <v>0</v>
      </c>
      <c r="V119" s="6">
        <f t="shared" si="28"/>
        <v>0</v>
      </c>
      <c r="W119" s="6">
        <f t="shared" si="29"/>
        <v>0</v>
      </c>
    </row>
    <row r="120" spans="3:24" ht="12.75" customHeight="1" x14ac:dyDescent="0.2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28"/>
        <v>0</v>
      </c>
      <c r="S120" s="6">
        <f t="shared" si="28"/>
        <v>0</v>
      </c>
      <c r="T120" s="6">
        <f t="shared" si="28"/>
        <v>0</v>
      </c>
      <c r="U120" s="6">
        <f t="shared" si="28"/>
        <v>0</v>
      </c>
      <c r="V120" s="6">
        <f t="shared" si="28"/>
        <v>0</v>
      </c>
      <c r="W120" s="6">
        <f t="shared" si="29"/>
        <v>0</v>
      </c>
    </row>
    <row r="121" spans="3:24" ht="12.75" customHeight="1" x14ac:dyDescent="0.2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2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-2590858.4706781763</v>
      </c>
      <c r="S122" s="22">
        <f t="shared" ref="S122:W122" si="30">SUM(S116:S121)</f>
        <v>-748673.67085891264</v>
      </c>
      <c r="T122" s="22">
        <f t="shared" si="30"/>
        <v>868402.98354007083</v>
      </c>
      <c r="U122" s="22">
        <f t="shared" si="30"/>
        <v>2399485.4342067661</v>
      </c>
      <c r="V122" s="22">
        <f t="shared" si="30"/>
        <v>3218165.6787074199</v>
      </c>
      <c r="W122" s="22">
        <f t="shared" si="30"/>
        <v>3146521.9549171678</v>
      </c>
    </row>
    <row r="123" spans="3:24" ht="12.75" customHeight="1" x14ac:dyDescent="0.2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2">
      <c r="C124" s="7" t="str">
        <f>"Total Expenditure ($ "&amp;Assumptions!$C$39&amp;")"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14949674.558145478</v>
      </c>
      <c r="S124" s="8">
        <f t="shared" ref="S124:V124" si="31">S115+S122</f>
        <v>8223815.8010449056</v>
      </c>
      <c r="T124" s="8">
        <f t="shared" si="31"/>
        <v>14480840.78706356</v>
      </c>
      <c r="U124" s="8">
        <f t="shared" si="31"/>
        <v>11623962.04240438</v>
      </c>
      <c r="V124" s="8">
        <f t="shared" si="31"/>
        <v>8341860.4073609905</v>
      </c>
      <c r="W124" s="69">
        <f t="shared" si="26"/>
        <v>57620153.59601932</v>
      </c>
    </row>
    <row r="125" spans="3:24" x14ac:dyDescent="0.2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2">
      <c r="C126" s="54" t="str">
        <f>"NPV ($ "&amp;Assumptions!$C$39&amp;")"</f>
        <v>NPV ($ June 2026)</v>
      </c>
      <c r="D126" s="55">
        <f>NPV(Real_Discount_rate,R124:V124)</f>
        <v>52335272.777413696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2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2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17540533.028823659</v>
      </c>
      <c r="S130" s="25">
        <f t="shared" si="32"/>
        <v>8972489.4719038177</v>
      </c>
      <c r="T130" s="25">
        <f t="shared" si="32"/>
        <v>13612437.80352349</v>
      </c>
      <c r="U130" s="25">
        <f t="shared" si="32"/>
        <v>9224476.6081976164</v>
      </c>
      <c r="V130" s="25">
        <f t="shared" si="32"/>
        <v>5123694.7286535706</v>
      </c>
      <c r="W130" s="68">
        <f t="shared" ref="W130:W131" si="33">SUM(R130:V130)</f>
        <v>54473631.64110215</v>
      </c>
    </row>
    <row r="131" spans="3:24" x14ac:dyDescent="0.2">
      <c r="D131" s="1" t="s">
        <v>54</v>
      </c>
      <c r="G131" s="1" t="s">
        <v>1</v>
      </c>
      <c r="H131" s="2"/>
      <c r="K131" s="2"/>
      <c r="Q131" s="2"/>
      <c r="R131" s="107">
        <f t="shared" si="32"/>
        <v>-2590858.4706781763</v>
      </c>
      <c r="S131" s="107">
        <f t="shared" si="32"/>
        <v>-748673.67085891264</v>
      </c>
      <c r="T131" s="107">
        <f t="shared" si="32"/>
        <v>868402.98354007083</v>
      </c>
      <c r="U131" s="107">
        <f t="shared" si="32"/>
        <v>2399485.4342067661</v>
      </c>
      <c r="V131" s="107">
        <f t="shared" si="32"/>
        <v>3218165.6787074199</v>
      </c>
      <c r="W131" s="68">
        <f t="shared" si="33"/>
        <v>3146521.9549171678</v>
      </c>
    </row>
    <row r="132" spans="3:24" x14ac:dyDescent="0.2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14949674.558145482</v>
      </c>
      <c r="S132" s="22">
        <f t="shared" ref="S132:W132" si="34">SUM(S130:S131)</f>
        <v>8223815.8010449056</v>
      </c>
      <c r="T132" s="22">
        <f t="shared" si="34"/>
        <v>14480840.787063561</v>
      </c>
      <c r="U132" s="22">
        <f t="shared" si="34"/>
        <v>11623962.042404383</v>
      </c>
      <c r="V132" s="22">
        <f t="shared" si="34"/>
        <v>8341860.4073609905</v>
      </c>
      <c r="W132" s="22">
        <f t="shared" si="34"/>
        <v>57620153.59601932</v>
      </c>
    </row>
    <row r="133" spans="3:24" x14ac:dyDescent="0.2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8">
        <f t="shared" ref="W133:W134" si="36">SUM(R133:V133)</f>
        <v>0</v>
      </c>
    </row>
    <row r="134" spans="3:24" x14ac:dyDescent="0.2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5"/>
        <v>0</v>
      </c>
      <c r="S134" s="6">
        <f t="shared" si="35"/>
        <v>0</v>
      </c>
      <c r="T134" s="6">
        <f t="shared" si="35"/>
        <v>0</v>
      </c>
      <c r="U134" s="6">
        <f t="shared" si="35"/>
        <v>0</v>
      </c>
      <c r="V134" s="6">
        <f t="shared" si="35"/>
        <v>0</v>
      </c>
      <c r="W134" s="68">
        <f t="shared" si="36"/>
        <v>0</v>
      </c>
    </row>
    <row r="135" spans="3:24" x14ac:dyDescent="0.2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0</v>
      </c>
      <c r="S135" s="22">
        <f t="shared" ref="S135:W135" si="37">SUM(S133:S134)</f>
        <v>0</v>
      </c>
      <c r="T135" s="22">
        <f t="shared" si="37"/>
        <v>0</v>
      </c>
      <c r="U135" s="22">
        <f t="shared" si="37"/>
        <v>0</v>
      </c>
      <c r="V135" s="22">
        <f t="shared" si="37"/>
        <v>0</v>
      </c>
      <c r="W135" s="22">
        <f t="shared" si="37"/>
        <v>0</v>
      </c>
    </row>
    <row r="136" spans="3:24" x14ac:dyDescent="0.2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14949674.558145482</v>
      </c>
      <c r="S137" s="8">
        <f t="shared" ref="S137:V137" si="38">S132+S135</f>
        <v>8223815.8010449056</v>
      </c>
      <c r="T137" s="8">
        <f t="shared" si="38"/>
        <v>14480840.787063561</v>
      </c>
      <c r="U137" s="8">
        <f t="shared" si="38"/>
        <v>11623962.042404383</v>
      </c>
      <c r="V137" s="8">
        <f t="shared" si="38"/>
        <v>8341860.4073609905</v>
      </c>
      <c r="W137" s="69">
        <f t="shared" ref="W137" si="39">SUM(R137:V137)</f>
        <v>57620153.596019328</v>
      </c>
    </row>
    <row r="138" spans="3:24" x14ac:dyDescent="0.2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41" priority="1">
      <formula>$E10="Contracts"</formula>
    </cfRule>
    <cfRule type="expression" dxfId="40" priority="2">
      <formula>$E10="Materials"</formula>
    </cfRule>
    <cfRule type="expression" dxfId="39" priority="3">
      <formula>$E10="Labour"</formula>
    </cfRule>
  </conditionalFormatting>
  <conditionalFormatting sqref="I10:I70">
    <cfRule type="expression" dxfId="38" priority="4">
      <formula>$E10="Contracts"</formula>
    </cfRule>
    <cfRule type="expression" dxfId="37" priority="5">
      <formula>$E10="Materials"</formula>
    </cfRule>
    <cfRule type="expression" dxfId="36" priority="6">
      <formula>$E10="Labour"</formula>
    </cfRule>
  </conditionalFormatting>
  <conditionalFormatting sqref="R90:W90">
    <cfRule type="expression" dxfId="35" priority="16">
      <formula>ABS(R90)&gt;0.001</formula>
    </cfRule>
  </conditionalFormatting>
  <conditionalFormatting sqref="R104:W107">
    <cfRule type="expression" dxfId="34" priority="13">
      <formula>ABS(R104)&gt;0.001</formula>
    </cfRule>
  </conditionalFormatting>
  <conditionalFormatting sqref="R125:W125">
    <cfRule type="expression" dxfId="33" priority="17">
      <formula>ABS(R125)&gt;0.001</formula>
    </cfRule>
  </conditionalFormatting>
  <conditionalFormatting sqref="R138:W138">
    <cfRule type="expression" dxfId="32" priority="10">
      <formula>ABS(R138)&gt;0.001</formula>
    </cfRule>
  </conditionalFormatting>
  <conditionalFormatting sqref="X90">
    <cfRule type="expression" dxfId="31" priority="26">
      <formula>ABS(X90)&gt;0.001</formula>
    </cfRule>
  </conditionalFormatting>
  <conditionalFormatting sqref="X104:X107">
    <cfRule type="expression" dxfId="30" priority="14">
      <formula>ABS(X104)&gt;0.001</formula>
    </cfRule>
  </conditionalFormatting>
  <conditionalFormatting sqref="X125">
    <cfRule type="expression" dxfId="29" priority="18">
      <formula>ABS(X125)&gt;0.001</formula>
    </cfRule>
  </conditionalFormatting>
  <conditionalFormatting sqref="X138">
    <cfRule type="expression" dxfId="28" priority="11">
      <formula>ABS(X138)&gt;0.001</formula>
    </cfRule>
  </conditionalFormatting>
  <dataValidations count="3">
    <dataValidation type="list" allowBlank="1" showInputMessage="1" showErrorMessage="1" sqref="G24:G70 G10:G17 G19:G22" xr:uid="{62F3F087-87F3-4E5A-B0D6-C76D92ABBAEF}">
      <formula1>"Recurrent, Non recurrent"</formula1>
    </dataValidation>
    <dataValidation type="list" allowBlank="1" showInputMessage="1" showErrorMessage="1" sqref="D24:D70 D10:D12 D14:D17 D19:D22" xr:uid="{2827424A-175C-47A9-8376-819542451550}">
      <formula1>"Capex, Opex"</formula1>
    </dataValidation>
    <dataValidation type="list" allowBlank="1" showInputMessage="1" showErrorMessage="1" sqref="E24:E70 E10:E12 E14:E17 E19:E22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484E31-2F8D-4B2D-B180-85E00ACFE8E4}">
          <x14:formula1>
            <xm:f>IF($E31="Labour",Assumptions!$A$57:$A$58,Assumptions!$K$11:$K$12)</xm:f>
          </x14:formula1>
          <xm:sqref>F31:F70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AA138"/>
  <sheetViews>
    <sheetView showGridLines="0" zoomScale="80" zoomScaleNormal="80" workbookViewId="0">
      <pane ySplit="9" topLeftCell="A10" activePane="bottomLeft" state="frozen"/>
      <selection activeCell="I18" sqref="I18"/>
      <selection pane="bottomLeft" activeCell="C24" sqref="C2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75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2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2">
      <c r="H9" s="16"/>
    </row>
    <row r="10" spans="1:27" ht="12.75" customHeight="1" x14ac:dyDescent="0.2">
      <c r="A10" s="4"/>
      <c r="C10" s="77" t="s">
        <v>85</v>
      </c>
      <c r="D10" s="78" t="s">
        <v>57</v>
      </c>
      <c r="E10" s="78" t="s">
        <v>12</v>
      </c>
      <c r="F10" s="78" t="s">
        <v>44</v>
      </c>
      <c r="G10" s="76" t="s">
        <v>1</v>
      </c>
      <c r="H10" s="2"/>
      <c r="I10" s="61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9">
        <v>2689.76</v>
      </c>
      <c r="M10" s="79">
        <v>360.96</v>
      </c>
      <c r="N10" s="79">
        <v>1035.8400000000001</v>
      </c>
      <c r="O10" s="79">
        <v>239.99999999999997</v>
      </c>
      <c r="P10" s="79">
        <v>59.999999999999993</v>
      </c>
      <c r="Q10" s="2"/>
      <c r="R10" s="5">
        <f t="shared" ref="R10:R41" si="0">IF($E10="Labour",$I10*L10,L10)</f>
        <v>392106.24351984443</v>
      </c>
      <c r="S10" s="5">
        <f t="shared" ref="S10:S41" si="1">IF($E10="Labour",$I10*M10,M10)</f>
        <v>52619.813537610426</v>
      </c>
      <c r="T10" s="5">
        <f t="shared" ref="T10:T41" si="2">IF($E10="Labour",$I10*N10,N10)</f>
        <v>151002.07129542995</v>
      </c>
      <c r="U10" s="5">
        <f t="shared" ref="U10:U41" si="3">IF($E10="Labour",$I10*O10,O10)</f>
        <v>34986.578150006928</v>
      </c>
      <c r="V10" s="5">
        <f t="shared" ref="V10:V41" si="4">IF($E10="Labour",$I10*P10,P10)</f>
        <v>8746.644537501732</v>
      </c>
    </row>
    <row r="11" spans="1:27" ht="12.75" customHeight="1" x14ac:dyDescent="0.2">
      <c r="A11" s="4"/>
      <c r="C11" s="77" t="s">
        <v>85</v>
      </c>
      <c r="D11" s="78" t="s">
        <v>57</v>
      </c>
      <c r="E11" s="78" t="s">
        <v>12</v>
      </c>
      <c r="F11" s="78" t="s">
        <v>45</v>
      </c>
      <c r="G11" s="76" t="s">
        <v>1</v>
      </c>
      <c r="H11" s="2"/>
      <c r="I11" s="61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9">
        <v>6809.2800000000007</v>
      </c>
      <c r="M11" s="79">
        <v>842.88</v>
      </c>
      <c r="N11" s="79">
        <v>2807.52</v>
      </c>
      <c r="O11" s="79">
        <v>480</v>
      </c>
      <c r="P11" s="79">
        <v>120</v>
      </c>
      <c r="Q11" s="2"/>
      <c r="R11" s="5">
        <f t="shared" si="0"/>
        <v>1567266.4428000001</v>
      </c>
      <c r="S11" s="5">
        <f t="shared" si="1"/>
        <v>194002.5288</v>
      </c>
      <c r="T11" s="5">
        <f t="shared" si="2"/>
        <v>646196.35019999999</v>
      </c>
      <c r="U11" s="5">
        <f t="shared" si="3"/>
        <v>110479.79999999999</v>
      </c>
      <c r="V11" s="5">
        <f t="shared" si="4"/>
        <v>27619.949999999997</v>
      </c>
    </row>
    <row r="12" spans="1:27" ht="12.75" customHeight="1" x14ac:dyDescent="0.2">
      <c r="A12" s="4"/>
      <c r="C12" s="77" t="s">
        <v>85</v>
      </c>
      <c r="D12" s="78" t="s">
        <v>54</v>
      </c>
      <c r="E12" s="78" t="s">
        <v>12</v>
      </c>
      <c r="F12" s="78" t="s">
        <v>44</v>
      </c>
      <c r="G12" s="76" t="s">
        <v>55</v>
      </c>
      <c r="H12" s="2"/>
      <c r="I12" s="61">
        <f>IF(AND($E12="Labour",$F12="IT Labour"),Assumptions!$B$14,
IF(AND($E12="Labour",$F12="IT Specialist"),Assumptions!$B$16,""))</f>
        <v>145.77740895836223</v>
      </c>
      <c r="J12" s="9" t="str">
        <f t="shared" si="5"/>
        <v>Hours</v>
      </c>
      <c r="K12" s="2"/>
      <c r="L12" s="79">
        <v>537.91999999999985</v>
      </c>
      <c r="M12" s="79">
        <v>241.91999999999993</v>
      </c>
      <c r="N12" s="79">
        <v>60.479999999999983</v>
      </c>
      <c r="O12" s="79">
        <v>0</v>
      </c>
      <c r="P12" s="79">
        <v>0</v>
      </c>
      <c r="Q12" s="2"/>
      <c r="R12" s="5">
        <f t="shared" si="0"/>
        <v>78416.583826882183</v>
      </c>
      <c r="S12" s="5">
        <f t="shared" si="1"/>
        <v>35266.470775206981</v>
      </c>
      <c r="T12" s="5">
        <f t="shared" si="2"/>
        <v>8816.6176938017452</v>
      </c>
      <c r="U12" s="5">
        <f t="shared" si="3"/>
        <v>0</v>
      </c>
      <c r="V12" s="5">
        <f t="shared" si="4"/>
        <v>0</v>
      </c>
    </row>
    <row r="13" spans="1:27" ht="12.75" customHeight="1" x14ac:dyDescent="0.25">
      <c r="A13" s="4"/>
      <c r="C13" s="77" t="s">
        <v>85</v>
      </c>
      <c r="D13" s="78" t="s">
        <v>54</v>
      </c>
      <c r="E13" s="78" t="s">
        <v>12</v>
      </c>
      <c r="F13" s="78" t="s">
        <v>45</v>
      </c>
      <c r="G13" s="76" t="s">
        <v>55</v>
      </c>
      <c r="H13" s="2"/>
      <c r="I13" s="61">
        <f>IF(AND($E13="Labour",$F13="IT Labour"),Assumptions!$B$14,
IF(AND($E13="Labour",$F13="IT Specialist"),Assumptions!$B$16,""))</f>
        <v>230.16624999999999</v>
      </c>
      <c r="J13" s="9" t="str">
        <f t="shared" si="5"/>
        <v>Hours</v>
      </c>
      <c r="K13" s="2"/>
      <c r="L13" s="79">
        <v>1493.7599999999998</v>
      </c>
      <c r="M13" s="79">
        <v>725.75999999999988</v>
      </c>
      <c r="N13" s="79">
        <v>181.43999999999997</v>
      </c>
      <c r="O13" s="79">
        <v>0</v>
      </c>
      <c r="P13" s="79">
        <v>0</v>
      </c>
      <c r="Q13" s="2"/>
      <c r="R13" s="5">
        <f t="shared" si="0"/>
        <v>343813.13759999996</v>
      </c>
      <c r="S13" s="5">
        <f t="shared" si="1"/>
        <v>167045.45759999997</v>
      </c>
      <c r="T13" s="5">
        <f t="shared" si="2"/>
        <v>41761.364399999991</v>
      </c>
      <c r="U13" s="5">
        <f t="shared" si="3"/>
        <v>0</v>
      </c>
      <c r="V13" s="5">
        <f t="shared" si="4"/>
        <v>0</v>
      </c>
      <c r="AA13"/>
    </row>
    <row r="14" spans="1:27" ht="12.75" customHeight="1" x14ac:dyDescent="0.25">
      <c r="A14" s="4"/>
      <c r="C14" s="77" t="s">
        <v>85</v>
      </c>
      <c r="D14" s="78" t="s">
        <v>57</v>
      </c>
      <c r="E14" s="78" t="s">
        <v>14</v>
      </c>
      <c r="F14" s="78"/>
      <c r="G14" s="76" t="s">
        <v>1</v>
      </c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>
        <v>7783172</v>
      </c>
      <c r="M14" s="79">
        <v>776896</v>
      </c>
      <c r="N14" s="79">
        <v>3569224</v>
      </c>
      <c r="O14" s="79">
        <v>315000</v>
      </c>
      <c r="P14" s="79">
        <v>216000</v>
      </c>
      <c r="Q14" s="2"/>
      <c r="R14" s="5">
        <f t="shared" si="0"/>
        <v>7783172</v>
      </c>
      <c r="S14" s="5">
        <f t="shared" si="1"/>
        <v>776896</v>
      </c>
      <c r="T14" s="5">
        <f t="shared" si="2"/>
        <v>3569224</v>
      </c>
      <c r="U14" s="5">
        <f t="shared" si="3"/>
        <v>315000</v>
      </c>
      <c r="V14" s="5">
        <f t="shared" si="4"/>
        <v>216000</v>
      </c>
      <c r="AA14"/>
    </row>
    <row r="15" spans="1:27" ht="12.75" customHeight="1" x14ac:dyDescent="0.25">
      <c r="A15" s="4"/>
      <c r="C15" s="77" t="s">
        <v>85</v>
      </c>
      <c r="D15" s="78" t="s">
        <v>54</v>
      </c>
      <c r="E15" s="78" t="s">
        <v>14</v>
      </c>
      <c r="F15" s="78"/>
      <c r="G15" s="76" t="s">
        <v>55</v>
      </c>
      <c r="H15" s="2"/>
      <c r="I15" s="61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9">
        <v>848356</v>
      </c>
      <c r="M15" s="79">
        <v>353808</v>
      </c>
      <c r="N15" s="79">
        <v>238140</v>
      </c>
      <c r="O15" s="79">
        <v>199584</v>
      </c>
      <c r="P15" s="79">
        <v>199584</v>
      </c>
      <c r="Q15" s="2"/>
      <c r="R15" s="5">
        <f t="shared" si="0"/>
        <v>848356</v>
      </c>
      <c r="S15" s="5">
        <f t="shared" si="1"/>
        <v>353808</v>
      </c>
      <c r="T15" s="5">
        <f t="shared" si="2"/>
        <v>238140</v>
      </c>
      <c r="U15" s="5">
        <f t="shared" si="3"/>
        <v>199584</v>
      </c>
      <c r="V15" s="5">
        <f t="shared" si="4"/>
        <v>199584</v>
      </c>
      <c r="AA15"/>
    </row>
    <row r="16" spans="1:27" ht="12.75" customHeight="1" x14ac:dyDescent="0.25">
      <c r="A16" s="4"/>
      <c r="C16" s="77" t="s">
        <v>86</v>
      </c>
      <c r="D16" s="78" t="s">
        <v>54</v>
      </c>
      <c r="E16" s="78" t="s">
        <v>14</v>
      </c>
      <c r="F16" s="78"/>
      <c r="G16" s="76" t="s">
        <v>1</v>
      </c>
      <c r="H16" s="2"/>
      <c r="I16" s="61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9">
        <v>370882.6</v>
      </c>
      <c r="M16" s="79">
        <v>760938.2</v>
      </c>
      <c r="N16" s="79">
        <v>1263016.7</v>
      </c>
      <c r="O16" s="79">
        <v>1690597.7</v>
      </c>
      <c r="P16" s="79">
        <v>1757333.6</v>
      </c>
      <c r="Q16" s="2"/>
      <c r="R16" s="5">
        <f t="shared" si="0"/>
        <v>370882.6</v>
      </c>
      <c r="S16" s="5">
        <f t="shared" si="1"/>
        <v>760938.2</v>
      </c>
      <c r="T16" s="5">
        <f t="shared" si="2"/>
        <v>1263016.7</v>
      </c>
      <c r="U16" s="5">
        <f t="shared" si="3"/>
        <v>1690597.7</v>
      </c>
      <c r="V16" s="5">
        <f t="shared" si="4"/>
        <v>1757333.6</v>
      </c>
      <c r="AA16"/>
    </row>
    <row r="17" spans="1:27" ht="12.75" customHeight="1" x14ac:dyDescent="0.25">
      <c r="A17" s="4"/>
      <c r="C17" s="77" t="s">
        <v>87</v>
      </c>
      <c r="D17" s="78" t="s">
        <v>54</v>
      </c>
      <c r="E17" s="78" t="s">
        <v>15</v>
      </c>
      <c r="F17" s="78"/>
      <c r="G17" s="76" t="s">
        <v>1</v>
      </c>
      <c r="H17" s="2"/>
      <c r="I17" s="61" t="str">
        <f>IF(AND($E17="Labour",$F17="IT Labour"),Assumptions!$B$14,
IF(AND($E17="Labour",$F17="IT Specialist"),Assumptions!$B$16,""))</f>
        <v/>
      </c>
      <c r="J17" s="9" t="str">
        <f t="shared" si="5"/>
        <v>$</v>
      </c>
      <c r="K17" s="2"/>
      <c r="L17" s="79">
        <v>348232.5</v>
      </c>
      <c r="M17" s="79">
        <v>637560</v>
      </c>
      <c r="N17" s="79">
        <v>637560</v>
      </c>
      <c r="O17" s="79">
        <v>637560</v>
      </c>
      <c r="P17" s="79">
        <v>637560</v>
      </c>
      <c r="Q17" s="2"/>
      <c r="R17" s="5">
        <f t="shared" si="0"/>
        <v>348232.5</v>
      </c>
      <c r="S17" s="5">
        <f t="shared" si="1"/>
        <v>637560</v>
      </c>
      <c r="T17" s="5">
        <f t="shared" si="2"/>
        <v>637560</v>
      </c>
      <c r="U17" s="5">
        <f t="shared" si="3"/>
        <v>637560</v>
      </c>
      <c r="V17" s="5">
        <f t="shared" si="4"/>
        <v>637560</v>
      </c>
      <c r="AA17"/>
    </row>
    <row r="18" spans="1:27" ht="12.75" customHeight="1" x14ac:dyDescent="0.25">
      <c r="A18" s="4"/>
      <c r="C18" s="77"/>
      <c r="D18" s="78"/>
      <c r="E18" s="78"/>
      <c r="F18" s="78"/>
      <c r="G18" s="76"/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/>
      <c r="M18" s="79"/>
      <c r="N18" s="79"/>
      <c r="O18" s="79"/>
      <c r="P18" s="79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25">
      <c r="A19" s="4"/>
      <c r="C19" s="77" t="s">
        <v>88</v>
      </c>
      <c r="D19" s="78" t="s">
        <v>57</v>
      </c>
      <c r="E19" s="78" t="s">
        <v>12</v>
      </c>
      <c r="F19" s="78" t="s">
        <v>44</v>
      </c>
      <c r="G19" s="76" t="s">
        <v>1</v>
      </c>
      <c r="H19" s="2"/>
      <c r="I19" s="61">
        <f>IF(AND($E19="Labour",$F19="IT Labour"),Assumptions!$B$14,
IF(AND($E19="Labour",$F19="IT Specialist"),Assumptions!$B$16,""))</f>
        <v>145.77740895836223</v>
      </c>
      <c r="J19" s="9" t="str">
        <f t="shared" si="5"/>
        <v>Hours</v>
      </c>
      <c r="K19" s="2"/>
      <c r="L19" s="79">
        <v>3427.2</v>
      </c>
      <c r="M19" s="79">
        <v>4596.4800000000005</v>
      </c>
      <c r="N19" s="79">
        <v>1330.56</v>
      </c>
      <c r="O19" s="79">
        <v>967.68000000000006</v>
      </c>
      <c r="P19" s="79">
        <v>1290.24</v>
      </c>
      <c r="Q19" s="2"/>
      <c r="R19" s="5">
        <f t="shared" si="0"/>
        <v>499608.335982099</v>
      </c>
      <c r="S19" s="5">
        <f t="shared" si="1"/>
        <v>670062.94472893293</v>
      </c>
      <c r="T19" s="5">
        <f t="shared" si="2"/>
        <v>193965.58926363845</v>
      </c>
      <c r="U19" s="5">
        <f t="shared" si="3"/>
        <v>141065.88310082798</v>
      </c>
      <c r="V19" s="5">
        <f t="shared" si="4"/>
        <v>188087.8441344373</v>
      </c>
      <c r="AA19"/>
    </row>
    <row r="20" spans="1:27" ht="12.75" customHeight="1" x14ac:dyDescent="0.25">
      <c r="A20" s="4"/>
      <c r="C20" s="77" t="s">
        <v>88</v>
      </c>
      <c r="D20" s="78" t="s">
        <v>57</v>
      </c>
      <c r="E20" s="78" t="s">
        <v>12</v>
      </c>
      <c r="F20" s="78" t="s">
        <v>45</v>
      </c>
      <c r="G20" s="76" t="s">
        <v>1</v>
      </c>
      <c r="H20" s="2"/>
      <c r="I20" s="61">
        <f>IF(AND($E20="Labour",$F20="IT Labour"),Assumptions!$B$14,
IF(AND($E20="Labour",$F20="IT Specialist"),Assumptions!$B$16,""))</f>
        <v>230.16624999999999</v>
      </c>
      <c r="J20" s="9" t="str">
        <f t="shared" si="5"/>
        <v>Hours</v>
      </c>
      <c r="K20" s="2"/>
      <c r="L20" s="79">
        <v>14273.280000000002</v>
      </c>
      <c r="M20" s="79">
        <v>23466.240000000002</v>
      </c>
      <c r="N20" s="79">
        <v>5886.72</v>
      </c>
      <c r="O20" s="79">
        <v>3870.7200000000003</v>
      </c>
      <c r="P20" s="79">
        <v>4515.84</v>
      </c>
      <c r="Q20" s="2"/>
      <c r="R20" s="5">
        <f t="shared" si="0"/>
        <v>3285227.3328000004</v>
      </c>
      <c r="S20" s="5">
        <f t="shared" si="1"/>
        <v>5401136.4624000005</v>
      </c>
      <c r="T20" s="5">
        <f t="shared" si="2"/>
        <v>1354924.2672000001</v>
      </c>
      <c r="U20" s="5">
        <f t="shared" si="3"/>
        <v>890909.10719999997</v>
      </c>
      <c r="V20" s="5">
        <f t="shared" si="4"/>
        <v>1039393.9584</v>
      </c>
      <c r="AA20"/>
    </row>
    <row r="21" spans="1:27" ht="12.75" customHeight="1" x14ac:dyDescent="0.25">
      <c r="A21" s="4"/>
      <c r="C21" s="77" t="s">
        <v>88</v>
      </c>
      <c r="D21" s="78" t="s">
        <v>54</v>
      </c>
      <c r="E21" s="78" t="s">
        <v>12</v>
      </c>
      <c r="F21" s="78" t="s">
        <v>44</v>
      </c>
      <c r="G21" s="76" t="s">
        <v>55</v>
      </c>
      <c r="H21" s="2"/>
      <c r="I21" s="61">
        <f>IF(AND($E21="Labour",$F21="IT Labour"),Assumptions!$B$14,
IF(AND($E21="Labour",$F21="IT Specialist"),Assumptions!$B$16,""))</f>
        <v>145.77740895836223</v>
      </c>
      <c r="J21" s="9" t="str">
        <f t="shared" si="5"/>
        <v>Hours</v>
      </c>
      <c r="K21" s="2"/>
      <c r="L21" s="79">
        <v>604.79999999999984</v>
      </c>
      <c r="M21" s="79">
        <v>544.31999999999994</v>
      </c>
      <c r="N21" s="79">
        <v>282.2399999999999</v>
      </c>
      <c r="O21" s="79">
        <v>241.91999999999993</v>
      </c>
      <c r="P21" s="79">
        <v>322.55999999999995</v>
      </c>
      <c r="Q21" s="2"/>
      <c r="R21" s="5">
        <f t="shared" si="0"/>
        <v>88166.176938017452</v>
      </c>
      <c r="S21" s="5">
        <f t="shared" si="1"/>
        <v>79349.559244215721</v>
      </c>
      <c r="T21" s="5">
        <f t="shared" si="2"/>
        <v>41144.215904408142</v>
      </c>
      <c r="U21" s="5">
        <f t="shared" si="3"/>
        <v>35266.470775206981</v>
      </c>
      <c r="V21" s="5">
        <f t="shared" si="4"/>
        <v>47021.96103360931</v>
      </c>
      <c r="AA21"/>
    </row>
    <row r="22" spans="1:27" ht="12.75" customHeight="1" x14ac:dyDescent="0.25">
      <c r="A22" s="4"/>
      <c r="C22" s="77" t="s">
        <v>88</v>
      </c>
      <c r="D22" s="78" t="s">
        <v>54</v>
      </c>
      <c r="E22" s="78" t="s">
        <v>12</v>
      </c>
      <c r="F22" s="78" t="s">
        <v>45</v>
      </c>
      <c r="G22" s="76" t="s">
        <v>55</v>
      </c>
      <c r="H22" s="2"/>
      <c r="I22" s="61">
        <f>IF(AND($E22="Labour",$F22="IT Labour"),Assumptions!$B$14,
IF(AND($E22="Labour",$F22="IT Specialist"),Assumptions!$B$16,""))</f>
        <v>230.16624999999999</v>
      </c>
      <c r="J22" s="9" t="str">
        <f t="shared" si="5"/>
        <v>Hours</v>
      </c>
      <c r="K22" s="2"/>
      <c r="L22" s="79">
        <v>2056.3199999999997</v>
      </c>
      <c r="M22" s="79">
        <v>2237.7599999999993</v>
      </c>
      <c r="N22" s="79">
        <v>1169.2799999999997</v>
      </c>
      <c r="O22" s="79">
        <v>967.67999999999972</v>
      </c>
      <c r="P22" s="79">
        <v>1128.9599999999996</v>
      </c>
      <c r="Q22" s="2"/>
      <c r="R22" s="5">
        <f t="shared" si="0"/>
        <v>473295.46319999994</v>
      </c>
      <c r="S22" s="5">
        <f t="shared" si="1"/>
        <v>515056.82759999984</v>
      </c>
      <c r="T22" s="5">
        <f t="shared" si="2"/>
        <v>269128.79279999994</v>
      </c>
      <c r="U22" s="5">
        <f t="shared" si="3"/>
        <v>222727.27679999993</v>
      </c>
      <c r="V22" s="5">
        <f t="shared" si="4"/>
        <v>259848.48959999988</v>
      </c>
      <c r="AA22"/>
    </row>
    <row r="23" spans="1:27" ht="12.75" customHeight="1" x14ac:dyDescent="0.25">
      <c r="A23" s="4"/>
      <c r="C23" s="77" t="s">
        <v>88</v>
      </c>
      <c r="D23" s="78" t="s">
        <v>57</v>
      </c>
      <c r="E23" s="78" t="s">
        <v>14</v>
      </c>
      <c r="F23" s="78"/>
      <c r="G23" s="76" t="s">
        <v>1</v>
      </c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>
        <f>211680+277200+453600</f>
        <v>942480</v>
      </c>
      <c r="M23" s="79">
        <v>211680</v>
      </c>
      <c r="N23" s="79">
        <v>0</v>
      </c>
      <c r="O23" s="79">
        <v>0</v>
      </c>
      <c r="P23" s="79">
        <v>211680</v>
      </c>
      <c r="Q23" s="2"/>
      <c r="R23" s="5">
        <f t="shared" si="0"/>
        <v>942480</v>
      </c>
      <c r="S23" s="5">
        <f t="shared" si="1"/>
        <v>211680</v>
      </c>
      <c r="T23" s="5">
        <f t="shared" si="2"/>
        <v>0</v>
      </c>
      <c r="U23" s="5">
        <f t="shared" si="3"/>
        <v>0</v>
      </c>
      <c r="V23" s="5">
        <f t="shared" si="4"/>
        <v>211680</v>
      </c>
      <c r="AA23"/>
    </row>
    <row r="24" spans="1:27" ht="12.75" customHeight="1" x14ac:dyDescent="0.25">
      <c r="A24" s="4"/>
      <c r="C24" s="77" t="s">
        <v>88</v>
      </c>
      <c r="D24" s="78" t="s">
        <v>54</v>
      </c>
      <c r="E24" s="78" t="s">
        <v>14</v>
      </c>
      <c r="F24" s="78"/>
      <c r="G24" s="76" t="s">
        <v>55</v>
      </c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>
        <v>235619.99999999994</v>
      </c>
      <c r="M24" s="79">
        <v>52919.999999999993</v>
      </c>
      <c r="N24" s="79">
        <v>0</v>
      </c>
      <c r="O24" s="79">
        <v>0</v>
      </c>
      <c r="P24" s="79">
        <v>52919.999999999993</v>
      </c>
      <c r="Q24" s="2"/>
      <c r="R24" s="5">
        <f t="shared" si="0"/>
        <v>235619.99999999994</v>
      </c>
      <c r="S24" s="5">
        <f t="shared" si="1"/>
        <v>52919.999999999993</v>
      </c>
      <c r="T24" s="5">
        <f t="shared" si="2"/>
        <v>0</v>
      </c>
      <c r="U24" s="5">
        <f t="shared" si="3"/>
        <v>0</v>
      </c>
      <c r="V24" s="5">
        <f t="shared" si="4"/>
        <v>52919.999999999993</v>
      </c>
      <c r="AA24"/>
    </row>
    <row r="25" spans="1:27" ht="12.75" customHeight="1" x14ac:dyDescent="0.25">
      <c r="A25" s="4"/>
      <c r="C25" s="77" t="s">
        <v>89</v>
      </c>
      <c r="D25" s="78" t="s">
        <v>54</v>
      </c>
      <c r="E25" s="78" t="s">
        <v>14</v>
      </c>
      <c r="F25" s="78"/>
      <c r="G25" s="76" t="s">
        <v>1</v>
      </c>
      <c r="H25" s="2"/>
      <c r="I25" s="61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9">
        <v>978232.4118</v>
      </c>
      <c r="M25" s="79">
        <v>1162601.8614000001</v>
      </c>
      <c r="N25" s="79">
        <v>1203929.8488</v>
      </c>
      <c r="O25" s="79">
        <v>1203929.8488</v>
      </c>
      <c r="P25" s="79">
        <v>1327913.811</v>
      </c>
      <c r="Q25" s="2"/>
      <c r="R25" s="5">
        <f t="shared" si="0"/>
        <v>978232.4118</v>
      </c>
      <c r="S25" s="5">
        <f t="shared" si="1"/>
        <v>1162601.8614000001</v>
      </c>
      <c r="T25" s="5">
        <f t="shared" si="2"/>
        <v>1203929.8488</v>
      </c>
      <c r="U25" s="5">
        <f t="shared" si="3"/>
        <v>1203929.8488</v>
      </c>
      <c r="V25" s="5">
        <f t="shared" si="4"/>
        <v>1327913.811</v>
      </c>
      <c r="AA25"/>
    </row>
    <row r="26" spans="1:27" ht="12.75" customHeight="1" x14ac:dyDescent="0.25">
      <c r="A26" s="4"/>
      <c r="C26" s="77" t="s">
        <v>90</v>
      </c>
      <c r="D26" s="78" t="s">
        <v>54</v>
      </c>
      <c r="E26" s="78" t="s">
        <v>14</v>
      </c>
      <c r="F26" s="78"/>
      <c r="G26" s="76" t="s">
        <v>1</v>
      </c>
      <c r="H26" s="2"/>
      <c r="I26" s="61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9">
        <v>143370.00000000003</v>
      </c>
      <c r="M26" s="79">
        <v>442260.00000000006</v>
      </c>
      <c r="N26" s="79">
        <v>719280.00000000012</v>
      </c>
      <c r="O26" s="79">
        <v>913680.00000000023</v>
      </c>
      <c r="P26" s="79">
        <v>1108080.0000000005</v>
      </c>
      <c r="Q26" s="2"/>
      <c r="R26" s="5">
        <f t="shared" si="0"/>
        <v>143370.00000000003</v>
      </c>
      <c r="S26" s="5">
        <f t="shared" si="1"/>
        <v>442260.00000000006</v>
      </c>
      <c r="T26" s="5">
        <f t="shared" si="2"/>
        <v>719280.00000000012</v>
      </c>
      <c r="U26" s="5">
        <f t="shared" si="3"/>
        <v>913680.00000000023</v>
      </c>
      <c r="V26" s="5">
        <f t="shared" si="4"/>
        <v>1108080.0000000005</v>
      </c>
      <c r="AA26"/>
    </row>
    <row r="27" spans="1:27" ht="12.75" customHeight="1" x14ac:dyDescent="0.25">
      <c r="A27" s="4"/>
      <c r="C27" s="77"/>
      <c r="D27" s="78"/>
      <c r="E27" s="78"/>
      <c r="F27" s="78"/>
      <c r="G27" s="76"/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/>
      <c r="M27" s="79"/>
      <c r="N27" s="79"/>
      <c r="O27" s="79"/>
      <c r="P27" s="79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25">
      <c r="A28" s="4"/>
      <c r="C28" s="77" t="s">
        <v>91</v>
      </c>
      <c r="D28" s="78" t="s">
        <v>57</v>
      </c>
      <c r="E28" s="78" t="s">
        <v>12</v>
      </c>
      <c r="F28" s="78" t="s">
        <v>44</v>
      </c>
      <c r="G28" s="76" t="s">
        <v>1</v>
      </c>
      <c r="H28" s="2"/>
      <c r="I28" s="61">
        <f>IF(AND($E28="Labour",$F28="IT Labour"),Assumptions!$B$14,
IF(AND($E28="Labour",$F28="IT Specialist"),Assumptions!$B$16,""))</f>
        <v>145.77740895836223</v>
      </c>
      <c r="J28" s="9" t="str">
        <f t="shared" si="5"/>
        <v>Hours</v>
      </c>
      <c r="K28" s="2"/>
      <c r="L28" s="79">
        <v>0</v>
      </c>
      <c r="M28" s="79">
        <v>0</v>
      </c>
      <c r="N28" s="79">
        <v>1536</v>
      </c>
      <c r="O28" s="79">
        <v>3072</v>
      </c>
      <c r="P28" s="79">
        <v>1536</v>
      </c>
      <c r="Q28" s="2"/>
      <c r="R28" s="5">
        <f t="shared" si="0"/>
        <v>0</v>
      </c>
      <c r="S28" s="5">
        <f t="shared" si="1"/>
        <v>0</v>
      </c>
      <c r="T28" s="5">
        <f t="shared" si="2"/>
        <v>223914.10016004439</v>
      </c>
      <c r="U28" s="5">
        <f t="shared" si="3"/>
        <v>447828.20032008877</v>
      </c>
      <c r="V28" s="5">
        <f t="shared" si="4"/>
        <v>223914.10016004439</v>
      </c>
      <c r="AA28"/>
    </row>
    <row r="29" spans="1:27" ht="12.75" customHeight="1" x14ac:dyDescent="0.25">
      <c r="A29" s="4"/>
      <c r="C29" s="77" t="s">
        <v>91</v>
      </c>
      <c r="D29" s="78" t="s">
        <v>57</v>
      </c>
      <c r="E29" s="78" t="s">
        <v>12</v>
      </c>
      <c r="F29" s="78" t="s">
        <v>45</v>
      </c>
      <c r="G29" s="76" t="s">
        <v>1</v>
      </c>
      <c r="H29" s="2"/>
      <c r="I29" s="61">
        <f>IF(AND($E29="Labour",$F29="IT Labour"),Assumptions!$B$14,
IF(AND($E29="Labour",$F29="IT Specialist"),Assumptions!$B$16,""))</f>
        <v>230.16624999999999</v>
      </c>
      <c r="J29" s="9" t="str">
        <f t="shared" si="5"/>
        <v>Hours</v>
      </c>
      <c r="K29" s="2"/>
      <c r="L29" s="79">
        <v>0</v>
      </c>
      <c r="M29" s="79">
        <v>0</v>
      </c>
      <c r="N29" s="79">
        <v>7680</v>
      </c>
      <c r="O29" s="79">
        <v>15360</v>
      </c>
      <c r="P29" s="79">
        <v>7680</v>
      </c>
      <c r="Q29" s="2"/>
      <c r="R29" s="5">
        <f t="shared" si="0"/>
        <v>0</v>
      </c>
      <c r="S29" s="5">
        <f t="shared" si="1"/>
        <v>0</v>
      </c>
      <c r="T29" s="5">
        <f t="shared" si="2"/>
        <v>1767676.7999999998</v>
      </c>
      <c r="U29" s="5">
        <f t="shared" si="3"/>
        <v>3535353.5999999996</v>
      </c>
      <c r="V29" s="5">
        <f t="shared" si="4"/>
        <v>1767676.7999999998</v>
      </c>
      <c r="AA29"/>
    </row>
    <row r="30" spans="1:27" ht="12.75" customHeight="1" x14ac:dyDescent="0.25">
      <c r="A30" s="4"/>
      <c r="C30" s="77" t="s">
        <v>91</v>
      </c>
      <c r="D30" s="78" t="s">
        <v>54</v>
      </c>
      <c r="E30" s="78" t="s">
        <v>12</v>
      </c>
      <c r="F30" s="78" t="s">
        <v>44</v>
      </c>
      <c r="G30" s="76" t="s">
        <v>55</v>
      </c>
      <c r="H30" s="2"/>
      <c r="I30" s="61">
        <f>IF(AND($E30="Labour",$F30="IT Labour"),Assumptions!$B$14,
IF(AND($E30="Labour",$F30="IT Specialist"),Assumptions!$B$16,""))</f>
        <v>145.77740895836223</v>
      </c>
      <c r="J30" s="9" t="str">
        <f t="shared" si="5"/>
        <v>Hours</v>
      </c>
      <c r="K30" s="2"/>
      <c r="L30" s="79">
        <v>0</v>
      </c>
      <c r="M30" s="79">
        <v>0</v>
      </c>
      <c r="N30" s="79">
        <v>383.99999999999989</v>
      </c>
      <c r="O30" s="79">
        <v>767.99999999999977</v>
      </c>
      <c r="P30" s="79">
        <v>383.99999999999989</v>
      </c>
      <c r="Q30" s="2"/>
      <c r="R30" s="5">
        <f t="shared" si="0"/>
        <v>0</v>
      </c>
      <c r="S30" s="5">
        <f t="shared" si="1"/>
        <v>0</v>
      </c>
      <c r="T30" s="5">
        <f t="shared" si="2"/>
        <v>55978.525040011082</v>
      </c>
      <c r="U30" s="5">
        <f t="shared" si="3"/>
        <v>111957.05008002216</v>
      </c>
      <c r="V30" s="5">
        <f t="shared" si="4"/>
        <v>55978.525040011082</v>
      </c>
      <c r="AA30"/>
    </row>
    <row r="31" spans="1:27" ht="12.75" customHeight="1" x14ac:dyDescent="0.25">
      <c r="A31" s="4"/>
      <c r="C31" s="77" t="s">
        <v>91</v>
      </c>
      <c r="D31" s="78" t="s">
        <v>54</v>
      </c>
      <c r="E31" s="78" t="s">
        <v>12</v>
      </c>
      <c r="F31" s="78" t="s">
        <v>45</v>
      </c>
      <c r="G31" s="76" t="s">
        <v>55</v>
      </c>
      <c r="H31" s="2"/>
      <c r="I31" s="61">
        <f>IF(AND($E31="Labour",$F31="IT Labour"),Assumptions!$B$14,
IF(AND($E31="Labour",$F31="IT Specialist"),Assumptions!$B$16,""))</f>
        <v>230.16624999999999</v>
      </c>
      <c r="J31" s="9" t="str">
        <f t="shared" si="5"/>
        <v>Hours</v>
      </c>
      <c r="K31" s="2"/>
      <c r="L31" s="79">
        <v>0</v>
      </c>
      <c r="M31" s="79">
        <v>0</v>
      </c>
      <c r="N31" s="79">
        <v>1919.9999999999995</v>
      </c>
      <c r="O31" s="79">
        <v>3839.9999999999991</v>
      </c>
      <c r="P31" s="79">
        <v>1919.9999999999995</v>
      </c>
      <c r="Q31" s="2"/>
      <c r="R31" s="5">
        <f t="shared" si="0"/>
        <v>0</v>
      </c>
      <c r="S31" s="5">
        <f t="shared" si="1"/>
        <v>0</v>
      </c>
      <c r="T31" s="5">
        <f t="shared" si="2"/>
        <v>441919.1999999999</v>
      </c>
      <c r="U31" s="5">
        <f t="shared" si="3"/>
        <v>883838.39999999979</v>
      </c>
      <c r="V31" s="5">
        <f t="shared" si="4"/>
        <v>441919.1999999999</v>
      </c>
      <c r="AA31"/>
    </row>
    <row r="32" spans="1:27" ht="12.75" customHeight="1" x14ac:dyDescent="0.25">
      <c r="A32" s="4"/>
      <c r="C32" s="77" t="s">
        <v>91</v>
      </c>
      <c r="D32" s="78" t="s">
        <v>57</v>
      </c>
      <c r="E32" s="78" t="s">
        <v>14</v>
      </c>
      <c r="F32" s="78"/>
      <c r="G32" s="76" t="s">
        <v>1</v>
      </c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>
        <v>0</v>
      </c>
      <c r="M32" s="79">
        <v>1605888</v>
      </c>
      <c r="N32" s="79">
        <v>4320</v>
      </c>
      <c r="O32" s="79">
        <v>0</v>
      </c>
      <c r="P32" s="79">
        <v>0</v>
      </c>
      <c r="Q32" s="2"/>
      <c r="R32" s="5">
        <f t="shared" si="0"/>
        <v>0</v>
      </c>
      <c r="S32" s="5">
        <f t="shared" si="1"/>
        <v>1605888</v>
      </c>
      <c r="T32" s="5">
        <f t="shared" si="2"/>
        <v>4320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7" t="s">
        <v>92</v>
      </c>
      <c r="D33" s="78" t="s">
        <v>54</v>
      </c>
      <c r="E33" s="78" t="s">
        <v>14</v>
      </c>
      <c r="F33" s="78"/>
      <c r="G33" s="76" t="s">
        <v>1</v>
      </c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>
        <v>0</v>
      </c>
      <c r="M33" s="79">
        <v>347581.98999999993</v>
      </c>
      <c r="N33" s="79">
        <v>677079.96</v>
      </c>
      <c r="O33" s="79">
        <v>676599.96</v>
      </c>
      <c r="P33" s="79">
        <v>676599.96</v>
      </c>
      <c r="Q33" s="2"/>
      <c r="R33" s="5">
        <f t="shared" si="0"/>
        <v>0</v>
      </c>
      <c r="S33" s="5">
        <f t="shared" si="1"/>
        <v>347581.98999999993</v>
      </c>
      <c r="T33" s="5">
        <f t="shared" si="2"/>
        <v>677079.96</v>
      </c>
      <c r="U33" s="5">
        <f t="shared" si="3"/>
        <v>676599.96</v>
      </c>
      <c r="V33" s="5">
        <f t="shared" si="4"/>
        <v>676599.96</v>
      </c>
      <c r="AA33"/>
    </row>
    <row r="34" spans="1:27" ht="12.75" customHeight="1" x14ac:dyDescent="0.2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7" t="s">
        <v>84</v>
      </c>
      <c r="D35" s="78" t="s">
        <v>54</v>
      </c>
      <c r="E35" s="78" t="s">
        <v>14</v>
      </c>
      <c r="F35" s="78"/>
      <c r="G35" s="76" t="s">
        <v>1</v>
      </c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>
        <v>-3635100</v>
      </c>
      <c r="M35" s="79">
        <v>-3635100</v>
      </c>
      <c r="N35" s="79">
        <v>-3635100</v>
      </c>
      <c r="O35" s="79">
        <v>-3635100</v>
      </c>
      <c r="P35" s="79">
        <v>-3635100</v>
      </c>
      <c r="Q35" s="2"/>
      <c r="R35" s="5">
        <f t="shared" si="0"/>
        <v>-3635100</v>
      </c>
      <c r="S35" s="5">
        <f t="shared" si="1"/>
        <v>-3635100</v>
      </c>
      <c r="T35" s="5">
        <f t="shared" si="2"/>
        <v>-3635100</v>
      </c>
      <c r="U35" s="5">
        <f t="shared" si="3"/>
        <v>-3635100</v>
      </c>
      <c r="V35" s="5">
        <f t="shared" si="4"/>
        <v>-3635100</v>
      </c>
      <c r="AA35"/>
    </row>
    <row r="36" spans="1:27" ht="12.75" customHeight="1" x14ac:dyDescent="0.2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2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5744208.3551019439</v>
      </c>
      <c r="S74" s="25">
        <f t="shared" si="11"/>
        <v>6317821.749466544</v>
      </c>
      <c r="T74" s="25">
        <f t="shared" si="11"/>
        <v>4337679.1781191127</v>
      </c>
      <c r="U74" s="25">
        <f t="shared" si="11"/>
        <v>5160623.1687709233</v>
      </c>
      <c r="V74" s="25">
        <f t="shared" si="11"/>
        <v>3255439.2972319834</v>
      </c>
      <c r="W74" s="67">
        <f>SUM(R74:V74)</f>
        <v>24815771.748690508</v>
      </c>
    </row>
    <row r="75" spans="1:27" ht="12.75" customHeight="1" x14ac:dyDescent="0.2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8725652</v>
      </c>
      <c r="S75" s="6">
        <f t="shared" si="11"/>
        <v>2594464</v>
      </c>
      <c r="T75" s="6">
        <f t="shared" si="11"/>
        <v>3573544</v>
      </c>
      <c r="U75" s="6">
        <f t="shared" si="11"/>
        <v>315000</v>
      </c>
      <c r="V75" s="6">
        <f t="shared" si="11"/>
        <v>427680</v>
      </c>
      <c r="W75" s="68">
        <f t="shared" ref="W75:W89" si="12">SUM(R75:V75)</f>
        <v>15636340</v>
      </c>
    </row>
    <row r="76" spans="1:27" ht="12.75" customHeight="1" x14ac:dyDescent="0.2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2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si="12"/>
        <v>0</v>
      </c>
    </row>
    <row r="78" spans="1:27" ht="12.75" customHeight="1" x14ac:dyDescent="0.2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2"/>
        <v>0</v>
      </c>
    </row>
    <row r="79" spans="1:27" ht="12.75" customHeight="1" x14ac:dyDescent="0.2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2"/>
        <v>0</v>
      </c>
    </row>
    <row r="80" spans="1:27" ht="12.75" customHeight="1" x14ac:dyDescent="0.2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14469860.355101943</v>
      </c>
      <c r="S80" s="22">
        <f t="shared" ref="S80:V80" si="13">SUM(S74:S79)</f>
        <v>8912285.749466544</v>
      </c>
      <c r="T80" s="22">
        <f t="shared" si="13"/>
        <v>7911223.1781191127</v>
      </c>
      <c r="U80" s="22">
        <f t="shared" si="13"/>
        <v>5475623.1687709233</v>
      </c>
      <c r="V80" s="22">
        <f t="shared" si="13"/>
        <v>3683119.2972319834</v>
      </c>
      <c r="W80" s="22">
        <f>SUM(W74:W79)</f>
        <v>40452111.748690508</v>
      </c>
    </row>
    <row r="81" spans="3:24" ht="12.75" customHeight="1" x14ac:dyDescent="0.2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8">
        <f t="shared" si="12"/>
        <v>0</v>
      </c>
    </row>
    <row r="82" spans="3:24" ht="12.75" customHeight="1" x14ac:dyDescent="0.2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4"/>
        <v>-2142614.9882</v>
      </c>
      <c r="S82" s="6">
        <f t="shared" si="14"/>
        <v>-921717.94860000024</v>
      </c>
      <c r="T82" s="6">
        <f t="shared" si="14"/>
        <v>228206.50879999995</v>
      </c>
      <c r="U82" s="6">
        <f t="shared" si="14"/>
        <v>849707.50879999995</v>
      </c>
      <c r="V82" s="6">
        <f t="shared" si="14"/>
        <v>1234827.3710000012</v>
      </c>
      <c r="W82" s="68">
        <f t="shared" si="12"/>
        <v>-751591.54819999915</v>
      </c>
    </row>
    <row r="83" spans="3:24" ht="12.75" customHeight="1" x14ac:dyDescent="0.2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4"/>
        <v>348232.5</v>
      </c>
      <c r="S83" s="6">
        <f t="shared" si="14"/>
        <v>637560</v>
      </c>
      <c r="T83" s="6">
        <f t="shared" si="14"/>
        <v>637560</v>
      </c>
      <c r="U83" s="6">
        <f t="shared" si="14"/>
        <v>637560</v>
      </c>
      <c r="V83" s="6">
        <f t="shared" si="14"/>
        <v>637560</v>
      </c>
      <c r="W83" s="68">
        <f t="shared" si="12"/>
        <v>2898472.5</v>
      </c>
    </row>
    <row r="84" spans="3:24" ht="12.75" customHeight="1" x14ac:dyDescent="0.2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4"/>
        <v>983691.36156489956</v>
      </c>
      <c r="S84" s="6">
        <f t="shared" si="14"/>
        <v>796718.31521942257</v>
      </c>
      <c r="T84" s="6">
        <f t="shared" si="14"/>
        <v>858748.71583822079</v>
      </c>
      <c r="U84" s="6">
        <f t="shared" si="14"/>
        <v>1253789.1976552289</v>
      </c>
      <c r="V84" s="6">
        <f t="shared" si="14"/>
        <v>804768.17567362019</v>
      </c>
      <c r="W84" s="68">
        <f t="shared" si="12"/>
        <v>4697715.7659513922</v>
      </c>
    </row>
    <row r="85" spans="3:24" ht="12.75" customHeight="1" x14ac:dyDescent="0.2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4"/>
        <v>1083976</v>
      </c>
      <c r="S85" s="6">
        <f t="shared" si="14"/>
        <v>406728</v>
      </c>
      <c r="T85" s="6">
        <f t="shared" si="14"/>
        <v>238140</v>
      </c>
      <c r="U85" s="6">
        <f t="shared" si="14"/>
        <v>199584</v>
      </c>
      <c r="V85" s="6">
        <f t="shared" si="14"/>
        <v>252504</v>
      </c>
      <c r="W85" s="68">
        <f t="shared" si="12"/>
        <v>2180932</v>
      </c>
    </row>
    <row r="86" spans="3:24" ht="12.75" customHeight="1" x14ac:dyDescent="0.2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8">
        <f t="shared" si="12"/>
        <v>0</v>
      </c>
    </row>
    <row r="87" spans="3:24" ht="12.75" customHeight="1" x14ac:dyDescent="0.2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273284.87336489954</v>
      </c>
      <c r="S87" s="22">
        <f t="shared" ref="S87:V87" si="15">SUM(S81:S86)</f>
        <v>919288.36661942233</v>
      </c>
      <c r="T87" s="22">
        <f t="shared" si="15"/>
        <v>1962655.2246382209</v>
      </c>
      <c r="U87" s="22">
        <f t="shared" si="15"/>
        <v>2940640.7064552289</v>
      </c>
      <c r="V87" s="22">
        <f t="shared" si="15"/>
        <v>2929659.5466736215</v>
      </c>
      <c r="W87" s="22">
        <f>SUM(W81:W86)</f>
        <v>9025528.7177513931</v>
      </c>
    </row>
    <row r="88" spans="3:24" ht="12.75" customHeight="1" x14ac:dyDescent="0.2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14743145.228466842</v>
      </c>
      <c r="S89" s="8">
        <f t="shared" ref="S89:V89" si="16">S80+S87</f>
        <v>9831574.116085967</v>
      </c>
      <c r="T89" s="8">
        <f t="shared" si="16"/>
        <v>9873878.4027573336</v>
      </c>
      <c r="U89" s="8">
        <f t="shared" si="16"/>
        <v>8416263.8752261512</v>
      </c>
      <c r="V89" s="8">
        <f t="shared" si="16"/>
        <v>6612778.8439056054</v>
      </c>
      <c r="W89" s="69">
        <f t="shared" si="12"/>
        <v>49477640.466441892</v>
      </c>
    </row>
    <row r="90" spans="3:24" ht="12.75" customHeight="1" x14ac:dyDescent="0.2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4" t="str">
        <f>"NPV ($ "&amp;Assumptions!$B$12&amp;")"</f>
        <v>NPV ($ June 2024)</v>
      </c>
      <c r="D92" s="55">
        <f>NPV(Real_Discount_rate,R89:V89)</f>
        <v>45230207.087899677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2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14469860.355101945</v>
      </c>
      <c r="S96" s="25">
        <f t="shared" si="17"/>
        <v>8912285.749466544</v>
      </c>
      <c r="T96" s="25">
        <f t="shared" si="17"/>
        <v>7911223.1781191137</v>
      </c>
      <c r="U96" s="25">
        <f t="shared" si="17"/>
        <v>5475623.1687709233</v>
      </c>
      <c r="V96" s="25">
        <f t="shared" si="17"/>
        <v>3683119.2972319834</v>
      </c>
      <c r="W96" s="68">
        <f t="shared" ref="W96:W97" si="18">SUM(R96:V96)</f>
        <v>40452111.748690516</v>
      </c>
    </row>
    <row r="97" spans="3:24" ht="12.75" customHeight="1" x14ac:dyDescent="0.2">
      <c r="D97" s="1" t="s">
        <v>54</v>
      </c>
      <c r="G97" s="1" t="s">
        <v>1</v>
      </c>
      <c r="H97" s="2"/>
      <c r="K97" s="2"/>
      <c r="Q97" s="2"/>
      <c r="R97" s="107">
        <f t="shared" si="17"/>
        <v>-1794382.4882</v>
      </c>
      <c r="S97" s="107">
        <f t="shared" si="17"/>
        <v>-284157.94860000024</v>
      </c>
      <c r="T97" s="107">
        <f t="shared" si="17"/>
        <v>865766.50879999995</v>
      </c>
      <c r="U97" s="107">
        <f t="shared" si="17"/>
        <v>1487267.5088</v>
      </c>
      <c r="V97" s="107">
        <f t="shared" si="17"/>
        <v>1872387.3710000003</v>
      </c>
      <c r="W97" s="68">
        <f t="shared" si="18"/>
        <v>2146880.9517999999</v>
      </c>
    </row>
    <row r="98" spans="3:24" ht="12.75" customHeight="1" x14ac:dyDescent="0.2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12675477.866901945</v>
      </c>
      <c r="S98" s="22">
        <f t="shared" ref="S98:W98" si="19">SUM(S96:S97)</f>
        <v>8628127.8008665442</v>
      </c>
      <c r="T98" s="22">
        <f t="shared" si="19"/>
        <v>8776989.6869191136</v>
      </c>
      <c r="U98" s="22">
        <f t="shared" si="19"/>
        <v>6962890.6775709232</v>
      </c>
      <c r="V98" s="22">
        <f t="shared" si="19"/>
        <v>5555506.6682319837</v>
      </c>
      <c r="W98" s="22">
        <f t="shared" si="19"/>
        <v>42598992.700490519</v>
      </c>
    </row>
    <row r="99" spans="3:24" ht="12.75" customHeight="1" x14ac:dyDescent="0.2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8">
        <f t="shared" ref="W99:W100" si="21">SUM(R99:V99)</f>
        <v>0</v>
      </c>
    </row>
    <row r="100" spans="3:24" ht="12.75" customHeight="1" x14ac:dyDescent="0.2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0"/>
        <v>2067667.3615648993</v>
      </c>
      <c r="S100" s="6">
        <f t="shared" si="20"/>
        <v>1203446.3152194223</v>
      </c>
      <c r="T100" s="6">
        <f t="shared" si="20"/>
        <v>1096888.7158382207</v>
      </c>
      <c r="U100" s="6">
        <f t="shared" si="20"/>
        <v>1453373.1976552289</v>
      </c>
      <c r="V100" s="6">
        <f t="shared" si="20"/>
        <v>1057272.1756736201</v>
      </c>
      <c r="W100" s="68">
        <f t="shared" si="21"/>
        <v>6878647.7659513913</v>
      </c>
    </row>
    <row r="101" spans="3:24" ht="12.75" customHeight="1" x14ac:dyDescent="0.2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2067667.3615648993</v>
      </c>
      <c r="S101" s="22">
        <f t="shared" ref="S101:W101" si="22">SUM(S99:S100)</f>
        <v>1203446.3152194223</v>
      </c>
      <c r="T101" s="22">
        <f t="shared" si="22"/>
        <v>1096888.7158382207</v>
      </c>
      <c r="U101" s="22">
        <f t="shared" si="22"/>
        <v>1453373.1976552289</v>
      </c>
      <c r="V101" s="22">
        <f t="shared" si="22"/>
        <v>1057272.1756736201</v>
      </c>
      <c r="W101" s="22">
        <f t="shared" si="22"/>
        <v>6878647.7659513913</v>
      </c>
    </row>
    <row r="102" spans="3:24" ht="12.75" customHeight="1" x14ac:dyDescent="0.2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14743145.228466844</v>
      </c>
      <c r="S103" s="8">
        <f t="shared" ref="S103:V103" si="23">S98+S101</f>
        <v>9831574.116085967</v>
      </c>
      <c r="T103" s="8">
        <f t="shared" si="23"/>
        <v>9873878.4027573336</v>
      </c>
      <c r="U103" s="8">
        <f t="shared" si="23"/>
        <v>8416263.8752261512</v>
      </c>
      <c r="V103" s="8">
        <f t="shared" si="23"/>
        <v>6612778.8439056035</v>
      </c>
      <c r="W103" s="69">
        <f t="shared" ref="W103" si="24">SUM(R103:V103)</f>
        <v>49477640.466441907</v>
      </c>
    </row>
    <row r="104" spans="3:24" ht="12.75" customHeight="1" x14ac:dyDescent="0.2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2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2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2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2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2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5">R74*business_case_dollars</f>
        <v>6392802.1220448297</v>
      </c>
      <c r="S109" s="34">
        <f t="shared" si="25"/>
        <v>7031183.7227871437</v>
      </c>
      <c r="T109" s="34">
        <f t="shared" si="25"/>
        <v>4827458.013426709</v>
      </c>
      <c r="U109" s="34">
        <f t="shared" si="25"/>
        <v>5743322.7879156508</v>
      </c>
      <c r="V109" s="34">
        <f t="shared" si="25"/>
        <v>3623019.5635310318</v>
      </c>
      <c r="W109" s="67">
        <f>SUM(R109:V109)</f>
        <v>27617786.209705368</v>
      </c>
    </row>
    <row r="110" spans="3:24" ht="12.75" customHeight="1" x14ac:dyDescent="0.2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5"/>
        <v>9710888.4590302687</v>
      </c>
      <c r="S110" s="6">
        <f t="shared" si="25"/>
        <v>2887411.7962725889</v>
      </c>
      <c r="T110" s="6">
        <f t="shared" si="25"/>
        <v>3977042.3101261505</v>
      </c>
      <c r="U110" s="6">
        <f t="shared" si="25"/>
        <v>350567.4836212279</v>
      </c>
      <c r="V110" s="6">
        <f t="shared" si="25"/>
        <v>475970.48061945004</v>
      </c>
      <c r="W110" s="68">
        <f t="shared" ref="W110:W124" si="26">SUM(R110:V110)</f>
        <v>17401880.529669683</v>
      </c>
    </row>
    <row r="111" spans="3:24" ht="12.75" customHeight="1" x14ac:dyDescent="0.2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8">
        <f t="shared" si="26"/>
        <v>0</v>
      </c>
    </row>
    <row r="112" spans="3:24" ht="12.75" customHeight="1" x14ac:dyDescent="0.2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2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2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2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16103690.581075098</v>
      </c>
      <c r="S115" s="22">
        <f t="shared" ref="S115:V115" si="27">SUM(S109:S114)</f>
        <v>9918595.5190597326</v>
      </c>
      <c r="T115" s="22">
        <f t="shared" si="27"/>
        <v>8804500.3235528599</v>
      </c>
      <c r="U115" s="22">
        <f t="shared" si="27"/>
        <v>6093890.2715368783</v>
      </c>
      <c r="V115" s="22">
        <f t="shared" si="27"/>
        <v>4098990.0441504819</v>
      </c>
      <c r="W115" s="22">
        <f>SUM(W109:W114)</f>
        <v>45019666.739375055</v>
      </c>
    </row>
    <row r="116" spans="3:24" ht="12.75" customHeight="1" x14ac:dyDescent="0.2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28">R81*business_case_dollars</f>
        <v>0</v>
      </c>
      <c r="S116" s="112">
        <f t="shared" si="28"/>
        <v>0</v>
      </c>
      <c r="T116" s="112">
        <f t="shared" si="28"/>
        <v>0</v>
      </c>
      <c r="U116" s="112">
        <f t="shared" si="28"/>
        <v>0</v>
      </c>
      <c r="V116" s="112">
        <f t="shared" si="28"/>
        <v>0</v>
      </c>
      <c r="W116" s="68">
        <f>SUM(R116:V116)</f>
        <v>0</v>
      </c>
    </row>
    <row r="117" spans="3:24" ht="12.75" customHeight="1" x14ac:dyDescent="0.2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28"/>
        <v>-2384543.3167695268</v>
      </c>
      <c r="S117" s="6">
        <f t="shared" si="28"/>
        <v>-1025791.5614261028</v>
      </c>
      <c r="T117" s="6">
        <f t="shared" si="28"/>
        <v>253973.90963810027</v>
      </c>
      <c r="U117" s="6">
        <f t="shared" si="28"/>
        <v>945650.23229866149</v>
      </c>
      <c r="V117" s="6">
        <f t="shared" si="28"/>
        <v>1374254.99732726</v>
      </c>
      <c r="W117" s="68">
        <f t="shared" ref="W117:W121" si="29">SUM(R117:V117)</f>
        <v>-836455.73893160769</v>
      </c>
    </row>
    <row r="118" spans="3:24" ht="12.75" customHeight="1" x14ac:dyDescent="0.2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28"/>
        <v>387552.35314326745</v>
      </c>
      <c r="S118" s="6">
        <f t="shared" si="28"/>
        <v>709548.58684936538</v>
      </c>
      <c r="T118" s="6">
        <f t="shared" si="28"/>
        <v>709548.58684936538</v>
      </c>
      <c r="U118" s="6">
        <f t="shared" si="28"/>
        <v>709548.58684936538</v>
      </c>
      <c r="V118" s="6">
        <f t="shared" si="28"/>
        <v>709548.58684936538</v>
      </c>
      <c r="W118" s="68">
        <f t="shared" si="29"/>
        <v>3225746.7005407289</v>
      </c>
    </row>
    <row r="119" spans="3:24" ht="12.75" customHeight="1" x14ac:dyDescent="0.2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28"/>
        <v>1094762.5564563375</v>
      </c>
      <c r="S119" s="6">
        <f t="shared" si="28"/>
        <v>886677.88863941981</v>
      </c>
      <c r="T119" s="6">
        <f t="shared" si="28"/>
        <v>955712.30595036817</v>
      </c>
      <c r="U119" s="6">
        <f t="shared" si="28"/>
        <v>1395357.854011022</v>
      </c>
      <c r="V119" s="6">
        <f t="shared" si="28"/>
        <v>895636.68014078517</v>
      </c>
      <c r="W119" s="6">
        <f t="shared" si="29"/>
        <v>5228147.2851979323</v>
      </c>
    </row>
    <row r="120" spans="3:24" ht="12.75" customHeight="1" x14ac:dyDescent="0.2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28"/>
        <v>1206370.5988120767</v>
      </c>
      <c r="S120" s="6">
        <f t="shared" si="28"/>
        <v>452652.73485172947</v>
      </c>
      <c r="T120" s="6">
        <f t="shared" si="28"/>
        <v>265029.01761764829</v>
      </c>
      <c r="U120" s="6">
        <f t="shared" si="28"/>
        <v>222119.55762241001</v>
      </c>
      <c r="V120" s="6">
        <f t="shared" si="28"/>
        <v>281014.89487077633</v>
      </c>
      <c r="W120" s="6">
        <f t="shared" si="29"/>
        <v>2427186.8037746409</v>
      </c>
    </row>
    <row r="121" spans="3:24" ht="12.75" customHeight="1" x14ac:dyDescent="0.2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2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304142.19164215471</v>
      </c>
      <c r="S122" s="22">
        <f t="shared" ref="S122:W122" si="30">SUM(S116:S121)</f>
        <v>1023087.6489144119</v>
      </c>
      <c r="T122" s="22">
        <f t="shared" si="30"/>
        <v>2184263.8200554824</v>
      </c>
      <c r="U122" s="22">
        <f t="shared" si="30"/>
        <v>3272676.2307814588</v>
      </c>
      <c r="V122" s="22">
        <f t="shared" si="30"/>
        <v>3260455.1591881867</v>
      </c>
      <c r="W122" s="22">
        <f t="shared" si="30"/>
        <v>10044625.050581694</v>
      </c>
    </row>
    <row r="123" spans="3:24" ht="12.75" customHeight="1" x14ac:dyDescent="0.2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2">
      <c r="C124" s="7" t="str">
        <f>"Total Expenditure ($ "&amp;Assumptions!$C$39&amp;")"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16407832.772717252</v>
      </c>
      <c r="S124" s="8">
        <f t="shared" ref="S124:V124" si="31">S115+S122</f>
        <v>10941683.167974144</v>
      </c>
      <c r="T124" s="8">
        <f t="shared" si="31"/>
        <v>10988764.143608343</v>
      </c>
      <c r="U124" s="8">
        <f t="shared" si="31"/>
        <v>9366566.5023183376</v>
      </c>
      <c r="V124" s="8">
        <f t="shared" si="31"/>
        <v>7359445.2033386687</v>
      </c>
      <c r="W124" s="69">
        <f t="shared" si="26"/>
        <v>55064291.789956748</v>
      </c>
    </row>
    <row r="125" spans="3:24" x14ac:dyDescent="0.2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2">
      <c r="C126" s="54" t="str">
        <f>"NPV ($ "&amp;Assumptions!$C$39&amp;")"</f>
        <v>NPV ($ June 2026)</v>
      </c>
      <c r="D126" s="55">
        <f>NPV(Real_Discount_rate,R124:V124)</f>
        <v>50337269.468165129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2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2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16103690.5810751</v>
      </c>
      <c r="S130" s="25">
        <f t="shared" si="32"/>
        <v>9918595.5190597326</v>
      </c>
      <c r="T130" s="25">
        <f t="shared" si="32"/>
        <v>8804500.3235528599</v>
      </c>
      <c r="U130" s="25">
        <f t="shared" si="32"/>
        <v>6093890.2715368783</v>
      </c>
      <c r="V130" s="25">
        <f t="shared" si="32"/>
        <v>4098990.0441504819</v>
      </c>
      <c r="W130" s="68">
        <f t="shared" ref="W130:W131" si="33">SUM(R130:V130)</f>
        <v>45019666.739375055</v>
      </c>
    </row>
    <row r="131" spans="3:24" x14ac:dyDescent="0.2">
      <c r="D131" s="1" t="s">
        <v>54</v>
      </c>
      <c r="G131" s="1" t="s">
        <v>1</v>
      </c>
      <c r="H131" s="2"/>
      <c r="K131" s="2"/>
      <c r="Q131" s="2"/>
      <c r="R131" s="107">
        <f t="shared" si="32"/>
        <v>-1996990.9636262595</v>
      </c>
      <c r="S131" s="107">
        <f t="shared" si="32"/>
        <v>-316242.9745767375</v>
      </c>
      <c r="T131" s="107">
        <f t="shared" si="32"/>
        <v>963522.49648746557</v>
      </c>
      <c r="U131" s="107">
        <f t="shared" si="32"/>
        <v>1655198.8191480269</v>
      </c>
      <c r="V131" s="107">
        <f t="shared" si="32"/>
        <v>2083803.5841766242</v>
      </c>
      <c r="W131" s="68">
        <f t="shared" si="33"/>
        <v>2389290.96160912</v>
      </c>
    </row>
    <row r="132" spans="3:24" x14ac:dyDescent="0.2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14106699.61744884</v>
      </c>
      <c r="S132" s="22">
        <f t="shared" ref="S132:W132" si="34">SUM(S130:S131)</f>
        <v>9602352.5444829948</v>
      </c>
      <c r="T132" s="22">
        <f t="shared" si="34"/>
        <v>9768022.8200403247</v>
      </c>
      <c r="U132" s="22">
        <f t="shared" si="34"/>
        <v>7749089.0906849056</v>
      </c>
      <c r="V132" s="22">
        <f t="shared" si="34"/>
        <v>6182793.6283271061</v>
      </c>
      <c r="W132" s="22">
        <f t="shared" si="34"/>
        <v>47408957.700984173</v>
      </c>
    </row>
    <row r="133" spans="3:24" x14ac:dyDescent="0.2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8">
        <f t="shared" ref="W133:W134" si="36">SUM(R133:V133)</f>
        <v>0</v>
      </c>
    </row>
    <row r="134" spans="3:24" x14ac:dyDescent="0.2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5"/>
        <v>2301133.1552684139</v>
      </c>
      <c r="S134" s="6">
        <f t="shared" si="35"/>
        <v>1339330.6234911489</v>
      </c>
      <c r="T134" s="6">
        <f t="shared" si="35"/>
        <v>1220741.3235680163</v>
      </c>
      <c r="U134" s="6">
        <f t="shared" si="35"/>
        <v>1617477.4116334321</v>
      </c>
      <c r="V134" s="6">
        <f t="shared" si="35"/>
        <v>1176651.5750115614</v>
      </c>
      <c r="W134" s="68">
        <f t="shared" si="36"/>
        <v>7655334.0889725732</v>
      </c>
    </row>
    <row r="135" spans="3:24" x14ac:dyDescent="0.2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2301133.1552684139</v>
      </c>
      <c r="S135" s="22">
        <f t="shared" ref="S135:W135" si="37">SUM(S133:S134)</f>
        <v>1339330.6234911489</v>
      </c>
      <c r="T135" s="22">
        <f t="shared" si="37"/>
        <v>1220741.3235680163</v>
      </c>
      <c r="U135" s="22">
        <f t="shared" si="37"/>
        <v>1617477.4116334321</v>
      </c>
      <c r="V135" s="22">
        <f t="shared" si="37"/>
        <v>1176651.5750115614</v>
      </c>
      <c r="W135" s="22">
        <f t="shared" si="37"/>
        <v>7655334.0889725732</v>
      </c>
    </row>
    <row r="136" spans="3:24" x14ac:dyDescent="0.2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16407832.772717254</v>
      </c>
      <c r="S137" s="8">
        <f t="shared" ref="S137:V137" si="38">S132+S135</f>
        <v>10941683.167974144</v>
      </c>
      <c r="T137" s="8">
        <f t="shared" si="38"/>
        <v>10988764.143608341</v>
      </c>
      <c r="U137" s="8">
        <f t="shared" si="38"/>
        <v>9366566.5023183376</v>
      </c>
      <c r="V137" s="8">
        <f t="shared" si="38"/>
        <v>7359445.2033386678</v>
      </c>
      <c r="W137" s="69">
        <f t="shared" ref="W137" si="39">SUM(R137:V137)</f>
        <v>55064291.789956741</v>
      </c>
    </row>
    <row r="138" spans="3:24" x14ac:dyDescent="0.2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27" priority="1">
      <formula>$E10="Contracts"</formula>
    </cfRule>
    <cfRule type="expression" dxfId="26" priority="2">
      <formula>$E10="Materials"</formula>
    </cfRule>
    <cfRule type="expression" dxfId="25" priority="3">
      <formula>$E10="Labour"</formula>
    </cfRule>
  </conditionalFormatting>
  <conditionalFormatting sqref="I10:I70">
    <cfRule type="expression" dxfId="24" priority="4">
      <formula>$E10="Contracts"</formula>
    </cfRule>
    <cfRule type="expression" dxfId="23" priority="5">
      <formula>$E10="Materials"</formula>
    </cfRule>
    <cfRule type="expression" dxfId="22" priority="6">
      <formula>$E10="Labour"</formula>
    </cfRule>
  </conditionalFormatting>
  <conditionalFormatting sqref="R90:W90">
    <cfRule type="expression" dxfId="21" priority="16">
      <formula>ABS(R90)&gt;0.001</formula>
    </cfRule>
  </conditionalFormatting>
  <conditionalFormatting sqref="R104:W107">
    <cfRule type="expression" dxfId="20" priority="13">
      <formula>ABS(R104)&gt;0.001</formula>
    </cfRule>
  </conditionalFormatting>
  <conditionalFormatting sqref="R125:W125">
    <cfRule type="expression" dxfId="19" priority="17">
      <formula>ABS(R125)&gt;0.001</formula>
    </cfRule>
  </conditionalFormatting>
  <conditionalFormatting sqref="R138:W138">
    <cfRule type="expression" dxfId="18" priority="10">
      <formula>ABS(R138)&gt;0.001</formula>
    </cfRule>
  </conditionalFormatting>
  <conditionalFormatting sqref="X90">
    <cfRule type="expression" dxfId="17" priority="26">
      <formula>ABS(X90)&gt;0.001</formula>
    </cfRule>
  </conditionalFormatting>
  <conditionalFormatting sqref="X104:X107">
    <cfRule type="expression" dxfId="16" priority="14">
      <formula>ABS(X104)&gt;0.001</formula>
    </cfRule>
  </conditionalFormatting>
  <conditionalFormatting sqref="X125">
    <cfRule type="expression" dxfId="15" priority="18">
      <formula>ABS(X125)&gt;0.001</formula>
    </cfRule>
  </conditionalFormatting>
  <conditionalFormatting sqref="X138">
    <cfRule type="expression" dxfId="14" priority="11">
      <formula>ABS(X138)&gt;0.001</formula>
    </cfRule>
  </conditionalFormatting>
  <dataValidations count="3">
    <dataValidation type="list" allowBlank="1" showInputMessage="1" showErrorMessage="1" sqref="G10:G70" xr:uid="{0056677F-06F0-4171-A788-E9800796D01C}">
      <formula1>"Recurrent, Non recurrent"</formula1>
    </dataValidation>
    <dataValidation type="list" allowBlank="1" showInputMessage="1" showErrorMessage="1" sqref="D10:D70" xr:uid="{0BC2CCE9-8E5A-4443-BD56-40A8A3B5E164}">
      <formula1>"Capex, Opex"</formula1>
    </dataValidation>
    <dataValidation type="list" allowBlank="1" showInputMessage="1" showErrorMessage="1" sqref="E10:E70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B0A7A1-E4D0-4DE9-B69E-96B0311F359F}">
          <x14:formula1>
            <xm:f>IF($E36="Labour",Assumptions!$A$57:$A$58,Assumptions!$K$11:$K$12)</xm:f>
          </x14:formula1>
          <xm:sqref>F36:F70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525E-6B9D-4E0D-B82A-BEF54C2B6995}">
  <dimension ref="A1:AA138"/>
  <sheetViews>
    <sheetView showGridLines="0" zoomScale="80" zoomScaleNormal="80" workbookViewId="0">
      <pane ySplit="9" topLeftCell="A10" activePane="bottomLeft" state="frozen"/>
      <selection activeCell="I18" sqref="I18"/>
      <selection pane="bottomLeft" activeCell="A4" sqref="A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75" x14ac:dyDescent="0.25">
      <c r="A3" s="30" t="s">
        <v>74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2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2">
      <c r="H9" s="16"/>
    </row>
    <row r="10" spans="1:27" ht="12.75" customHeight="1" x14ac:dyDescent="0.2">
      <c r="A10" s="4"/>
      <c r="C10" s="77" t="s">
        <v>85</v>
      </c>
      <c r="D10" s="78" t="s">
        <v>57</v>
      </c>
      <c r="E10" s="78" t="s">
        <v>12</v>
      </c>
      <c r="F10" s="78" t="s">
        <v>44</v>
      </c>
      <c r="G10" s="76" t="s">
        <v>1</v>
      </c>
      <c r="H10" s="2"/>
      <c r="I10" s="61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9">
        <v>2886.6800000000003</v>
      </c>
      <c r="M10" s="79">
        <v>1147.68</v>
      </c>
      <c r="N10" s="79">
        <v>466.92</v>
      </c>
      <c r="O10" s="79">
        <v>179.99999999999997</v>
      </c>
      <c r="P10" s="79">
        <v>44.999999999999993</v>
      </c>
      <c r="Q10" s="2"/>
      <c r="R10" s="5">
        <f t="shared" ref="R10:R41" si="0">IF($E10="Labour",$I10*L10,L10)</f>
        <v>420812.73089192511</v>
      </c>
      <c r="S10" s="5">
        <f t="shared" ref="S10:S41" si="1">IF($E10="Labour",$I10*M10,M10)</f>
        <v>167305.81671333316</v>
      </c>
      <c r="T10" s="5">
        <f t="shared" ref="T10:T41" si="2">IF($E10="Labour",$I10*N10,N10)</f>
        <v>68066.387790838489</v>
      </c>
      <c r="U10" s="5">
        <f t="shared" ref="U10:U41" si="3">IF($E10="Labour",$I10*O10,O10)</f>
        <v>26239.933612505196</v>
      </c>
      <c r="V10" s="5">
        <f t="shared" ref="V10:V41" si="4">IF($E10="Labour",$I10*P10,P10)</f>
        <v>6559.983403126299</v>
      </c>
    </row>
    <row r="11" spans="1:27" ht="12.75" customHeight="1" x14ac:dyDescent="0.2">
      <c r="A11" s="4"/>
      <c r="C11" s="77" t="s">
        <v>85</v>
      </c>
      <c r="D11" s="78" t="s">
        <v>57</v>
      </c>
      <c r="E11" s="78" t="s">
        <v>12</v>
      </c>
      <c r="F11" s="78" t="s">
        <v>45</v>
      </c>
      <c r="G11" s="76" t="s">
        <v>1</v>
      </c>
      <c r="H11" s="2"/>
      <c r="I11" s="61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9">
        <v>7445.04</v>
      </c>
      <c r="M11" s="79">
        <v>3263.04</v>
      </c>
      <c r="N11" s="79">
        <v>1175.76</v>
      </c>
      <c r="O11" s="79">
        <v>360</v>
      </c>
      <c r="P11" s="79">
        <v>90</v>
      </c>
      <c r="Q11" s="2"/>
      <c r="R11" s="5">
        <f t="shared" si="0"/>
        <v>1713596.9379</v>
      </c>
      <c r="S11" s="5">
        <f t="shared" si="1"/>
        <v>751041.68039999995</v>
      </c>
      <c r="T11" s="5">
        <f t="shared" si="2"/>
        <v>270620.27009999997</v>
      </c>
      <c r="U11" s="5">
        <f t="shared" si="3"/>
        <v>82859.849999999991</v>
      </c>
      <c r="V11" s="5">
        <f t="shared" si="4"/>
        <v>20714.962499999998</v>
      </c>
    </row>
    <row r="12" spans="1:27" ht="12.75" customHeight="1" x14ac:dyDescent="0.2">
      <c r="A12" s="4"/>
      <c r="C12" s="77" t="s">
        <v>85</v>
      </c>
      <c r="D12" s="78" t="s">
        <v>54</v>
      </c>
      <c r="E12" s="78" t="s">
        <v>12</v>
      </c>
      <c r="F12" s="78" t="s">
        <v>44</v>
      </c>
      <c r="G12" s="76" t="s">
        <v>55</v>
      </c>
      <c r="H12" s="2"/>
      <c r="I12" s="61">
        <f>IF(AND($E12="Labour",$F12="IT Labour"),Assumptions!$B$14,
IF(AND($E12="Labour",$F12="IT Specialist"),Assumptions!$B$16,""))</f>
        <v>145.77740895836223</v>
      </c>
      <c r="J12" s="9" t="str">
        <f t="shared" si="5"/>
        <v>Hours</v>
      </c>
      <c r="K12" s="2"/>
      <c r="L12" s="79">
        <v>1187.7199999999998</v>
      </c>
      <c r="M12" s="79">
        <v>301.9199999999999</v>
      </c>
      <c r="N12" s="79">
        <v>135.47999999999999</v>
      </c>
      <c r="O12" s="79">
        <v>59.999999999999993</v>
      </c>
      <c r="P12" s="79">
        <v>14.999999999999998</v>
      </c>
      <c r="Q12" s="2"/>
      <c r="R12" s="5">
        <f t="shared" si="0"/>
        <v>173142.74416802597</v>
      </c>
      <c r="S12" s="5">
        <f t="shared" si="1"/>
        <v>44013.115312708709</v>
      </c>
      <c r="T12" s="5">
        <f t="shared" si="2"/>
        <v>19749.923365678915</v>
      </c>
      <c r="U12" s="5">
        <f t="shared" si="3"/>
        <v>8746.644537501732</v>
      </c>
      <c r="V12" s="5">
        <f t="shared" si="4"/>
        <v>2186.661134375433</v>
      </c>
    </row>
    <row r="13" spans="1:27" ht="12.75" customHeight="1" x14ac:dyDescent="0.25">
      <c r="A13" s="4"/>
      <c r="C13" s="77" t="s">
        <v>85</v>
      </c>
      <c r="D13" s="78" t="s">
        <v>54</v>
      </c>
      <c r="E13" s="78" t="s">
        <v>12</v>
      </c>
      <c r="F13" s="78" t="s">
        <v>45</v>
      </c>
      <c r="G13" s="76" t="s">
        <v>55</v>
      </c>
      <c r="H13" s="2"/>
      <c r="I13" s="61">
        <f>IF(AND($E13="Labour",$F13="IT Labour"),Assumptions!$B$14,
IF(AND($E13="Labour",$F13="IT Specialist"),Assumptions!$B$16,""))</f>
        <v>230.16624999999999</v>
      </c>
      <c r="J13" s="9" t="str">
        <f t="shared" si="5"/>
        <v>Hours</v>
      </c>
      <c r="K13" s="2"/>
      <c r="L13" s="79">
        <v>3398.16</v>
      </c>
      <c r="M13" s="79">
        <v>845.75999999999988</v>
      </c>
      <c r="N13" s="79">
        <v>331.43999999999994</v>
      </c>
      <c r="O13" s="79">
        <v>120</v>
      </c>
      <c r="P13" s="79">
        <v>30</v>
      </c>
      <c r="Q13" s="2"/>
      <c r="R13" s="5">
        <f t="shared" si="0"/>
        <v>782141.74409999989</v>
      </c>
      <c r="S13" s="5">
        <f t="shared" si="1"/>
        <v>194665.40759999998</v>
      </c>
      <c r="T13" s="5">
        <f t="shared" si="2"/>
        <v>76286.301899999977</v>
      </c>
      <c r="U13" s="5">
        <f t="shared" si="3"/>
        <v>27619.949999999997</v>
      </c>
      <c r="V13" s="5">
        <f t="shared" si="4"/>
        <v>6904.9874999999993</v>
      </c>
      <c r="AA13"/>
    </row>
    <row r="14" spans="1:27" ht="12.75" customHeight="1" x14ac:dyDescent="0.25">
      <c r="A14" s="4"/>
      <c r="C14" s="77" t="s">
        <v>85</v>
      </c>
      <c r="D14" s="78" t="s">
        <v>57</v>
      </c>
      <c r="E14" s="78" t="s">
        <v>14</v>
      </c>
      <c r="F14" s="78"/>
      <c r="G14" s="76" t="s">
        <v>1</v>
      </c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>
        <v>4639672</v>
      </c>
      <c r="M14" s="79">
        <v>736896</v>
      </c>
      <c r="N14" s="79">
        <v>457974</v>
      </c>
      <c r="O14" s="79">
        <v>341250</v>
      </c>
      <c r="P14" s="79">
        <v>162000</v>
      </c>
      <c r="Q14" s="2"/>
      <c r="R14" s="5">
        <f t="shared" si="0"/>
        <v>4639672</v>
      </c>
      <c r="S14" s="5">
        <f t="shared" si="1"/>
        <v>736896</v>
      </c>
      <c r="T14" s="5">
        <f t="shared" si="2"/>
        <v>457974</v>
      </c>
      <c r="U14" s="5">
        <f t="shared" si="3"/>
        <v>341250</v>
      </c>
      <c r="V14" s="5">
        <f t="shared" si="4"/>
        <v>162000</v>
      </c>
      <c r="AA14"/>
    </row>
    <row r="15" spans="1:27" ht="12.75" customHeight="1" x14ac:dyDescent="0.25">
      <c r="A15" s="4"/>
      <c r="C15" s="77" t="s">
        <v>85</v>
      </c>
      <c r="D15" s="78" t="s">
        <v>54</v>
      </c>
      <c r="E15" s="78" t="s">
        <v>14</v>
      </c>
      <c r="F15" s="78"/>
      <c r="G15" s="76" t="s">
        <v>55</v>
      </c>
      <c r="H15" s="2"/>
      <c r="I15" s="61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9">
        <v>607999.99999999988</v>
      </c>
      <c r="M15" s="79">
        <v>40000</v>
      </c>
      <c r="N15" s="79">
        <v>66250</v>
      </c>
      <c r="O15" s="79">
        <v>78750</v>
      </c>
      <c r="P15" s="79">
        <v>54000</v>
      </c>
      <c r="Q15" s="2"/>
      <c r="R15" s="5">
        <f t="shared" si="0"/>
        <v>607999.99999999988</v>
      </c>
      <c r="S15" s="5">
        <f t="shared" si="1"/>
        <v>40000</v>
      </c>
      <c r="T15" s="5">
        <f t="shared" si="2"/>
        <v>66250</v>
      </c>
      <c r="U15" s="5">
        <f t="shared" si="3"/>
        <v>78750</v>
      </c>
      <c r="V15" s="5">
        <f t="shared" si="4"/>
        <v>54000</v>
      </c>
      <c r="AA15"/>
    </row>
    <row r="16" spans="1:27" ht="12.75" customHeight="1" x14ac:dyDescent="0.25">
      <c r="A16" s="4"/>
      <c r="C16" s="77" t="s">
        <v>86</v>
      </c>
      <c r="D16" s="78" t="s">
        <v>54</v>
      </c>
      <c r="E16" s="78" t="s">
        <v>14</v>
      </c>
      <c r="F16" s="78"/>
      <c r="G16" s="76" t="s">
        <v>1</v>
      </c>
      <c r="H16" s="2"/>
      <c r="I16" s="61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9">
        <v>345400</v>
      </c>
      <c r="M16" s="79">
        <v>519200</v>
      </c>
      <c r="N16" s="79">
        <v>565977.5</v>
      </c>
      <c r="O16" s="79">
        <v>615873.5</v>
      </c>
      <c r="P16" s="79">
        <v>627308</v>
      </c>
      <c r="Q16" s="2"/>
      <c r="R16" s="5">
        <f t="shared" si="0"/>
        <v>345400</v>
      </c>
      <c r="S16" s="5">
        <f t="shared" si="1"/>
        <v>519200</v>
      </c>
      <c r="T16" s="5">
        <f t="shared" si="2"/>
        <v>565977.5</v>
      </c>
      <c r="U16" s="5">
        <f t="shared" si="3"/>
        <v>615873.5</v>
      </c>
      <c r="V16" s="5">
        <f t="shared" si="4"/>
        <v>627308</v>
      </c>
      <c r="AA16"/>
    </row>
    <row r="17" spans="1:27" ht="12.75" customHeight="1" x14ac:dyDescent="0.25">
      <c r="A17" s="4"/>
      <c r="C17" s="77" t="s">
        <v>87</v>
      </c>
      <c r="D17" s="78" t="s">
        <v>54</v>
      </c>
      <c r="E17" s="78" t="s">
        <v>15</v>
      </c>
      <c r="F17" s="78"/>
      <c r="G17" s="76" t="s">
        <v>1</v>
      </c>
      <c r="H17" s="2"/>
      <c r="I17" s="61" t="str">
        <f>IF(AND($E17="Labour",$F17="IT Labour"),Assumptions!$B$14,
IF(AND($E17="Labour",$F17="IT Specialist"),Assumptions!$B$16,""))</f>
        <v/>
      </c>
      <c r="J17" s="9" t="str">
        <f t="shared" si="5"/>
        <v>$</v>
      </c>
      <c r="K17" s="2"/>
      <c r="L17" s="79">
        <v>1934098.9439999999</v>
      </c>
      <c r="M17" s="79">
        <v>2766047.1919999998</v>
      </c>
      <c r="N17" s="79">
        <v>3955541.12</v>
      </c>
      <c r="O17" s="79">
        <v>5088398.0480000004</v>
      </c>
      <c r="P17" s="79">
        <v>5133304.4480000008</v>
      </c>
      <c r="Q17" s="2"/>
      <c r="R17" s="5">
        <f t="shared" si="0"/>
        <v>1934098.9439999999</v>
      </c>
      <c r="S17" s="5">
        <f t="shared" si="1"/>
        <v>2766047.1919999998</v>
      </c>
      <c r="T17" s="5">
        <f t="shared" si="2"/>
        <v>3955541.12</v>
      </c>
      <c r="U17" s="5">
        <f t="shared" si="3"/>
        <v>5088398.0480000004</v>
      </c>
      <c r="V17" s="5">
        <f t="shared" si="4"/>
        <v>5133304.4480000008</v>
      </c>
      <c r="AA17"/>
    </row>
    <row r="18" spans="1:27" ht="12.75" customHeight="1" x14ac:dyDescent="0.25">
      <c r="A18" s="4"/>
      <c r="C18" s="77"/>
      <c r="D18" s="78"/>
      <c r="E18" s="78"/>
      <c r="F18" s="78"/>
      <c r="G18" s="76"/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/>
      <c r="M18" s="79"/>
      <c r="N18" s="79"/>
      <c r="O18" s="79"/>
      <c r="P18" s="79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25">
      <c r="A19" s="4"/>
      <c r="C19" s="77" t="s">
        <v>88</v>
      </c>
      <c r="D19" s="78" t="s">
        <v>57</v>
      </c>
      <c r="E19" s="78" t="s">
        <v>12</v>
      </c>
      <c r="F19" s="78" t="s">
        <v>44</v>
      </c>
      <c r="G19" s="76" t="s">
        <v>1</v>
      </c>
      <c r="H19" s="2"/>
      <c r="I19" s="61">
        <f>IF(AND($E19="Labour",$F19="IT Labour"),Assumptions!$B$14,
IF(AND($E19="Labour",$F19="IT Specialist"),Assumptions!$B$16,""))</f>
        <v>145.77740895836223</v>
      </c>
      <c r="J19" s="9" t="str">
        <f t="shared" si="5"/>
        <v>Hours</v>
      </c>
      <c r="K19" s="2"/>
      <c r="L19" s="79">
        <v>2016</v>
      </c>
      <c r="M19" s="79">
        <v>907.2</v>
      </c>
      <c r="N19" s="79">
        <v>524.16000000000008</v>
      </c>
      <c r="O19" s="79">
        <v>483.84000000000003</v>
      </c>
      <c r="P19" s="79">
        <v>806.40000000000009</v>
      </c>
      <c r="Q19" s="2"/>
      <c r="R19" s="5">
        <f t="shared" si="0"/>
        <v>293887.25646005827</v>
      </c>
      <c r="S19" s="5">
        <f t="shared" si="1"/>
        <v>132249.26540702622</v>
      </c>
      <c r="T19" s="5">
        <f t="shared" si="2"/>
        <v>76410.686679615159</v>
      </c>
      <c r="U19" s="5">
        <f t="shared" si="3"/>
        <v>70532.941550413991</v>
      </c>
      <c r="V19" s="5">
        <f t="shared" si="4"/>
        <v>117554.90258402332</v>
      </c>
      <c r="AA19"/>
    </row>
    <row r="20" spans="1:27" ht="12.75" customHeight="1" x14ac:dyDescent="0.25">
      <c r="A20" s="4"/>
      <c r="C20" s="77" t="s">
        <v>88</v>
      </c>
      <c r="D20" s="78" t="s">
        <v>57</v>
      </c>
      <c r="E20" s="78" t="s">
        <v>12</v>
      </c>
      <c r="F20" s="78" t="s">
        <v>45</v>
      </c>
      <c r="G20" s="76" t="s">
        <v>1</v>
      </c>
      <c r="H20" s="2"/>
      <c r="I20" s="61">
        <f>IF(AND($E20="Labour",$F20="IT Labour"),Assumptions!$B$14,
IF(AND($E20="Labour",$F20="IT Specialist"),Assumptions!$B$16,""))</f>
        <v>230.16624999999999</v>
      </c>
      <c r="J20" s="9" t="str">
        <f t="shared" si="5"/>
        <v>Hours</v>
      </c>
      <c r="K20" s="2"/>
      <c r="L20" s="79">
        <v>7499.5200000000023</v>
      </c>
      <c r="M20" s="79">
        <v>4253.76</v>
      </c>
      <c r="N20" s="79">
        <v>2136.96</v>
      </c>
      <c r="O20" s="79">
        <v>1935.3600000000001</v>
      </c>
      <c r="P20" s="79">
        <v>2580.48</v>
      </c>
      <c r="Q20" s="2"/>
      <c r="R20" s="5">
        <f t="shared" si="0"/>
        <v>1726136.3952000004</v>
      </c>
      <c r="S20" s="5">
        <f t="shared" si="1"/>
        <v>979071.98759999999</v>
      </c>
      <c r="T20" s="5">
        <f t="shared" si="2"/>
        <v>491856.06959999999</v>
      </c>
      <c r="U20" s="5">
        <f t="shared" si="3"/>
        <v>445454.55359999998</v>
      </c>
      <c r="V20" s="5">
        <f t="shared" si="4"/>
        <v>593939.40480000002</v>
      </c>
      <c r="AA20"/>
    </row>
    <row r="21" spans="1:27" ht="12.75" customHeight="1" x14ac:dyDescent="0.25">
      <c r="A21" s="4"/>
      <c r="C21" s="137" t="s">
        <v>88</v>
      </c>
      <c r="D21" s="138" t="s">
        <v>54</v>
      </c>
      <c r="E21" s="138" t="s">
        <v>12</v>
      </c>
      <c r="F21" s="138" t="s">
        <v>44</v>
      </c>
      <c r="G21" s="140" t="s">
        <v>55</v>
      </c>
      <c r="H21" s="2"/>
      <c r="I21" s="61">
        <f>IF(AND($E21="Labour",$F21="IT Labour"),Assumptions!$B$14,
IF(AND($E21="Labour",$F21="IT Specialist"),Assumptions!$B$16,""))</f>
        <v>145.77740895836223</v>
      </c>
      <c r="J21" s="9" t="str">
        <f t="shared" si="5"/>
        <v>Hours</v>
      </c>
      <c r="K21" s="2"/>
      <c r="L21" s="79">
        <v>3124.7999999999997</v>
      </c>
      <c r="M21" s="79">
        <v>3326.3999999999996</v>
      </c>
      <c r="N21" s="79">
        <v>887.03999999999985</v>
      </c>
      <c r="O21" s="79">
        <v>725.75999999999988</v>
      </c>
      <c r="P21" s="79">
        <v>806.39999999999986</v>
      </c>
      <c r="Q21" s="2"/>
      <c r="R21" s="5">
        <f t="shared" si="0"/>
        <v>455525.24751309026</v>
      </c>
      <c r="S21" s="5">
        <f t="shared" si="1"/>
        <v>484913.97315909609</v>
      </c>
      <c r="T21" s="5">
        <f t="shared" si="2"/>
        <v>129310.39284242562</v>
      </c>
      <c r="U21" s="5">
        <f t="shared" si="3"/>
        <v>105799.41232562096</v>
      </c>
      <c r="V21" s="5">
        <f t="shared" si="4"/>
        <v>117554.90258402328</v>
      </c>
      <c r="AA21"/>
    </row>
    <row r="22" spans="1:27" ht="12.75" customHeight="1" x14ac:dyDescent="0.25">
      <c r="A22" s="4"/>
      <c r="C22" s="137" t="s">
        <v>88</v>
      </c>
      <c r="D22" s="138" t="s">
        <v>54</v>
      </c>
      <c r="E22" s="138" t="s">
        <v>12</v>
      </c>
      <c r="F22" s="138" t="s">
        <v>45</v>
      </c>
      <c r="G22" s="140" t="s">
        <v>55</v>
      </c>
      <c r="H22" s="2"/>
      <c r="I22" s="61">
        <f>IF(AND($E22="Labour",$F22="IT Labour"),Assumptions!$B$14,
IF(AND($E22="Labour",$F22="IT Specialist"),Assumptions!$B$16,""))</f>
        <v>230.16624999999999</v>
      </c>
      <c r="J22" s="9" t="str">
        <f t="shared" si="5"/>
        <v>Hours</v>
      </c>
      <c r="K22" s="2"/>
      <c r="L22" s="79">
        <v>13466.880000000001</v>
      </c>
      <c r="M22" s="79">
        <v>14797.440000000002</v>
      </c>
      <c r="N22" s="79">
        <v>3709.44</v>
      </c>
      <c r="O22" s="79">
        <v>2903.04</v>
      </c>
      <c r="P22" s="79">
        <v>3064.3199999999997</v>
      </c>
      <c r="Q22" s="2"/>
      <c r="R22" s="5">
        <f t="shared" si="0"/>
        <v>3099621.2688000002</v>
      </c>
      <c r="S22" s="5">
        <f t="shared" si="1"/>
        <v>3405871.2744000005</v>
      </c>
      <c r="T22" s="5">
        <f t="shared" si="2"/>
        <v>853787.89439999999</v>
      </c>
      <c r="U22" s="5">
        <f t="shared" si="3"/>
        <v>668181.83039999998</v>
      </c>
      <c r="V22" s="5">
        <f t="shared" si="4"/>
        <v>705303.04319999996</v>
      </c>
      <c r="AA22"/>
    </row>
    <row r="23" spans="1:27" ht="12.75" customHeight="1" x14ac:dyDescent="0.25">
      <c r="A23" s="4"/>
      <c r="C23" s="77" t="s">
        <v>88</v>
      </c>
      <c r="D23" s="78" t="s">
        <v>57</v>
      </c>
      <c r="E23" s="78" t="s">
        <v>14</v>
      </c>
      <c r="F23" s="78"/>
      <c r="G23" s="76" t="s">
        <v>1</v>
      </c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>
        <v>801360</v>
      </c>
      <c r="M23" s="79">
        <v>0</v>
      </c>
      <c r="N23" s="79">
        <v>0</v>
      </c>
      <c r="O23" s="79">
        <v>0</v>
      </c>
      <c r="P23" s="79">
        <v>211680</v>
      </c>
      <c r="Q23" s="2"/>
      <c r="R23" s="5">
        <f t="shared" si="0"/>
        <v>801360</v>
      </c>
      <c r="S23" s="5">
        <f t="shared" si="1"/>
        <v>0</v>
      </c>
      <c r="T23" s="5">
        <f t="shared" si="2"/>
        <v>0</v>
      </c>
      <c r="U23" s="5">
        <f t="shared" si="3"/>
        <v>0</v>
      </c>
      <c r="V23" s="5">
        <f t="shared" si="4"/>
        <v>211680</v>
      </c>
      <c r="AA23"/>
    </row>
    <row r="24" spans="1:27" ht="12.75" customHeight="1" x14ac:dyDescent="0.25">
      <c r="A24" s="4"/>
      <c r="C24" s="77" t="s">
        <v>88</v>
      </c>
      <c r="D24" s="78" t="s">
        <v>54</v>
      </c>
      <c r="E24" s="78" t="s">
        <v>14</v>
      </c>
      <c r="F24" s="78"/>
      <c r="G24" s="76" t="s">
        <v>55</v>
      </c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>
        <v>200339.99999999997</v>
      </c>
      <c r="M24" s="79">
        <v>0</v>
      </c>
      <c r="N24" s="79">
        <v>1166400</v>
      </c>
      <c r="O24" s="79">
        <v>1586385</v>
      </c>
      <c r="P24" s="79">
        <v>2038500</v>
      </c>
      <c r="Q24" s="2"/>
      <c r="R24" s="5">
        <f t="shared" si="0"/>
        <v>200339.99999999997</v>
      </c>
      <c r="S24" s="5">
        <f t="shared" si="1"/>
        <v>0</v>
      </c>
      <c r="T24" s="5">
        <f t="shared" si="2"/>
        <v>1166400</v>
      </c>
      <c r="U24" s="5">
        <f t="shared" si="3"/>
        <v>1586385</v>
      </c>
      <c r="V24" s="5">
        <f t="shared" si="4"/>
        <v>2038500</v>
      </c>
      <c r="AA24"/>
    </row>
    <row r="25" spans="1:27" ht="12.75" customHeight="1" x14ac:dyDescent="0.25">
      <c r="A25" s="4"/>
      <c r="C25" s="77" t="s">
        <v>89</v>
      </c>
      <c r="D25" s="78" t="s">
        <v>54</v>
      </c>
      <c r="E25" s="78" t="s">
        <v>14</v>
      </c>
      <c r="F25" s="78"/>
      <c r="G25" s="76" t="s">
        <v>1</v>
      </c>
      <c r="H25" s="2"/>
      <c r="I25" s="61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9">
        <v>710774.95</v>
      </c>
      <c r="M25" s="79">
        <v>736833.28</v>
      </c>
      <c r="N25" s="79">
        <v>736833.28</v>
      </c>
      <c r="O25" s="79">
        <v>736833.28</v>
      </c>
      <c r="P25" s="79">
        <v>769633.27</v>
      </c>
      <c r="Q25" s="2"/>
      <c r="R25" s="5">
        <f t="shared" si="0"/>
        <v>710774.95</v>
      </c>
      <c r="S25" s="5">
        <f t="shared" si="1"/>
        <v>736833.28</v>
      </c>
      <c r="T25" s="5">
        <f t="shared" si="2"/>
        <v>736833.28</v>
      </c>
      <c r="U25" s="5">
        <f t="shared" si="3"/>
        <v>736833.28</v>
      </c>
      <c r="V25" s="5">
        <f t="shared" si="4"/>
        <v>769633.27</v>
      </c>
      <c r="AA25"/>
    </row>
    <row r="26" spans="1:27" ht="12.75" customHeight="1" x14ac:dyDescent="0.25">
      <c r="A26" s="4"/>
      <c r="C26" s="77" t="s">
        <v>90</v>
      </c>
      <c r="D26" s="78" t="s">
        <v>54</v>
      </c>
      <c r="E26" s="78" t="s">
        <v>14</v>
      </c>
      <c r="F26" s="78"/>
      <c r="G26" s="76" t="s">
        <v>1</v>
      </c>
      <c r="H26" s="2"/>
      <c r="I26" s="61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9">
        <v>102059.99999999999</v>
      </c>
      <c r="M26" s="79">
        <v>945270</v>
      </c>
      <c r="N26" s="79">
        <v>1151820</v>
      </c>
      <c r="O26" s="79">
        <v>1151820</v>
      </c>
      <c r="P26" s="79">
        <v>1151820</v>
      </c>
      <c r="Q26" s="2"/>
      <c r="R26" s="5">
        <f t="shared" si="0"/>
        <v>102059.99999999999</v>
      </c>
      <c r="S26" s="5">
        <f t="shared" si="1"/>
        <v>945270</v>
      </c>
      <c r="T26" s="5">
        <f t="shared" si="2"/>
        <v>1151820</v>
      </c>
      <c r="U26" s="5">
        <f t="shared" si="3"/>
        <v>1151820</v>
      </c>
      <c r="V26" s="5">
        <f t="shared" si="4"/>
        <v>1151820</v>
      </c>
      <c r="AA26"/>
    </row>
    <row r="27" spans="1:27" ht="12.75" customHeight="1" x14ac:dyDescent="0.25">
      <c r="A27" s="4"/>
      <c r="C27" s="77"/>
      <c r="D27" s="78"/>
      <c r="E27" s="78"/>
      <c r="F27" s="78"/>
      <c r="G27" s="76"/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/>
      <c r="M27" s="79"/>
      <c r="N27" s="79"/>
      <c r="O27" s="79"/>
      <c r="P27" s="79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25">
      <c r="A28" s="4"/>
      <c r="C28" s="77" t="s">
        <v>91</v>
      </c>
      <c r="D28" s="78" t="s">
        <v>57</v>
      </c>
      <c r="E28" s="78" t="s">
        <v>12</v>
      </c>
      <c r="F28" s="78" t="s">
        <v>44</v>
      </c>
      <c r="G28" s="76" t="s">
        <v>1</v>
      </c>
      <c r="H28" s="2"/>
      <c r="I28" s="61">
        <f>IF(AND($E28="Labour",$F28="IT Labour"),Assumptions!$B$14,
IF(AND($E28="Labour",$F28="IT Specialist"),Assumptions!$B$16,""))</f>
        <v>145.77740895836223</v>
      </c>
      <c r="J28" s="9" t="str">
        <f t="shared" si="5"/>
        <v>Hours</v>
      </c>
      <c r="K28" s="2"/>
      <c r="L28" s="79">
        <v>0</v>
      </c>
      <c r="M28" s="79">
        <v>0</v>
      </c>
      <c r="N28" s="79">
        <v>1280</v>
      </c>
      <c r="O28" s="79">
        <v>2816</v>
      </c>
      <c r="P28" s="79">
        <v>0</v>
      </c>
      <c r="Q28" s="2"/>
      <c r="R28" s="5">
        <f t="shared" si="0"/>
        <v>0</v>
      </c>
      <c r="S28" s="5">
        <f t="shared" si="1"/>
        <v>0</v>
      </c>
      <c r="T28" s="5">
        <f t="shared" si="2"/>
        <v>186595.08346670365</v>
      </c>
      <c r="U28" s="5">
        <f t="shared" si="3"/>
        <v>410509.18362674804</v>
      </c>
      <c r="V28" s="5">
        <f t="shared" si="4"/>
        <v>0</v>
      </c>
      <c r="AA28"/>
    </row>
    <row r="29" spans="1:27" ht="12.75" customHeight="1" x14ac:dyDescent="0.25">
      <c r="A29" s="4"/>
      <c r="C29" s="77" t="s">
        <v>91</v>
      </c>
      <c r="D29" s="78" t="s">
        <v>57</v>
      </c>
      <c r="E29" s="78" t="s">
        <v>12</v>
      </c>
      <c r="F29" s="78" t="s">
        <v>45</v>
      </c>
      <c r="G29" s="76" t="s">
        <v>1</v>
      </c>
      <c r="H29" s="2"/>
      <c r="I29" s="61">
        <f>IF(AND($E29="Labour",$F29="IT Labour"),Assumptions!$B$14,
IF(AND($E29="Labour",$F29="IT Specialist"),Assumptions!$B$16,""))</f>
        <v>230.16624999999999</v>
      </c>
      <c r="J29" s="9" t="str">
        <f t="shared" si="5"/>
        <v>Hours</v>
      </c>
      <c r="K29" s="2"/>
      <c r="L29" s="79">
        <v>0</v>
      </c>
      <c r="M29" s="79">
        <v>0</v>
      </c>
      <c r="N29" s="79">
        <v>6400</v>
      </c>
      <c r="O29" s="79">
        <v>14080</v>
      </c>
      <c r="P29" s="79">
        <v>0</v>
      </c>
      <c r="Q29" s="2"/>
      <c r="R29" s="5">
        <f t="shared" si="0"/>
        <v>0</v>
      </c>
      <c r="S29" s="5">
        <f t="shared" si="1"/>
        <v>0</v>
      </c>
      <c r="T29" s="5">
        <f t="shared" si="2"/>
        <v>1473064</v>
      </c>
      <c r="U29" s="5">
        <f t="shared" si="3"/>
        <v>3240740.8</v>
      </c>
      <c r="V29" s="5">
        <f t="shared" si="4"/>
        <v>0</v>
      </c>
      <c r="AA29"/>
    </row>
    <row r="30" spans="1:27" ht="12.75" customHeight="1" x14ac:dyDescent="0.25">
      <c r="A30" s="4"/>
      <c r="C30" s="77" t="s">
        <v>91</v>
      </c>
      <c r="D30" s="78" t="s">
        <v>54</v>
      </c>
      <c r="E30" s="78" t="s">
        <v>12</v>
      </c>
      <c r="F30" s="78" t="s">
        <v>44</v>
      </c>
      <c r="G30" s="76" t="s">
        <v>55</v>
      </c>
      <c r="H30" s="2"/>
      <c r="I30" s="61">
        <f>IF(AND($E30="Labour",$F30="IT Labour"),Assumptions!$B$14,
IF(AND($E30="Labour",$F30="IT Specialist"),Assumptions!$B$16,""))</f>
        <v>145.77740895836223</v>
      </c>
      <c r="J30" s="9" t="str">
        <f t="shared" si="5"/>
        <v>Hours</v>
      </c>
      <c r="K30" s="2"/>
      <c r="L30" s="79">
        <v>0</v>
      </c>
      <c r="M30" s="79">
        <v>71.999999999999986</v>
      </c>
      <c r="N30" s="79">
        <v>399.99999999999994</v>
      </c>
      <c r="O30" s="79">
        <v>703.99999999999989</v>
      </c>
      <c r="P30" s="79">
        <v>0</v>
      </c>
      <c r="Q30" s="2"/>
      <c r="R30" s="5">
        <f t="shared" si="0"/>
        <v>0</v>
      </c>
      <c r="S30" s="5">
        <f t="shared" si="1"/>
        <v>10495.973445002079</v>
      </c>
      <c r="T30" s="5">
        <f t="shared" si="2"/>
        <v>58310.963583344885</v>
      </c>
      <c r="U30" s="5">
        <f t="shared" si="3"/>
        <v>102627.295906687</v>
      </c>
      <c r="V30" s="5">
        <f t="shared" si="4"/>
        <v>0</v>
      </c>
      <c r="AA30"/>
    </row>
    <row r="31" spans="1:27" ht="12.75" customHeight="1" x14ac:dyDescent="0.25">
      <c r="A31" s="4"/>
      <c r="C31" s="77" t="s">
        <v>91</v>
      </c>
      <c r="D31" s="78" t="s">
        <v>54</v>
      </c>
      <c r="E31" s="78" t="s">
        <v>12</v>
      </c>
      <c r="F31" s="78" t="s">
        <v>45</v>
      </c>
      <c r="G31" s="76" t="s">
        <v>55</v>
      </c>
      <c r="H31" s="2"/>
      <c r="I31" s="61">
        <f>IF(AND($E31="Labour",$F31="IT Labour"),Assumptions!$B$14,
IF(AND($E31="Labour",$F31="IT Specialist"),Assumptions!$B$16,""))</f>
        <v>230.16624999999999</v>
      </c>
      <c r="J31" s="9" t="str">
        <f t="shared" si="5"/>
        <v>Hours</v>
      </c>
      <c r="K31" s="2"/>
      <c r="L31" s="79">
        <v>0</v>
      </c>
      <c r="M31" s="79">
        <v>359.99999999999989</v>
      </c>
      <c r="N31" s="79">
        <v>1999.9999999999995</v>
      </c>
      <c r="O31" s="79">
        <v>3519.9999999999991</v>
      </c>
      <c r="P31" s="79">
        <v>0</v>
      </c>
      <c r="Q31" s="2"/>
      <c r="R31" s="5">
        <f t="shared" si="0"/>
        <v>0</v>
      </c>
      <c r="S31" s="5">
        <f t="shared" si="1"/>
        <v>82859.849999999977</v>
      </c>
      <c r="T31" s="5">
        <f t="shared" si="2"/>
        <v>460332.49999999988</v>
      </c>
      <c r="U31" s="5">
        <f t="shared" si="3"/>
        <v>810185.19999999972</v>
      </c>
      <c r="V31" s="5">
        <f t="shared" si="4"/>
        <v>0</v>
      </c>
      <c r="AA31"/>
    </row>
    <row r="32" spans="1:27" ht="12.75" customHeight="1" x14ac:dyDescent="0.25">
      <c r="A32" s="4"/>
      <c r="C32" s="77" t="s">
        <v>91</v>
      </c>
      <c r="D32" s="78" t="s">
        <v>57</v>
      </c>
      <c r="E32" s="78" t="s">
        <v>14</v>
      </c>
      <c r="F32" s="78"/>
      <c r="G32" s="76" t="s">
        <v>1</v>
      </c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>
        <v>0</v>
      </c>
      <c r="M32" s="79">
        <v>1605888</v>
      </c>
      <c r="N32" s="79">
        <v>4320</v>
      </c>
      <c r="O32" s="79">
        <v>0</v>
      </c>
      <c r="P32" s="79">
        <v>0</v>
      </c>
      <c r="Q32" s="2"/>
      <c r="R32" s="5">
        <f t="shared" si="0"/>
        <v>0</v>
      </c>
      <c r="S32" s="5">
        <f t="shared" si="1"/>
        <v>1605888</v>
      </c>
      <c r="T32" s="5">
        <f t="shared" si="2"/>
        <v>4320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7" t="s">
        <v>92</v>
      </c>
      <c r="D33" s="78" t="s">
        <v>54</v>
      </c>
      <c r="E33" s="78" t="s">
        <v>14</v>
      </c>
      <c r="F33" s="78"/>
      <c r="G33" s="76" t="s">
        <v>1</v>
      </c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>
        <v>0</v>
      </c>
      <c r="M33" s="79">
        <v>347149.98999999993</v>
      </c>
      <c r="N33" s="79">
        <v>676599.96</v>
      </c>
      <c r="O33" s="79">
        <v>676599.96</v>
      </c>
      <c r="P33" s="79">
        <v>676599.96</v>
      </c>
      <c r="Q33" s="2"/>
      <c r="R33" s="5">
        <f t="shared" si="0"/>
        <v>0</v>
      </c>
      <c r="S33" s="5">
        <f t="shared" si="1"/>
        <v>347149.98999999993</v>
      </c>
      <c r="T33" s="5">
        <f t="shared" si="2"/>
        <v>676599.96</v>
      </c>
      <c r="U33" s="5">
        <f t="shared" si="3"/>
        <v>676599.96</v>
      </c>
      <c r="V33" s="5">
        <f t="shared" si="4"/>
        <v>676599.96</v>
      </c>
      <c r="AA33"/>
    </row>
    <row r="34" spans="1:27" ht="12.75" customHeight="1" x14ac:dyDescent="0.2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7" t="s">
        <v>84</v>
      </c>
      <c r="D35" s="78" t="s">
        <v>54</v>
      </c>
      <c r="E35" s="78" t="s">
        <v>14</v>
      </c>
      <c r="F35" s="78"/>
      <c r="G35" s="76" t="s">
        <v>1</v>
      </c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>
        <v>-3635100</v>
      </c>
      <c r="M35" s="79">
        <v>-3635100</v>
      </c>
      <c r="N35" s="79">
        <v>-3635100</v>
      </c>
      <c r="O35" s="79">
        <v>-3635100</v>
      </c>
      <c r="P35" s="79">
        <v>-3635100</v>
      </c>
      <c r="Q35" s="2"/>
      <c r="R35" s="5">
        <f t="shared" si="0"/>
        <v>-3635100</v>
      </c>
      <c r="S35" s="5">
        <f t="shared" si="1"/>
        <v>-3635100</v>
      </c>
      <c r="T35" s="5">
        <f t="shared" si="2"/>
        <v>-3635100</v>
      </c>
      <c r="U35" s="5">
        <f t="shared" si="3"/>
        <v>-3635100</v>
      </c>
      <c r="V35" s="5">
        <f t="shared" si="4"/>
        <v>-3635100</v>
      </c>
      <c r="AA35"/>
    </row>
    <row r="36" spans="1:27" ht="12.75" customHeight="1" x14ac:dyDescent="0.2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2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4154433.3204519833</v>
      </c>
      <c r="S74" s="25">
        <f t="shared" si="11"/>
        <v>2029668.7501203595</v>
      </c>
      <c r="T74" s="25">
        <f t="shared" si="11"/>
        <v>2566612.4976371573</v>
      </c>
      <c r="U74" s="25">
        <f t="shared" si="11"/>
        <v>4276337.2623896673</v>
      </c>
      <c r="V74" s="25">
        <f t="shared" si="11"/>
        <v>738769.25328714959</v>
      </c>
      <c r="W74" s="67">
        <f>SUM(R74:V74)</f>
        <v>13765821.083886316</v>
      </c>
    </row>
    <row r="75" spans="1:27" ht="12.75" customHeight="1" x14ac:dyDescent="0.2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5441032</v>
      </c>
      <c r="S75" s="6">
        <f t="shared" si="11"/>
        <v>2342784</v>
      </c>
      <c r="T75" s="6">
        <f t="shared" si="11"/>
        <v>462294</v>
      </c>
      <c r="U75" s="6">
        <f t="shared" si="11"/>
        <v>341250</v>
      </c>
      <c r="V75" s="6">
        <f t="shared" si="11"/>
        <v>373680</v>
      </c>
      <c r="W75" s="68">
        <f t="shared" ref="W75:W89" si="12">SUM(R75:V75)</f>
        <v>8961040</v>
      </c>
    </row>
    <row r="76" spans="1:27" ht="12.75" customHeight="1" x14ac:dyDescent="0.2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2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si="12"/>
        <v>0</v>
      </c>
    </row>
    <row r="78" spans="1:27" ht="12.75" customHeight="1" x14ac:dyDescent="0.2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2"/>
        <v>0</v>
      </c>
    </row>
    <row r="79" spans="1:27" ht="12.75" customHeight="1" x14ac:dyDescent="0.2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2"/>
        <v>0</v>
      </c>
    </row>
    <row r="80" spans="1:27" ht="12.75" customHeight="1" x14ac:dyDescent="0.2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9595465.3204519823</v>
      </c>
      <c r="S80" s="22">
        <f t="shared" ref="S80:V80" si="13">SUM(S74:S79)</f>
        <v>4372452.7501203595</v>
      </c>
      <c r="T80" s="22">
        <f t="shared" si="13"/>
        <v>3028906.4976371573</v>
      </c>
      <c r="U80" s="22">
        <f t="shared" si="13"/>
        <v>4617587.2623896673</v>
      </c>
      <c r="V80" s="22">
        <f t="shared" si="13"/>
        <v>1112449.2532871496</v>
      </c>
      <c r="W80" s="22">
        <f>SUM(W74:W79)</f>
        <v>22726861.083886318</v>
      </c>
    </row>
    <row r="81" spans="3:24" ht="12.75" customHeight="1" x14ac:dyDescent="0.2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8">
        <f t="shared" si="12"/>
        <v>0</v>
      </c>
    </row>
    <row r="82" spans="3:24" ht="12.75" customHeight="1" x14ac:dyDescent="0.2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4"/>
        <v>-2476865.0499999998</v>
      </c>
      <c r="S82" s="6">
        <f t="shared" si="14"/>
        <v>-1086646.73</v>
      </c>
      <c r="T82" s="6">
        <f t="shared" si="14"/>
        <v>-503869.25999999978</v>
      </c>
      <c r="U82" s="6">
        <f t="shared" si="14"/>
        <v>-453973.25999999978</v>
      </c>
      <c r="V82" s="6">
        <f t="shared" si="14"/>
        <v>-409738.77</v>
      </c>
      <c r="W82" s="68">
        <f t="shared" si="12"/>
        <v>-4931093.0699999984</v>
      </c>
    </row>
    <row r="83" spans="3:24" ht="12.75" customHeight="1" x14ac:dyDescent="0.2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4"/>
        <v>1934098.9439999999</v>
      </c>
      <c r="S83" s="6">
        <f t="shared" si="14"/>
        <v>2766047.1919999998</v>
      </c>
      <c r="T83" s="6">
        <f t="shared" si="14"/>
        <v>3955541.12</v>
      </c>
      <c r="U83" s="6">
        <f t="shared" si="14"/>
        <v>5088398.0480000004</v>
      </c>
      <c r="V83" s="6">
        <f t="shared" si="14"/>
        <v>5133304.4480000008</v>
      </c>
      <c r="W83" s="68">
        <f t="shared" si="12"/>
        <v>18877389.752000004</v>
      </c>
    </row>
    <row r="84" spans="3:24" ht="12.75" customHeight="1" x14ac:dyDescent="0.2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4"/>
        <v>4510431.0045811161</v>
      </c>
      <c r="S84" s="6">
        <f t="shared" si="14"/>
        <v>4222819.5939168073</v>
      </c>
      <c r="T84" s="6">
        <f t="shared" si="14"/>
        <v>1597777.9760914491</v>
      </c>
      <c r="U84" s="6">
        <f t="shared" si="14"/>
        <v>1723160.3331698095</v>
      </c>
      <c r="V84" s="6">
        <f t="shared" si="14"/>
        <v>831949.59441839869</v>
      </c>
      <c r="W84" s="68">
        <f t="shared" si="12"/>
        <v>12886138.502177581</v>
      </c>
    </row>
    <row r="85" spans="3:24" ht="12.75" customHeight="1" x14ac:dyDescent="0.2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4"/>
        <v>808339.99999999988</v>
      </c>
      <c r="S85" s="6">
        <f t="shared" si="14"/>
        <v>40000</v>
      </c>
      <c r="T85" s="6">
        <f t="shared" si="14"/>
        <v>1232650</v>
      </c>
      <c r="U85" s="6">
        <f t="shared" si="14"/>
        <v>1665135</v>
      </c>
      <c r="V85" s="6">
        <f t="shared" si="14"/>
        <v>2092500</v>
      </c>
      <c r="W85" s="68">
        <f t="shared" si="12"/>
        <v>5838625</v>
      </c>
    </row>
    <row r="86" spans="3:24" ht="12.75" customHeight="1" x14ac:dyDescent="0.2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8">
        <f t="shared" si="12"/>
        <v>0</v>
      </c>
    </row>
    <row r="87" spans="3:24" ht="12.75" customHeight="1" x14ac:dyDescent="0.2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4776004.8985811165</v>
      </c>
      <c r="S87" s="22">
        <f t="shared" ref="S87:V87" si="15">SUM(S81:S86)</f>
        <v>5942220.0559168067</v>
      </c>
      <c r="T87" s="22">
        <f t="shared" si="15"/>
        <v>6282099.8360914495</v>
      </c>
      <c r="U87" s="22">
        <f t="shared" si="15"/>
        <v>8022720.1211698102</v>
      </c>
      <c r="V87" s="22">
        <f t="shared" si="15"/>
        <v>7648015.2724184003</v>
      </c>
      <c r="W87" s="22">
        <f>SUM(W81:W86)</f>
        <v>32671060.184177585</v>
      </c>
    </row>
    <row r="88" spans="3:24" ht="12.75" customHeight="1" x14ac:dyDescent="0.2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14371470.2190331</v>
      </c>
      <c r="S89" s="8">
        <f t="shared" ref="S89:V89" si="16">S80+S87</f>
        <v>10314672.806037165</v>
      </c>
      <c r="T89" s="8">
        <f t="shared" si="16"/>
        <v>9311006.3337286077</v>
      </c>
      <c r="U89" s="8">
        <f t="shared" si="16"/>
        <v>12640307.383559477</v>
      </c>
      <c r="V89" s="8">
        <f t="shared" si="16"/>
        <v>8760464.5257055499</v>
      </c>
      <c r="W89" s="69">
        <f t="shared" si="12"/>
        <v>55397921.268063903</v>
      </c>
    </row>
    <row r="90" spans="3:24" ht="12.75" customHeight="1" x14ac:dyDescent="0.2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4" t="str">
        <f>"NPV ($ "&amp;Assumptions!$B$12&amp;")"</f>
        <v>NPV ($ June 2024)</v>
      </c>
      <c r="D92" s="55">
        <f>NPV(Real_Discount_rate,R89:V89)</f>
        <v>50303703.837828912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2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9595465.3204519842</v>
      </c>
      <c r="S96" s="25">
        <f t="shared" si="17"/>
        <v>4372452.7501203595</v>
      </c>
      <c r="T96" s="25">
        <f t="shared" si="17"/>
        <v>3028906.4976371573</v>
      </c>
      <c r="U96" s="25">
        <f t="shared" si="17"/>
        <v>4617587.2623896673</v>
      </c>
      <c r="V96" s="25">
        <f t="shared" si="17"/>
        <v>1112449.2532871496</v>
      </c>
      <c r="W96" s="68">
        <f t="shared" ref="W96:W97" si="18">SUM(R96:V96)</f>
        <v>22726861.083886318</v>
      </c>
    </row>
    <row r="97" spans="3:24" ht="12.75" customHeight="1" x14ac:dyDescent="0.2">
      <c r="D97" s="1" t="s">
        <v>54</v>
      </c>
      <c r="G97" s="1" t="s">
        <v>1</v>
      </c>
      <c r="H97" s="2"/>
      <c r="K97" s="2"/>
      <c r="Q97" s="2"/>
      <c r="R97" s="107">
        <f t="shared" si="17"/>
        <v>-542766.10599999968</v>
      </c>
      <c r="S97" s="107">
        <f t="shared" si="17"/>
        <v>1679400.4620000003</v>
      </c>
      <c r="T97" s="107">
        <f t="shared" si="17"/>
        <v>3451671.8600000003</v>
      </c>
      <c r="U97" s="107">
        <f t="shared" si="17"/>
        <v>4634424.7880000006</v>
      </c>
      <c r="V97" s="107">
        <f t="shared" si="17"/>
        <v>4723565.6780000003</v>
      </c>
      <c r="W97" s="68">
        <f t="shared" si="18"/>
        <v>13946296.682</v>
      </c>
    </row>
    <row r="98" spans="3:24" ht="12.75" customHeight="1" x14ac:dyDescent="0.2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9052699.2144519836</v>
      </c>
      <c r="S98" s="22">
        <f t="shared" ref="S98:W98" si="19">SUM(S96:S97)</f>
        <v>6051853.2121203598</v>
      </c>
      <c r="T98" s="22">
        <f t="shared" si="19"/>
        <v>6480578.3576371577</v>
      </c>
      <c r="U98" s="22">
        <f t="shared" si="19"/>
        <v>9252012.050389668</v>
      </c>
      <c r="V98" s="22">
        <f t="shared" si="19"/>
        <v>5836014.9312871499</v>
      </c>
      <c r="W98" s="22">
        <f t="shared" si="19"/>
        <v>36673157.765886322</v>
      </c>
    </row>
    <row r="99" spans="3:24" ht="12.75" customHeight="1" x14ac:dyDescent="0.2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8">
        <f t="shared" ref="W99:W100" si="21">SUM(R99:V99)</f>
        <v>0</v>
      </c>
    </row>
    <row r="100" spans="3:24" ht="12.75" customHeight="1" x14ac:dyDescent="0.2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0"/>
        <v>5318771.0045811161</v>
      </c>
      <c r="S100" s="6">
        <f t="shared" si="20"/>
        <v>4262819.5939168073</v>
      </c>
      <c r="T100" s="6">
        <f t="shared" si="20"/>
        <v>2830427.9760914496</v>
      </c>
      <c r="U100" s="6">
        <f t="shared" si="20"/>
        <v>3388295.3331698095</v>
      </c>
      <c r="V100" s="6">
        <f t="shared" si="20"/>
        <v>2924449.5944183986</v>
      </c>
      <c r="W100" s="68">
        <f t="shared" si="21"/>
        <v>18724763.502177581</v>
      </c>
    </row>
    <row r="101" spans="3:24" ht="12.75" customHeight="1" x14ac:dyDescent="0.2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5318771.0045811161</v>
      </c>
      <c r="S101" s="22">
        <f t="shared" ref="S101:W101" si="22">SUM(S99:S100)</f>
        <v>4262819.5939168073</v>
      </c>
      <c r="T101" s="22">
        <f t="shared" si="22"/>
        <v>2830427.9760914496</v>
      </c>
      <c r="U101" s="22">
        <f t="shared" si="22"/>
        <v>3388295.3331698095</v>
      </c>
      <c r="V101" s="22">
        <f t="shared" si="22"/>
        <v>2924449.5944183986</v>
      </c>
      <c r="W101" s="22">
        <f t="shared" si="22"/>
        <v>18724763.502177581</v>
      </c>
    </row>
    <row r="102" spans="3:24" ht="12.75" customHeight="1" x14ac:dyDescent="0.2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14371470.2190331</v>
      </c>
      <c r="S103" s="8">
        <f t="shared" ref="S103:V103" si="23">S98+S101</f>
        <v>10314672.806037167</v>
      </c>
      <c r="T103" s="8">
        <f t="shared" si="23"/>
        <v>9311006.3337286077</v>
      </c>
      <c r="U103" s="8">
        <f t="shared" si="23"/>
        <v>12640307.383559477</v>
      </c>
      <c r="V103" s="8">
        <f t="shared" si="23"/>
        <v>8760464.525705548</v>
      </c>
      <c r="W103" s="69">
        <f t="shared" ref="W103" si="24">SUM(R103:V103)</f>
        <v>55397921.268063903</v>
      </c>
    </row>
    <row r="104" spans="3:24" ht="12.75" customHeight="1" x14ac:dyDescent="0.2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2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2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2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2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2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5">R74*business_case_dollars</f>
        <v>4623521.3810255053</v>
      </c>
      <c r="S109" s="34">
        <f t="shared" si="25"/>
        <v>2258844.0200455151</v>
      </c>
      <c r="T109" s="34">
        <f t="shared" si="25"/>
        <v>2856415.5070712795</v>
      </c>
      <c r="U109" s="34">
        <f t="shared" si="25"/>
        <v>4759189.8196559884</v>
      </c>
      <c r="V109" s="34">
        <f t="shared" si="25"/>
        <v>822185.64476701466</v>
      </c>
      <c r="W109" s="67">
        <f>SUM(R109:V109)</f>
        <v>15320156.372565303</v>
      </c>
    </row>
    <row r="110" spans="3:24" ht="12.75" customHeight="1" x14ac:dyDescent="0.2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5"/>
        <v>6055393.3223573873</v>
      </c>
      <c r="S110" s="6">
        <f t="shared" si="25"/>
        <v>2607313.9414224597</v>
      </c>
      <c r="T110" s="6">
        <f t="shared" si="25"/>
        <v>514492.83896251413</v>
      </c>
      <c r="U110" s="6">
        <f t="shared" si="25"/>
        <v>379781.44058966357</v>
      </c>
      <c r="V110" s="6">
        <f t="shared" si="25"/>
        <v>415873.19771295384</v>
      </c>
      <c r="W110" s="68">
        <f t="shared" ref="W110:W124" si="26">SUM(R110:V110)</f>
        <v>9972854.7410449795</v>
      </c>
    </row>
    <row r="111" spans="3:24" ht="12.75" customHeight="1" x14ac:dyDescent="0.2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8">
        <f t="shared" si="26"/>
        <v>0</v>
      </c>
    </row>
    <row r="112" spans="3:24" ht="12.75" customHeight="1" x14ac:dyDescent="0.2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2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2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2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10678914.703382893</v>
      </c>
      <c r="S115" s="22">
        <f t="shared" ref="S115:V115" si="27">SUM(S109:S114)</f>
        <v>4866157.9614679748</v>
      </c>
      <c r="T115" s="22">
        <f t="shared" si="27"/>
        <v>3370908.3460337934</v>
      </c>
      <c r="U115" s="22">
        <f t="shared" si="27"/>
        <v>5138971.2602456519</v>
      </c>
      <c r="V115" s="22">
        <f t="shared" si="27"/>
        <v>1238058.8424799684</v>
      </c>
      <c r="W115" s="22">
        <f>SUM(W109:W114)</f>
        <v>25293011.113610283</v>
      </c>
    </row>
    <row r="116" spans="3:24" ht="12.75" customHeight="1" x14ac:dyDescent="0.2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28">R81*business_case_dollars</f>
        <v>0</v>
      </c>
      <c r="S116" s="112">
        <f t="shared" si="28"/>
        <v>0</v>
      </c>
      <c r="T116" s="112">
        <f t="shared" si="28"/>
        <v>0</v>
      </c>
      <c r="U116" s="112">
        <f t="shared" si="28"/>
        <v>0</v>
      </c>
      <c r="V116" s="112">
        <f t="shared" si="28"/>
        <v>0</v>
      </c>
      <c r="W116" s="68">
        <f>SUM(R116:V116)</f>
        <v>0</v>
      </c>
    </row>
    <row r="117" spans="3:24" ht="12.75" customHeight="1" x14ac:dyDescent="0.2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28"/>
        <v>-2756534.4376122756</v>
      </c>
      <c r="S117" s="6">
        <f t="shared" si="28"/>
        <v>-1209342.8880042408</v>
      </c>
      <c r="T117" s="6">
        <f t="shared" si="28"/>
        <v>-560762.47159457195</v>
      </c>
      <c r="U117" s="6">
        <f t="shared" si="28"/>
        <v>-505232.58218896942</v>
      </c>
      <c r="V117" s="6">
        <f t="shared" si="28"/>
        <v>-456003.45886018121</v>
      </c>
      <c r="W117" s="68">
        <f t="shared" ref="W117:W121" si="29">SUM(R117:V117)</f>
        <v>-5487875.838260239</v>
      </c>
    </row>
    <row r="118" spans="3:24" ht="12.75" customHeight="1" x14ac:dyDescent="0.2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28"/>
        <v>2152483.1741985846</v>
      </c>
      <c r="S118" s="6">
        <f t="shared" si="28"/>
        <v>3078368.9005619157</v>
      </c>
      <c r="T118" s="6">
        <f t="shared" si="28"/>
        <v>4402171.7358688684</v>
      </c>
      <c r="U118" s="6">
        <f t="shared" si="28"/>
        <v>5662942.5376207251</v>
      </c>
      <c r="V118" s="6">
        <f t="shared" si="28"/>
        <v>5712919.4380857674</v>
      </c>
      <c r="W118" s="68">
        <f t="shared" si="29"/>
        <v>21008885.786335859</v>
      </c>
    </row>
    <row r="119" spans="3:24" ht="12.75" customHeight="1" x14ac:dyDescent="0.2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28"/>
        <v>5019715.7057878384</v>
      </c>
      <c r="S119" s="6">
        <f t="shared" si="28"/>
        <v>4699629.3296058122</v>
      </c>
      <c r="T119" s="6">
        <f t="shared" si="28"/>
        <v>1778187.3157580884</v>
      </c>
      <c r="U119" s="6">
        <f t="shared" si="28"/>
        <v>1917726.9265881171</v>
      </c>
      <c r="V119" s="6">
        <f t="shared" si="28"/>
        <v>925887.22480939433</v>
      </c>
      <c r="W119" s="6">
        <f t="shared" si="29"/>
        <v>14341146.502549252</v>
      </c>
    </row>
    <row r="120" spans="3:24" ht="12.75" customHeight="1" x14ac:dyDescent="0.2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28"/>
        <v>899611.80860439152</v>
      </c>
      <c r="S120" s="6">
        <f t="shared" si="28"/>
        <v>44516.505856663862</v>
      </c>
      <c r="T120" s="6">
        <f t="shared" si="28"/>
        <v>1371831.7736054177</v>
      </c>
      <c r="U120" s="6">
        <f t="shared" si="28"/>
        <v>1853149.7994908995</v>
      </c>
      <c r="V120" s="6">
        <f t="shared" si="28"/>
        <v>2328769.7126267282</v>
      </c>
      <c r="W120" s="6">
        <f t="shared" si="29"/>
        <v>6497879.6001841007</v>
      </c>
    </row>
    <row r="121" spans="3:24" ht="12.75" customHeight="1" x14ac:dyDescent="0.2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2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5315276.2509785388</v>
      </c>
      <c r="S122" s="22">
        <f t="shared" ref="S122:W122" si="30">SUM(S116:S121)</f>
        <v>6613171.8480201513</v>
      </c>
      <c r="T122" s="22">
        <f t="shared" si="30"/>
        <v>6991428.3536378024</v>
      </c>
      <c r="U122" s="22">
        <f t="shared" si="30"/>
        <v>8928586.6815107726</v>
      </c>
      <c r="V122" s="22">
        <f t="shared" si="30"/>
        <v>8511572.9166617095</v>
      </c>
      <c r="W122" s="22">
        <f t="shared" si="30"/>
        <v>36360036.050808974</v>
      </c>
    </row>
    <row r="123" spans="3:24" ht="12.75" customHeight="1" x14ac:dyDescent="0.2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2">
      <c r="C124" s="7" t="str">
        <f>"Total Expenditure ($ "&amp;Assumptions!$C$39&amp;")"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15994190.954361431</v>
      </c>
      <c r="S124" s="8">
        <f t="shared" ref="S124:V124" si="31">S115+S122</f>
        <v>11479329.809488125</v>
      </c>
      <c r="T124" s="8">
        <f t="shared" si="31"/>
        <v>10362336.699671596</v>
      </c>
      <c r="U124" s="8">
        <f t="shared" si="31"/>
        <v>14067557.941756424</v>
      </c>
      <c r="V124" s="8">
        <f t="shared" si="31"/>
        <v>9749631.759141678</v>
      </c>
      <c r="W124" s="69">
        <f t="shared" si="26"/>
        <v>61653047.164419256</v>
      </c>
    </row>
    <row r="125" spans="3:24" x14ac:dyDescent="0.2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2">
      <c r="C126" s="54" t="str">
        <f>"NPV ($ "&amp;Assumptions!$C$39&amp;")"</f>
        <v>NPV ($ June 2026)</v>
      </c>
      <c r="D126" s="55">
        <f>NPV(Real_Discount_rate,R124:V124)</f>
        <v>55983628.162714884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2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2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10678914.703382894</v>
      </c>
      <c r="S130" s="25">
        <f t="shared" si="32"/>
        <v>4866157.9614679748</v>
      </c>
      <c r="T130" s="25">
        <f t="shared" si="32"/>
        <v>3370908.3460337939</v>
      </c>
      <c r="U130" s="25">
        <f t="shared" si="32"/>
        <v>5138971.2602456519</v>
      </c>
      <c r="V130" s="25">
        <f t="shared" si="32"/>
        <v>1238058.8424799684</v>
      </c>
      <c r="W130" s="68">
        <f t="shared" ref="W130:W131" si="33">SUM(R130:V130)</f>
        <v>25293011.113610283</v>
      </c>
    </row>
    <row r="131" spans="3:24" x14ac:dyDescent="0.2">
      <c r="D131" s="1" t="s">
        <v>54</v>
      </c>
      <c r="G131" s="1" t="s">
        <v>1</v>
      </c>
      <c r="H131" s="2"/>
      <c r="K131" s="2"/>
      <c r="Q131" s="2"/>
      <c r="R131" s="107">
        <f t="shared" si="32"/>
        <v>-604051.26341369061</v>
      </c>
      <c r="S131" s="107">
        <f t="shared" si="32"/>
        <v>1869026.0125576754</v>
      </c>
      <c r="T131" s="107">
        <f t="shared" si="32"/>
        <v>3841409.2642742968</v>
      </c>
      <c r="U131" s="107">
        <f t="shared" si="32"/>
        <v>5157709.9554317556</v>
      </c>
      <c r="V131" s="107">
        <f t="shared" si="32"/>
        <v>5256915.9792255862</v>
      </c>
      <c r="W131" s="68">
        <f t="shared" si="33"/>
        <v>15521009.948075622</v>
      </c>
    </row>
    <row r="132" spans="3:24" x14ac:dyDescent="0.2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10074863.439969204</v>
      </c>
      <c r="S132" s="22">
        <f t="shared" ref="S132:W132" si="34">SUM(S130:S131)</f>
        <v>6735183.9740256499</v>
      </c>
      <c r="T132" s="22">
        <f t="shared" si="34"/>
        <v>7212317.6103080902</v>
      </c>
      <c r="U132" s="22">
        <f t="shared" si="34"/>
        <v>10296681.215677407</v>
      </c>
      <c r="V132" s="22">
        <f t="shared" si="34"/>
        <v>6494974.8217055546</v>
      </c>
      <c r="W132" s="22">
        <f t="shared" si="34"/>
        <v>40814021.061685905</v>
      </c>
    </row>
    <row r="133" spans="3:24" x14ac:dyDescent="0.2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8">
        <f t="shared" ref="W133:W134" si="36">SUM(R133:V133)</f>
        <v>0</v>
      </c>
    </row>
    <row r="134" spans="3:24" x14ac:dyDescent="0.2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5"/>
        <v>5919327.5143922297</v>
      </c>
      <c r="S134" s="6">
        <f t="shared" si="35"/>
        <v>4744145.8354624761</v>
      </c>
      <c r="T134" s="6">
        <f t="shared" si="35"/>
        <v>3150019.0893635065</v>
      </c>
      <c r="U134" s="6">
        <f t="shared" si="35"/>
        <v>3770876.7260790165</v>
      </c>
      <c r="V134" s="6">
        <f t="shared" si="35"/>
        <v>3254656.9374361224</v>
      </c>
      <c r="W134" s="68">
        <f t="shared" si="36"/>
        <v>20839026.102733351</v>
      </c>
    </row>
    <row r="135" spans="3:24" x14ac:dyDescent="0.2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5919327.5143922297</v>
      </c>
      <c r="S135" s="22">
        <f t="shared" ref="S135:W135" si="37">SUM(S133:S134)</f>
        <v>4744145.8354624761</v>
      </c>
      <c r="T135" s="22">
        <f t="shared" si="37"/>
        <v>3150019.0893635065</v>
      </c>
      <c r="U135" s="22">
        <f t="shared" si="37"/>
        <v>3770876.7260790165</v>
      </c>
      <c r="V135" s="22">
        <f t="shared" si="37"/>
        <v>3254656.9374361224</v>
      </c>
      <c r="W135" s="22">
        <f t="shared" si="37"/>
        <v>20839026.102733351</v>
      </c>
    </row>
    <row r="136" spans="3:24" x14ac:dyDescent="0.2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15994190.954361435</v>
      </c>
      <c r="S137" s="8">
        <f t="shared" ref="S137:V137" si="38">S132+S135</f>
        <v>11479329.809488125</v>
      </c>
      <c r="T137" s="8">
        <f t="shared" si="38"/>
        <v>10362336.699671596</v>
      </c>
      <c r="U137" s="8">
        <f t="shared" si="38"/>
        <v>14067557.941756424</v>
      </c>
      <c r="V137" s="8">
        <f t="shared" si="38"/>
        <v>9749631.7591416761</v>
      </c>
      <c r="W137" s="69">
        <f t="shared" ref="W137" si="39">SUM(R137:V137)</f>
        <v>61653047.164419256</v>
      </c>
    </row>
    <row r="138" spans="3:24" x14ac:dyDescent="0.2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13" priority="1">
      <formula>$E10="Contracts"</formula>
    </cfRule>
    <cfRule type="expression" dxfId="12" priority="2">
      <formula>$E10="Materials"</formula>
    </cfRule>
    <cfRule type="expression" dxfId="11" priority="3">
      <formula>$E10="Labour"</formula>
    </cfRule>
  </conditionalFormatting>
  <conditionalFormatting sqref="I10:I70">
    <cfRule type="expression" dxfId="10" priority="4">
      <formula>$E10="Contracts"</formula>
    </cfRule>
    <cfRule type="expression" dxfId="9" priority="5">
      <formula>$E10="Materials"</formula>
    </cfRule>
    <cfRule type="expression" dxfId="8" priority="6">
      <formula>$E10="Labour"</formula>
    </cfRule>
  </conditionalFormatting>
  <conditionalFormatting sqref="R90:W90">
    <cfRule type="expression" dxfId="7" priority="14">
      <formula>ABS(R90)&gt;0.001</formula>
    </cfRule>
  </conditionalFormatting>
  <conditionalFormatting sqref="R104:W107">
    <cfRule type="expression" dxfId="6" priority="12">
      <formula>ABS(R104)&gt;0.001</formula>
    </cfRule>
  </conditionalFormatting>
  <conditionalFormatting sqref="R125:W125">
    <cfRule type="expression" dxfId="5" priority="15">
      <formula>ABS(R125)&gt;0.001</formula>
    </cfRule>
  </conditionalFormatting>
  <conditionalFormatting sqref="R138:W138">
    <cfRule type="expression" dxfId="4" priority="10">
      <formula>ABS(R138)&gt;0.001</formula>
    </cfRule>
  </conditionalFormatting>
  <conditionalFormatting sqref="X90">
    <cfRule type="expression" dxfId="3" priority="17">
      <formula>ABS(X90)&gt;0.001</formula>
    </cfRule>
  </conditionalFormatting>
  <conditionalFormatting sqref="X104:X107">
    <cfRule type="expression" dxfId="2" priority="13">
      <formula>ABS(X104)&gt;0.001</formula>
    </cfRule>
  </conditionalFormatting>
  <conditionalFormatting sqref="X125">
    <cfRule type="expression" dxfId="1" priority="16">
      <formula>ABS(X125)&gt;0.001</formula>
    </cfRule>
  </conditionalFormatting>
  <conditionalFormatting sqref="X138">
    <cfRule type="expression" dxfId="0" priority="11">
      <formula>ABS(X138)&gt;0.001</formula>
    </cfRule>
  </conditionalFormatting>
  <dataValidations count="3">
    <dataValidation type="list" allowBlank="1" showInputMessage="1" showErrorMessage="1" sqref="E23:E70 E10:E20" xr:uid="{371755B8-DD23-4812-B2CD-FA1A4D6856D8}">
      <formula1>"Labour, Materials, Contracts"</formula1>
    </dataValidation>
    <dataValidation type="list" allowBlank="1" showInputMessage="1" showErrorMessage="1" sqref="D23:D70 D10:D20" xr:uid="{FF71914D-6334-4F77-BF2F-E155AA1E847D}">
      <formula1>"Capex, Opex"</formula1>
    </dataValidation>
    <dataValidation type="list" allowBlank="1" showInputMessage="1" showErrorMessage="1" sqref="G23:G70 G10:G20" xr:uid="{3047F651-77AC-449E-B516-060314CBD4A5}">
      <formula1>"Recurrent, Non recurrent"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A61319-263B-4320-ABE1-9A5D121F7F8B}">
          <x14:formula1>
            <xm:f>IF($E36="Labour",Assumptions!$A$57:$A$58,Assumptions!$K$11:$K$12)</xm:f>
          </x14:formula1>
          <xm:sqref>F36:F70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Option 4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  <vt:lpstr>'Option 4'!years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2025-01-26T13:31:06Z</dcterms:created>
  <dcterms:modified xsi:type="dcterms:W3CDTF">2025-01-26T13:52:52Z</dcterms:modified>
  <cp:category/>
  <cp:contentStatus/>
</cp:coreProperties>
</file>