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codeName="ThisWorkbook"/>
  <xr:revisionPtr revIDLastSave="0" documentId="13_ncr:1_{AD0D127A-128A-4D0D-BF23-2075B8220D5D}" xr6:coauthVersionLast="47" xr6:coauthVersionMax="47" xr10:uidLastSave="{00000000-0000-0000-0000-000000000000}"/>
  <bookViews>
    <workbookView xWindow="-120" yWindow="-120" windowWidth="29040" windowHeight="15720" tabRatio="896" activeTab="1" xr2:uid="{00000000-000D-0000-FFFF-FFFF00000000}"/>
  </bookViews>
  <sheets>
    <sheet name="Cover" sheetId="90" r:id="rId1"/>
    <sheet name="Powercor summary" sheetId="91" r:id="rId2"/>
    <sheet name="Project summary" sheetId="82" r:id="rId3"/>
    <sheet name="Assumptions" sheetId="74" r:id="rId4"/>
    <sheet name="Option 1" sheetId="79" r:id="rId5"/>
    <sheet name="Option 2" sheetId="84" r:id="rId6"/>
    <sheet name="Option 3" sheetId="85" r:id="rId7"/>
  </sheets>
  <definedNames>
    <definedName name="Business">Assumptions!$B$8</definedName>
    <definedName name="business_case_dollars">Assumptions!$C$38</definedName>
    <definedName name="_xlnm.Print_Area" localSheetId="2">'Project summary'!$A$1:$J$53</definedName>
    <definedName name="Project_name">Assumptions!$B$6</definedName>
    <definedName name="Real_Discount_rate">Assumptions!$B$10</definedName>
    <definedName name="years" localSheetId="4">'Option 1'!$P$8:$T$8</definedName>
    <definedName name="years" localSheetId="5">'Option 2'!$P$8:$T$8</definedName>
    <definedName name="years" localSheetId="6">'Option 3'!$P$8:$T$8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5" i="91" l="1"/>
  <c r="K36" i="91"/>
  <c r="J36" i="91"/>
  <c r="I36" i="91"/>
  <c r="H36" i="91"/>
  <c r="G36" i="91"/>
  <c r="F36" i="91"/>
  <c r="K25" i="91"/>
  <c r="J25" i="91"/>
  <c r="I25" i="91"/>
  <c r="H25" i="91"/>
  <c r="G25" i="91"/>
  <c r="F25" i="91"/>
  <c r="K24" i="91"/>
  <c r="F16" i="91"/>
  <c r="F52" i="82"/>
  <c r="F37" i="82"/>
  <c r="F22" i="82"/>
  <c r="D85" i="79"/>
  <c r="D70" i="79"/>
  <c r="D85" i="84"/>
  <c r="D70" i="84"/>
  <c r="D85" i="85"/>
  <c r="D70" i="85"/>
  <c r="D36" i="91"/>
  <c r="D25" i="91"/>
  <c r="F38" i="91" l="1"/>
  <c r="D6" i="91"/>
  <c r="D14" i="91"/>
  <c r="A3" i="91"/>
  <c r="A1" i="91"/>
  <c r="D6" i="90" a="1"/>
  <c r="D6" i="90" s="1"/>
  <c r="C5" i="90" a="1"/>
  <c r="C5" i="90" s="1"/>
  <c r="J53" i="85"/>
  <c r="L27" i="85"/>
  <c r="N27" i="85" s="1"/>
  <c r="L26" i="85"/>
  <c r="N26" i="85" s="1"/>
  <c r="L18" i="85"/>
  <c r="N18" i="85" s="1"/>
  <c r="N12" i="85"/>
  <c r="M12" i="84"/>
  <c r="L12" i="84"/>
  <c r="M11" i="84"/>
  <c r="L11" i="84"/>
  <c r="C83" i="85" l="1"/>
  <c r="C83" i="84"/>
  <c r="C67" i="85"/>
  <c r="C67" i="84"/>
  <c r="B14" i="74" l="1"/>
  <c r="C50" i="82" l="1"/>
  <c r="C35" i="82"/>
  <c r="C20" i="82"/>
  <c r="A3" i="82"/>
  <c r="B21" i="74" l="1"/>
  <c r="C85" i="85" l="1"/>
  <c r="C70" i="85"/>
  <c r="T54" i="85"/>
  <c r="S54" i="85"/>
  <c r="R54" i="85"/>
  <c r="Q54" i="85"/>
  <c r="P54" i="85"/>
  <c r="H54" i="85"/>
  <c r="G54" i="85"/>
  <c r="T53" i="85"/>
  <c r="S53" i="85"/>
  <c r="R53" i="85"/>
  <c r="Q53" i="85"/>
  <c r="P53" i="85"/>
  <c r="H53" i="85"/>
  <c r="G53" i="85"/>
  <c r="H52" i="85"/>
  <c r="G52" i="85"/>
  <c r="J52" i="85" s="1"/>
  <c r="T51" i="85"/>
  <c r="S51" i="85"/>
  <c r="R51" i="85"/>
  <c r="Q51" i="85"/>
  <c r="P51" i="85"/>
  <c r="H51" i="85"/>
  <c r="G51" i="85"/>
  <c r="T50" i="85"/>
  <c r="S50" i="85"/>
  <c r="R50" i="85"/>
  <c r="Q50" i="85"/>
  <c r="P50" i="85"/>
  <c r="H50" i="85"/>
  <c r="G50" i="85"/>
  <c r="H49" i="85"/>
  <c r="G49" i="85"/>
  <c r="J49" i="85" s="1"/>
  <c r="T48" i="85"/>
  <c r="S48" i="85"/>
  <c r="R48" i="85"/>
  <c r="Q48" i="85"/>
  <c r="P48" i="85"/>
  <c r="H48" i="85"/>
  <c r="G48" i="85"/>
  <c r="T47" i="85"/>
  <c r="S47" i="85"/>
  <c r="R47" i="85"/>
  <c r="Q47" i="85"/>
  <c r="P47" i="85"/>
  <c r="H47" i="85"/>
  <c r="G47" i="85"/>
  <c r="H46" i="85"/>
  <c r="G46" i="85"/>
  <c r="T45" i="85"/>
  <c r="S45" i="85"/>
  <c r="R45" i="85"/>
  <c r="Q45" i="85"/>
  <c r="P45" i="85"/>
  <c r="H45" i="85"/>
  <c r="G45" i="85"/>
  <c r="T44" i="85"/>
  <c r="S44" i="85"/>
  <c r="R44" i="85"/>
  <c r="Q44" i="85"/>
  <c r="P44" i="85"/>
  <c r="H44" i="85"/>
  <c r="G44" i="85"/>
  <c r="H43" i="85"/>
  <c r="G43" i="85"/>
  <c r="T42" i="85"/>
  <c r="S42" i="85"/>
  <c r="R42" i="85"/>
  <c r="Q42" i="85"/>
  <c r="P42" i="85"/>
  <c r="H42" i="85"/>
  <c r="G42" i="85"/>
  <c r="T41" i="85"/>
  <c r="S41" i="85"/>
  <c r="R41" i="85"/>
  <c r="Q41" i="85"/>
  <c r="P41" i="85"/>
  <c r="H41" i="85"/>
  <c r="G41" i="85"/>
  <c r="H40" i="85"/>
  <c r="G40" i="85"/>
  <c r="T39" i="85"/>
  <c r="S39" i="85"/>
  <c r="R39" i="85"/>
  <c r="Q39" i="85"/>
  <c r="P39" i="85"/>
  <c r="H39" i="85"/>
  <c r="G39" i="85"/>
  <c r="T38" i="85"/>
  <c r="S38" i="85"/>
  <c r="R38" i="85"/>
  <c r="Q38" i="85"/>
  <c r="P38" i="85"/>
  <c r="H38" i="85"/>
  <c r="G38" i="85"/>
  <c r="H37" i="85"/>
  <c r="G37" i="85"/>
  <c r="J37" i="85" s="1"/>
  <c r="T36" i="85"/>
  <c r="S36" i="85"/>
  <c r="R36" i="85"/>
  <c r="Q36" i="85"/>
  <c r="P36" i="85"/>
  <c r="H36" i="85"/>
  <c r="G36" i="85"/>
  <c r="T35" i="85"/>
  <c r="S35" i="85"/>
  <c r="R35" i="85"/>
  <c r="Q35" i="85"/>
  <c r="P35" i="85"/>
  <c r="H35" i="85"/>
  <c r="G35" i="85"/>
  <c r="H34" i="85"/>
  <c r="G34" i="85"/>
  <c r="T33" i="85"/>
  <c r="S33" i="85"/>
  <c r="R33" i="85"/>
  <c r="Q33" i="85"/>
  <c r="P33" i="85"/>
  <c r="H33" i="85"/>
  <c r="G33" i="85"/>
  <c r="T32" i="85"/>
  <c r="S32" i="85"/>
  <c r="R32" i="85"/>
  <c r="Q32" i="85"/>
  <c r="P32" i="85"/>
  <c r="H32" i="85"/>
  <c r="G32" i="85"/>
  <c r="H31" i="85"/>
  <c r="G31" i="85"/>
  <c r="T30" i="85"/>
  <c r="S30" i="85"/>
  <c r="R30" i="85"/>
  <c r="Q30" i="85"/>
  <c r="P30" i="85"/>
  <c r="H30" i="85"/>
  <c r="G30" i="85"/>
  <c r="T29" i="85"/>
  <c r="S29" i="85"/>
  <c r="R29" i="85"/>
  <c r="Q29" i="85"/>
  <c r="P29" i="85"/>
  <c r="H29" i="85"/>
  <c r="G29" i="85"/>
  <c r="H28" i="85"/>
  <c r="G28" i="85"/>
  <c r="T27" i="85"/>
  <c r="S27" i="85"/>
  <c r="R27" i="85"/>
  <c r="Q27" i="85"/>
  <c r="P27" i="85"/>
  <c r="H27" i="85"/>
  <c r="G27" i="85"/>
  <c r="T26" i="85"/>
  <c r="S26" i="85"/>
  <c r="R26" i="85"/>
  <c r="Q26" i="85"/>
  <c r="P26" i="85"/>
  <c r="H26" i="85"/>
  <c r="G26" i="85"/>
  <c r="H25" i="85"/>
  <c r="G25" i="85"/>
  <c r="L25" i="85" s="1"/>
  <c r="N25" i="85" s="1"/>
  <c r="T24" i="85"/>
  <c r="S24" i="85"/>
  <c r="R24" i="85"/>
  <c r="Q24" i="85"/>
  <c r="P24" i="85"/>
  <c r="H24" i="85"/>
  <c r="G24" i="85"/>
  <c r="H23" i="85"/>
  <c r="G23" i="85"/>
  <c r="S23" i="85" s="1"/>
  <c r="H22" i="85"/>
  <c r="G22" i="85"/>
  <c r="T21" i="85"/>
  <c r="S21" i="85"/>
  <c r="R21" i="85"/>
  <c r="Q21" i="85"/>
  <c r="P21" i="85"/>
  <c r="H21" i="85"/>
  <c r="G21" i="85"/>
  <c r="T20" i="85"/>
  <c r="S20" i="85"/>
  <c r="R20" i="85"/>
  <c r="Q20" i="85"/>
  <c r="P20" i="85"/>
  <c r="H20" i="85"/>
  <c r="G20" i="85"/>
  <c r="H19" i="85"/>
  <c r="G19" i="85"/>
  <c r="T18" i="85"/>
  <c r="S18" i="85"/>
  <c r="R18" i="85"/>
  <c r="Q18" i="85"/>
  <c r="P18" i="85"/>
  <c r="H18" i="85"/>
  <c r="G18" i="85"/>
  <c r="T17" i="85"/>
  <c r="S17" i="85"/>
  <c r="Q17" i="85"/>
  <c r="P17" i="85"/>
  <c r="H17" i="85"/>
  <c r="G17" i="85"/>
  <c r="R17" i="85" s="1"/>
  <c r="H16" i="85"/>
  <c r="G16" i="85"/>
  <c r="J16" i="85" s="1"/>
  <c r="L16" i="85" s="1"/>
  <c r="N16" i="85" s="1"/>
  <c r="T15" i="85"/>
  <c r="S15" i="85"/>
  <c r="R15" i="85"/>
  <c r="Q15" i="85"/>
  <c r="P15" i="85"/>
  <c r="H15" i="85"/>
  <c r="G15" i="85"/>
  <c r="Q14" i="85"/>
  <c r="P14" i="85"/>
  <c r="H14" i="85"/>
  <c r="G14" i="85"/>
  <c r="S14" i="85" s="1"/>
  <c r="H13" i="85"/>
  <c r="G13" i="85"/>
  <c r="J13" i="85" s="1"/>
  <c r="L13" i="85" s="1"/>
  <c r="N13" i="85" s="1"/>
  <c r="H12" i="85"/>
  <c r="G12" i="85"/>
  <c r="T12" i="85" s="1"/>
  <c r="H11" i="85"/>
  <c r="G11" i="85"/>
  <c r="S11" i="85" s="1"/>
  <c r="H10" i="85"/>
  <c r="G10" i="85"/>
  <c r="A5" i="85"/>
  <c r="V3" i="85"/>
  <c r="A2" i="85"/>
  <c r="A1" i="85"/>
  <c r="C85" i="84"/>
  <c r="C70" i="84"/>
  <c r="T54" i="84"/>
  <c r="S54" i="84"/>
  <c r="R54" i="84"/>
  <c r="Q54" i="84"/>
  <c r="P54" i="84"/>
  <c r="H54" i="84"/>
  <c r="G54" i="84"/>
  <c r="T53" i="84"/>
  <c r="S53" i="84"/>
  <c r="R53" i="84"/>
  <c r="Q53" i="84"/>
  <c r="P53" i="84"/>
  <c r="H53" i="84"/>
  <c r="G53" i="84"/>
  <c r="H52" i="84"/>
  <c r="G52" i="84"/>
  <c r="J52" i="84" s="1"/>
  <c r="T51" i="84"/>
  <c r="S51" i="84"/>
  <c r="R51" i="84"/>
  <c r="Q51" i="84"/>
  <c r="P51" i="84"/>
  <c r="H51" i="84"/>
  <c r="G51" i="84"/>
  <c r="T50" i="84"/>
  <c r="S50" i="84"/>
  <c r="R50" i="84"/>
  <c r="Q50" i="84"/>
  <c r="P50" i="84"/>
  <c r="H50" i="84"/>
  <c r="G50" i="84"/>
  <c r="H49" i="84"/>
  <c r="G49" i="84"/>
  <c r="J49" i="84" s="1"/>
  <c r="T48" i="84"/>
  <c r="S48" i="84"/>
  <c r="R48" i="84"/>
  <c r="Q48" i="84"/>
  <c r="P48" i="84"/>
  <c r="H48" i="84"/>
  <c r="G48" i="84"/>
  <c r="T47" i="84"/>
  <c r="S47" i="84"/>
  <c r="R47" i="84"/>
  <c r="Q47" i="84"/>
  <c r="P47" i="84"/>
  <c r="H47" i="84"/>
  <c r="G47" i="84"/>
  <c r="H46" i="84"/>
  <c r="G46" i="84"/>
  <c r="T45" i="84"/>
  <c r="S45" i="84"/>
  <c r="R45" i="84"/>
  <c r="Q45" i="84"/>
  <c r="P45" i="84"/>
  <c r="H45" i="84"/>
  <c r="G45" i="84"/>
  <c r="T44" i="84"/>
  <c r="S44" i="84"/>
  <c r="R44" i="84"/>
  <c r="Q44" i="84"/>
  <c r="P44" i="84"/>
  <c r="H44" i="84"/>
  <c r="G44" i="84"/>
  <c r="H43" i="84"/>
  <c r="G43" i="84"/>
  <c r="T42" i="84"/>
  <c r="S42" i="84"/>
  <c r="R42" i="84"/>
  <c r="Q42" i="84"/>
  <c r="P42" i="84"/>
  <c r="H42" i="84"/>
  <c r="G42" i="84"/>
  <c r="T41" i="84"/>
  <c r="S41" i="84"/>
  <c r="R41" i="84"/>
  <c r="Q41" i="84"/>
  <c r="P41" i="84"/>
  <c r="H41" i="84"/>
  <c r="G41" i="84"/>
  <c r="H40" i="84"/>
  <c r="G40" i="84"/>
  <c r="K40" i="84" s="1"/>
  <c r="S39" i="84"/>
  <c r="Q39" i="84"/>
  <c r="H39" i="84"/>
  <c r="G39" i="84"/>
  <c r="S38" i="84"/>
  <c r="Q38" i="84"/>
  <c r="H38" i="84"/>
  <c r="G38" i="84"/>
  <c r="H37" i="84"/>
  <c r="G37" i="84"/>
  <c r="J37" i="84" s="1"/>
  <c r="S36" i="84"/>
  <c r="Q36" i="84"/>
  <c r="H36" i="84"/>
  <c r="G36" i="84"/>
  <c r="S35" i="84"/>
  <c r="Q35" i="84"/>
  <c r="H35" i="84"/>
  <c r="G35" i="84"/>
  <c r="H34" i="84"/>
  <c r="G34" i="84"/>
  <c r="T33" i="84"/>
  <c r="S33" i="84"/>
  <c r="R33" i="84"/>
  <c r="Q33" i="84"/>
  <c r="P33" i="84"/>
  <c r="H33" i="84"/>
  <c r="G33" i="84"/>
  <c r="T32" i="84"/>
  <c r="S32" i="84"/>
  <c r="R32" i="84"/>
  <c r="Q32" i="84"/>
  <c r="P32" i="84"/>
  <c r="H32" i="84"/>
  <c r="G32" i="84"/>
  <c r="H31" i="84"/>
  <c r="G31" i="84"/>
  <c r="T30" i="84"/>
  <c r="S30" i="84"/>
  <c r="R30" i="84"/>
  <c r="Q30" i="84"/>
  <c r="P30" i="84"/>
  <c r="H30" i="84"/>
  <c r="G30" i="84"/>
  <c r="T29" i="84"/>
  <c r="S29" i="84"/>
  <c r="R29" i="84"/>
  <c r="Q29" i="84"/>
  <c r="P29" i="84"/>
  <c r="H29" i="84"/>
  <c r="G29" i="84"/>
  <c r="H28" i="84"/>
  <c r="G28" i="84"/>
  <c r="S27" i="84"/>
  <c r="Q27" i="84"/>
  <c r="H27" i="84"/>
  <c r="G27" i="84"/>
  <c r="S26" i="84"/>
  <c r="Q26" i="84"/>
  <c r="H26" i="84"/>
  <c r="G26" i="84"/>
  <c r="H25" i="84"/>
  <c r="G25" i="84"/>
  <c r="T24" i="84"/>
  <c r="S24" i="84"/>
  <c r="R24" i="84"/>
  <c r="Q24" i="84"/>
  <c r="P24" i="84"/>
  <c r="H24" i="84"/>
  <c r="G24" i="84"/>
  <c r="T23" i="84"/>
  <c r="S23" i="84"/>
  <c r="R23" i="84"/>
  <c r="Q23" i="84"/>
  <c r="P23" i="84"/>
  <c r="H23" i="84"/>
  <c r="G23" i="84"/>
  <c r="H22" i="84"/>
  <c r="G22" i="84"/>
  <c r="T21" i="84"/>
  <c r="S21" i="84"/>
  <c r="R21" i="84"/>
  <c r="Q21" i="84"/>
  <c r="P21" i="84"/>
  <c r="H21" i="84"/>
  <c r="G21" i="84"/>
  <c r="T20" i="84"/>
  <c r="S20" i="84"/>
  <c r="R20" i="84"/>
  <c r="Q20" i="84"/>
  <c r="P20" i="84"/>
  <c r="H20" i="84"/>
  <c r="G20" i="84"/>
  <c r="H19" i="84"/>
  <c r="G19" i="84"/>
  <c r="T18" i="84"/>
  <c r="S18" i="84"/>
  <c r="R18" i="84"/>
  <c r="Q18" i="84"/>
  <c r="P18" i="84"/>
  <c r="H18" i="84"/>
  <c r="G18" i="84"/>
  <c r="T17" i="84"/>
  <c r="S17" i="84"/>
  <c r="R17" i="84"/>
  <c r="Q17" i="84"/>
  <c r="P17" i="84"/>
  <c r="H17" i="84"/>
  <c r="G17" i="84"/>
  <c r="H16" i="84"/>
  <c r="G16" i="84"/>
  <c r="T15" i="84"/>
  <c r="S15" i="84"/>
  <c r="R15" i="84"/>
  <c r="Q15" i="84"/>
  <c r="P15" i="84"/>
  <c r="H15" i="84"/>
  <c r="G15" i="84"/>
  <c r="T14" i="84"/>
  <c r="S14" i="84"/>
  <c r="R14" i="84"/>
  <c r="Q14" i="84"/>
  <c r="P14" i="84"/>
  <c r="H14" i="84"/>
  <c r="G14" i="84"/>
  <c r="H13" i="84"/>
  <c r="G13" i="84"/>
  <c r="H12" i="84"/>
  <c r="G12" i="84"/>
  <c r="T12" i="84" s="1"/>
  <c r="H11" i="84"/>
  <c r="G11" i="84"/>
  <c r="T11" i="84" s="1"/>
  <c r="H10" i="84"/>
  <c r="G10" i="84"/>
  <c r="A5" i="84"/>
  <c r="V3" i="84"/>
  <c r="A2" i="84"/>
  <c r="A1" i="84"/>
  <c r="J40" i="82"/>
  <c r="I40" i="82"/>
  <c r="H40" i="82"/>
  <c r="G40" i="82"/>
  <c r="F40" i="82"/>
  <c r="J25" i="82"/>
  <c r="I25" i="82"/>
  <c r="H25" i="82"/>
  <c r="G25" i="82"/>
  <c r="F25" i="82"/>
  <c r="A2" i="82"/>
  <c r="A1" i="82"/>
  <c r="C85" i="79"/>
  <c r="C83" i="79"/>
  <c r="C37" i="74"/>
  <c r="C38" i="74" s="1"/>
  <c r="J22" i="84" l="1"/>
  <c r="N22" i="84"/>
  <c r="M22" i="84"/>
  <c r="S22" i="84" s="1"/>
  <c r="L22" i="84"/>
  <c r="R22" i="84" s="1"/>
  <c r="K22" i="84"/>
  <c r="Q22" i="84" s="1"/>
  <c r="R25" i="85"/>
  <c r="S25" i="85"/>
  <c r="R34" i="85"/>
  <c r="M34" i="85"/>
  <c r="S34" i="85" s="1"/>
  <c r="K34" i="85"/>
  <c r="Q34" i="85" s="1"/>
  <c r="N43" i="85"/>
  <c r="T43" i="85" s="1"/>
  <c r="L43" i="85"/>
  <c r="R43" i="85" s="1"/>
  <c r="J43" i="85"/>
  <c r="P43" i="85" s="1"/>
  <c r="M16" i="84"/>
  <c r="S16" i="84" s="1"/>
  <c r="J16" i="84"/>
  <c r="N25" i="84"/>
  <c r="K25" i="84"/>
  <c r="Q25" i="84" s="1"/>
  <c r="N19" i="84"/>
  <c r="M19" i="84"/>
  <c r="S19" i="84" s="1"/>
  <c r="L19" i="84"/>
  <c r="R19" i="84" s="1"/>
  <c r="K19" i="84"/>
  <c r="Q19" i="84" s="1"/>
  <c r="J19" i="84"/>
  <c r="P19" i="84" s="1"/>
  <c r="L31" i="85"/>
  <c r="R31" i="85" s="1"/>
  <c r="K31" i="85"/>
  <c r="Q31" i="85" s="1"/>
  <c r="N43" i="84"/>
  <c r="J43" i="84"/>
  <c r="P43" i="84" s="1"/>
  <c r="N22" i="85"/>
  <c r="T22" i="85" s="1"/>
  <c r="M22" i="85"/>
  <c r="S22" i="85" s="1"/>
  <c r="L22" i="85"/>
  <c r="R22" i="85" s="1"/>
  <c r="K22" i="85"/>
  <c r="Q22" i="85" s="1"/>
  <c r="J22" i="85"/>
  <c r="P22" i="85" s="1"/>
  <c r="L46" i="84"/>
  <c r="R46" i="84" s="1"/>
  <c r="K46" i="84"/>
  <c r="Q46" i="84" s="1"/>
  <c r="J46" i="84"/>
  <c r="P46" i="84" s="1"/>
  <c r="M46" i="84"/>
  <c r="S46" i="84" s="1"/>
  <c r="J28" i="85"/>
  <c r="P28" i="85" s="1"/>
  <c r="N31" i="85"/>
  <c r="M31" i="85"/>
  <c r="S31" i="85" s="1"/>
  <c r="N28" i="85"/>
  <c r="M28" i="85"/>
  <c r="S28" i="85" s="1"/>
  <c r="L28" i="85"/>
  <c r="K28" i="85"/>
  <c r="Q28" i="85" s="1"/>
  <c r="N46" i="85"/>
  <c r="T46" i="85" s="1"/>
  <c r="M46" i="85"/>
  <c r="S46" i="85" s="1"/>
  <c r="L46" i="85"/>
  <c r="R46" i="85" s="1"/>
  <c r="K46" i="85"/>
  <c r="Q46" i="85" s="1"/>
  <c r="J46" i="85"/>
  <c r="P46" i="85" s="1"/>
  <c r="L10" i="85"/>
  <c r="N10" i="85" s="1"/>
  <c r="T10" i="85" s="1"/>
  <c r="K10" i="85"/>
  <c r="Q10" i="85" s="1"/>
  <c r="K40" i="85"/>
  <c r="M40" i="85"/>
  <c r="S40" i="85" s="1"/>
  <c r="N34" i="84"/>
  <c r="K34" i="84"/>
  <c r="Q25" i="85"/>
  <c r="N13" i="84"/>
  <c r="T13" i="84" s="1"/>
  <c r="K13" i="84"/>
  <c r="Q13" i="84" s="1"/>
  <c r="N28" i="84"/>
  <c r="T28" i="84" s="1"/>
  <c r="T62" i="84" s="1"/>
  <c r="M28" i="84"/>
  <c r="S28" i="84" s="1"/>
  <c r="S62" i="84" s="1"/>
  <c r="L28" i="84"/>
  <c r="R28" i="84" s="1"/>
  <c r="R62" i="84" s="1"/>
  <c r="K28" i="84"/>
  <c r="Q28" i="84" s="1"/>
  <c r="Q62" i="84" s="1"/>
  <c r="J28" i="84"/>
  <c r="P28" i="84" s="1"/>
  <c r="N31" i="84"/>
  <c r="M31" i="84"/>
  <c r="S31" i="84" s="1"/>
  <c r="T25" i="85"/>
  <c r="M10" i="84"/>
  <c r="L10" i="84"/>
  <c r="R10" i="84" s="1"/>
  <c r="K31" i="84"/>
  <c r="Q31" i="84" s="1"/>
  <c r="L31" i="84"/>
  <c r="R31" i="84" s="1"/>
  <c r="K19" i="85"/>
  <c r="Q19" i="85" s="1"/>
  <c r="J19" i="85"/>
  <c r="P19" i="85" s="1"/>
  <c r="N19" i="85"/>
  <c r="T19" i="85" s="1"/>
  <c r="M19" i="85"/>
  <c r="S19" i="85" s="1"/>
  <c r="L19" i="85"/>
  <c r="P34" i="85"/>
  <c r="P25" i="85"/>
  <c r="R19" i="85"/>
  <c r="Q49" i="85"/>
  <c r="P49" i="85"/>
  <c r="Q34" i="84"/>
  <c r="T43" i="84"/>
  <c r="S43" i="85"/>
  <c r="S49" i="85"/>
  <c r="T49" i="85"/>
  <c r="P31" i="85"/>
  <c r="T37" i="85"/>
  <c r="T31" i="84"/>
  <c r="T13" i="85"/>
  <c r="Q16" i="85"/>
  <c r="T31" i="85"/>
  <c r="T28" i="85"/>
  <c r="R28" i="85"/>
  <c r="T52" i="85"/>
  <c r="P52" i="85"/>
  <c r="P16" i="85"/>
  <c r="P40" i="85"/>
  <c r="R16" i="85"/>
  <c r="S16" i="85"/>
  <c r="Q40" i="85"/>
  <c r="P22" i="84"/>
  <c r="T22" i="84"/>
  <c r="T19" i="84"/>
  <c r="R49" i="85"/>
  <c r="R52" i="85"/>
  <c r="S52" i="85"/>
  <c r="Q52" i="85"/>
  <c r="T16" i="85"/>
  <c r="T34" i="85"/>
  <c r="R40" i="85"/>
  <c r="Q37" i="85"/>
  <c r="T40" i="85"/>
  <c r="P37" i="85"/>
  <c r="R37" i="85"/>
  <c r="S37" i="85"/>
  <c r="Q43" i="85"/>
  <c r="S13" i="84"/>
  <c r="Q16" i="84"/>
  <c r="S25" i="84"/>
  <c r="S37" i="84"/>
  <c r="T49" i="84"/>
  <c r="S49" i="84"/>
  <c r="T46" i="84"/>
  <c r="Q52" i="84"/>
  <c r="Q40" i="84"/>
  <c r="P40" i="84"/>
  <c r="S34" i="84"/>
  <c r="Q43" i="84"/>
  <c r="R49" i="84"/>
  <c r="P49" i="84"/>
  <c r="T14" i="85"/>
  <c r="R14" i="85"/>
  <c r="P23" i="85"/>
  <c r="T23" i="85"/>
  <c r="T62" i="85" s="1"/>
  <c r="Q23" i="85"/>
  <c r="R23" i="85"/>
  <c r="S40" i="84"/>
  <c r="R43" i="84"/>
  <c r="S52" i="84"/>
  <c r="R16" i="84"/>
  <c r="R52" i="84"/>
  <c r="P10" i="84"/>
  <c r="T16" i="84"/>
  <c r="Q64" i="84"/>
  <c r="Q37" i="84"/>
  <c r="T40" i="84"/>
  <c r="S43" i="84"/>
  <c r="Q49" i="84"/>
  <c r="P52" i="84"/>
  <c r="T52" i="84"/>
  <c r="R40" i="84"/>
  <c r="P16" i="84"/>
  <c r="P31" i="84"/>
  <c r="T64" i="84"/>
  <c r="P64" i="84"/>
  <c r="R64" i="84"/>
  <c r="S64" i="84"/>
  <c r="S63" i="85"/>
  <c r="R63" i="85"/>
  <c r="T63" i="85"/>
  <c r="P63" i="85"/>
  <c r="Q63" i="85"/>
  <c r="P63" i="84"/>
  <c r="T63" i="84"/>
  <c r="R63" i="84"/>
  <c r="S63" i="84"/>
  <c r="Q63" i="84"/>
  <c r="T11" i="85"/>
  <c r="T60" i="85"/>
  <c r="P13" i="84"/>
  <c r="S10" i="85"/>
  <c r="Q10" i="84"/>
  <c r="R11" i="84"/>
  <c r="S12" i="84"/>
  <c r="S60" i="84" s="1"/>
  <c r="S10" i="84"/>
  <c r="T10" i="84"/>
  <c r="S59" i="85"/>
  <c r="P12" i="85"/>
  <c r="P60" i="85" s="1"/>
  <c r="Q13" i="85"/>
  <c r="P11" i="85"/>
  <c r="Q12" i="85"/>
  <c r="Q60" i="85" s="1"/>
  <c r="P10" i="85"/>
  <c r="Q11" i="85"/>
  <c r="Q59" i="85" s="1"/>
  <c r="R12" i="85"/>
  <c r="R60" i="85" s="1"/>
  <c r="S13" i="85"/>
  <c r="R11" i="85"/>
  <c r="S12" i="85"/>
  <c r="S62" i="85" s="1"/>
  <c r="P12" i="84"/>
  <c r="P11" i="84"/>
  <c r="Q12" i="84"/>
  <c r="Q60" i="84" s="1"/>
  <c r="R13" i="84"/>
  <c r="Q11" i="84"/>
  <c r="Q59" i="84" s="1"/>
  <c r="R12" i="84"/>
  <c r="S11" i="84"/>
  <c r="S59" i="84" s="1"/>
  <c r="R59" i="85" l="1"/>
  <c r="T59" i="85"/>
  <c r="P13" i="85"/>
  <c r="P58" i="85" s="1"/>
  <c r="R10" i="85"/>
  <c r="R58" i="85" s="1"/>
  <c r="R13" i="85"/>
  <c r="S60" i="85"/>
  <c r="P59" i="85"/>
  <c r="P62" i="84"/>
  <c r="P78" i="84" s="1"/>
  <c r="F30" i="82" s="1"/>
  <c r="Q78" i="84"/>
  <c r="G30" i="82" s="1"/>
  <c r="T64" i="85"/>
  <c r="S64" i="85"/>
  <c r="R78" i="84"/>
  <c r="H30" i="82" s="1"/>
  <c r="S78" i="84"/>
  <c r="I30" i="82" s="1"/>
  <c r="Q80" i="84"/>
  <c r="G32" i="82" s="1"/>
  <c r="R64" i="85"/>
  <c r="S78" i="85"/>
  <c r="I45" i="82" s="1"/>
  <c r="P62" i="85"/>
  <c r="Q62" i="85"/>
  <c r="R62" i="85"/>
  <c r="T78" i="85"/>
  <c r="J45" i="82" s="1"/>
  <c r="Q64" i="85"/>
  <c r="P64" i="85"/>
  <c r="T78" i="84"/>
  <c r="J30" i="82" s="1"/>
  <c r="P80" i="84"/>
  <c r="F32" i="82" s="1"/>
  <c r="T80" i="84"/>
  <c r="J32" i="82" s="1"/>
  <c r="R80" i="84"/>
  <c r="H32" i="82" s="1"/>
  <c r="S80" i="84"/>
  <c r="I32" i="82" s="1"/>
  <c r="U63" i="84"/>
  <c r="U64" i="84"/>
  <c r="U63" i="85"/>
  <c r="P79" i="85"/>
  <c r="F46" i="82" s="1"/>
  <c r="Q79" i="85"/>
  <c r="T79" i="85"/>
  <c r="R79" i="85"/>
  <c r="S79" i="85"/>
  <c r="S65" i="84"/>
  <c r="S79" i="84"/>
  <c r="T65" i="84"/>
  <c r="T79" i="84"/>
  <c r="Q65" i="84"/>
  <c r="Q79" i="84"/>
  <c r="R65" i="84"/>
  <c r="R79" i="84"/>
  <c r="P79" i="84"/>
  <c r="F31" i="82" s="1"/>
  <c r="S58" i="84"/>
  <c r="T58" i="85"/>
  <c r="Q58" i="84"/>
  <c r="S58" i="85"/>
  <c r="Q58" i="85"/>
  <c r="C70" i="79"/>
  <c r="U60" i="85" l="1"/>
  <c r="U59" i="85"/>
  <c r="P65" i="84"/>
  <c r="U62" i="84"/>
  <c r="U65" i="84" s="1"/>
  <c r="T65" i="85"/>
  <c r="T80" i="85"/>
  <c r="J47" i="82" s="1"/>
  <c r="S80" i="85"/>
  <c r="I47" i="82" s="1"/>
  <c r="S65" i="85"/>
  <c r="R80" i="85"/>
  <c r="H47" i="82" s="1"/>
  <c r="U78" i="84"/>
  <c r="Q78" i="85"/>
  <c r="G45" i="82" s="1"/>
  <c r="U62" i="85"/>
  <c r="R65" i="85"/>
  <c r="P78" i="85"/>
  <c r="F45" i="82" s="1"/>
  <c r="R78" i="85"/>
  <c r="H45" i="82" s="1"/>
  <c r="Q65" i="85"/>
  <c r="U64" i="85"/>
  <c r="Q80" i="85"/>
  <c r="G47" i="82" s="1"/>
  <c r="P65" i="85"/>
  <c r="P80" i="85"/>
  <c r="F47" i="82" s="1"/>
  <c r="K32" i="82"/>
  <c r="U80" i="84"/>
  <c r="G46" i="82"/>
  <c r="T81" i="84"/>
  <c r="J31" i="82"/>
  <c r="J33" i="82" s="1"/>
  <c r="J23" i="91" s="1"/>
  <c r="J46" i="82"/>
  <c r="S81" i="84"/>
  <c r="I31" i="82"/>
  <c r="I33" i="82" s="1"/>
  <c r="I23" i="91" s="1"/>
  <c r="R81" i="84"/>
  <c r="H31" i="82"/>
  <c r="H33" i="82" s="1"/>
  <c r="H23" i="91" s="1"/>
  <c r="Q81" i="84"/>
  <c r="G31" i="82"/>
  <c r="G33" i="82" s="1"/>
  <c r="G23" i="91" s="1"/>
  <c r="F33" i="82"/>
  <c r="F23" i="91" s="1"/>
  <c r="K30" i="82"/>
  <c r="I46" i="82"/>
  <c r="H46" i="82"/>
  <c r="U79" i="85"/>
  <c r="U79" i="84"/>
  <c r="P81" i="84"/>
  <c r="Q61" i="85"/>
  <c r="R61" i="85"/>
  <c r="P61" i="85"/>
  <c r="S61" i="85"/>
  <c r="T61" i="85"/>
  <c r="Q61" i="84"/>
  <c r="Q67" i="84" s="1"/>
  <c r="Q68" i="84" s="1"/>
  <c r="S61" i="84"/>
  <c r="S67" i="84" s="1"/>
  <c r="S68" i="84" s="1"/>
  <c r="U58" i="85"/>
  <c r="A2" i="79"/>
  <c r="A1" i="79"/>
  <c r="A2" i="74"/>
  <c r="A1" i="74"/>
  <c r="C67" i="79"/>
  <c r="T54" i="79"/>
  <c r="S54" i="79"/>
  <c r="R54" i="79"/>
  <c r="Q54" i="79"/>
  <c r="P54" i="79"/>
  <c r="H54" i="79"/>
  <c r="G54" i="79"/>
  <c r="T53" i="79"/>
  <c r="S53" i="79"/>
  <c r="R53" i="79"/>
  <c r="Q53" i="79"/>
  <c r="P53" i="79"/>
  <c r="H53" i="79"/>
  <c r="G53" i="79"/>
  <c r="H52" i="79"/>
  <c r="G52" i="79"/>
  <c r="T51" i="79"/>
  <c r="S51" i="79"/>
  <c r="R51" i="79"/>
  <c r="Q51" i="79"/>
  <c r="P51" i="79"/>
  <c r="H51" i="79"/>
  <c r="G51" i="79"/>
  <c r="T50" i="79"/>
  <c r="S50" i="79"/>
  <c r="R50" i="79"/>
  <c r="Q50" i="79"/>
  <c r="P50" i="79"/>
  <c r="H50" i="79"/>
  <c r="G50" i="79"/>
  <c r="H49" i="79"/>
  <c r="G49" i="79"/>
  <c r="T48" i="79"/>
  <c r="S48" i="79"/>
  <c r="R48" i="79"/>
  <c r="Q48" i="79"/>
  <c r="P48" i="79"/>
  <c r="H48" i="79"/>
  <c r="G48" i="79"/>
  <c r="T47" i="79"/>
  <c r="S47" i="79"/>
  <c r="R47" i="79"/>
  <c r="Q47" i="79"/>
  <c r="P47" i="79"/>
  <c r="H47" i="79"/>
  <c r="G47" i="79"/>
  <c r="H46" i="79"/>
  <c r="G46" i="79"/>
  <c r="T45" i="79"/>
  <c r="S45" i="79"/>
  <c r="R45" i="79"/>
  <c r="Q45" i="79"/>
  <c r="P45" i="79"/>
  <c r="H45" i="79"/>
  <c r="G45" i="79"/>
  <c r="T44" i="79"/>
  <c r="S44" i="79"/>
  <c r="R44" i="79"/>
  <c r="Q44" i="79"/>
  <c r="P44" i="79"/>
  <c r="H44" i="79"/>
  <c r="G44" i="79"/>
  <c r="H43" i="79"/>
  <c r="G43" i="79"/>
  <c r="T42" i="79"/>
  <c r="S42" i="79"/>
  <c r="R42" i="79"/>
  <c r="Q42" i="79"/>
  <c r="P42" i="79"/>
  <c r="H42" i="79"/>
  <c r="G42" i="79"/>
  <c r="T41" i="79"/>
  <c r="S41" i="79"/>
  <c r="R41" i="79"/>
  <c r="Q41" i="79"/>
  <c r="P41" i="79"/>
  <c r="H41" i="79"/>
  <c r="G41" i="79"/>
  <c r="H40" i="79"/>
  <c r="G40" i="79"/>
  <c r="T39" i="79"/>
  <c r="S39" i="79"/>
  <c r="R39" i="79"/>
  <c r="Q39" i="79"/>
  <c r="P39" i="79"/>
  <c r="H39" i="79"/>
  <c r="G39" i="79"/>
  <c r="T38" i="79"/>
  <c r="S38" i="79"/>
  <c r="R38" i="79"/>
  <c r="Q38" i="79"/>
  <c r="P38" i="79"/>
  <c r="H38" i="79"/>
  <c r="G38" i="79"/>
  <c r="H37" i="79"/>
  <c r="G37" i="79"/>
  <c r="T36" i="79"/>
  <c r="S36" i="79"/>
  <c r="R36" i="79"/>
  <c r="Q36" i="79"/>
  <c r="P36" i="79"/>
  <c r="H36" i="79"/>
  <c r="G36" i="79"/>
  <c r="T35" i="79"/>
  <c r="S35" i="79"/>
  <c r="R35" i="79"/>
  <c r="Q35" i="79"/>
  <c r="P35" i="79"/>
  <c r="H35" i="79"/>
  <c r="G35" i="79"/>
  <c r="H34" i="79"/>
  <c r="G34" i="79"/>
  <c r="T33" i="79"/>
  <c r="S33" i="79"/>
  <c r="R33" i="79"/>
  <c r="Q33" i="79"/>
  <c r="P33" i="79"/>
  <c r="H33" i="79"/>
  <c r="G33" i="79"/>
  <c r="T32" i="79"/>
  <c r="S32" i="79"/>
  <c r="R32" i="79"/>
  <c r="Q32" i="79"/>
  <c r="P32" i="79"/>
  <c r="H32" i="79"/>
  <c r="G32" i="79"/>
  <c r="H31" i="79"/>
  <c r="G31" i="79"/>
  <c r="T30" i="79"/>
  <c r="S30" i="79"/>
  <c r="R30" i="79"/>
  <c r="Q30" i="79"/>
  <c r="P30" i="79"/>
  <c r="H30" i="79"/>
  <c r="G30" i="79"/>
  <c r="T29" i="79"/>
  <c r="S29" i="79"/>
  <c r="R29" i="79"/>
  <c r="Q29" i="79"/>
  <c r="P29" i="79"/>
  <c r="H29" i="79"/>
  <c r="G29" i="79"/>
  <c r="H28" i="79"/>
  <c r="G28" i="79"/>
  <c r="T27" i="79"/>
  <c r="S27" i="79"/>
  <c r="R27" i="79"/>
  <c r="Q27" i="79"/>
  <c r="P27" i="79"/>
  <c r="H27" i="79"/>
  <c r="G27" i="79"/>
  <c r="T26" i="79"/>
  <c r="S26" i="79"/>
  <c r="R26" i="79"/>
  <c r="Q26" i="79"/>
  <c r="P26" i="79"/>
  <c r="H26" i="79"/>
  <c r="G26" i="79"/>
  <c r="H25" i="79"/>
  <c r="G25" i="79"/>
  <c r="H24" i="79"/>
  <c r="G24" i="79"/>
  <c r="P24" i="79" s="1"/>
  <c r="T23" i="79"/>
  <c r="S23" i="79"/>
  <c r="R23" i="79"/>
  <c r="Q23" i="79"/>
  <c r="P23" i="79"/>
  <c r="H23" i="79"/>
  <c r="G23" i="79"/>
  <c r="H22" i="79"/>
  <c r="G22" i="79"/>
  <c r="H21" i="79"/>
  <c r="G21" i="79"/>
  <c r="T21" i="79" s="1"/>
  <c r="T20" i="79"/>
  <c r="S20" i="79"/>
  <c r="R20" i="79"/>
  <c r="Q20" i="79"/>
  <c r="P20" i="79"/>
  <c r="H20" i="79"/>
  <c r="G20" i="79"/>
  <c r="H19" i="79"/>
  <c r="G19" i="79"/>
  <c r="T18" i="79"/>
  <c r="S18" i="79"/>
  <c r="R18" i="79"/>
  <c r="Q18" i="79"/>
  <c r="P18" i="79"/>
  <c r="H18" i="79"/>
  <c r="G18" i="79"/>
  <c r="T17" i="79"/>
  <c r="S17" i="79"/>
  <c r="R17" i="79"/>
  <c r="Q17" i="79"/>
  <c r="P17" i="79"/>
  <c r="H17" i="79"/>
  <c r="G17" i="79"/>
  <c r="H16" i="79"/>
  <c r="G16" i="79"/>
  <c r="T15" i="79"/>
  <c r="S15" i="79"/>
  <c r="R15" i="79"/>
  <c r="Q15" i="79"/>
  <c r="P15" i="79"/>
  <c r="H15" i="79"/>
  <c r="G15" i="79"/>
  <c r="T14" i="79"/>
  <c r="S14" i="79"/>
  <c r="R14" i="79"/>
  <c r="Q14" i="79"/>
  <c r="P14" i="79"/>
  <c r="H14" i="79"/>
  <c r="G14" i="79"/>
  <c r="H13" i="79"/>
  <c r="G13" i="79"/>
  <c r="H12" i="79"/>
  <c r="G12" i="79"/>
  <c r="P12" i="79" s="1"/>
  <c r="H11" i="79"/>
  <c r="G11" i="79"/>
  <c r="S11" i="79" s="1"/>
  <c r="H10" i="79"/>
  <c r="G10" i="79"/>
  <c r="A5" i="79"/>
  <c r="V3" i="79"/>
  <c r="K23" i="91" l="1"/>
  <c r="U61" i="85"/>
  <c r="P43" i="79"/>
  <c r="S28" i="79"/>
  <c r="S62" i="79" s="1"/>
  <c r="Q31" i="79"/>
  <c r="P16" i="79"/>
  <c r="R16" i="79"/>
  <c r="Q16" i="79"/>
  <c r="Q25" i="79"/>
  <c r="T31" i="79"/>
  <c r="Q28" i="79"/>
  <c r="Q62" i="79" s="1"/>
  <c r="P31" i="79"/>
  <c r="P34" i="79"/>
  <c r="Q46" i="79"/>
  <c r="P46" i="79"/>
  <c r="T67" i="85"/>
  <c r="T68" i="85" s="1"/>
  <c r="Q52" i="79"/>
  <c r="Q40" i="79"/>
  <c r="T43" i="79"/>
  <c r="S46" i="79"/>
  <c r="S22" i="79"/>
  <c r="P22" i="79"/>
  <c r="R49" i="79"/>
  <c r="S49" i="79"/>
  <c r="T46" i="79"/>
  <c r="S34" i="79"/>
  <c r="Q34" i="79"/>
  <c r="R25" i="79"/>
  <c r="S19" i="79"/>
  <c r="T19" i="79"/>
  <c r="P19" i="79"/>
  <c r="R37" i="79"/>
  <c r="Q37" i="79"/>
  <c r="T81" i="85"/>
  <c r="J48" i="82"/>
  <c r="J34" i="91" s="1"/>
  <c r="I48" i="82"/>
  <c r="I34" i="91" s="1"/>
  <c r="S67" i="85"/>
  <c r="S68" i="85" s="1"/>
  <c r="S81" i="85"/>
  <c r="R67" i="85"/>
  <c r="R68" i="85" s="1"/>
  <c r="R81" i="85"/>
  <c r="T49" i="79"/>
  <c r="S25" i="79"/>
  <c r="S37" i="79"/>
  <c r="T13" i="79"/>
  <c r="T16" i="79"/>
  <c r="T25" i="79"/>
  <c r="T34" i="79"/>
  <c r="T37" i="79"/>
  <c r="P49" i="79"/>
  <c r="T10" i="79"/>
  <c r="T22" i="79"/>
  <c r="P25" i="79"/>
  <c r="P37" i="79"/>
  <c r="Q43" i="79"/>
  <c r="U65" i="85"/>
  <c r="K45" i="82"/>
  <c r="U78" i="85"/>
  <c r="H48" i="82"/>
  <c r="H34" i="91" s="1"/>
  <c r="P67" i="85"/>
  <c r="Q67" i="85"/>
  <c r="Q68" i="85" s="1"/>
  <c r="G48" i="82"/>
  <c r="G34" i="91" s="1"/>
  <c r="U80" i="85"/>
  <c r="Q81" i="85"/>
  <c r="K47" i="82"/>
  <c r="F48" i="82"/>
  <c r="F34" i="91" s="1"/>
  <c r="P81" i="85"/>
  <c r="R52" i="79"/>
  <c r="S52" i="79"/>
  <c r="P52" i="79"/>
  <c r="T52" i="79"/>
  <c r="Q49" i="79"/>
  <c r="R46" i="79"/>
  <c r="S43" i="79"/>
  <c r="R43" i="79"/>
  <c r="R40" i="79"/>
  <c r="S40" i="79"/>
  <c r="P40" i="79"/>
  <c r="T40" i="79"/>
  <c r="R34" i="79"/>
  <c r="R31" i="79"/>
  <c r="S31" i="79"/>
  <c r="R28" i="79"/>
  <c r="R62" i="79" s="1"/>
  <c r="P28" i="79"/>
  <c r="P62" i="79" s="1"/>
  <c r="T28" i="79"/>
  <c r="T62" i="79" s="1"/>
  <c r="Q22" i="79"/>
  <c r="R22" i="79"/>
  <c r="Q19" i="79"/>
  <c r="R19" i="79"/>
  <c r="S16" i="79"/>
  <c r="U81" i="84"/>
  <c r="K31" i="82"/>
  <c r="K33" i="82" s="1"/>
  <c r="K46" i="82"/>
  <c r="P63" i="79"/>
  <c r="Q63" i="79"/>
  <c r="T63" i="79"/>
  <c r="S63" i="79"/>
  <c r="R63" i="79"/>
  <c r="S12" i="79"/>
  <c r="T12" i="79"/>
  <c r="T24" i="79"/>
  <c r="S24" i="79"/>
  <c r="Q24" i="79"/>
  <c r="R24" i="79"/>
  <c r="Q12" i="79"/>
  <c r="R12" i="79"/>
  <c r="Q21" i="79"/>
  <c r="P21" i="79"/>
  <c r="P60" i="79" s="1"/>
  <c r="S21" i="79"/>
  <c r="R21" i="79"/>
  <c r="P10" i="79"/>
  <c r="T11" i="79"/>
  <c r="T59" i="79" s="1"/>
  <c r="S10" i="79"/>
  <c r="R11" i="79"/>
  <c r="Q10" i="79"/>
  <c r="R10" i="79"/>
  <c r="Q11" i="79"/>
  <c r="P13" i="79"/>
  <c r="Q13" i="79"/>
  <c r="P11" i="79"/>
  <c r="R13" i="79"/>
  <c r="S13" i="79"/>
  <c r="K34" i="91" l="1"/>
  <c r="R64" i="79"/>
  <c r="R80" i="79" s="1"/>
  <c r="H17" i="82" s="1"/>
  <c r="P64" i="79"/>
  <c r="S64" i="79"/>
  <c r="P37" i="84"/>
  <c r="Q64" i="79"/>
  <c r="T64" i="79"/>
  <c r="P38" i="84"/>
  <c r="P36" i="84"/>
  <c r="P39" i="84"/>
  <c r="T60" i="79"/>
  <c r="P34" i="84"/>
  <c r="Q78" i="79"/>
  <c r="G15" i="82" s="1"/>
  <c r="S60" i="79"/>
  <c r="Q60" i="79"/>
  <c r="R60" i="79"/>
  <c r="U81" i="85"/>
  <c r="U67" i="85"/>
  <c r="P68" i="85"/>
  <c r="K48" i="82"/>
  <c r="R78" i="79"/>
  <c r="H15" i="82" s="1"/>
  <c r="S78" i="79"/>
  <c r="I15" i="82" s="1"/>
  <c r="T78" i="79"/>
  <c r="J15" i="82" s="1"/>
  <c r="U62" i="79"/>
  <c r="P78" i="79"/>
  <c r="R79" i="79"/>
  <c r="S79" i="79"/>
  <c r="T79" i="79"/>
  <c r="Q79" i="79"/>
  <c r="U63" i="79"/>
  <c r="P79" i="79"/>
  <c r="P59" i="79"/>
  <c r="R59" i="79"/>
  <c r="T58" i="79"/>
  <c r="S59" i="79"/>
  <c r="P58" i="79"/>
  <c r="R58" i="79"/>
  <c r="Q58" i="79"/>
  <c r="Q59" i="79"/>
  <c r="S58" i="79"/>
  <c r="R65" i="79" l="1"/>
  <c r="T65" i="79"/>
  <c r="P80" i="79"/>
  <c r="F17" i="82" s="1"/>
  <c r="P65" i="79"/>
  <c r="S65" i="79"/>
  <c r="R36" i="84"/>
  <c r="Q65" i="79"/>
  <c r="T80" i="79"/>
  <c r="J17" i="82" s="1"/>
  <c r="S80" i="79"/>
  <c r="I17" i="82" s="1"/>
  <c r="Q80" i="79"/>
  <c r="G17" i="82" s="1"/>
  <c r="R39" i="84"/>
  <c r="P35" i="84"/>
  <c r="U64" i="79"/>
  <c r="U65" i="79" s="1"/>
  <c r="T34" i="84"/>
  <c r="R34" i="84"/>
  <c r="T35" i="84"/>
  <c r="R35" i="84"/>
  <c r="T38" i="84"/>
  <c r="R38" i="84"/>
  <c r="P27" i="84"/>
  <c r="P60" i="84" s="1"/>
  <c r="P26" i="84"/>
  <c r="T25" i="84"/>
  <c r="R25" i="84"/>
  <c r="T37" i="84"/>
  <c r="R37" i="84"/>
  <c r="U60" i="79"/>
  <c r="U68" i="85"/>
  <c r="V68" i="85" s="1"/>
  <c r="F15" i="82"/>
  <c r="K15" i="82" s="1"/>
  <c r="U78" i="79"/>
  <c r="I16" i="82"/>
  <c r="G16" i="82"/>
  <c r="R81" i="79"/>
  <c r="H16" i="82"/>
  <c r="H18" i="82" s="1"/>
  <c r="H12" i="91" s="1"/>
  <c r="J16" i="82"/>
  <c r="U79" i="79"/>
  <c r="F16" i="82"/>
  <c r="P61" i="79"/>
  <c r="S61" i="79"/>
  <c r="T61" i="79"/>
  <c r="Q61" i="79"/>
  <c r="R61" i="79"/>
  <c r="U59" i="79"/>
  <c r="U58" i="79"/>
  <c r="P59" i="84" l="1"/>
  <c r="R67" i="79"/>
  <c r="R68" i="79" s="1"/>
  <c r="P81" i="79"/>
  <c r="P67" i="79"/>
  <c r="P68" i="79" s="1"/>
  <c r="T67" i="79"/>
  <c r="T68" i="79" s="1"/>
  <c r="I18" i="82"/>
  <c r="I12" i="91" s="1"/>
  <c r="S67" i="79"/>
  <c r="S68" i="79" s="1"/>
  <c r="Q67" i="79"/>
  <c r="Q68" i="79" s="1"/>
  <c r="J18" i="82"/>
  <c r="J12" i="91" s="1"/>
  <c r="T81" i="79"/>
  <c r="G18" i="82"/>
  <c r="G12" i="91" s="1"/>
  <c r="T36" i="84"/>
  <c r="U80" i="79"/>
  <c r="U81" i="79" s="1"/>
  <c r="S81" i="79"/>
  <c r="K17" i="82"/>
  <c r="T39" i="84"/>
  <c r="Q81" i="79"/>
  <c r="R58" i="84"/>
  <c r="T58" i="84"/>
  <c r="T26" i="84"/>
  <c r="T59" i="84" s="1"/>
  <c r="R26" i="84"/>
  <c r="R59" i="84" s="1"/>
  <c r="T27" i="84"/>
  <c r="R27" i="84"/>
  <c r="R60" i="84" s="1"/>
  <c r="K16" i="82"/>
  <c r="F18" i="82"/>
  <c r="F12" i="91" s="1"/>
  <c r="U61" i="79"/>
  <c r="K13" i="91" l="1"/>
  <c r="K12" i="91"/>
  <c r="T60" i="84"/>
  <c r="K18" i="82"/>
  <c r="U67" i="79"/>
  <c r="U68" i="79" s="1"/>
  <c r="V68" i="79" s="1"/>
  <c r="U59" i="84"/>
  <c r="R61" i="84"/>
  <c r="R67" i="84" s="1"/>
  <c r="R68" i="84" s="1"/>
  <c r="U60" i="84" l="1"/>
  <c r="T61" i="84"/>
  <c r="T67" i="84" s="1"/>
  <c r="T68" i="84" s="1"/>
  <c r="T76" i="85" l="1"/>
  <c r="P76" i="85"/>
  <c r="F43" i="82" s="1"/>
  <c r="P76" i="84"/>
  <c r="F28" i="82" s="1"/>
  <c r="R75" i="85"/>
  <c r="Q75" i="84"/>
  <c r="T74" i="84"/>
  <c r="R76" i="85"/>
  <c r="Q76" i="85"/>
  <c r="P75" i="85"/>
  <c r="F42" i="82" s="1"/>
  <c r="T75" i="85"/>
  <c r="S76" i="84"/>
  <c r="P75" i="84"/>
  <c r="F27" i="82" s="1"/>
  <c r="R75" i="84"/>
  <c r="T75" i="84"/>
  <c r="T74" i="85"/>
  <c r="Q76" i="84"/>
  <c r="S75" i="84"/>
  <c r="S75" i="85"/>
  <c r="R76" i="84"/>
  <c r="S76" i="85"/>
  <c r="Q75" i="85"/>
  <c r="T76" i="84"/>
  <c r="S74" i="84"/>
  <c r="R74" i="84"/>
  <c r="Q74" i="85"/>
  <c r="S74" i="85"/>
  <c r="Q74" i="84"/>
  <c r="R74" i="85"/>
  <c r="P74" i="85"/>
  <c r="T76" i="79"/>
  <c r="J13" i="82" s="1"/>
  <c r="P76" i="79"/>
  <c r="F13" i="82" s="1"/>
  <c r="Q76" i="79"/>
  <c r="G13" i="82" s="1"/>
  <c r="R76" i="79"/>
  <c r="H13" i="82" s="1"/>
  <c r="S76" i="79"/>
  <c r="I13" i="82" s="1"/>
  <c r="T75" i="79"/>
  <c r="J12" i="82" s="1"/>
  <c r="T74" i="79"/>
  <c r="S75" i="79"/>
  <c r="I12" i="82" s="1"/>
  <c r="P75" i="79"/>
  <c r="F12" i="82" s="1"/>
  <c r="R75" i="79"/>
  <c r="H12" i="82" s="1"/>
  <c r="S74" i="79"/>
  <c r="Q74" i="79"/>
  <c r="R74" i="79"/>
  <c r="P74" i="79"/>
  <c r="Q75" i="79"/>
  <c r="G12" i="82" s="1"/>
  <c r="S77" i="85" l="1"/>
  <c r="S83" i="85" s="1"/>
  <c r="S84" i="85" s="1"/>
  <c r="Q77" i="85"/>
  <c r="Q83" i="85" s="1"/>
  <c r="Q84" i="85" s="1"/>
  <c r="J41" i="82"/>
  <c r="T77" i="85"/>
  <c r="T83" i="85" s="1"/>
  <c r="T84" i="85" s="1"/>
  <c r="F41" i="82"/>
  <c r="F44" i="82" s="1"/>
  <c r="P77" i="85"/>
  <c r="P83" i="85" s="1"/>
  <c r="R77" i="85"/>
  <c r="R83" i="85" s="1"/>
  <c r="R84" i="85" s="1"/>
  <c r="S77" i="84"/>
  <c r="S83" i="84" s="1"/>
  <c r="S84" i="84" s="1"/>
  <c r="R77" i="84"/>
  <c r="R83" i="84" s="1"/>
  <c r="R84" i="84" s="1"/>
  <c r="T77" i="84"/>
  <c r="T83" i="84" s="1"/>
  <c r="T84" i="84" s="1"/>
  <c r="Q77" i="84"/>
  <c r="Q83" i="84" s="1"/>
  <c r="Q84" i="84" s="1"/>
  <c r="J11" i="82"/>
  <c r="J14" i="82" s="1"/>
  <c r="J11" i="91" s="1"/>
  <c r="J14" i="91" s="1"/>
  <c r="T77" i="79"/>
  <c r="T83" i="79" s="1"/>
  <c r="T84" i="79" s="1"/>
  <c r="F11" i="82"/>
  <c r="F14" i="82" s="1"/>
  <c r="F11" i="91" s="1"/>
  <c r="F14" i="91" s="1"/>
  <c r="P77" i="79"/>
  <c r="P83" i="79" s="1"/>
  <c r="P84" i="79" s="1"/>
  <c r="H11" i="82"/>
  <c r="H14" i="82" s="1"/>
  <c r="H11" i="91" s="1"/>
  <c r="H14" i="91" s="1"/>
  <c r="R77" i="79"/>
  <c r="R83" i="79" s="1"/>
  <c r="R84" i="79" s="1"/>
  <c r="G11" i="82"/>
  <c r="G14" i="82" s="1"/>
  <c r="G11" i="91" s="1"/>
  <c r="G14" i="91" s="1"/>
  <c r="Q77" i="79"/>
  <c r="Q83" i="79" s="1"/>
  <c r="Q84" i="79" s="1"/>
  <c r="I11" i="82"/>
  <c r="I14" i="82" s="1"/>
  <c r="I11" i="91" s="1"/>
  <c r="I14" i="91" s="1"/>
  <c r="S77" i="79"/>
  <c r="S83" i="79" s="1"/>
  <c r="S84" i="79" s="1"/>
  <c r="H43" i="82"/>
  <c r="G43" i="82"/>
  <c r="I43" i="82"/>
  <c r="H42" i="82"/>
  <c r="G42" i="82"/>
  <c r="J42" i="82"/>
  <c r="I42" i="82"/>
  <c r="J43" i="82"/>
  <c r="J26" i="82"/>
  <c r="G27" i="82"/>
  <c r="G28" i="82"/>
  <c r="J27" i="82"/>
  <c r="H27" i="82"/>
  <c r="G26" i="82"/>
  <c r="I26" i="82"/>
  <c r="I28" i="82"/>
  <c r="H26" i="82"/>
  <c r="J28" i="82"/>
  <c r="H28" i="82"/>
  <c r="I27" i="82"/>
  <c r="G41" i="82"/>
  <c r="I41" i="82"/>
  <c r="H41" i="82"/>
  <c r="U74" i="85"/>
  <c r="U75" i="84"/>
  <c r="U76" i="84"/>
  <c r="U76" i="85"/>
  <c r="U75" i="85"/>
  <c r="U76" i="79"/>
  <c r="U75" i="79"/>
  <c r="U74" i="79"/>
  <c r="F50" i="82" l="1"/>
  <c r="F33" i="91"/>
  <c r="F20" i="82"/>
  <c r="J20" i="82"/>
  <c r="G20" i="82"/>
  <c r="H20" i="82"/>
  <c r="I20" i="82"/>
  <c r="H29" i="82"/>
  <c r="I44" i="82"/>
  <c r="J44" i="82"/>
  <c r="G44" i="82"/>
  <c r="J29" i="82"/>
  <c r="H44" i="82"/>
  <c r="I29" i="82"/>
  <c r="G29" i="82"/>
  <c r="U77" i="85"/>
  <c r="U83" i="85"/>
  <c r="U84" i="85" s="1"/>
  <c r="P84" i="85"/>
  <c r="U77" i="79"/>
  <c r="K11" i="82"/>
  <c r="K12" i="82"/>
  <c r="K13" i="82"/>
  <c r="K42" i="82"/>
  <c r="K41" i="82"/>
  <c r="K43" i="82"/>
  <c r="U83" i="79"/>
  <c r="J22" i="91" l="1"/>
  <c r="H22" i="91"/>
  <c r="G22" i="91"/>
  <c r="I22" i="91"/>
  <c r="G50" i="82"/>
  <c r="G33" i="91"/>
  <c r="J50" i="82"/>
  <c r="J33" i="91"/>
  <c r="I50" i="82"/>
  <c r="I33" i="91"/>
  <c r="H50" i="82"/>
  <c r="H33" i="91"/>
  <c r="I35" i="82"/>
  <c r="J35" i="82"/>
  <c r="H35" i="82"/>
  <c r="G35" i="82"/>
  <c r="U84" i="79"/>
  <c r="V84" i="79" s="1"/>
  <c r="K44" i="82"/>
  <c r="K50" i="82" s="1"/>
  <c r="K14" i="82"/>
  <c r="K20" i="82" s="1"/>
  <c r="L20" i="82" s="1"/>
  <c r="V84" i="85"/>
  <c r="K33" i="91" l="1"/>
  <c r="L50" i="82"/>
  <c r="K27" i="82" l="1"/>
  <c r="K28" i="82" l="1"/>
  <c r="P25" i="84"/>
  <c r="P58" i="84" s="1"/>
  <c r="P61" i="84" s="1"/>
  <c r="P67" i="84" s="1"/>
  <c r="U67" i="84" l="1"/>
  <c r="P68" i="84"/>
  <c r="P74" i="84"/>
  <c r="U58" i="84"/>
  <c r="U61" i="84" s="1"/>
  <c r="F26" i="82" l="1"/>
  <c r="P77" i="84"/>
  <c r="P83" i="84" s="1"/>
  <c r="U74" i="84"/>
  <c r="U77" i="84" s="1"/>
  <c r="U68" i="84"/>
  <c r="V68" i="84" s="1"/>
  <c r="U83" i="84" l="1"/>
  <c r="P84" i="84"/>
  <c r="K26" i="82"/>
  <c r="F29" i="82"/>
  <c r="F22" i="91" s="1"/>
  <c r="K22" i="91" l="1"/>
  <c r="F27" i="91"/>
  <c r="F35" i="82"/>
  <c r="K29" i="82"/>
  <c r="U84" i="84"/>
  <c r="V84" i="84" s="1"/>
  <c r="K11" i="91" l="1"/>
  <c r="K14" i="91" s="1"/>
  <c r="K35" i="82"/>
  <c r="L35" i="82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<sst xmlns="http://schemas.openxmlformats.org/spreadsheetml/2006/main" count="699" uniqueCount="92">
  <si>
    <t>Total</t>
  </si>
  <si>
    <t>Powercor</t>
  </si>
  <si>
    <t>Preferred option:</t>
  </si>
  <si>
    <t>Option 1</t>
  </si>
  <si>
    <t>Type</t>
  </si>
  <si>
    <t>2026/27</t>
  </si>
  <si>
    <t>2027/28</t>
  </si>
  <si>
    <t>2028/29</t>
  </si>
  <si>
    <t>2029/30</t>
  </si>
  <si>
    <t>2030/31</t>
  </si>
  <si>
    <t>Labour</t>
  </si>
  <si>
    <t>capex</t>
  </si>
  <si>
    <t>Materials</t>
  </si>
  <si>
    <t>Contracts</t>
  </si>
  <si>
    <t>Total capex</t>
  </si>
  <si>
    <t>opex</t>
  </si>
  <si>
    <t>Total opex</t>
  </si>
  <si>
    <t>NPV</t>
  </si>
  <si>
    <t>Option 2</t>
  </si>
  <si>
    <t>Option 3</t>
  </si>
  <si>
    <t>Assumption Types</t>
  </si>
  <si>
    <t>Assumptions</t>
  </si>
  <si>
    <t>Parameters</t>
  </si>
  <si>
    <t>Area Applied</t>
  </si>
  <si>
    <t>Business case:</t>
  </si>
  <si>
    <t>Business:</t>
  </si>
  <si>
    <t>Real Discount rate:</t>
  </si>
  <si>
    <t>Cost inputs from SME:</t>
  </si>
  <si>
    <t>dollars</t>
  </si>
  <si>
    <t>Labour unit rate:</t>
  </si>
  <si>
    <t>Allocations (%) where applicable</t>
  </si>
  <si>
    <t>CitiPower</t>
  </si>
  <si>
    <t>Options</t>
  </si>
  <si>
    <t>Prudent upgrades at 3-4 yearly intervals (preferred)</t>
  </si>
  <si>
    <t>Vendor release upgrades at 12-18 month intervals (add ~20% to prudent upgrade $$)</t>
  </si>
  <si>
    <t>Do nothing (extended support) (opex impact @ current M&amp;S + 10% YoY)</t>
  </si>
  <si>
    <t>Costs for business case</t>
  </si>
  <si>
    <t>To convert from SME input:</t>
  </si>
  <si>
    <t>Multiply by:</t>
  </si>
  <si>
    <t>Labour rate ($/hr)</t>
  </si>
  <si>
    <t>$122.20</t>
  </si>
  <si>
    <t>Description</t>
  </si>
  <si>
    <t>Capex /</t>
  </si>
  <si>
    <t>L / M / C</t>
  </si>
  <si>
    <t>Units</t>
  </si>
  <si>
    <t>Quantity of units</t>
  </si>
  <si>
    <t>Cost ($)</t>
  </si>
  <si>
    <t>Opex</t>
  </si>
  <si>
    <t>unit rate</t>
  </si>
  <si>
    <t>ADMS</t>
  </si>
  <si>
    <t>Capex</t>
  </si>
  <si>
    <t>OTSIP</t>
  </si>
  <si>
    <t>-</t>
  </si>
  <si>
    <t>EDNAR</t>
  </si>
  <si>
    <t>Map Insights</t>
  </si>
  <si>
    <t>Energy Workbench</t>
  </si>
  <si>
    <t>Historian (OSI Pi)</t>
  </si>
  <si>
    <t>SNAP/NDP(Network Analytics)</t>
  </si>
  <si>
    <t>GIS (Electric Office)</t>
  </si>
  <si>
    <t>GISConnect (SBI)</t>
  </si>
  <si>
    <t>GSAW</t>
  </si>
  <si>
    <t>PNI</t>
  </si>
  <si>
    <t>RESIS (PRISM (Stationware))</t>
  </si>
  <si>
    <t>SIQ</t>
  </si>
  <si>
    <t>Summary</t>
  </si>
  <si>
    <t>Capex &amp; Opex</t>
  </si>
  <si>
    <t>Check</t>
  </si>
  <si>
    <t>Summary for Regulation - for Business Case</t>
  </si>
  <si>
    <t>SNAP (Network Analytics)</t>
  </si>
  <si>
    <t xml:space="preserve">GIS </t>
  </si>
  <si>
    <t>RESIS [PRISM (StationWare)]</t>
  </si>
  <si>
    <t>Scheduler</t>
  </si>
  <si>
    <t>GE Utility Server</t>
  </si>
  <si>
    <t>Lagged conversion to Jun 26</t>
  </si>
  <si>
    <t>Regulatory proposal 2026-31</t>
  </si>
  <si>
    <t>Model number:</t>
  </si>
  <si>
    <t>Network management systems</t>
  </si>
  <si>
    <t>June 2023</t>
  </si>
  <si>
    <t>June 2024</t>
  </si>
  <si>
    <t>June 2025</t>
  </si>
  <si>
    <t>June 2026</t>
  </si>
  <si>
    <t>$ June 2018 (2021-26 reset)</t>
  </si>
  <si>
    <t>$ June 2023</t>
  </si>
  <si>
    <t>$ June 2024</t>
  </si>
  <si>
    <t>Totex</t>
  </si>
  <si>
    <t>CitiPower &amp; Powercor</t>
  </si>
  <si>
    <t>Opex (excl real price escalation)</t>
  </si>
  <si>
    <t xml:space="preserve">Opex (incl real price escalation) * </t>
  </si>
  <si>
    <t>Escalation</t>
  </si>
  <si>
    <t>* refer to PAL MOD 9.03 - Opex step changes - Jan 2025 - Public for the Real price escalation</t>
  </si>
  <si>
    <t>Opex (incl real price escalation) **</t>
  </si>
  <si>
    <t>** refer to PAL MOD 9.03 - Opex step changes - Jan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</si>
</sst>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$&quot;#,##0;[Red]\-&quot;$&quot;#,##0"/>
    <numFmt numFmtId="7" formatCode="&quot;$&quot;#,##0.00;\-&quot;$&quot;#,##0.00"/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$&quot;#,##0;[Red]\-&quot;$&quot;#,##0;\ &quot;-&quot;"/>
    <numFmt numFmtId="167" formatCode="#,##0_ ;[Red]\-#,##0;\ &quot;-&quot;"/>
    <numFmt numFmtId="168" formatCode="#,##0_ ;[Red]\-#,##0\ "/>
    <numFmt numFmtId="169" formatCode="&quot;Convert to December&quot;\ ####"/>
    <numFmt numFmtId="170" formatCode="0.000000"/>
    <numFmt numFmtId="171" formatCode="_-* #,##0_-;\-* #,##0_-;_-* &quot;-&quot;??_-;_-@_-"/>
    <numFmt numFmtId="172" formatCode="&quot;$&quot;#,##0.00;[Red]\-&quot;$&quot;#,##0.00;\ "/>
    <numFmt numFmtId="173" formatCode="[Red]\●;[Red]\●;[Color10]\●"/>
    <numFmt numFmtId="174" formatCode="0.0000"/>
    <numFmt numFmtId="175" formatCode="dd\ mmmm\ yyyy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theme="1"/>
      <name val="Trebuchet MS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0"/>
      <color theme="1"/>
      <name val="Verdana"/>
      <family val="2"/>
    </font>
    <font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12"/>
      <color theme="0"/>
      <name val="Calibri"/>
      <family val="2"/>
      <scheme val="minor"/>
    </font>
    <font>
      <b/>
      <i/>
      <sz val="10"/>
      <color theme="0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theme="1"/>
      <name val="Calibri"/>
      <family val="2"/>
    </font>
    <font>
      <i/>
      <sz val="10"/>
      <color theme="1" tint="0.499984740745262"/>
      <name val="Calibri"/>
      <family val="2"/>
    </font>
    <font>
      <b/>
      <sz val="10"/>
      <color rgb="FFFFFFFF"/>
      <name val="Calibri"/>
      <family val="2"/>
      <scheme val="minor"/>
    </font>
    <font>
      <sz val="10"/>
      <name val="Calibri"/>
      <family val="2"/>
    </font>
    <font>
      <i/>
      <sz val="8"/>
      <color theme="0" tint="-0.499984740745262"/>
      <name val="Calibri"/>
      <family val="2"/>
      <scheme val="minor"/>
    </font>
    <font>
      <i/>
      <sz val="9"/>
      <color theme="0" tint="-0.499984740745262"/>
      <name val="Calibri"/>
      <family val="2"/>
      <scheme val="minor"/>
    </font>
    <font>
      <sz val="10"/>
      <color rgb="FF0000FF"/>
      <name val="Calibri"/>
      <family val="2"/>
    </font>
    <font>
      <sz val="10"/>
      <color rgb="FF0000FF"/>
      <name val="Calibri"/>
      <family val="2"/>
      <scheme val="minor"/>
    </font>
    <font>
      <sz val="8"/>
      <name val="Calibri"/>
      <family val="2"/>
      <scheme val="minor"/>
    </font>
    <font>
      <sz val="9"/>
      <color theme="0" tint="-0.249977111117893"/>
      <name val="Calibri"/>
      <family val="2"/>
      <scheme val="minor"/>
    </font>
    <font>
      <i/>
      <sz val="8"/>
      <color theme="2"/>
      <name val="Calibri"/>
      <family val="2"/>
      <scheme val="minor"/>
    </font>
    <font>
      <i/>
      <sz val="8"/>
      <color theme="0" tint="-0.34998626667073579"/>
      <name val="Calibri"/>
      <family val="2"/>
      <scheme val="minor"/>
    </font>
    <font>
      <b/>
      <sz val="10"/>
      <color rgb="FF0000FF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Arial"/>
      <family val="2"/>
    </font>
    <font>
      <sz val="8"/>
      <name val="Helvetica"/>
      <family val="2"/>
    </font>
    <font>
      <sz val="9"/>
      <color theme="0" tint="-0.34998626667073579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8"/>
      <color rgb="FF00215B"/>
      <name val="Arial"/>
      <family val="2"/>
    </font>
    <font>
      <sz val="11"/>
      <color rgb="FF00215B"/>
      <name val="Calibri"/>
      <family val="2"/>
      <scheme val="minor"/>
    </font>
    <font>
      <b/>
      <sz val="12"/>
      <color rgb="FF00215B"/>
      <name val="Arial"/>
      <family val="2"/>
    </font>
    <font>
      <b/>
      <sz val="11"/>
      <color rgb="FF00215B"/>
      <name val="Arial"/>
      <family val="2"/>
    </font>
    <font>
      <sz val="11"/>
      <color rgb="FF00215B"/>
      <name val="Arial"/>
      <family val="2"/>
    </font>
    <font>
      <sz val="10"/>
      <color rgb="FF00215B"/>
      <name val="Arial"/>
      <family val="2"/>
    </font>
    <font>
      <sz val="9"/>
      <color rgb="FF00215B"/>
      <name val="Arial"/>
      <family val="2"/>
    </font>
    <font>
      <sz val="8"/>
      <color rgb="FF00215B"/>
      <name val="Arial"/>
      <family val="2"/>
    </font>
    <font>
      <sz val="9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D6E5F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BF2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215B"/>
        <bgColor indexed="64"/>
      </patternFill>
    </fill>
  </fills>
  <borders count="1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ck">
        <color theme="0"/>
      </left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/>
      <top style="thin">
        <color indexed="64"/>
      </top>
      <bottom/>
      <diagonal/>
    </border>
    <border>
      <left style="thick">
        <color theme="0"/>
      </left>
      <right/>
      <top/>
      <bottom/>
      <diagonal/>
    </border>
    <border>
      <left style="thick">
        <color theme="0"/>
      </left>
      <right/>
      <top/>
      <bottom style="thin">
        <color indexed="64"/>
      </bottom>
      <diagonal/>
    </border>
    <border>
      <left/>
      <right style="hair">
        <color auto="1"/>
      </right>
      <top style="thin">
        <color indexed="64"/>
      </top>
      <bottom/>
      <diagonal/>
    </border>
    <border>
      <left style="hair">
        <color auto="1"/>
      </left>
      <right/>
      <top style="thin">
        <color indexed="64"/>
      </top>
      <bottom/>
      <diagonal/>
    </border>
  </borders>
  <cellStyleXfs count="47">
    <xf numFmtId="0" fontId="0" fillId="0" borderId="0"/>
    <xf numFmtId="0" fontId="4" fillId="0" borderId="0"/>
    <xf numFmtId="0" fontId="3" fillId="0" borderId="0"/>
    <xf numFmtId="0" fontId="5" fillId="0" borderId="0"/>
    <xf numFmtId="0" fontId="3" fillId="0" borderId="0"/>
    <xf numFmtId="44" fontId="5" fillId="0" borderId="0" applyFont="0" applyFill="0" applyBorder="0" applyAlignment="0" applyProtection="0"/>
    <xf numFmtId="0" fontId="1" fillId="0" borderId="0"/>
    <xf numFmtId="0" fontId="6" fillId="0" borderId="0"/>
    <xf numFmtId="44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3" fillId="0" borderId="0"/>
    <xf numFmtId="0" fontId="8" fillId="0" borderId="0"/>
    <xf numFmtId="0" fontId="9" fillId="0" borderId="0"/>
    <xf numFmtId="0" fontId="10" fillId="0" borderId="0"/>
    <xf numFmtId="9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1" fillId="0" borderId="0"/>
    <xf numFmtId="44" fontId="11" fillId="0" borderId="0" applyFont="0" applyFill="0" applyBorder="0" applyAlignment="0" applyProtection="0"/>
    <xf numFmtId="0" fontId="10" fillId="0" borderId="0"/>
    <xf numFmtId="9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8" fillId="0" borderId="0"/>
    <xf numFmtId="173" fontId="39" fillId="0" borderId="0">
      <alignment horizontal="center" vertical="center"/>
    </xf>
    <xf numFmtId="9" fontId="38" fillId="0" borderId="0" applyFont="0" applyFill="0" applyBorder="0" applyAlignment="0" applyProtection="0"/>
    <xf numFmtId="165" fontId="38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44" fontId="10" fillId="0" borderId="0" applyFont="0" applyFill="0" applyBorder="0" applyAlignment="0" applyProtection="0"/>
    <xf numFmtId="44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8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1" fillId="0" borderId="0"/>
  </cellStyleXfs>
  <cellXfs count="136">
    <xf numFmtId="0" fontId="0" fillId="0" borderId="0" xfId="0"/>
    <xf numFmtId="0" fontId="12" fillId="0" borderId="0" xfId="0" applyFont="1"/>
    <xf numFmtId="3" fontId="12" fillId="0" borderId="0" xfId="0" applyNumberFormat="1" applyFont="1"/>
    <xf numFmtId="0" fontId="13" fillId="0" borderId="3" xfId="0" applyFont="1" applyBorder="1"/>
    <xf numFmtId="0" fontId="13" fillId="0" borderId="0" xfId="0" applyFont="1"/>
    <xf numFmtId="166" fontId="12" fillId="0" borderId="1" xfId="0" applyNumberFormat="1" applyFont="1" applyBorder="1" applyAlignment="1">
      <alignment horizontal="right" vertical="top"/>
    </xf>
    <xf numFmtId="166" fontId="12" fillId="0" borderId="0" xfId="0" applyNumberFormat="1" applyFont="1" applyAlignment="1">
      <alignment horizontal="right" vertical="top"/>
    </xf>
    <xf numFmtId="0" fontId="13" fillId="0" borderId="4" xfId="0" applyFont="1" applyBorder="1"/>
    <xf numFmtId="166" fontId="13" fillId="0" borderId="4" xfId="0" applyNumberFormat="1" applyFont="1" applyBorder="1" applyAlignment="1">
      <alignment horizontal="right" vertical="top"/>
    </xf>
    <xf numFmtId="0" fontId="12" fillId="0" borderId="0" xfId="0" applyFont="1" applyAlignment="1">
      <alignment horizontal="center"/>
    </xf>
    <xf numFmtId="0" fontId="13" fillId="0" borderId="4" xfId="0" applyFont="1" applyBorder="1" applyAlignment="1">
      <alignment horizontal="center"/>
    </xf>
    <xf numFmtId="0" fontId="14" fillId="3" borderId="0" xfId="0" applyFont="1" applyFill="1"/>
    <xf numFmtId="0" fontId="14" fillId="3" borderId="0" xfId="0" applyFont="1" applyFill="1" applyAlignment="1">
      <alignment horizontal="center"/>
    </xf>
    <xf numFmtId="0" fontId="15" fillId="3" borderId="0" xfId="0" applyFont="1" applyFill="1"/>
    <xf numFmtId="0" fontId="16" fillId="3" borderId="0" xfId="0" applyFont="1" applyFill="1"/>
    <xf numFmtId="0" fontId="15" fillId="0" borderId="0" xfId="0" applyFont="1"/>
    <xf numFmtId="0" fontId="14" fillId="0" borderId="0" xfId="0" applyFont="1"/>
    <xf numFmtId="0" fontId="14" fillId="0" borderId="0" xfId="0" applyFont="1" applyAlignment="1">
      <alignment horizontal="center"/>
    </xf>
    <xf numFmtId="0" fontId="17" fillId="0" borderId="0" xfId="0" applyFont="1"/>
    <xf numFmtId="0" fontId="13" fillId="4" borderId="2" xfId="0" applyFont="1" applyFill="1" applyBorder="1" applyAlignment="1">
      <alignment horizontal="centerContinuous"/>
    </xf>
    <xf numFmtId="0" fontId="12" fillId="4" borderId="2" xfId="0" applyFont="1" applyFill="1" applyBorder="1" applyAlignment="1">
      <alignment horizontal="centerContinuous"/>
    </xf>
    <xf numFmtId="0" fontId="13" fillId="0" borderId="5" xfId="0" applyFont="1" applyBorder="1"/>
    <xf numFmtId="166" fontId="13" fillId="0" borderId="5" xfId="0" applyNumberFormat="1" applyFont="1" applyBorder="1" applyAlignment="1">
      <alignment horizontal="right" vertical="top"/>
    </xf>
    <xf numFmtId="166" fontId="13" fillId="0" borderId="0" xfId="0" applyNumberFormat="1" applyFont="1" applyAlignment="1">
      <alignment horizontal="right" vertical="top"/>
    </xf>
    <xf numFmtId="0" fontId="12" fillId="0" borderId="2" xfId="0" applyFont="1" applyBorder="1"/>
    <xf numFmtId="166" fontId="12" fillId="0" borderId="2" xfId="0" applyNumberFormat="1" applyFont="1" applyBorder="1" applyAlignment="1">
      <alignment horizontal="right" vertical="top"/>
    </xf>
    <xf numFmtId="0" fontId="18" fillId="0" borderId="0" xfId="0" applyFont="1"/>
    <xf numFmtId="0" fontId="2" fillId="0" borderId="0" xfId="13" applyFont="1" applyAlignment="1">
      <alignment horizontal="left" vertical="center"/>
    </xf>
    <xf numFmtId="0" fontId="19" fillId="3" borderId="0" xfId="0" applyFont="1" applyFill="1"/>
    <xf numFmtId="0" fontId="20" fillId="3" borderId="0" xfId="0" applyFont="1" applyFill="1"/>
    <xf numFmtId="0" fontId="21" fillId="3" borderId="0" xfId="0" applyFont="1" applyFill="1"/>
    <xf numFmtId="0" fontId="21" fillId="3" borderId="0" xfId="0" applyFont="1" applyFill="1" applyAlignment="1">
      <alignment horizontal="center"/>
    </xf>
    <xf numFmtId="0" fontId="22" fillId="0" borderId="0" xfId="0" applyFont="1"/>
    <xf numFmtId="8" fontId="13" fillId="0" borderId="0" xfId="0" applyNumberFormat="1" applyFont="1"/>
    <xf numFmtId="6" fontId="12" fillId="0" borderId="2" xfId="0" applyNumberFormat="1" applyFont="1" applyBorder="1" applyAlignment="1">
      <alignment horizontal="right" vertical="top"/>
    </xf>
    <xf numFmtId="2" fontId="13" fillId="0" borderId="0" xfId="0" applyNumberFormat="1" applyFont="1" applyAlignment="1">
      <alignment horizontal="right" vertical="top"/>
    </xf>
    <xf numFmtId="0" fontId="13" fillId="4" borderId="3" xfId="0" applyFont="1" applyFill="1" applyBorder="1"/>
    <xf numFmtId="0" fontId="12" fillId="4" borderId="3" xfId="0" applyFont="1" applyFill="1" applyBorder="1"/>
    <xf numFmtId="0" fontId="13" fillId="4" borderId="3" xfId="0" applyFont="1" applyFill="1" applyBorder="1" applyAlignment="1">
      <alignment horizontal="center"/>
    </xf>
    <xf numFmtId="0" fontId="23" fillId="0" borderId="0" xfId="0" applyFont="1"/>
    <xf numFmtId="0" fontId="23" fillId="0" borderId="0" xfId="0" applyFont="1" applyAlignment="1">
      <alignment horizontal="right"/>
    </xf>
    <xf numFmtId="169" fontId="24" fillId="0" borderId="0" xfId="0" applyNumberFormat="1" applyFont="1"/>
    <xf numFmtId="0" fontId="24" fillId="0" borderId="0" xfId="0" applyFont="1"/>
    <xf numFmtId="0" fontId="25" fillId="0" borderId="0" xfId="13" applyFont="1" applyAlignment="1">
      <alignment horizontal="left" vertical="center"/>
    </xf>
    <xf numFmtId="1" fontId="26" fillId="0" borderId="1" xfId="26" applyNumberFormat="1" applyFont="1" applyFill="1" applyBorder="1" applyAlignment="1">
      <alignment horizontal="right"/>
    </xf>
    <xf numFmtId="0" fontId="12" fillId="0" borderId="0" xfId="0" applyFont="1" applyAlignment="1">
      <alignment horizontal="left"/>
    </xf>
    <xf numFmtId="0" fontId="27" fillId="6" borderId="0" xfId="0" applyFont="1" applyFill="1"/>
    <xf numFmtId="167" fontId="28" fillId="6" borderId="0" xfId="0" applyNumberFormat="1" applyFont="1" applyFill="1"/>
    <xf numFmtId="0" fontId="31" fillId="5" borderId="0" xfId="14" applyFont="1" applyFill="1"/>
    <xf numFmtId="0" fontId="32" fillId="0" borderId="0" xfId="0" applyFont="1"/>
    <xf numFmtId="0" fontId="33" fillId="0" borderId="0" xfId="0" applyFont="1"/>
    <xf numFmtId="0" fontId="13" fillId="4" borderId="2" xfId="0" applyFont="1" applyFill="1" applyBorder="1" applyAlignment="1">
      <alignment horizontal="left"/>
    </xf>
    <xf numFmtId="0" fontId="13" fillId="7" borderId="0" xfId="0" applyFont="1" applyFill="1" applyAlignment="1">
      <alignment horizontal="center"/>
    </xf>
    <xf numFmtId="171" fontId="12" fillId="0" borderId="0" xfId="27" applyNumberFormat="1" applyFont="1"/>
    <xf numFmtId="0" fontId="13" fillId="0" borderId="3" xfId="0" applyFont="1" applyBorder="1" applyAlignment="1">
      <alignment horizontal="left"/>
    </xf>
    <xf numFmtId="166" fontId="13" fillId="0" borderId="5" xfId="0" applyNumberFormat="1" applyFont="1" applyBorder="1" applyAlignment="1">
      <alignment horizontal="left" vertical="top"/>
    </xf>
    <xf numFmtId="0" fontId="13" fillId="8" borderId="0" xfId="0" applyFont="1" applyFill="1"/>
    <xf numFmtId="6" fontId="13" fillId="8" borderId="0" xfId="0" applyNumberFormat="1" applyFont="1" applyFill="1"/>
    <xf numFmtId="166" fontId="12" fillId="6" borderId="0" xfId="0" applyNumberFormat="1" applyFont="1" applyFill="1"/>
    <xf numFmtId="10" fontId="15" fillId="3" borderId="0" xfId="0" applyNumberFormat="1" applyFont="1" applyFill="1"/>
    <xf numFmtId="0" fontId="25" fillId="0" borderId="0" xfId="13" applyFont="1" applyAlignment="1">
      <alignment horizontal="right" vertical="center"/>
    </xf>
    <xf numFmtId="0" fontId="12" fillId="0" borderId="0" xfId="0" applyFont="1" applyAlignment="1">
      <alignment horizontal="right"/>
    </xf>
    <xf numFmtId="10" fontId="16" fillId="3" borderId="0" xfId="0" applyNumberFormat="1" applyFont="1" applyFill="1"/>
    <xf numFmtId="172" fontId="30" fillId="0" borderId="1" xfId="0" applyNumberFormat="1" applyFont="1" applyBorder="1" applyAlignment="1">
      <alignment horizontal="right" vertical="top"/>
    </xf>
    <xf numFmtId="0" fontId="13" fillId="4" borderId="2" xfId="0" applyFont="1" applyFill="1" applyBorder="1" applyAlignment="1">
      <alignment vertical="center"/>
    </xf>
    <xf numFmtId="0" fontId="34" fillId="0" borderId="2" xfId="0" applyFont="1" applyBorder="1"/>
    <xf numFmtId="0" fontId="12" fillId="0" borderId="2" xfId="0" applyFont="1" applyBorder="1" applyAlignment="1">
      <alignment horizontal="center"/>
    </xf>
    <xf numFmtId="0" fontId="34" fillId="0" borderId="0" xfId="0" applyFont="1"/>
    <xf numFmtId="0" fontId="13" fillId="0" borderId="0" xfId="0" applyFont="1" applyAlignment="1">
      <alignment horizontal="center"/>
    </xf>
    <xf numFmtId="166" fontId="12" fillId="0" borderId="9" xfId="0" applyNumberFormat="1" applyFont="1" applyBorder="1" applyAlignment="1">
      <alignment horizontal="right" vertical="top"/>
    </xf>
    <xf numFmtId="166" fontId="12" fillId="0" borderId="10" xfId="0" applyNumberFormat="1" applyFont="1" applyBorder="1" applyAlignment="1">
      <alignment horizontal="right" vertical="top"/>
    </xf>
    <xf numFmtId="166" fontId="13" fillId="0" borderId="8" xfId="0" applyNumberFormat="1" applyFont="1" applyBorder="1" applyAlignment="1">
      <alignment horizontal="right" vertical="top"/>
    </xf>
    <xf numFmtId="0" fontId="13" fillId="4" borderId="11" xfId="0" applyFont="1" applyFill="1" applyBorder="1" applyAlignment="1">
      <alignment horizontal="center"/>
    </xf>
    <xf numFmtId="0" fontId="0" fillId="0" borderId="3" xfId="0" applyBorder="1"/>
    <xf numFmtId="0" fontId="35" fillId="0" borderId="3" xfId="0" applyFont="1" applyBorder="1"/>
    <xf numFmtId="10" fontId="29" fillId="2" borderId="1" xfId="26" applyNumberFormat="1" applyFont="1" applyFill="1" applyBorder="1" applyProtection="1">
      <protection locked="0"/>
    </xf>
    <xf numFmtId="10" fontId="29" fillId="2" borderId="1" xfId="26" applyNumberFormat="1" applyFont="1" applyFill="1" applyBorder="1" applyAlignment="1" applyProtection="1">
      <alignment horizontal="right"/>
      <protection locked="0"/>
    </xf>
    <xf numFmtId="1" fontId="29" fillId="2" borderId="1" xfId="26" applyNumberFormat="1" applyFont="1" applyFill="1" applyBorder="1" applyAlignment="1" applyProtection="1">
      <alignment horizontal="right"/>
      <protection locked="0"/>
    </xf>
    <xf numFmtId="0" fontId="30" fillId="2" borderId="7" xfId="0" applyFont="1" applyFill="1" applyBorder="1" applyAlignment="1" applyProtection="1">
      <alignment vertical="center"/>
      <protection locked="0"/>
    </xf>
    <xf numFmtId="0" fontId="30" fillId="2" borderId="6" xfId="0" applyFont="1" applyFill="1" applyBorder="1" applyAlignment="1" applyProtection="1">
      <alignment vertical="center"/>
      <protection locked="0"/>
    </xf>
    <xf numFmtId="0" fontId="30" fillId="2" borderId="5" xfId="0" applyFont="1" applyFill="1" applyBorder="1" applyAlignment="1" applyProtection="1">
      <alignment vertical="center"/>
      <protection locked="0"/>
    </xf>
    <xf numFmtId="168" fontId="30" fillId="2" borderId="1" xfId="0" applyNumberFormat="1" applyFont="1" applyFill="1" applyBorder="1" applyAlignment="1" applyProtection="1">
      <alignment horizontal="right" vertical="top"/>
      <protection locked="0"/>
    </xf>
    <xf numFmtId="0" fontId="37" fillId="0" borderId="0" xfId="0" applyFont="1" applyAlignment="1">
      <alignment horizontal="left"/>
    </xf>
    <xf numFmtId="10" fontId="29" fillId="2" borderId="13" xfId="26" applyNumberFormat="1" applyFont="1" applyFill="1" applyBorder="1" applyProtection="1">
      <protection locked="0"/>
    </xf>
    <xf numFmtId="10" fontId="29" fillId="2" borderId="2" xfId="26" applyNumberFormat="1" applyFont="1" applyFill="1" applyBorder="1" applyProtection="1">
      <protection locked="0"/>
    </xf>
    <xf numFmtId="10" fontId="29" fillId="2" borderId="12" xfId="26" applyNumberFormat="1" applyFont="1" applyFill="1" applyBorder="1" applyProtection="1">
      <protection locked="0"/>
    </xf>
    <xf numFmtId="10" fontId="29" fillId="2" borderId="6" xfId="26" applyNumberFormat="1" applyFont="1" applyFill="1" applyBorder="1" applyProtection="1">
      <protection locked="0"/>
    </xf>
    <xf numFmtId="10" fontId="29" fillId="2" borderId="5" xfId="26" applyNumberFormat="1" applyFont="1" applyFill="1" applyBorder="1" applyProtection="1">
      <protection locked="0"/>
    </xf>
    <xf numFmtId="10" fontId="29" fillId="2" borderId="7" xfId="26" applyNumberFormat="1" applyFont="1" applyFill="1" applyBorder="1" applyProtection="1">
      <protection locked="0"/>
    </xf>
    <xf numFmtId="10" fontId="29" fillId="0" borderId="0" xfId="26" applyNumberFormat="1" applyFont="1" applyFill="1" applyBorder="1" applyProtection="1">
      <protection locked="0"/>
    </xf>
    <xf numFmtId="9" fontId="29" fillId="2" borderId="1" xfId="26" applyFont="1" applyFill="1" applyBorder="1" applyProtection="1">
      <protection locked="0"/>
    </xf>
    <xf numFmtId="9" fontId="13" fillId="0" borderId="4" xfId="0" applyNumberFormat="1" applyFont="1" applyBorder="1" applyAlignment="1">
      <alignment horizontal="right"/>
    </xf>
    <xf numFmtId="170" fontId="12" fillId="0" borderId="1" xfId="0" applyNumberFormat="1" applyFont="1" applyBorder="1"/>
    <xf numFmtId="0" fontId="13" fillId="0" borderId="1" xfId="0" applyFont="1" applyBorder="1"/>
    <xf numFmtId="7" fontId="26" fillId="0" borderId="1" xfId="32" applyNumberFormat="1" applyFont="1" applyFill="1" applyBorder="1" applyAlignment="1">
      <alignment horizontal="right"/>
    </xf>
    <xf numFmtId="7" fontId="12" fillId="0" borderId="1" xfId="32" applyNumberFormat="1" applyFont="1" applyBorder="1"/>
    <xf numFmtId="9" fontId="12" fillId="0" borderId="0" xfId="26" applyFont="1"/>
    <xf numFmtId="0" fontId="13" fillId="4" borderId="0" xfId="0" applyFont="1" applyFill="1" applyAlignment="1">
      <alignment vertical="center"/>
    </xf>
    <xf numFmtId="0" fontId="23" fillId="0" borderId="3" xfId="0" applyFont="1" applyBorder="1" applyAlignment="1">
      <alignment horizontal="right"/>
    </xf>
    <xf numFmtId="0" fontId="12" fillId="0" borderId="5" xfId="0" applyFont="1" applyBorder="1"/>
    <xf numFmtId="0" fontId="34" fillId="0" borderId="5" xfId="0" applyFont="1" applyBorder="1"/>
    <xf numFmtId="3" fontId="12" fillId="0" borderId="5" xfId="0" applyNumberFormat="1" applyFont="1" applyBorder="1"/>
    <xf numFmtId="0" fontId="12" fillId="0" borderId="5" xfId="0" applyFont="1" applyBorder="1" applyAlignment="1">
      <alignment horizontal="center"/>
    </xf>
    <xf numFmtId="166" fontId="12" fillId="0" borderId="5" xfId="0" applyNumberFormat="1" applyFont="1" applyBorder="1" applyAlignment="1">
      <alignment horizontal="right" vertical="top"/>
    </xf>
    <xf numFmtId="6" fontId="12" fillId="0" borderId="0" xfId="0" applyNumberFormat="1" applyFont="1"/>
    <xf numFmtId="0" fontId="40" fillId="0" borderId="0" xfId="0" applyFont="1"/>
    <xf numFmtId="0" fontId="33" fillId="0" borderId="5" xfId="0" applyFont="1" applyBorder="1"/>
    <xf numFmtId="0" fontId="13" fillId="4" borderId="2" xfId="0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/>
    </xf>
    <xf numFmtId="0" fontId="41" fillId="0" borderId="5" xfId="0" applyFont="1" applyBorder="1"/>
    <xf numFmtId="168" fontId="30" fillId="2" borderId="1" xfId="0" quotePrefix="1" applyNumberFormat="1" applyFont="1" applyFill="1" applyBorder="1" applyAlignment="1" applyProtection="1">
      <alignment horizontal="right" vertical="top"/>
      <protection locked="0"/>
    </xf>
    <xf numFmtId="0" fontId="26" fillId="0" borderId="2" xfId="0" applyFont="1" applyBorder="1" applyAlignment="1">
      <alignment horizontal="left"/>
    </xf>
    <xf numFmtId="0" fontId="36" fillId="0" borderId="2" xfId="0" applyFont="1" applyBorder="1"/>
    <xf numFmtId="0" fontId="42" fillId="0" borderId="2" xfId="0" applyFont="1" applyBorder="1"/>
    <xf numFmtId="0" fontId="26" fillId="0" borderId="2" xfId="0" applyFont="1" applyBorder="1" applyAlignment="1">
      <alignment horizontal="right"/>
    </xf>
    <xf numFmtId="170" fontId="26" fillId="0" borderId="2" xfId="0" applyNumberFormat="1" applyFont="1" applyBorder="1" applyAlignment="1">
      <alignment horizontal="right"/>
    </xf>
    <xf numFmtId="10" fontId="26" fillId="0" borderId="0" xfId="26" applyNumberFormat="1" applyFont="1" applyFill="1"/>
    <xf numFmtId="0" fontId="1" fillId="9" borderId="0" xfId="45" applyFill="1"/>
    <xf numFmtId="0" fontId="1" fillId="0" borderId="0" xfId="45"/>
    <xf numFmtId="0" fontId="11" fillId="0" borderId="0" xfId="46"/>
    <xf numFmtId="0" fontId="43" fillId="0" borderId="0" xfId="45" applyFont="1"/>
    <xf numFmtId="0" fontId="44" fillId="0" borderId="0" xfId="45" applyFont="1"/>
    <xf numFmtId="0" fontId="45" fillId="0" borderId="0" xfId="45" applyFont="1"/>
    <xf numFmtId="0" fontId="46" fillId="0" borderId="0" xfId="45" applyFont="1"/>
    <xf numFmtId="0" fontId="47" fillId="0" borderId="0" xfId="45" applyFont="1"/>
    <xf numFmtId="174" fontId="47" fillId="0" borderId="0" xfId="45" applyNumberFormat="1" applyFont="1"/>
    <xf numFmtId="0" fontId="48" fillId="0" borderId="0" xfId="45" applyFont="1"/>
    <xf numFmtId="175" fontId="49" fillId="0" borderId="0" xfId="45" applyNumberFormat="1" applyFont="1" applyAlignment="1">
      <alignment horizontal="left"/>
    </xf>
    <xf numFmtId="0" fontId="50" fillId="0" borderId="0" xfId="45" applyFont="1"/>
    <xf numFmtId="49" fontId="23" fillId="0" borderId="0" xfId="0" applyNumberFormat="1" applyFont="1" applyAlignment="1">
      <alignment horizontal="right"/>
    </xf>
    <xf numFmtId="0" fontId="51" fillId="0" borderId="5" xfId="0" applyFont="1" applyBorder="1"/>
    <xf numFmtId="10" fontId="29" fillId="2" borderId="1" xfId="26" applyNumberFormat="1" applyFont="1" applyFill="1" applyBorder="1" applyAlignment="1">
      <alignment horizontal="right"/>
    </xf>
    <xf numFmtId="8" fontId="30" fillId="2" borderId="1" xfId="0" applyNumberFormat="1" applyFont="1" applyFill="1" applyBorder="1" applyAlignment="1">
      <alignment horizontal="right"/>
    </xf>
    <xf numFmtId="49" fontId="29" fillId="0" borderId="1" xfId="26" applyNumberFormat="1" applyFont="1" applyFill="1" applyBorder="1" applyAlignment="1">
      <alignment horizontal="right"/>
    </xf>
    <xf numFmtId="7" fontId="29" fillId="0" borderId="1" xfId="26" applyNumberFormat="1" applyFont="1" applyFill="1" applyBorder="1" applyAlignment="1">
      <alignment horizontal="right"/>
    </xf>
    <xf numFmtId="6" fontId="51" fillId="0" borderId="5" xfId="0" applyNumberFormat="1" applyFont="1" applyBorder="1"/>
  </cellXfs>
  <cellStyles count="47">
    <cellStyle name="Check RedRedGreen" xfId="29" xr:uid="{81F56CD6-3B68-4074-B257-FFF69A21ECCD}"/>
    <cellStyle name="Comma" xfId="27" builtinId="3"/>
    <cellStyle name="Comma 2" xfId="11" xr:uid="{00000000-0005-0000-0000-000001000000}"/>
    <cellStyle name="Comma 2 2" xfId="36" xr:uid="{DB4FDD24-A06E-4CD1-8BA5-4A43FD497E99}"/>
    <cellStyle name="Comma 3" xfId="24" xr:uid="{00000000-0005-0000-0000-000002000000}"/>
    <cellStyle name="Comma 3 2" xfId="41" xr:uid="{64FA0341-D8C4-4732-BB35-C1EE79ED010D}"/>
    <cellStyle name="Comma 4" xfId="31" xr:uid="{6D11CEBA-4733-4C43-948A-484B1D4FEF60}"/>
    <cellStyle name="Comma 4 2" xfId="43" xr:uid="{E6F6EF14-35AC-47BF-AEA3-01EBEF095C8B}"/>
    <cellStyle name="Comma 5" xfId="42" xr:uid="{658D6C16-C1C6-4A4E-9B0D-2CF9E818AFD6}"/>
    <cellStyle name="Currency" xfId="32" builtinId="4"/>
    <cellStyle name="Currency 2" xfId="5" xr:uid="{00000000-0005-0000-0000-000003000000}"/>
    <cellStyle name="Currency 2 2" xfId="33" xr:uid="{2EA1857B-CEBE-44C0-96E2-8BC3CDAD7D49}"/>
    <cellStyle name="Currency 3" xfId="10" xr:uid="{00000000-0005-0000-0000-000004000000}"/>
    <cellStyle name="Currency 3 2" xfId="35" xr:uid="{B9E39563-CBD8-415A-A5CF-4E8E5207DB70}"/>
    <cellStyle name="Currency 4" xfId="8" xr:uid="{00000000-0005-0000-0000-000005000000}"/>
    <cellStyle name="Currency 4 2" xfId="34" xr:uid="{24D37549-BD0E-4721-ACC3-DA258F429B3A}"/>
    <cellStyle name="Currency 5" xfId="19" xr:uid="{00000000-0005-0000-0000-000006000000}"/>
    <cellStyle name="Currency 5 2" xfId="39" xr:uid="{033D6334-6767-428A-8548-227315778209}"/>
    <cellStyle name="Currency 6" xfId="21" xr:uid="{00000000-0005-0000-0000-000007000000}"/>
    <cellStyle name="Currency 6 2" xfId="40" xr:uid="{CBB36798-07DC-4987-A631-34B2DCDDDE48}"/>
    <cellStyle name="Currency 7" xfId="44" xr:uid="{4112DF7F-F131-4E4E-BF21-0312EAB779CB}"/>
    <cellStyle name="Normal" xfId="0" builtinId="0"/>
    <cellStyle name="Normal 10" xfId="28" xr:uid="{7B16BCF1-6E54-4F93-AB46-72D8CC94A7D5}"/>
    <cellStyle name="Normal 2" xfId="1" xr:uid="{00000000-0005-0000-0000-000009000000}"/>
    <cellStyle name="Normal 2 2" xfId="3" xr:uid="{00000000-0005-0000-0000-00000A000000}"/>
    <cellStyle name="Normal 2 3" xfId="4" xr:uid="{00000000-0005-0000-0000-00000B000000}"/>
    <cellStyle name="Normal 2 4" xfId="6" xr:uid="{00000000-0005-0000-0000-00000C000000}"/>
    <cellStyle name="Normal 2 5" xfId="46" xr:uid="{51913EE3-5102-47F2-9724-D5DF6C566375}"/>
    <cellStyle name="Normal 3" xfId="2" xr:uid="{00000000-0005-0000-0000-00000D000000}"/>
    <cellStyle name="Normal 3 2" xfId="14" xr:uid="{00000000-0005-0000-0000-00000E000000}"/>
    <cellStyle name="Normal 3 3" xfId="22" xr:uid="{00000000-0005-0000-0000-00000F000000}"/>
    <cellStyle name="Normal 3 3 2" xfId="25" xr:uid="{00000000-0005-0000-0000-000010000000}"/>
    <cellStyle name="Normal 3 4" xfId="45" xr:uid="{F153E2AA-637B-4368-A188-EC79B5574AEC}"/>
    <cellStyle name="Normal 4" xfId="7" xr:uid="{00000000-0005-0000-0000-000011000000}"/>
    <cellStyle name="Normal 5" xfId="13" xr:uid="{00000000-0005-0000-0000-000012000000}"/>
    <cellStyle name="Normal 6" xfId="15" xr:uid="{00000000-0005-0000-0000-000013000000}"/>
    <cellStyle name="Normal 6 2" xfId="37" xr:uid="{BCDF836A-3875-4E76-9CD2-4AC1F93C4F47}"/>
    <cellStyle name="Normal 7" xfId="16" xr:uid="{00000000-0005-0000-0000-000014000000}"/>
    <cellStyle name="Normal 7 2" xfId="38" xr:uid="{D3BABCE3-18A7-464D-9988-4DBB5241795B}"/>
    <cellStyle name="Normal 8" xfId="17" xr:uid="{00000000-0005-0000-0000-000015000000}"/>
    <cellStyle name="Normal 9" xfId="20" xr:uid="{00000000-0005-0000-0000-000016000000}"/>
    <cellStyle name="Percent" xfId="26" builtinId="5"/>
    <cellStyle name="Percent 2" xfId="12" xr:uid="{00000000-0005-0000-0000-000018000000}"/>
    <cellStyle name="Percent 3" xfId="9" xr:uid="{00000000-0005-0000-0000-000019000000}"/>
    <cellStyle name="Percent 4" xfId="18" xr:uid="{00000000-0005-0000-0000-00001A000000}"/>
    <cellStyle name="Percent 5" xfId="23" xr:uid="{00000000-0005-0000-0000-00001B000000}"/>
    <cellStyle name="Percent 6" xfId="30" xr:uid="{5763A556-E968-406C-970C-EC0BDBFFAC4D}"/>
  </cellStyles>
  <dxfs count="23"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ill>
        <patternFill patternType="none">
          <bgColor auto="1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ill>
        <patternFill patternType="none">
          <bgColor auto="1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00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ont>
        <b/>
        <i val="0"/>
        <color auto="1"/>
      </font>
      <numFmt numFmtId="3" formatCode="#,##0"/>
      <fill>
        <patternFill>
          <bgColor rgb="FFFF6600"/>
        </patternFill>
      </fill>
    </dxf>
    <dxf>
      <fill>
        <patternFill patternType="none">
          <bgColor auto="1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 patternType="gray125"/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theme="5"/>
      </font>
    </dxf>
    <dxf>
      <font>
        <color theme="5"/>
      </font>
    </dxf>
  </dxfs>
  <tableStyles count="0" defaultTableStyle="TableStyleMedium2" defaultPivotStyle="PivotStyleLight16"/>
  <colors>
    <mruColors>
      <color rgb="FF0000FF"/>
      <color rgb="FF487B79"/>
      <color rgb="FFFFFFCC"/>
      <color rgb="FF40566A"/>
      <color rgb="FFFFCCCC"/>
      <color rgb="FFFFCCFF"/>
      <color rgb="FFFF6600"/>
      <color rgb="FFEBF2F9"/>
      <color rgb="FFE5EEF7"/>
      <color rgb="FFD6E5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95250</xdr:colOff>
      <xdr:row>0</xdr:row>
      <xdr:rowOff>171450</xdr:rowOff>
    </xdr:from>
    <xdr:ext cx="876300" cy="876300"/>
    <xdr:pic>
      <xdr:nvPicPr>
        <xdr:cNvPr id="2" name="Picture 1">
          <a:extLst>
            <a:ext uri="{FF2B5EF4-FFF2-40B4-BE49-F238E27FC236}">
              <a16:creationId xmlns:a16="http://schemas.microsoft.com/office/drawing/2014/main" id="{9376CB34-9CD2-4748-9F06-4CA5A68DC4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00850" y="171450"/>
          <a:ext cx="876300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Blue II">
      <a:dk1>
        <a:sysClr val="windowText" lastClr="000000"/>
      </a:dk1>
      <a:lt1>
        <a:sysClr val="window" lastClr="FFFFFF"/>
      </a:lt1>
      <a:dk2>
        <a:srgbClr val="335B74"/>
      </a:dk2>
      <a:lt2>
        <a:srgbClr val="DFE3E5"/>
      </a:lt2>
      <a:accent1>
        <a:srgbClr val="1CADE4"/>
      </a:accent1>
      <a:accent2>
        <a:srgbClr val="2683C6"/>
      </a:accent2>
      <a:accent3>
        <a:srgbClr val="27CED7"/>
      </a:accent3>
      <a:accent4>
        <a:srgbClr val="42BA97"/>
      </a:accent4>
      <a:accent5>
        <a:srgbClr val="3E8853"/>
      </a:accent5>
      <a:accent6>
        <a:srgbClr val="62A39F"/>
      </a:accent6>
      <a:hlink>
        <a:srgbClr val="6EAC1C"/>
      </a:hlink>
      <a:folHlink>
        <a:srgbClr val="B26B0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3719E4-39A4-4371-92D7-89BF32A1D1A5}">
  <dimension ref="A1:K43"/>
  <sheetViews>
    <sheetView showGridLines="0" workbookViewId="0">
      <selection activeCell="H19" sqref="H19"/>
    </sheetView>
  </sheetViews>
  <sheetFormatPr defaultColWidth="0" defaultRowHeight="12.95" customHeight="1" zeroHeight="1" x14ac:dyDescent="0.2"/>
  <cols>
    <col min="1" max="1" width="12.85546875" style="119" customWidth="1"/>
    <col min="2" max="2" width="2.5703125" style="119" customWidth="1"/>
    <col min="3" max="3" width="16.85546875" style="119" customWidth="1"/>
    <col min="4" max="11" width="10.5703125" style="119" customWidth="1"/>
    <col min="12" max="16384" width="10.5703125" style="119" hidden="1"/>
  </cols>
  <sheetData>
    <row r="1" spans="1:11" ht="15" x14ac:dyDescent="0.25">
      <c r="A1" s="117"/>
      <c r="B1" s="118"/>
      <c r="C1" s="118"/>
      <c r="D1" s="118"/>
      <c r="E1" s="118"/>
      <c r="F1" s="118"/>
      <c r="G1" s="118"/>
      <c r="H1" s="118"/>
      <c r="I1" s="118"/>
      <c r="J1" s="118"/>
      <c r="K1" s="118"/>
    </row>
    <row r="2" spans="1:11" ht="23.25" x14ac:dyDescent="0.35">
      <c r="A2" s="117"/>
      <c r="B2" s="118"/>
      <c r="C2" s="120" t="s">
        <v>1</v>
      </c>
      <c r="D2" s="121"/>
      <c r="E2" s="121"/>
      <c r="F2" s="118"/>
      <c r="G2" s="118"/>
      <c r="H2" s="118"/>
      <c r="I2" s="118"/>
      <c r="J2" s="118"/>
      <c r="K2" s="118"/>
    </row>
    <row r="3" spans="1:11" ht="15.75" x14ac:dyDescent="0.25">
      <c r="A3" s="117"/>
      <c r="B3" s="118"/>
      <c r="C3" s="122" t="s">
        <v>74</v>
      </c>
      <c r="D3" s="121"/>
      <c r="E3" s="121"/>
      <c r="F3" s="118"/>
      <c r="G3" s="118"/>
      <c r="H3" s="118"/>
      <c r="I3" s="118"/>
      <c r="J3" s="118"/>
      <c r="K3" s="118"/>
    </row>
    <row r="4" spans="1:11" ht="15" x14ac:dyDescent="0.25">
      <c r="A4" s="117"/>
      <c r="B4" s="118"/>
      <c r="C4" s="118"/>
      <c r="D4" s="121"/>
      <c r="E4" s="121"/>
      <c r="F4" s="118"/>
      <c r="G4" s="118"/>
      <c r="H4" s="118"/>
      <c r="I4" s="118"/>
      <c r="J4" s="118"/>
      <c r="K4" s="118"/>
    </row>
    <row r="5" spans="1:11" ht="15" x14ac:dyDescent="0.25">
      <c r="A5" s="117"/>
      <c r="B5" s="118"/>
      <c r="C5" s="123" t="str" cm="1">
        <f t="array" aca="1" ref="C5" ca="1">REPLACE(LEFT(_xlfn.TEXTAFTER(CELL("filename")," - ",1),FIND("Jan2025",_xlfn.TEXTAFTER(CELL("filename")," - "),1)-4),1,1,UPPER(LEFT(LEFT(_xlfn.TEXTAFTER(CELL("filename")," - ",1),FIND("Jan2025",_xlfn.TEXTAFTER(CELL("filename")," - "),1)-4),1)))</f>
        <v>Network management systems cost</v>
      </c>
      <c r="D5" s="118"/>
      <c r="E5" s="118"/>
      <c r="F5" s="118"/>
      <c r="G5" s="118"/>
      <c r="H5" s="118"/>
      <c r="I5" s="118"/>
      <c r="J5" s="118"/>
      <c r="K5" s="118"/>
    </row>
    <row r="6" spans="1:11" ht="15" x14ac:dyDescent="0.25">
      <c r="A6" s="117"/>
      <c r="B6" s="118"/>
      <c r="C6" s="124" t="s">
        <v>75</v>
      </c>
      <c r="D6" s="125" t="str" cm="1">
        <f t="array" aca="1" ref="D6" ca="1">LEFT(_xlfn.TEXTAFTER(CELL("filename")," MOD "),FIND(" - ",_xlfn.TEXTAFTER(CELL("filename")," MOD "),1)-1)</f>
        <v>7.09</v>
      </c>
      <c r="E6" s="124"/>
      <c r="F6" s="118"/>
      <c r="G6" s="118"/>
      <c r="H6" s="118"/>
      <c r="I6" s="118"/>
      <c r="J6" s="118"/>
      <c r="K6" s="118"/>
    </row>
    <row r="7" spans="1:11" ht="15" x14ac:dyDescent="0.25">
      <c r="A7" s="117"/>
      <c r="B7" s="118"/>
      <c r="C7" s="118"/>
      <c r="D7" s="118"/>
      <c r="E7" s="118"/>
      <c r="F7" s="126"/>
      <c r="G7" s="126"/>
      <c r="H7" s="126"/>
      <c r="I7" s="118"/>
      <c r="J7" s="126"/>
      <c r="K7" s="126"/>
    </row>
    <row r="8" spans="1:11" ht="15" x14ac:dyDescent="0.25">
      <c r="A8" s="117"/>
      <c r="B8" s="118"/>
      <c r="C8" s="127">
        <v>45688</v>
      </c>
      <c r="D8" s="118"/>
      <c r="E8" s="118"/>
      <c r="F8" s="126"/>
      <c r="G8" s="126"/>
      <c r="H8" s="126"/>
      <c r="I8" s="118"/>
      <c r="J8" s="126"/>
      <c r="K8" s="126"/>
    </row>
    <row r="9" spans="1:11" ht="15" x14ac:dyDescent="0.25">
      <c r="A9" s="117"/>
      <c r="B9" s="118"/>
      <c r="C9" s="128"/>
      <c r="D9" s="128"/>
      <c r="E9" s="118"/>
      <c r="F9" s="126"/>
      <c r="G9" s="126"/>
      <c r="H9" s="126"/>
      <c r="I9" s="126"/>
      <c r="J9" s="126"/>
      <c r="K9" s="126"/>
    </row>
    <row r="10" spans="1:11" ht="15" x14ac:dyDescent="0.25">
      <c r="A10" s="117"/>
      <c r="B10" s="118"/>
      <c r="C10" s="128"/>
      <c r="D10" s="128"/>
      <c r="E10" s="118"/>
      <c r="F10" s="126"/>
      <c r="G10" s="126"/>
      <c r="H10" s="126"/>
      <c r="I10" s="126"/>
      <c r="J10" s="126"/>
      <c r="K10" s="126"/>
    </row>
    <row r="11" spans="1:11" ht="15" x14ac:dyDescent="0.25">
      <c r="A11" s="117"/>
      <c r="B11" s="118"/>
      <c r="C11" s="128"/>
      <c r="D11" s="128"/>
      <c r="E11" s="118"/>
      <c r="F11" s="126"/>
      <c r="G11" s="126"/>
      <c r="H11" s="126"/>
      <c r="I11" s="126"/>
      <c r="J11" s="126"/>
      <c r="K11" s="126"/>
    </row>
    <row r="12" spans="1:11" ht="15" x14ac:dyDescent="0.25">
      <c r="A12" s="117"/>
      <c r="B12" s="118"/>
      <c r="C12" s="128"/>
      <c r="D12" s="128"/>
      <c r="E12" s="118"/>
      <c r="F12" s="126"/>
      <c r="G12" s="126"/>
      <c r="H12" s="126"/>
      <c r="I12" s="126"/>
      <c r="J12" s="126"/>
      <c r="K12" s="126"/>
    </row>
    <row r="13" spans="1:11" ht="15" x14ac:dyDescent="0.25">
      <c r="A13" s="117"/>
      <c r="B13" s="118"/>
      <c r="C13" s="128"/>
      <c r="D13" s="128"/>
      <c r="E13" s="118"/>
      <c r="F13" s="126"/>
      <c r="G13" s="126"/>
      <c r="H13" s="126"/>
      <c r="I13" s="126"/>
      <c r="J13" s="126"/>
      <c r="K13" s="126"/>
    </row>
    <row r="14" spans="1:11" ht="15" x14ac:dyDescent="0.25">
      <c r="A14" s="117"/>
      <c r="B14" s="118"/>
      <c r="C14" s="126"/>
      <c r="D14" s="126"/>
      <c r="E14" s="126"/>
      <c r="F14" s="126"/>
      <c r="G14" s="126"/>
      <c r="H14" s="126"/>
      <c r="I14" s="126"/>
      <c r="J14" s="126"/>
      <c r="K14" s="126"/>
    </row>
    <row r="15" spans="1:11" ht="15" x14ac:dyDescent="0.25">
      <c r="A15" s="117"/>
      <c r="B15" s="118"/>
      <c r="C15" s="123"/>
      <c r="D15" s="126"/>
      <c r="E15" s="126"/>
      <c r="F15" s="126"/>
      <c r="G15" s="126"/>
      <c r="H15" s="126"/>
      <c r="I15" s="126"/>
      <c r="J15" s="126"/>
      <c r="K15" s="126"/>
    </row>
    <row r="16" spans="1:11" ht="15" x14ac:dyDescent="0.25">
      <c r="A16" s="117"/>
      <c r="B16" s="118"/>
      <c r="C16" s="123"/>
      <c r="D16" s="126"/>
      <c r="E16" s="126"/>
      <c r="F16" s="126"/>
      <c r="G16" s="126"/>
      <c r="H16" s="126"/>
      <c r="I16" s="126"/>
      <c r="J16" s="126"/>
      <c r="K16" s="126"/>
    </row>
    <row r="17" spans="1:11" ht="15" x14ac:dyDescent="0.25">
      <c r="A17" s="117"/>
      <c r="B17" s="118"/>
      <c r="C17" s="126"/>
      <c r="D17" s="126"/>
      <c r="E17" s="126"/>
      <c r="F17" s="126"/>
      <c r="G17" s="126"/>
      <c r="H17" s="126"/>
      <c r="I17" s="126"/>
      <c r="J17" s="126"/>
      <c r="K17" s="126"/>
    </row>
    <row r="18" spans="1:11" ht="15" x14ac:dyDescent="0.25">
      <c r="A18" s="117"/>
      <c r="B18" s="118"/>
      <c r="C18" s="126"/>
      <c r="D18" s="126"/>
      <c r="E18" s="126"/>
      <c r="F18" s="126"/>
      <c r="G18" s="126"/>
      <c r="H18" s="126"/>
      <c r="I18" s="126"/>
      <c r="J18" s="126"/>
      <c r="K18" s="126"/>
    </row>
    <row r="19" spans="1:11" ht="15" x14ac:dyDescent="0.25">
      <c r="A19" s="117"/>
      <c r="B19" s="118"/>
      <c r="C19" s="126"/>
      <c r="D19" s="126"/>
      <c r="E19" s="126"/>
      <c r="F19" s="126"/>
      <c r="H19" s="126"/>
      <c r="I19" s="126"/>
      <c r="J19" s="126"/>
      <c r="K19" s="126"/>
    </row>
    <row r="20" spans="1:11" ht="15" x14ac:dyDescent="0.25">
      <c r="A20" s="117"/>
      <c r="B20" s="118"/>
      <c r="C20" s="126"/>
      <c r="D20" s="126"/>
      <c r="E20" s="126"/>
      <c r="F20" s="126"/>
      <c r="G20" s="126"/>
      <c r="H20" s="126"/>
      <c r="I20" s="126"/>
      <c r="J20" s="126"/>
      <c r="K20" s="126"/>
    </row>
    <row r="21" spans="1:11" ht="15" x14ac:dyDescent="0.25">
      <c r="A21" s="117"/>
      <c r="B21" s="118"/>
      <c r="C21" s="126"/>
      <c r="D21" s="126"/>
      <c r="E21" s="126"/>
      <c r="F21" s="126"/>
      <c r="G21" s="126"/>
      <c r="H21" s="126"/>
      <c r="I21" s="126"/>
      <c r="J21" s="126"/>
      <c r="K21" s="126"/>
    </row>
    <row r="22" spans="1:11" ht="15" x14ac:dyDescent="0.25">
      <c r="A22" s="117"/>
      <c r="B22" s="118"/>
      <c r="C22" s="126"/>
      <c r="D22" s="126"/>
      <c r="E22" s="126"/>
      <c r="F22" s="126"/>
      <c r="G22" s="126"/>
      <c r="H22" s="126"/>
      <c r="I22" s="126"/>
      <c r="J22" s="126"/>
      <c r="K22" s="126"/>
    </row>
    <row r="23" spans="1:11" ht="15" x14ac:dyDescent="0.25">
      <c r="A23" s="117"/>
      <c r="B23" s="118"/>
      <c r="C23" s="126"/>
      <c r="D23" s="126"/>
      <c r="E23" s="126"/>
      <c r="F23" s="126"/>
      <c r="G23" s="126"/>
      <c r="H23" s="126"/>
      <c r="I23" s="126"/>
      <c r="J23" s="126"/>
      <c r="K23" s="126"/>
    </row>
    <row r="24" spans="1:11" ht="15" x14ac:dyDescent="0.25">
      <c r="A24" s="117"/>
      <c r="B24" s="118"/>
      <c r="C24" s="126"/>
      <c r="D24" s="126"/>
      <c r="E24" s="126"/>
      <c r="F24" s="126"/>
      <c r="G24" s="126"/>
      <c r="H24" s="126"/>
      <c r="I24" s="126"/>
      <c r="J24" s="126"/>
      <c r="K24" s="126"/>
    </row>
    <row r="25" spans="1:11" ht="15" x14ac:dyDescent="0.25">
      <c r="A25" s="117"/>
      <c r="B25" s="118"/>
      <c r="C25" s="126"/>
      <c r="D25" s="126"/>
      <c r="E25" s="126"/>
      <c r="F25" s="126"/>
      <c r="G25" s="126"/>
      <c r="H25" s="126"/>
      <c r="I25" s="126"/>
      <c r="J25" s="126"/>
      <c r="K25" s="126"/>
    </row>
    <row r="26" spans="1:11" ht="15" x14ac:dyDescent="0.25">
      <c r="A26" s="117"/>
      <c r="B26" s="118"/>
      <c r="C26" s="126"/>
      <c r="D26" s="126"/>
      <c r="E26" s="126"/>
      <c r="F26" s="126"/>
      <c r="G26" s="126"/>
      <c r="H26" s="126"/>
      <c r="I26" s="126"/>
      <c r="J26" s="126"/>
      <c r="K26" s="126"/>
    </row>
    <row r="27" spans="1:11" ht="15" x14ac:dyDescent="0.25">
      <c r="A27" s="117"/>
      <c r="B27" s="118"/>
      <c r="C27" s="126"/>
      <c r="D27" s="126"/>
      <c r="E27" s="126"/>
      <c r="F27" s="126"/>
      <c r="G27" s="126"/>
      <c r="H27" s="126"/>
      <c r="I27" s="126"/>
      <c r="J27" s="126"/>
      <c r="K27" s="126"/>
    </row>
    <row r="28" spans="1:11" ht="15" x14ac:dyDescent="0.25">
      <c r="A28" s="117"/>
      <c r="B28" s="118"/>
      <c r="C28" s="126"/>
      <c r="D28" s="126"/>
      <c r="E28" s="126"/>
      <c r="F28" s="126"/>
      <c r="G28" s="126"/>
      <c r="H28" s="126"/>
      <c r="I28" s="126"/>
      <c r="J28" s="126"/>
      <c r="K28" s="126"/>
    </row>
    <row r="29" spans="1:11" ht="15" x14ac:dyDescent="0.25">
      <c r="A29" s="117"/>
      <c r="B29" s="118"/>
      <c r="C29" s="126"/>
      <c r="D29" s="126"/>
      <c r="E29" s="126"/>
      <c r="F29" s="126"/>
      <c r="G29" s="126"/>
      <c r="H29" s="126"/>
      <c r="I29" s="126"/>
      <c r="J29" s="126"/>
      <c r="K29" s="126"/>
    </row>
    <row r="30" spans="1:11" ht="15" x14ac:dyDescent="0.25">
      <c r="A30" s="117"/>
      <c r="B30" s="118"/>
      <c r="C30" s="126"/>
      <c r="D30" s="118"/>
      <c r="E30" s="126"/>
      <c r="F30" s="126"/>
      <c r="G30" s="126"/>
      <c r="H30" s="126"/>
      <c r="I30" s="126"/>
      <c r="J30" s="126"/>
      <c r="K30" s="126"/>
    </row>
    <row r="31" spans="1:11" ht="15" x14ac:dyDescent="0.25">
      <c r="A31" s="117"/>
      <c r="B31" s="118"/>
      <c r="C31" s="118"/>
      <c r="D31" s="118"/>
      <c r="E31" s="118"/>
      <c r="F31" s="118"/>
      <c r="G31" s="118"/>
      <c r="H31" s="118"/>
      <c r="I31" s="118"/>
      <c r="J31" s="118"/>
      <c r="K31" s="118"/>
    </row>
    <row r="32" spans="1:11" ht="15" x14ac:dyDescent="0.25">
      <c r="A32" s="117"/>
      <c r="B32" s="118"/>
      <c r="C32" s="118"/>
      <c r="D32" s="118"/>
      <c r="E32" s="118"/>
      <c r="F32" s="118"/>
      <c r="G32" s="118"/>
      <c r="H32" s="118"/>
      <c r="I32" s="118"/>
      <c r="J32" s="118"/>
      <c r="K32" s="118"/>
    </row>
    <row r="33" spans="1:11" ht="15" x14ac:dyDescent="0.25">
      <c r="A33" s="117"/>
      <c r="B33" s="118"/>
      <c r="C33" s="118"/>
      <c r="D33" s="118"/>
      <c r="E33" s="118"/>
      <c r="F33" s="118"/>
      <c r="G33" s="118"/>
      <c r="H33" s="118"/>
      <c r="I33" s="118"/>
      <c r="J33" s="118"/>
      <c r="K33" s="118"/>
    </row>
    <row r="34" spans="1:11" ht="15" x14ac:dyDescent="0.25">
      <c r="A34" s="117"/>
      <c r="B34" s="118"/>
      <c r="C34" s="118"/>
      <c r="D34" s="118"/>
      <c r="E34" s="118"/>
      <c r="F34" s="118"/>
      <c r="G34" s="118"/>
      <c r="H34" s="118"/>
      <c r="I34" s="118"/>
      <c r="J34" s="118"/>
      <c r="K34" s="118"/>
    </row>
    <row r="35" spans="1:11" ht="15" x14ac:dyDescent="0.25">
      <c r="A35" s="117"/>
      <c r="B35" s="118"/>
      <c r="C35" s="118"/>
      <c r="D35" s="118"/>
      <c r="E35" s="118"/>
      <c r="F35" s="118"/>
      <c r="G35" s="118"/>
      <c r="H35" s="118"/>
      <c r="I35" s="118"/>
      <c r="J35" s="118"/>
      <c r="K35" s="118"/>
    </row>
    <row r="36" spans="1:11" ht="15" x14ac:dyDescent="0.25">
      <c r="A36" s="117"/>
      <c r="B36" s="118"/>
      <c r="C36" s="118"/>
      <c r="D36" s="118"/>
      <c r="E36" s="118"/>
      <c r="F36" s="118"/>
      <c r="G36" s="118"/>
      <c r="H36" s="118"/>
      <c r="I36" s="118"/>
      <c r="J36" s="118"/>
      <c r="K36" s="118"/>
    </row>
    <row r="37" spans="1:11" ht="15" x14ac:dyDescent="0.25">
      <c r="A37" s="117"/>
      <c r="B37" s="118"/>
      <c r="C37" s="118"/>
      <c r="D37" s="118"/>
      <c r="E37" s="118"/>
      <c r="F37" s="118"/>
      <c r="G37" s="118"/>
      <c r="H37" s="118"/>
      <c r="I37" s="118"/>
      <c r="J37" s="118"/>
      <c r="K37" s="118"/>
    </row>
    <row r="38" spans="1:11" ht="15" x14ac:dyDescent="0.25">
      <c r="A38" s="117"/>
      <c r="B38" s="118"/>
      <c r="C38" s="118"/>
      <c r="D38" s="118"/>
      <c r="E38" s="118"/>
      <c r="F38" s="118"/>
      <c r="G38" s="118"/>
      <c r="H38" s="118"/>
      <c r="I38" s="118"/>
      <c r="J38" s="118"/>
      <c r="K38" s="118"/>
    </row>
    <row r="39" spans="1:11" ht="15" x14ac:dyDescent="0.25">
      <c r="A39" s="117"/>
      <c r="B39" s="118"/>
      <c r="C39" s="118"/>
      <c r="D39" s="118"/>
      <c r="E39" s="118"/>
      <c r="F39" s="118"/>
      <c r="G39" s="118"/>
      <c r="H39" s="118"/>
      <c r="I39" s="118"/>
      <c r="J39" s="118"/>
      <c r="K39" s="118"/>
    </row>
    <row r="40" spans="1:11" ht="15" x14ac:dyDescent="0.25">
      <c r="A40" s="117"/>
      <c r="B40" s="118"/>
      <c r="C40" s="118"/>
      <c r="D40" s="118"/>
      <c r="E40" s="118"/>
      <c r="F40" s="118"/>
      <c r="G40" s="118"/>
      <c r="H40" s="118"/>
      <c r="I40" s="118"/>
      <c r="J40" s="118"/>
      <c r="K40" s="118"/>
    </row>
    <row r="41" spans="1:11" ht="15" x14ac:dyDescent="0.25">
      <c r="A41" s="117"/>
      <c r="B41" s="118"/>
      <c r="C41" s="118"/>
      <c r="D41" s="118"/>
      <c r="E41" s="118"/>
      <c r="F41" s="118"/>
      <c r="G41" s="118"/>
      <c r="H41" s="118"/>
      <c r="I41" s="118"/>
      <c r="J41" s="118"/>
      <c r="K41" s="118"/>
    </row>
    <row r="42" spans="1:11" ht="15" x14ac:dyDescent="0.25">
      <c r="A42" s="117"/>
      <c r="B42" s="118"/>
      <c r="C42" s="118"/>
      <c r="D42" s="118"/>
      <c r="E42" s="118"/>
      <c r="F42" s="118"/>
      <c r="G42" s="118"/>
      <c r="H42" s="118"/>
      <c r="I42" s="118"/>
      <c r="J42" s="118"/>
      <c r="K42" s="118"/>
    </row>
    <row r="43" spans="1:11" ht="15" x14ac:dyDescent="0.25">
      <c r="A43" s="117"/>
      <c r="B43" s="118"/>
      <c r="C43" s="118"/>
      <c r="D43" s="118"/>
      <c r="E43" s="118"/>
      <c r="F43" s="118"/>
      <c r="G43" s="118"/>
      <c r="H43" s="118"/>
      <c r="I43" s="118"/>
      <c r="J43" s="118"/>
      <c r="K43" s="118"/>
    </row>
  </sheetData>
  <conditionalFormatting sqref="C5">
    <cfRule type="expression" dxfId="22" priority="1">
      <formula>LEFT(C5,1)="&lt;"</formula>
    </cfRule>
  </conditionalFormatting>
  <conditionalFormatting sqref="D6">
    <cfRule type="expression" dxfId="21" priority="2">
      <formula>LEFT(D6,1)="&lt;"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A38CB7-E9A1-40E4-931E-8CC8D3DB2B90}">
  <dimension ref="A1:P40"/>
  <sheetViews>
    <sheetView showGridLines="0" tabSelected="1" workbookViewId="0">
      <selection activeCell="N13" sqref="N13"/>
    </sheetView>
  </sheetViews>
  <sheetFormatPr defaultColWidth="9.140625" defaultRowHeight="12.75" x14ac:dyDescent="0.2"/>
  <cols>
    <col min="1" max="1" width="7.140625" style="1" customWidth="1"/>
    <col min="2" max="2" width="9.7109375" style="1" customWidth="1"/>
    <col min="3" max="3" width="15.28515625" style="1" customWidth="1"/>
    <col min="4" max="4" width="13.85546875" style="1" customWidth="1"/>
    <col min="5" max="5" width="2.85546875" style="1" customWidth="1"/>
    <col min="6" max="11" width="12.42578125" style="1" customWidth="1"/>
    <col min="12" max="13" width="11.28515625" style="1" bestFit="1" customWidth="1"/>
    <col min="14" max="16384" width="9.140625" style="1"/>
  </cols>
  <sheetData>
    <row r="1" spans="1:16" ht="21" x14ac:dyDescent="0.35">
      <c r="A1" s="62" t="str">
        <f>Project_name</f>
        <v>Network management systems</v>
      </c>
      <c r="B1" s="14"/>
      <c r="C1" s="11"/>
      <c r="D1" s="11"/>
      <c r="E1" s="11"/>
      <c r="F1" s="11"/>
      <c r="G1" s="11"/>
      <c r="H1" s="11"/>
      <c r="I1" s="11"/>
      <c r="J1" s="11"/>
      <c r="K1" s="11"/>
    </row>
    <row r="2" spans="1:16" ht="15.75" x14ac:dyDescent="0.25">
      <c r="A2" s="13" t="s">
        <v>1</v>
      </c>
      <c r="B2" s="13"/>
      <c r="C2" s="11"/>
      <c r="D2" s="11"/>
      <c r="E2" s="11"/>
      <c r="F2" s="11"/>
      <c r="G2" s="11"/>
      <c r="H2" s="11"/>
      <c r="I2" s="11"/>
      <c r="J2" s="11"/>
      <c r="K2" s="11"/>
    </row>
    <row r="3" spans="1:16" s="18" customFormat="1" ht="15.75" x14ac:dyDescent="0.25">
      <c r="A3" s="30" t="str">
        <f>"Summary ($ "&amp;Assumptions!$C$36&amp;")"</f>
        <v>Summary ($ June 2026)</v>
      </c>
      <c r="B3" s="28"/>
      <c r="C3" s="29"/>
      <c r="D3" s="29"/>
      <c r="E3" s="29"/>
      <c r="F3" s="29"/>
      <c r="G3" s="29"/>
      <c r="H3" s="29"/>
      <c r="I3" s="29"/>
      <c r="J3" s="29"/>
      <c r="K3" s="29"/>
      <c r="L3" s="1"/>
    </row>
    <row r="4" spans="1:16" ht="12.75" customHeight="1" x14ac:dyDescent="0.25">
      <c r="E4" s="2"/>
      <c r="P4"/>
    </row>
    <row r="5" spans="1:16" ht="15.75" x14ac:dyDescent="0.25">
      <c r="B5" s="15"/>
      <c r="C5" s="16"/>
      <c r="D5" s="16"/>
      <c r="E5" s="16"/>
      <c r="F5" s="16"/>
      <c r="G5" s="16"/>
      <c r="H5" s="16"/>
      <c r="I5" s="16"/>
      <c r="J5" s="16"/>
      <c r="K5" s="16"/>
    </row>
    <row r="6" spans="1:16" ht="12.75" customHeight="1" x14ac:dyDescent="0.25">
      <c r="B6" s="4" t="s">
        <v>2</v>
      </c>
      <c r="D6" s="93" t="str">
        <f>'Project summary'!D6</f>
        <v>Option 2</v>
      </c>
      <c r="E6" s="2"/>
      <c r="P6"/>
    </row>
    <row r="7" spans="1:16" ht="12.75" customHeight="1" x14ac:dyDescent="0.25">
      <c r="B7" s="48"/>
      <c r="D7" s="2"/>
      <c r="E7" s="2"/>
      <c r="P7"/>
    </row>
    <row r="8" spans="1:16" ht="12.75" customHeight="1" x14ac:dyDescent="0.25">
      <c r="E8" s="2"/>
      <c r="P8"/>
    </row>
    <row r="9" spans="1:16" ht="12.75" customHeight="1" x14ac:dyDescent="0.25">
      <c r="E9" s="2"/>
      <c r="P9"/>
    </row>
    <row r="10" spans="1:16" ht="12.75" customHeight="1" x14ac:dyDescent="0.25">
      <c r="B10" s="36" t="s">
        <v>3</v>
      </c>
      <c r="C10" s="36"/>
      <c r="D10" s="36"/>
      <c r="E10" s="37"/>
      <c r="F10" s="38" t="s">
        <v>5</v>
      </c>
      <c r="G10" s="38" t="s">
        <v>6</v>
      </c>
      <c r="H10" s="38" t="s">
        <v>7</v>
      </c>
      <c r="I10" s="38" t="s">
        <v>8</v>
      </c>
      <c r="J10" s="38" t="s">
        <v>9</v>
      </c>
      <c r="K10" s="72" t="s">
        <v>0</v>
      </c>
      <c r="P10"/>
    </row>
    <row r="11" spans="1:16" ht="12.75" customHeight="1" x14ac:dyDescent="0.25">
      <c r="C11" s="1" t="s">
        <v>50</v>
      </c>
      <c r="D11" s="105"/>
      <c r="E11" s="2"/>
      <c r="F11" s="6">
        <f>'Project summary'!F14*Assumptions!$B$18</f>
        <v>0</v>
      </c>
      <c r="G11" s="6">
        <f>'Project summary'!G14*Assumptions!$B$18</f>
        <v>0</v>
      </c>
      <c r="H11" s="6">
        <f>'Project summary'!H14*Assumptions!$B$18</f>
        <v>0</v>
      </c>
      <c r="I11" s="6">
        <f>'Project summary'!I14*Assumptions!$B$18</f>
        <v>0</v>
      </c>
      <c r="J11" s="6">
        <f>'Project summary'!J14*Assumptions!$B$18</f>
        <v>0</v>
      </c>
      <c r="K11" s="6">
        <f>SUM(F11:J11)</f>
        <v>0</v>
      </c>
      <c r="M11" s="96"/>
      <c r="P11"/>
    </row>
    <row r="12" spans="1:16" ht="12.75" customHeight="1" x14ac:dyDescent="0.25">
      <c r="C12" s="1" t="s">
        <v>86</v>
      </c>
      <c r="D12" s="105"/>
      <c r="E12" s="2"/>
      <c r="F12" s="6">
        <f>'Project summary'!F18*Assumptions!$B$18</f>
        <v>302112.61551250296</v>
      </c>
      <c r="G12" s="6">
        <f>'Project summary'!G18*Assumptions!$B$18</f>
        <v>332323.13697684347</v>
      </c>
      <c r="H12" s="6">
        <f>'Project summary'!H18*Assumptions!$B$18</f>
        <v>365556.16349507793</v>
      </c>
      <c r="I12" s="6">
        <f>'Project summary'!I18*Assumptions!$B$18</f>
        <v>402111.00080573314</v>
      </c>
      <c r="J12" s="6">
        <f>'Project summary'!J18*Assumptions!$B$18</f>
        <v>442322.87992515904</v>
      </c>
      <c r="K12" s="6">
        <f>SUM(F12:J12)</f>
        <v>1844425.7967153166</v>
      </c>
      <c r="M12" s="96"/>
      <c r="P12"/>
    </row>
    <row r="13" spans="1:16" x14ac:dyDescent="0.2">
      <c r="C13" s="1" t="s">
        <v>87</v>
      </c>
      <c r="D13" s="105"/>
      <c r="F13" s="6">
        <v>314138.36068087886</v>
      </c>
      <c r="G13" s="6">
        <v>348320.78853959835</v>
      </c>
      <c r="H13" s="6">
        <v>386668.96504609025</v>
      </c>
      <c r="I13" s="6">
        <v>429645.2176178919</v>
      </c>
      <c r="J13" s="6">
        <v>477187.7925434814</v>
      </c>
      <c r="K13" s="6">
        <f>SUM(F13:J13)</f>
        <v>1955961.1244279407</v>
      </c>
      <c r="M13" s="96"/>
    </row>
    <row r="14" spans="1:16" x14ac:dyDescent="0.2">
      <c r="C14" s="99" t="s">
        <v>84</v>
      </c>
      <c r="D14" s="130" t="str">
        <f>"($ "&amp;Assumptions!$C$36&amp;")"</f>
        <v>($ June 2026)</v>
      </c>
      <c r="E14" s="99"/>
      <c r="F14" s="103">
        <f>F11+F13</f>
        <v>314138.36068087886</v>
      </c>
      <c r="G14" s="103">
        <f t="shared" ref="G14:K14" si="0">G11+G13</f>
        <v>348320.78853959835</v>
      </c>
      <c r="H14" s="103">
        <f t="shared" si="0"/>
        <v>386668.96504609025</v>
      </c>
      <c r="I14" s="103">
        <f t="shared" si="0"/>
        <v>429645.2176178919</v>
      </c>
      <c r="J14" s="103">
        <f t="shared" si="0"/>
        <v>477187.7925434814</v>
      </c>
      <c r="K14" s="103">
        <f t="shared" si="0"/>
        <v>1955961.1244279407</v>
      </c>
      <c r="M14" s="96"/>
    </row>
    <row r="15" spans="1:16" x14ac:dyDescent="0.2">
      <c r="D15" s="105"/>
      <c r="F15" s="6"/>
      <c r="G15" s="6"/>
      <c r="H15" s="6"/>
      <c r="I15" s="6"/>
      <c r="J15" s="6"/>
      <c r="K15" s="6"/>
      <c r="M15" s="96"/>
    </row>
    <row r="16" spans="1:16" x14ac:dyDescent="0.2">
      <c r="C16" s="99" t="s">
        <v>17</v>
      </c>
      <c r="D16" s="130"/>
      <c r="E16" s="130"/>
      <c r="F16" s="135">
        <f>NPV(Real_Discount_rate,F14:J14)</f>
        <v>1753620.0625576917</v>
      </c>
      <c r="G16" s="6"/>
      <c r="H16" s="6"/>
      <c r="I16" s="6"/>
      <c r="J16" s="6"/>
      <c r="K16" s="6"/>
      <c r="M16" s="96"/>
    </row>
    <row r="17" spans="2:13" x14ac:dyDescent="0.2">
      <c r="D17" s="105"/>
      <c r="F17" s="6"/>
      <c r="G17" s="6"/>
      <c r="H17" s="6"/>
      <c r="I17" s="6"/>
      <c r="J17" s="6"/>
      <c r="K17" s="6"/>
      <c r="M17" s="96"/>
    </row>
    <row r="18" spans="2:13" x14ac:dyDescent="0.2">
      <c r="C18" s="1" t="s">
        <v>89</v>
      </c>
    </row>
    <row r="21" spans="2:13" x14ac:dyDescent="0.2">
      <c r="B21" s="36" t="s">
        <v>18</v>
      </c>
      <c r="C21" s="36"/>
      <c r="D21" s="36"/>
      <c r="E21" s="37"/>
      <c r="F21" s="38" t="s">
        <v>5</v>
      </c>
      <c r="G21" s="38" t="s">
        <v>6</v>
      </c>
      <c r="H21" s="38" t="s">
        <v>7</v>
      </c>
      <c r="I21" s="38" t="s">
        <v>8</v>
      </c>
      <c r="J21" s="38" t="s">
        <v>9</v>
      </c>
      <c r="K21" s="72" t="s">
        <v>0</v>
      </c>
    </row>
    <row r="22" spans="2:13" x14ac:dyDescent="0.2">
      <c r="C22" s="1" t="s">
        <v>50</v>
      </c>
      <c r="D22" s="105"/>
      <c r="E22" s="2"/>
      <c r="F22" s="6">
        <f>'Project summary'!F29*Assumptions!$B$18</f>
        <v>7356657.123107627</v>
      </c>
      <c r="G22" s="6">
        <f>'Project summary'!G29*Assumptions!$B$18</f>
        <v>6956742.1650203047</v>
      </c>
      <c r="H22" s="6">
        <f>'Project summary'!H29*Assumptions!$B$18</f>
        <v>6127807.8407374481</v>
      </c>
      <c r="I22" s="6">
        <f>'Project summary'!I29*Assumptions!$B$18</f>
        <v>9348342.241608588</v>
      </c>
      <c r="J22" s="6">
        <f>'Project summary'!J29*Assumptions!$B$18</f>
        <v>6799183.4454704653</v>
      </c>
      <c r="K22" s="6">
        <f>SUM(F22:J22)</f>
        <v>36588732.815944433</v>
      </c>
    </row>
    <row r="23" spans="2:13" x14ac:dyDescent="0.2">
      <c r="C23" s="1" t="s">
        <v>86</v>
      </c>
      <c r="D23" s="105"/>
      <c r="E23" s="2"/>
      <c r="F23" s="6">
        <f>'Project summary'!F33*Assumptions!$B$18</f>
        <v>0</v>
      </c>
      <c r="G23" s="6">
        <f>'Project summary'!G33*Assumptions!$B$18</f>
        <v>0</v>
      </c>
      <c r="H23" s="6">
        <f>'Project summary'!H33*Assumptions!$B$18</f>
        <v>0</v>
      </c>
      <c r="I23" s="6">
        <f>'Project summary'!I33*Assumptions!$B$18</f>
        <v>0</v>
      </c>
      <c r="J23" s="6">
        <f>'Project summary'!J33*Assumptions!$B$18</f>
        <v>0</v>
      </c>
      <c r="K23" s="6">
        <f>SUM(F23:J23)</f>
        <v>0</v>
      </c>
    </row>
    <row r="24" spans="2:13" x14ac:dyDescent="0.2">
      <c r="C24" s="1" t="s">
        <v>90</v>
      </c>
      <c r="D24" s="105"/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f>SUM(F24:J24)</f>
        <v>0</v>
      </c>
    </row>
    <row r="25" spans="2:13" x14ac:dyDescent="0.2">
      <c r="C25" s="99" t="s">
        <v>84</v>
      </c>
      <c r="D25" s="130" t="str">
        <f>"($ "&amp;Assumptions!$C$36&amp;")"</f>
        <v>($ June 2026)</v>
      </c>
      <c r="E25" s="99"/>
      <c r="F25" s="103">
        <f>F22+F24</f>
        <v>7356657.123107627</v>
      </c>
      <c r="G25" s="103">
        <f t="shared" ref="G25:K25" si="1">G22+G24</f>
        <v>6956742.1650203047</v>
      </c>
      <c r="H25" s="103">
        <f t="shared" si="1"/>
        <v>6127807.8407374481</v>
      </c>
      <c r="I25" s="103">
        <f t="shared" si="1"/>
        <v>9348342.241608588</v>
      </c>
      <c r="J25" s="103">
        <f t="shared" si="1"/>
        <v>6799183.4454704653</v>
      </c>
      <c r="K25" s="103">
        <f t="shared" si="1"/>
        <v>36588732.815944433</v>
      </c>
    </row>
    <row r="27" spans="2:13" x14ac:dyDescent="0.2">
      <c r="C27" s="99" t="s">
        <v>17</v>
      </c>
      <c r="D27" s="130"/>
      <c r="E27" s="130"/>
      <c r="F27" s="135">
        <f>NPV(Real_Discount_rate,F25:J25)</f>
        <v>33000276.318740774</v>
      </c>
    </row>
    <row r="29" spans="2:13" x14ac:dyDescent="0.2">
      <c r="C29" s="1" t="s">
        <v>91</v>
      </c>
    </row>
    <row r="32" spans="2:13" x14ac:dyDescent="0.2">
      <c r="B32" s="36" t="s">
        <v>19</v>
      </c>
      <c r="C32" s="36"/>
      <c r="D32" s="36"/>
      <c r="E32" s="37"/>
      <c r="F32" s="38" t="s">
        <v>5</v>
      </c>
      <c r="G32" s="38" t="s">
        <v>6</v>
      </c>
      <c r="H32" s="38" t="s">
        <v>7</v>
      </c>
      <c r="I32" s="38" t="s">
        <v>8</v>
      </c>
      <c r="J32" s="38" t="s">
        <v>9</v>
      </c>
      <c r="K32" s="72" t="s">
        <v>0</v>
      </c>
    </row>
    <row r="33" spans="3:11" x14ac:dyDescent="0.2">
      <c r="C33" s="1" t="s">
        <v>50</v>
      </c>
      <c r="D33" s="105"/>
      <c r="E33" s="2"/>
      <c r="F33" s="6">
        <f>'Project summary'!F44*Assumptions!$B$18</f>
        <v>9359083.269285623</v>
      </c>
      <c r="G33" s="6">
        <f>'Project summary'!G44*Assumptions!$B$18</f>
        <v>8099657.6008891175</v>
      </c>
      <c r="H33" s="6">
        <f>'Project summary'!H44*Assumptions!$B$18</f>
        <v>9177313.249989165</v>
      </c>
      <c r="I33" s="6">
        <f>'Project summary'!I44*Assumptions!$B$18</f>
        <v>7167089.6665427145</v>
      </c>
      <c r="J33" s="6">
        <f>'Project summary'!J44*Assumptions!$B$18</f>
        <v>10112159.872979105</v>
      </c>
      <c r="K33" s="6">
        <f>SUM(F33:J33)</f>
        <v>43915303.659685723</v>
      </c>
    </row>
    <row r="34" spans="3:11" x14ac:dyDescent="0.2">
      <c r="C34" s="1" t="s">
        <v>86</v>
      </c>
      <c r="D34" s="105"/>
      <c r="E34" s="2"/>
      <c r="F34" s="6">
        <f>'Project summary'!F48*Assumptions!$B$18</f>
        <v>0</v>
      </c>
      <c r="G34" s="6">
        <f>'Project summary'!G48*Assumptions!$B$18</f>
        <v>0</v>
      </c>
      <c r="H34" s="6">
        <f>'Project summary'!H48*Assumptions!$B$18</f>
        <v>0</v>
      </c>
      <c r="I34" s="6">
        <f>'Project summary'!I48*Assumptions!$B$18</f>
        <v>0</v>
      </c>
      <c r="J34" s="6">
        <f>'Project summary'!J48*Assumptions!$B$18</f>
        <v>0</v>
      </c>
      <c r="K34" s="6">
        <f>SUM(F34:J34)</f>
        <v>0</v>
      </c>
    </row>
    <row r="35" spans="3:11" x14ac:dyDescent="0.2">
      <c r="C35" s="1" t="s">
        <v>87</v>
      </c>
      <c r="D35" s="105"/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f>SUM(F35:J35)</f>
        <v>0</v>
      </c>
    </row>
    <row r="36" spans="3:11" x14ac:dyDescent="0.2">
      <c r="C36" s="99" t="s">
        <v>84</v>
      </c>
      <c r="D36" s="130" t="str">
        <f>"($ "&amp;Assumptions!$C$36&amp;")"</f>
        <v>($ June 2026)</v>
      </c>
      <c r="E36" s="99"/>
      <c r="F36" s="103">
        <f>F33+F35</f>
        <v>9359083.269285623</v>
      </c>
      <c r="G36" s="103">
        <f t="shared" ref="G36:K36" si="2">G33+G35</f>
        <v>8099657.6008891175</v>
      </c>
      <c r="H36" s="103">
        <f t="shared" si="2"/>
        <v>9177313.249989165</v>
      </c>
      <c r="I36" s="103">
        <f t="shared" si="2"/>
        <v>7167089.6665427145</v>
      </c>
      <c r="J36" s="103">
        <f t="shared" si="2"/>
        <v>10112159.872979105</v>
      </c>
      <c r="K36" s="103">
        <f t="shared" si="2"/>
        <v>43915303.659685723</v>
      </c>
    </row>
    <row r="38" spans="3:11" x14ac:dyDescent="0.2">
      <c r="C38" s="99" t="s">
        <v>17</v>
      </c>
      <c r="D38" s="130"/>
      <c r="E38" s="130"/>
      <c r="F38" s="135">
        <f>NPV(Real_Discount_rate,F36:J36)</f>
        <v>39640992.171062335</v>
      </c>
    </row>
    <row r="40" spans="3:11" x14ac:dyDescent="0.2">
      <c r="C40" s="1" t="s">
        <v>89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E3313-C902-436C-8915-2461C9C9F158}">
  <sheetPr>
    <pageSetUpPr fitToPage="1"/>
  </sheetPr>
  <dimension ref="A1:P52"/>
  <sheetViews>
    <sheetView showGridLines="0" zoomScale="85" zoomScaleNormal="85" workbookViewId="0">
      <selection activeCell="F48" sqref="F48"/>
    </sheetView>
  </sheetViews>
  <sheetFormatPr defaultColWidth="9.140625" defaultRowHeight="12.75" x14ac:dyDescent="0.2"/>
  <cols>
    <col min="1" max="1" width="7.140625" style="1" customWidth="1"/>
    <col min="2" max="2" width="9.7109375" style="1" customWidth="1"/>
    <col min="3" max="3" width="15.28515625" style="1" customWidth="1"/>
    <col min="4" max="4" width="13.85546875" style="1" customWidth="1"/>
    <col min="5" max="5" width="2.85546875" style="1" customWidth="1"/>
    <col min="6" max="11" width="12.42578125" style="1" customWidth="1"/>
    <col min="12" max="13" width="11.28515625" style="1" bestFit="1" customWidth="1"/>
    <col min="14" max="16384" width="9.140625" style="1"/>
  </cols>
  <sheetData>
    <row r="1" spans="1:16" ht="21" x14ac:dyDescent="0.35">
      <c r="A1" s="14" t="str">
        <f>Project_name</f>
        <v>Network management systems</v>
      </c>
      <c r="B1" s="14"/>
      <c r="C1" s="11"/>
      <c r="D1" s="11"/>
      <c r="E1" s="11"/>
      <c r="F1" s="11"/>
      <c r="G1" s="11"/>
      <c r="H1" s="11"/>
      <c r="I1" s="11"/>
      <c r="J1" s="11"/>
      <c r="K1" s="11"/>
    </row>
    <row r="2" spans="1:16" ht="15.75" x14ac:dyDescent="0.25">
      <c r="A2" s="13" t="str">
        <f>Business</f>
        <v>CitiPower &amp; Powercor</v>
      </c>
      <c r="B2" s="13"/>
      <c r="C2" s="11"/>
      <c r="D2" s="11"/>
      <c r="E2" s="11"/>
      <c r="F2" s="11"/>
      <c r="G2" s="11"/>
      <c r="H2" s="11"/>
      <c r="I2" s="11"/>
      <c r="J2" s="11"/>
      <c r="K2" s="11"/>
    </row>
    <row r="3" spans="1:16" s="18" customFormat="1" ht="15.75" x14ac:dyDescent="0.25">
      <c r="A3" s="30" t="str">
        <f>"Summary ($ "&amp;Assumptions!$C$36&amp;")"</f>
        <v>Summary ($ June 2026)</v>
      </c>
      <c r="B3" s="28"/>
      <c r="C3" s="29"/>
      <c r="D3" s="29"/>
      <c r="E3" s="29"/>
      <c r="F3" s="29"/>
      <c r="G3" s="29"/>
      <c r="H3" s="29"/>
      <c r="I3" s="29"/>
      <c r="J3" s="29"/>
      <c r="K3" s="29"/>
      <c r="L3" s="1"/>
    </row>
    <row r="4" spans="1:16" ht="12.75" customHeight="1" x14ac:dyDescent="0.25">
      <c r="E4" s="2"/>
      <c r="P4"/>
    </row>
    <row r="5" spans="1:16" ht="12.75" customHeight="1" x14ac:dyDescent="0.25">
      <c r="B5" s="15"/>
      <c r="C5" s="16"/>
      <c r="D5" s="16"/>
      <c r="E5" s="16"/>
      <c r="F5" s="16"/>
      <c r="G5" s="16"/>
      <c r="H5" s="16"/>
      <c r="I5" s="16"/>
      <c r="J5" s="16"/>
      <c r="K5" s="16"/>
    </row>
    <row r="6" spans="1:16" ht="12.75" customHeight="1" x14ac:dyDescent="0.25">
      <c r="B6" s="4" t="s">
        <v>2</v>
      </c>
      <c r="D6" s="93" t="s">
        <v>18</v>
      </c>
      <c r="E6" s="2"/>
      <c r="P6"/>
    </row>
    <row r="7" spans="1:16" ht="12.75" customHeight="1" x14ac:dyDescent="0.25">
      <c r="B7" s="48"/>
      <c r="D7" s="2"/>
      <c r="E7" s="2"/>
      <c r="P7"/>
    </row>
    <row r="8" spans="1:16" ht="12.75" customHeight="1" x14ac:dyDescent="0.25">
      <c r="E8" s="2"/>
      <c r="P8"/>
    </row>
    <row r="9" spans="1:16" ht="12.75" customHeight="1" x14ac:dyDescent="0.25">
      <c r="E9" s="2"/>
      <c r="P9"/>
    </row>
    <row r="10" spans="1:16" ht="12.75" customHeight="1" x14ac:dyDescent="0.25">
      <c r="B10" s="36" t="s">
        <v>3</v>
      </c>
      <c r="C10" s="36" t="s">
        <v>4</v>
      </c>
      <c r="D10" s="36"/>
      <c r="E10" s="37"/>
      <c r="F10" s="38" t="s">
        <v>5</v>
      </c>
      <c r="G10" s="38" t="s">
        <v>6</v>
      </c>
      <c r="H10" s="38" t="s">
        <v>7</v>
      </c>
      <c r="I10" s="38" t="s">
        <v>8</v>
      </c>
      <c r="J10" s="38" t="s">
        <v>9</v>
      </c>
      <c r="K10" s="72" t="s">
        <v>0</v>
      </c>
      <c r="P10"/>
    </row>
    <row r="11" spans="1:16" ht="12.75" customHeight="1" x14ac:dyDescent="0.25">
      <c r="C11" s="1" t="s">
        <v>10</v>
      </c>
      <c r="D11" s="105" t="s">
        <v>11</v>
      </c>
      <c r="E11" s="2"/>
      <c r="F11" s="6">
        <f>'Option 1'!P74</f>
        <v>0</v>
      </c>
      <c r="G11" s="6">
        <f>'Option 1'!Q74</f>
        <v>0</v>
      </c>
      <c r="H11" s="6">
        <f>'Option 1'!R74</f>
        <v>0</v>
      </c>
      <c r="I11" s="6">
        <f>'Option 1'!S74</f>
        <v>0</v>
      </c>
      <c r="J11" s="6">
        <f>'Option 1'!T74</f>
        <v>0</v>
      </c>
      <c r="K11" s="6">
        <f>SUM(F11:J11)</f>
        <v>0</v>
      </c>
      <c r="M11" s="96"/>
      <c r="P11"/>
    </row>
    <row r="12" spans="1:16" ht="12.75" customHeight="1" x14ac:dyDescent="0.25">
      <c r="C12" s="1" t="s">
        <v>12</v>
      </c>
      <c r="D12" s="105" t="s">
        <v>11</v>
      </c>
      <c r="E12" s="2"/>
      <c r="F12" s="6">
        <f>'Option 1'!P75</f>
        <v>0</v>
      </c>
      <c r="G12" s="6">
        <f>'Option 1'!Q75</f>
        <v>0</v>
      </c>
      <c r="H12" s="6">
        <f>'Option 1'!R75</f>
        <v>0</v>
      </c>
      <c r="I12" s="6">
        <f>'Option 1'!S75</f>
        <v>0</v>
      </c>
      <c r="J12" s="6">
        <f>'Option 1'!T75</f>
        <v>0</v>
      </c>
      <c r="K12" s="6">
        <f t="shared" ref="K12:K13" si="0">SUM(F12:J12)</f>
        <v>0</v>
      </c>
      <c r="M12" s="96"/>
      <c r="P12"/>
    </row>
    <row r="13" spans="1:16" ht="12.75" customHeight="1" x14ac:dyDescent="0.2">
      <c r="C13" s="1" t="s">
        <v>13</v>
      </c>
      <c r="D13" s="105" t="s">
        <v>11</v>
      </c>
      <c r="F13" s="6">
        <f>'Option 1'!P76</f>
        <v>0</v>
      </c>
      <c r="G13" s="6">
        <f>'Option 1'!Q76</f>
        <v>0</v>
      </c>
      <c r="H13" s="6">
        <f>'Option 1'!R76</f>
        <v>0</v>
      </c>
      <c r="I13" s="6">
        <f>'Option 1'!S76</f>
        <v>0</v>
      </c>
      <c r="J13" s="6">
        <f>'Option 1'!T76</f>
        <v>0</v>
      </c>
      <c r="K13" s="6">
        <f t="shared" si="0"/>
        <v>0</v>
      </c>
      <c r="M13" s="96"/>
    </row>
    <row r="14" spans="1:16" ht="12.75" customHeight="1" x14ac:dyDescent="0.2">
      <c r="C14" s="99" t="s">
        <v>14</v>
      </c>
      <c r="D14" s="106"/>
      <c r="E14" s="99"/>
      <c r="F14" s="103">
        <f>SUM(F11:F13)</f>
        <v>0</v>
      </c>
      <c r="G14" s="103">
        <f t="shared" ref="G14:K14" si="1">SUM(G11:G13)</f>
        <v>0</v>
      </c>
      <c r="H14" s="103">
        <f t="shared" si="1"/>
        <v>0</v>
      </c>
      <c r="I14" s="103">
        <f t="shared" si="1"/>
        <v>0</v>
      </c>
      <c r="J14" s="103">
        <f t="shared" si="1"/>
        <v>0</v>
      </c>
      <c r="K14" s="103">
        <f t="shared" si="1"/>
        <v>0</v>
      </c>
      <c r="M14" s="96"/>
    </row>
    <row r="15" spans="1:16" ht="12.75" customHeight="1" x14ac:dyDescent="0.2">
      <c r="C15" s="1" t="s">
        <v>10</v>
      </c>
      <c r="D15" s="105" t="s">
        <v>15</v>
      </c>
      <c r="F15" s="6">
        <f>'Option 1'!P78</f>
        <v>0</v>
      </c>
      <c r="G15" s="6">
        <f>'Option 1'!Q78</f>
        <v>0</v>
      </c>
      <c r="H15" s="6">
        <f>'Option 1'!R78</f>
        <v>0</v>
      </c>
      <c r="I15" s="6">
        <f>'Option 1'!S78</f>
        <v>0</v>
      </c>
      <c r="J15" s="6">
        <f>'Option 1'!T78</f>
        <v>0</v>
      </c>
      <c r="K15" s="6">
        <f>SUM(F15:J15)</f>
        <v>0</v>
      </c>
      <c r="M15" s="96"/>
    </row>
    <row r="16" spans="1:16" ht="12.75" customHeight="1" x14ac:dyDescent="0.2">
      <c r="C16" s="1" t="s">
        <v>12</v>
      </c>
      <c r="D16" s="105" t="s">
        <v>15</v>
      </c>
      <c r="F16" s="6">
        <f>'Option 1'!P79</f>
        <v>0</v>
      </c>
      <c r="G16" s="6">
        <f>'Option 1'!Q79</f>
        <v>0</v>
      </c>
      <c r="H16" s="6">
        <f>'Option 1'!R79</f>
        <v>0</v>
      </c>
      <c r="I16" s="6">
        <f>'Option 1'!S79</f>
        <v>0</v>
      </c>
      <c r="J16" s="6">
        <f>'Option 1'!T79</f>
        <v>0</v>
      </c>
      <c r="K16" s="6">
        <f t="shared" ref="K16:K17" si="2">SUM(F16:J16)</f>
        <v>0</v>
      </c>
      <c r="M16" s="96"/>
    </row>
    <row r="17" spans="2:13" ht="12.75" customHeight="1" x14ac:dyDescent="0.2">
      <c r="C17" s="1" t="s">
        <v>13</v>
      </c>
      <c r="D17" s="105" t="s">
        <v>15</v>
      </c>
      <c r="F17" s="6">
        <f>'Option 1'!P80</f>
        <v>431589.45073214715</v>
      </c>
      <c r="G17" s="6">
        <f>'Option 1'!Q80</f>
        <v>474747.3385383478</v>
      </c>
      <c r="H17" s="6">
        <f>'Option 1'!R80</f>
        <v>522223.09070725419</v>
      </c>
      <c r="I17" s="6">
        <f>'Option 1'!S80</f>
        <v>574444.2868653331</v>
      </c>
      <c r="J17" s="6">
        <f>'Option 1'!T80</f>
        <v>631889.82846451295</v>
      </c>
      <c r="K17" s="6">
        <f t="shared" si="2"/>
        <v>2634893.9953075955</v>
      </c>
      <c r="M17" s="96"/>
    </row>
    <row r="18" spans="2:13" ht="12.75" customHeight="1" x14ac:dyDescent="0.2">
      <c r="C18" s="99" t="s">
        <v>16</v>
      </c>
      <c r="D18" s="106"/>
      <c r="E18" s="99"/>
      <c r="F18" s="103">
        <f>SUM(F15:F17)</f>
        <v>431589.45073214715</v>
      </c>
      <c r="G18" s="103">
        <f t="shared" ref="G18:K18" si="3">SUM(G15:G17)</f>
        <v>474747.3385383478</v>
      </c>
      <c r="H18" s="103">
        <f t="shared" si="3"/>
        <v>522223.09070725419</v>
      </c>
      <c r="I18" s="103">
        <f t="shared" si="3"/>
        <v>574444.2868653331</v>
      </c>
      <c r="J18" s="103">
        <f t="shared" si="3"/>
        <v>631889.82846451295</v>
      </c>
      <c r="K18" s="103">
        <f t="shared" si="3"/>
        <v>2634893.9953075955</v>
      </c>
      <c r="M18" s="96"/>
    </row>
    <row r="19" spans="2:13" ht="12.75" customHeight="1" x14ac:dyDescent="0.2">
      <c r="D19" s="50"/>
      <c r="F19" s="6"/>
      <c r="G19" s="6"/>
      <c r="H19" s="6"/>
      <c r="I19" s="6"/>
      <c r="J19" s="6"/>
      <c r="K19" s="6"/>
      <c r="M19" s="96"/>
    </row>
    <row r="20" spans="2:13" ht="12.75" customHeight="1" x14ac:dyDescent="0.2">
      <c r="C20" s="109" t="str">
        <f>"Total Cost ($ "&amp;Assumptions!$C36&amp;")"</f>
        <v>Total Cost ($ June 2026)</v>
      </c>
      <c r="D20" s="21"/>
      <c r="E20" s="21"/>
      <c r="F20" s="22">
        <f t="shared" ref="F20:K20" si="4">F14+F18</f>
        <v>431589.45073214715</v>
      </c>
      <c r="G20" s="22">
        <f t="shared" si="4"/>
        <v>474747.3385383478</v>
      </c>
      <c r="H20" s="22">
        <f t="shared" si="4"/>
        <v>522223.09070725419</v>
      </c>
      <c r="I20" s="22">
        <f t="shared" si="4"/>
        <v>574444.2868653331</v>
      </c>
      <c r="J20" s="22">
        <f t="shared" si="4"/>
        <v>631889.82846451295</v>
      </c>
      <c r="K20" s="22">
        <f t="shared" si="4"/>
        <v>2634893.9953075955</v>
      </c>
      <c r="L20" s="58">
        <f>K20-'Option 1'!$U$83</f>
        <v>0</v>
      </c>
    </row>
    <row r="21" spans="2:13" ht="12.75" customHeight="1" x14ac:dyDescent="0.2">
      <c r="C21" s="4"/>
      <c r="D21" s="4"/>
      <c r="E21" s="4"/>
      <c r="F21" s="35"/>
      <c r="G21" s="35"/>
      <c r="H21" s="35"/>
      <c r="I21" s="35"/>
      <c r="J21" s="35"/>
      <c r="K21" s="35"/>
    </row>
    <row r="22" spans="2:13" ht="12.75" customHeight="1" x14ac:dyDescent="0.2">
      <c r="C22" s="55" t="s">
        <v>17</v>
      </c>
      <c r="D22" s="22"/>
      <c r="E22" s="22"/>
      <c r="F22" s="22">
        <f>NPV(Real_Discount_rate,F20:J20)</f>
        <v>2363820.9552919841</v>
      </c>
      <c r="G22" s="35"/>
      <c r="H22" s="35"/>
      <c r="I22" s="35"/>
      <c r="J22" s="35"/>
      <c r="K22" s="35"/>
    </row>
    <row r="23" spans="2:13" ht="12.75" customHeight="1" x14ac:dyDescent="0.2">
      <c r="C23" s="33"/>
      <c r="D23" s="33"/>
      <c r="E23" s="4"/>
      <c r="F23" s="35"/>
      <c r="G23" s="35"/>
      <c r="H23" s="35"/>
      <c r="I23" s="35"/>
      <c r="J23" s="35"/>
      <c r="K23" s="35"/>
    </row>
    <row r="24" spans="2:13" ht="12.75" customHeight="1" x14ac:dyDescent="0.2">
      <c r="B24" s="4"/>
      <c r="C24" s="4"/>
      <c r="D24" s="4"/>
      <c r="E24" s="4"/>
      <c r="F24" s="23"/>
      <c r="G24" s="23"/>
      <c r="H24" s="23"/>
      <c r="I24" s="23"/>
      <c r="J24" s="23"/>
      <c r="K24" s="23"/>
    </row>
    <row r="25" spans="2:13" ht="12.75" customHeight="1" x14ac:dyDescent="0.2">
      <c r="B25" s="36" t="s">
        <v>18</v>
      </c>
      <c r="C25" s="36" t="s">
        <v>4</v>
      </c>
      <c r="D25" s="36"/>
      <c r="E25" s="37"/>
      <c r="F25" s="38" t="str">
        <f>F$10</f>
        <v>2026/27</v>
      </c>
      <c r="G25" s="38" t="str">
        <f t="shared" ref="G25:J25" si="5">G$10</f>
        <v>2027/28</v>
      </c>
      <c r="H25" s="38" t="str">
        <f t="shared" si="5"/>
        <v>2028/29</v>
      </c>
      <c r="I25" s="38" t="str">
        <f t="shared" si="5"/>
        <v>2029/30</v>
      </c>
      <c r="J25" s="38" t="str">
        <f t="shared" si="5"/>
        <v>2030/31</v>
      </c>
      <c r="K25" s="72" t="s">
        <v>0</v>
      </c>
    </row>
    <row r="26" spans="2:13" ht="12.75" customHeight="1" x14ac:dyDescent="0.2">
      <c r="C26" s="1" t="s">
        <v>10</v>
      </c>
      <c r="D26" s="105" t="s">
        <v>11</v>
      </c>
      <c r="E26" s="2"/>
      <c r="F26" s="6">
        <f>'Option 2'!P74</f>
        <v>7927028.6009052666</v>
      </c>
      <c r="G26" s="6">
        <f>'Option 2'!Q74</f>
        <v>6792833.7259512451</v>
      </c>
      <c r="H26" s="6">
        <f>'Option 2'!R74</f>
        <v>6309396.1579306629</v>
      </c>
      <c r="I26" s="6">
        <f>'Option 2'!S74</f>
        <v>9518801.4056277331</v>
      </c>
      <c r="J26" s="6">
        <f>'Option 2'!T74</f>
        <v>6368642.280759831</v>
      </c>
      <c r="K26" s="6">
        <f>SUM(F26:J26)</f>
        <v>36916702.171174742</v>
      </c>
      <c r="M26" s="96"/>
    </row>
    <row r="27" spans="2:13" x14ac:dyDescent="0.2">
      <c r="C27" s="1" t="s">
        <v>12</v>
      </c>
      <c r="D27" s="105" t="s">
        <v>11</v>
      </c>
      <c r="E27" s="2"/>
      <c r="F27" s="6">
        <f>'Option 2'!P75</f>
        <v>796208.89439752384</v>
      </c>
      <c r="G27" s="6">
        <f>'Option 2'!Q75</f>
        <v>1004403.6633909785</v>
      </c>
      <c r="H27" s="6">
        <f>'Option 2'!R75</f>
        <v>822157.67434007523</v>
      </c>
      <c r="I27" s="6">
        <f>'Option 2'!S75</f>
        <v>1089256.7094800584</v>
      </c>
      <c r="J27" s="6">
        <f>'Option 2'!T75</f>
        <v>1143061.4756050131</v>
      </c>
      <c r="K27" s="6">
        <f t="shared" ref="K27:K28" si="6">SUM(F27:J27)</f>
        <v>4855088.4172136495</v>
      </c>
      <c r="M27" s="96"/>
    </row>
    <row r="28" spans="2:13" x14ac:dyDescent="0.2">
      <c r="C28" s="1" t="s">
        <v>13</v>
      </c>
      <c r="D28" s="105" t="s">
        <v>11</v>
      </c>
      <c r="F28" s="6">
        <f>'Option 2'!P76</f>
        <v>1786272.6805652494</v>
      </c>
      <c r="G28" s="6">
        <f>'Option 2'!Q76</f>
        <v>2140965.7035439275</v>
      </c>
      <c r="H28" s="6">
        <f>'Option 2'!R76</f>
        <v>1622457.3687827613</v>
      </c>
      <c r="I28" s="6">
        <f>'Option 2'!S76</f>
        <v>2746716.5157616218</v>
      </c>
      <c r="J28" s="6">
        <f>'Option 2'!T76</f>
        <v>2201415.4514501072</v>
      </c>
      <c r="K28" s="6">
        <f t="shared" si="6"/>
        <v>10497827.720103668</v>
      </c>
      <c r="M28" s="96"/>
    </row>
    <row r="29" spans="2:13" x14ac:dyDescent="0.2">
      <c r="C29" s="99" t="s">
        <v>14</v>
      </c>
      <c r="D29" s="106"/>
      <c r="E29" s="99"/>
      <c r="F29" s="103">
        <f>SUM(F26:F28)</f>
        <v>10509510.17586804</v>
      </c>
      <c r="G29" s="103">
        <f t="shared" ref="G29" si="7">SUM(G26:G28)</f>
        <v>9938203.0928861499</v>
      </c>
      <c r="H29" s="103">
        <f t="shared" ref="H29" si="8">SUM(H26:H28)</f>
        <v>8754011.2010534983</v>
      </c>
      <c r="I29" s="103">
        <f t="shared" ref="I29" si="9">SUM(I26:I28)</f>
        <v>13354774.630869413</v>
      </c>
      <c r="J29" s="103">
        <f t="shared" ref="J29" si="10">SUM(J26:J28)</f>
        <v>9713119.2078149505</v>
      </c>
      <c r="K29" s="103">
        <f t="shared" ref="K29" si="11">SUM(K26:K28)</f>
        <v>52269618.308492057</v>
      </c>
      <c r="M29" s="96"/>
    </row>
    <row r="30" spans="2:13" x14ac:dyDescent="0.2">
      <c r="C30" s="1" t="s">
        <v>10</v>
      </c>
      <c r="D30" s="105" t="s">
        <v>15</v>
      </c>
      <c r="F30" s="6">
        <f>'Option 2'!P78</f>
        <v>0</v>
      </c>
      <c r="G30" s="6">
        <f>'Option 2'!Q78</f>
        <v>0</v>
      </c>
      <c r="H30" s="6">
        <f>'Option 2'!R78</f>
        <v>0</v>
      </c>
      <c r="I30" s="6">
        <f>'Option 2'!S78</f>
        <v>0</v>
      </c>
      <c r="J30" s="6">
        <f>'Option 2'!T78</f>
        <v>0</v>
      </c>
      <c r="K30" s="6">
        <f>SUM(F30:J30)</f>
        <v>0</v>
      </c>
      <c r="M30" s="96"/>
    </row>
    <row r="31" spans="2:13" x14ac:dyDescent="0.2">
      <c r="C31" s="1" t="s">
        <v>12</v>
      </c>
      <c r="D31" s="105" t="s">
        <v>15</v>
      </c>
      <c r="F31" s="6">
        <f>'Option 2'!P79</f>
        <v>0</v>
      </c>
      <c r="G31" s="6">
        <f>'Option 2'!Q79</f>
        <v>0</v>
      </c>
      <c r="H31" s="6">
        <f>'Option 2'!R79</f>
        <v>0</v>
      </c>
      <c r="I31" s="6">
        <f>'Option 2'!S79</f>
        <v>0</v>
      </c>
      <c r="J31" s="6">
        <f>'Option 2'!T79</f>
        <v>0</v>
      </c>
      <c r="K31" s="6">
        <f t="shared" ref="K31:K32" si="12">SUM(F31:J31)</f>
        <v>0</v>
      </c>
      <c r="M31" s="96"/>
    </row>
    <row r="32" spans="2:13" x14ac:dyDescent="0.2">
      <c r="C32" s="1" t="s">
        <v>13</v>
      </c>
      <c r="D32" s="105" t="s">
        <v>15</v>
      </c>
      <c r="F32" s="6">
        <f>'Option 2'!P80</f>
        <v>0</v>
      </c>
      <c r="G32" s="6">
        <f>'Option 2'!Q80</f>
        <v>0</v>
      </c>
      <c r="H32" s="6">
        <f>'Option 2'!R80</f>
        <v>0</v>
      </c>
      <c r="I32" s="6">
        <f>'Option 2'!S80</f>
        <v>0</v>
      </c>
      <c r="J32" s="6">
        <f>'Option 2'!T80</f>
        <v>0</v>
      </c>
      <c r="K32" s="6">
        <f t="shared" si="12"/>
        <v>0</v>
      </c>
      <c r="M32" s="96"/>
    </row>
    <row r="33" spans="2:13" x14ac:dyDescent="0.2">
      <c r="C33" s="99" t="s">
        <v>16</v>
      </c>
      <c r="D33" s="106"/>
      <c r="E33" s="99"/>
      <c r="F33" s="103">
        <f>SUM(F30:F32)</f>
        <v>0</v>
      </c>
      <c r="G33" s="103">
        <f t="shared" ref="G33" si="13">SUM(G30:G32)</f>
        <v>0</v>
      </c>
      <c r="H33" s="103">
        <f t="shared" ref="H33" si="14">SUM(H30:H32)</f>
        <v>0</v>
      </c>
      <c r="I33" s="103">
        <f t="shared" ref="I33" si="15">SUM(I30:I32)</f>
        <v>0</v>
      </c>
      <c r="J33" s="103">
        <f t="shared" ref="J33" si="16">SUM(J30:J32)</f>
        <v>0</v>
      </c>
      <c r="K33" s="103">
        <f t="shared" ref="K33" si="17">SUM(K30:K32)</f>
        <v>0</v>
      </c>
      <c r="M33" s="96"/>
    </row>
    <row r="34" spans="2:13" x14ac:dyDescent="0.2">
      <c r="D34" s="50"/>
      <c r="F34" s="6"/>
      <c r="G34" s="6"/>
      <c r="H34" s="6"/>
      <c r="I34" s="6"/>
      <c r="J34" s="6"/>
      <c r="K34" s="6"/>
      <c r="M34" s="96"/>
    </row>
    <row r="35" spans="2:13" x14ac:dyDescent="0.2">
      <c r="C35" s="109" t="str">
        <f>"Total Cost ($ "&amp;Assumptions!$C$36&amp;")"</f>
        <v>Total Cost ($ June 2026)</v>
      </c>
      <c r="D35" s="21"/>
      <c r="E35" s="21"/>
      <c r="F35" s="22">
        <f t="shared" ref="F35:K35" si="18">F29+F33</f>
        <v>10509510.17586804</v>
      </c>
      <c r="G35" s="22">
        <f t="shared" si="18"/>
        <v>9938203.0928861499</v>
      </c>
      <c r="H35" s="22">
        <f t="shared" si="18"/>
        <v>8754011.2010534983</v>
      </c>
      <c r="I35" s="22">
        <f t="shared" si="18"/>
        <v>13354774.630869413</v>
      </c>
      <c r="J35" s="22">
        <f t="shared" si="18"/>
        <v>9713119.2078149505</v>
      </c>
      <c r="K35" s="22">
        <f t="shared" si="18"/>
        <v>52269618.308492057</v>
      </c>
      <c r="L35" s="58">
        <f>K35-'Option 2'!$U$83</f>
        <v>0</v>
      </c>
    </row>
    <row r="37" spans="2:13" x14ac:dyDescent="0.2">
      <c r="C37" s="55" t="s">
        <v>17</v>
      </c>
      <c r="D37" s="22"/>
      <c r="E37" s="22"/>
      <c r="F37" s="22">
        <f>NPV(Real_Discount_rate,F35:J35)</f>
        <v>47143251.883915402</v>
      </c>
    </row>
    <row r="38" spans="2:13" x14ac:dyDescent="0.2">
      <c r="B38" s="26"/>
      <c r="C38" s="33"/>
      <c r="D38" s="33"/>
      <c r="E38" s="26"/>
      <c r="F38" s="26"/>
      <c r="G38" s="26"/>
      <c r="H38" s="26"/>
      <c r="I38" s="26"/>
      <c r="J38" s="26"/>
      <c r="K38" s="26"/>
    </row>
    <row r="40" spans="2:13" x14ac:dyDescent="0.2">
      <c r="B40" s="36" t="s">
        <v>19</v>
      </c>
      <c r="C40" s="36" t="s">
        <v>4</v>
      </c>
      <c r="D40" s="36"/>
      <c r="E40" s="37"/>
      <c r="F40" s="38" t="str">
        <f>F$10</f>
        <v>2026/27</v>
      </c>
      <c r="G40" s="38" t="str">
        <f t="shared" ref="G40:J40" si="19">G$10</f>
        <v>2027/28</v>
      </c>
      <c r="H40" s="38" t="str">
        <f t="shared" si="19"/>
        <v>2028/29</v>
      </c>
      <c r="I40" s="38" t="str">
        <f t="shared" si="19"/>
        <v>2029/30</v>
      </c>
      <c r="J40" s="38" t="str">
        <f t="shared" si="19"/>
        <v>2030/31</v>
      </c>
      <c r="K40" s="72" t="s">
        <v>0</v>
      </c>
    </row>
    <row r="41" spans="2:13" x14ac:dyDescent="0.2">
      <c r="C41" s="1" t="s">
        <v>10</v>
      </c>
      <c r="D41" s="105" t="s">
        <v>11</v>
      </c>
      <c r="E41" s="2"/>
      <c r="F41" s="6">
        <f>'Option 3'!P74</f>
        <v>10031195.847795429</v>
      </c>
      <c r="G41" s="6">
        <f>'Option 3'!Q74</f>
        <v>8140583.1828008546</v>
      </c>
      <c r="H41" s="6">
        <f>'Option 3'!R74</f>
        <v>9039084.3045841232</v>
      </c>
      <c r="I41" s="6">
        <f>'Option 3'!S74</f>
        <v>6706259.1382738519</v>
      </c>
      <c r="J41" s="6">
        <f>'Option 3'!T74</f>
        <v>9840381.4100040719</v>
      </c>
      <c r="K41" s="6">
        <f>SUM(F41:J41)</f>
        <v>43757503.883458331</v>
      </c>
      <c r="M41" s="96"/>
    </row>
    <row r="42" spans="2:13" x14ac:dyDescent="0.2">
      <c r="C42" s="1" t="s">
        <v>12</v>
      </c>
      <c r="D42" s="105" t="s">
        <v>11</v>
      </c>
      <c r="E42" s="2"/>
      <c r="F42" s="6">
        <f>'Option 3'!P75</f>
        <v>1120122.115017676</v>
      </c>
      <c r="G42" s="6">
        <f>'Option 3'!Q75</f>
        <v>1179403.6124767561</v>
      </c>
      <c r="H42" s="6">
        <f>'Option 3'!R75</f>
        <v>1283708.032001805</v>
      </c>
      <c r="I42" s="6">
        <f>'Option 3'!S75</f>
        <v>1225038.5955430686</v>
      </c>
      <c r="J42" s="6">
        <f>'Option 3'!T75</f>
        <v>1484032.3083567924</v>
      </c>
      <c r="K42" s="6">
        <f t="shared" ref="K42:K43" si="20">SUM(F42:J42)</f>
        <v>6292304.6633960987</v>
      </c>
      <c r="M42" s="96"/>
    </row>
    <row r="43" spans="2:13" x14ac:dyDescent="0.2">
      <c r="C43" s="1" t="s">
        <v>13</v>
      </c>
      <c r="D43" s="105" t="s">
        <v>11</v>
      </c>
      <c r="F43" s="6">
        <f>'Option 3'!P76</f>
        <v>2218800.9933092152</v>
      </c>
      <c r="G43" s="6">
        <f>'Option 3'!Q76</f>
        <v>2250952.6345639871</v>
      </c>
      <c r="H43" s="6">
        <f>'Option 3'!R76</f>
        <v>2787655.1633985941</v>
      </c>
      <c r="I43" s="6">
        <f>'Option 3'!S76</f>
        <v>2307401.7898155297</v>
      </c>
      <c r="J43" s="6">
        <f>'Option 3'!T76</f>
        <v>3121528.9573235731</v>
      </c>
      <c r="K43" s="6">
        <f t="shared" si="20"/>
        <v>12686339.5384109</v>
      </c>
      <c r="M43" s="96"/>
    </row>
    <row r="44" spans="2:13" x14ac:dyDescent="0.2">
      <c r="C44" s="99" t="s">
        <v>14</v>
      </c>
      <c r="D44" s="106"/>
      <c r="E44" s="99"/>
      <c r="F44" s="103">
        <f>SUM(F41:F43)</f>
        <v>13370118.95612232</v>
      </c>
      <c r="G44" s="103">
        <f t="shared" ref="G44" si="21">SUM(G41:G43)</f>
        <v>11570939.429841597</v>
      </c>
      <c r="H44" s="103">
        <f t="shared" ref="H44" si="22">SUM(H41:H43)</f>
        <v>13110447.499984521</v>
      </c>
      <c r="I44" s="103">
        <f t="shared" ref="I44" si="23">SUM(I41:I43)</f>
        <v>10238699.52363245</v>
      </c>
      <c r="J44" s="103">
        <f t="shared" ref="J44" si="24">SUM(J41:J43)</f>
        <v>14445942.675684437</v>
      </c>
      <c r="K44" s="103">
        <f t="shared" ref="K44" si="25">SUM(K41:K43)</f>
        <v>62736148.085265331</v>
      </c>
      <c r="M44" s="96"/>
    </row>
    <row r="45" spans="2:13" x14ac:dyDescent="0.2">
      <c r="C45" s="1" t="s">
        <v>10</v>
      </c>
      <c r="D45" s="105" t="s">
        <v>15</v>
      </c>
      <c r="F45" s="6">
        <f>'Option 3'!P78</f>
        <v>0</v>
      </c>
      <c r="G45" s="6">
        <f>'Option 3'!Q78</f>
        <v>0</v>
      </c>
      <c r="H45" s="6">
        <f>'Option 3'!R78</f>
        <v>0</v>
      </c>
      <c r="I45" s="6">
        <f>'Option 3'!S78</f>
        <v>0</v>
      </c>
      <c r="J45" s="6">
        <f>'Option 3'!T78</f>
        <v>0</v>
      </c>
      <c r="K45" s="6">
        <f>SUM(F45:J45)</f>
        <v>0</v>
      </c>
      <c r="M45" s="96"/>
    </row>
    <row r="46" spans="2:13" x14ac:dyDescent="0.2">
      <c r="C46" s="1" t="s">
        <v>12</v>
      </c>
      <c r="D46" s="105" t="s">
        <v>15</v>
      </c>
      <c r="F46" s="6">
        <f>'Option 3'!P79</f>
        <v>0</v>
      </c>
      <c r="G46" s="6">
        <f>'Option 3'!Q79</f>
        <v>0</v>
      </c>
      <c r="H46" s="6">
        <f>'Option 3'!R79</f>
        <v>0</v>
      </c>
      <c r="I46" s="6">
        <f>'Option 3'!S79</f>
        <v>0</v>
      </c>
      <c r="J46" s="6">
        <f>'Option 3'!T79</f>
        <v>0</v>
      </c>
      <c r="K46" s="6">
        <f t="shared" ref="K46:K47" si="26">SUM(F46:J46)</f>
        <v>0</v>
      </c>
      <c r="M46" s="96"/>
    </row>
    <row r="47" spans="2:13" x14ac:dyDescent="0.2">
      <c r="C47" s="1" t="s">
        <v>13</v>
      </c>
      <c r="D47" s="105" t="s">
        <v>15</v>
      </c>
      <c r="F47" s="6">
        <f>'Option 3'!P80</f>
        <v>0</v>
      </c>
      <c r="G47" s="6">
        <f>'Option 3'!Q80</f>
        <v>0</v>
      </c>
      <c r="H47" s="6">
        <f>'Option 3'!R80</f>
        <v>0</v>
      </c>
      <c r="I47" s="6">
        <f>'Option 3'!S80</f>
        <v>0</v>
      </c>
      <c r="J47" s="6">
        <f>'Option 3'!T80</f>
        <v>0</v>
      </c>
      <c r="K47" s="6">
        <f t="shared" si="26"/>
        <v>0</v>
      </c>
      <c r="M47" s="96"/>
    </row>
    <row r="48" spans="2:13" x14ac:dyDescent="0.2">
      <c r="C48" s="99" t="s">
        <v>16</v>
      </c>
      <c r="D48" s="106"/>
      <c r="E48" s="99"/>
      <c r="F48" s="103">
        <f>SUM(F45:F47)</f>
        <v>0</v>
      </c>
      <c r="G48" s="103">
        <f t="shared" ref="G48" si="27">SUM(G45:G47)</f>
        <v>0</v>
      </c>
      <c r="H48" s="103">
        <f t="shared" ref="H48" si="28">SUM(H45:H47)</f>
        <v>0</v>
      </c>
      <c r="I48" s="103">
        <f t="shared" ref="I48" si="29">SUM(I45:I47)</f>
        <v>0</v>
      </c>
      <c r="J48" s="103">
        <f t="shared" ref="J48" si="30">SUM(J45:J47)</f>
        <v>0</v>
      </c>
      <c r="K48" s="103">
        <f t="shared" ref="K48" si="31">SUM(K45:K47)</f>
        <v>0</v>
      </c>
      <c r="M48" s="96"/>
    </row>
    <row r="49" spans="2:13" x14ac:dyDescent="0.2">
      <c r="D49" s="50"/>
      <c r="F49" s="6"/>
      <c r="G49" s="6"/>
      <c r="H49" s="6"/>
      <c r="I49" s="6"/>
      <c r="J49" s="6"/>
      <c r="K49" s="6"/>
      <c r="M49" s="96"/>
    </row>
    <row r="50" spans="2:13" x14ac:dyDescent="0.2">
      <c r="C50" s="109" t="str">
        <f>"Total Cost ($ "&amp;Assumptions!$C36&amp;")"</f>
        <v>Total Cost ($ June 2026)</v>
      </c>
      <c r="D50" s="21"/>
      <c r="E50" s="21"/>
      <c r="F50" s="22">
        <f t="shared" ref="F50:K50" si="32">F44+F48</f>
        <v>13370118.95612232</v>
      </c>
      <c r="G50" s="22">
        <f t="shared" si="32"/>
        <v>11570939.429841597</v>
      </c>
      <c r="H50" s="22">
        <f t="shared" si="32"/>
        <v>13110447.499984521</v>
      </c>
      <c r="I50" s="22">
        <f t="shared" si="32"/>
        <v>10238699.52363245</v>
      </c>
      <c r="J50" s="22">
        <f t="shared" si="32"/>
        <v>14445942.675684437</v>
      </c>
      <c r="K50" s="22">
        <f t="shared" si="32"/>
        <v>62736148.085265331</v>
      </c>
      <c r="L50" s="58">
        <f>K50-'Option 3'!$U$83</f>
        <v>0</v>
      </c>
    </row>
    <row r="52" spans="2:13" x14ac:dyDescent="0.2">
      <c r="B52" s="26"/>
      <c r="C52" s="55" t="s">
        <v>17</v>
      </c>
      <c r="D52" s="22"/>
      <c r="E52" s="22"/>
      <c r="F52" s="22">
        <f>NPV(Real_Discount_rate,F50:J50)</f>
        <v>56629988.815803342</v>
      </c>
      <c r="G52" s="26"/>
      <c r="H52" s="26"/>
      <c r="I52" s="26"/>
      <c r="J52" s="26"/>
      <c r="K52" s="26"/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2C633E5-276B-426D-9A22-2F1B228203ED}">
          <x14:formula1>
            <xm:f>Assumptions!$A$25:$A$27</xm:f>
          </x14:formula1>
          <xm:sqref>D6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">
    <outlinePr summaryBelow="0" summaryRight="0"/>
  </sheetPr>
  <dimension ref="A1:AI103"/>
  <sheetViews>
    <sheetView showGridLines="0" zoomScaleNormal="100" workbookViewId="0">
      <selection activeCell="J9" sqref="J9"/>
    </sheetView>
  </sheetViews>
  <sheetFormatPr defaultColWidth="14.42578125" defaultRowHeight="15" customHeight="1" x14ac:dyDescent="0.25"/>
  <cols>
    <col min="1" max="1" width="24.42578125" customWidth="1"/>
    <col min="2" max="2" width="18" customWidth="1"/>
    <col min="4" max="4" width="2.7109375" customWidth="1"/>
    <col min="5" max="5" width="14.42578125" customWidth="1"/>
    <col min="10" max="10" width="19.140625" customWidth="1"/>
    <col min="11" max="11" width="15.7109375" customWidth="1"/>
  </cols>
  <sheetData>
    <row r="1" spans="1:35" ht="21" x14ac:dyDescent="0.35">
      <c r="A1" s="62" t="str">
        <f>Project_name</f>
        <v>Network management systems</v>
      </c>
      <c r="B1" s="14"/>
      <c r="C1" s="14"/>
      <c r="D1" s="14"/>
      <c r="E1" s="14"/>
      <c r="F1" s="14"/>
      <c r="G1" s="14"/>
      <c r="H1" s="14"/>
      <c r="I1" s="11"/>
      <c r="J1" s="11"/>
      <c r="K1" s="11"/>
    </row>
    <row r="2" spans="1:35" ht="15.75" x14ac:dyDescent="0.25">
      <c r="A2" s="59" t="str">
        <f>Business</f>
        <v>CitiPower &amp; Powercor</v>
      </c>
      <c r="B2" s="13"/>
      <c r="C2" s="13"/>
      <c r="D2" s="13"/>
      <c r="E2" s="13"/>
      <c r="F2" s="13"/>
      <c r="G2" s="13"/>
      <c r="H2" s="13"/>
      <c r="I2" s="11"/>
      <c r="J2" s="11"/>
      <c r="K2" s="11"/>
    </row>
    <row r="3" spans="1:35" s="18" customFormat="1" ht="12.75" customHeight="1" x14ac:dyDescent="0.25">
      <c r="A3" s="30" t="s">
        <v>21</v>
      </c>
      <c r="B3" s="28"/>
      <c r="C3" s="28"/>
      <c r="D3" s="28"/>
      <c r="E3" s="28"/>
      <c r="F3" s="28"/>
      <c r="G3" s="28"/>
      <c r="H3" s="13"/>
      <c r="I3" s="11"/>
      <c r="J3" s="11"/>
      <c r="K3" s="11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</row>
    <row r="4" spans="1:35" ht="12.75" customHeight="1" x14ac:dyDescent="0.25">
      <c r="A4" s="27" t="s">
        <v>20</v>
      </c>
      <c r="B4" s="43" t="s">
        <v>21</v>
      </c>
      <c r="C4" s="27" t="s">
        <v>22</v>
      </c>
      <c r="D4" s="27" t="s">
        <v>23</v>
      </c>
    </row>
    <row r="5" spans="1:35" ht="12.75" customHeight="1" x14ac:dyDescent="0.25">
      <c r="A5" s="27"/>
      <c r="B5" s="43"/>
      <c r="C5" s="27"/>
      <c r="D5" s="27"/>
    </row>
    <row r="6" spans="1:35" ht="12.75" customHeight="1" x14ac:dyDescent="0.25">
      <c r="A6" s="1" t="s">
        <v>24</v>
      </c>
      <c r="B6" s="75" t="s">
        <v>76</v>
      </c>
      <c r="C6" s="75"/>
      <c r="D6" s="27"/>
    </row>
    <row r="7" spans="1:35" ht="12.75" customHeight="1" x14ac:dyDescent="0.25">
      <c r="A7" s="27"/>
      <c r="B7" s="43"/>
      <c r="C7" s="27"/>
      <c r="D7" s="27"/>
    </row>
    <row r="8" spans="1:35" ht="12.75" customHeight="1" x14ac:dyDescent="0.25">
      <c r="A8" s="1" t="s">
        <v>25</v>
      </c>
      <c r="B8" s="76" t="s">
        <v>85</v>
      </c>
      <c r="C8" s="27"/>
      <c r="D8" s="27"/>
    </row>
    <row r="9" spans="1:35" ht="12.75" customHeight="1" x14ac:dyDescent="0.25">
      <c r="A9" s="27"/>
      <c r="B9" s="60"/>
      <c r="C9" s="27"/>
      <c r="D9" s="27"/>
    </row>
    <row r="10" spans="1:35" ht="12.75" customHeight="1" x14ac:dyDescent="0.25">
      <c r="A10" s="1" t="s">
        <v>26</v>
      </c>
      <c r="B10" s="131">
        <v>3.5000000000000003E-2</v>
      </c>
      <c r="C10" s="45"/>
      <c r="D10" s="27"/>
    </row>
    <row r="11" spans="1:35" ht="12.75" customHeight="1" x14ac:dyDescent="0.25">
      <c r="A11" s="27"/>
      <c r="B11" s="60"/>
      <c r="C11" s="27"/>
      <c r="D11" s="27"/>
    </row>
    <row r="12" spans="1:35" ht="12.75" customHeight="1" x14ac:dyDescent="0.25">
      <c r="A12" s="45" t="s">
        <v>27</v>
      </c>
      <c r="B12" s="77" t="s">
        <v>78</v>
      </c>
      <c r="C12" s="45" t="s">
        <v>28</v>
      </c>
      <c r="D12" s="27"/>
    </row>
    <row r="13" spans="1:35" ht="12.75" customHeight="1" x14ac:dyDescent="0.25">
      <c r="A13" s="45"/>
      <c r="B13" s="61"/>
      <c r="C13" s="45"/>
      <c r="D13" s="45"/>
      <c r="E13" s="45"/>
    </row>
    <row r="14" spans="1:35" ht="12.75" customHeight="1" x14ac:dyDescent="0.25">
      <c r="A14" s="45" t="s">
        <v>29</v>
      </c>
      <c r="B14" s="132">
        <f>IF(B12="2022/23",C43,C44)</f>
        <v>145.77740895836223</v>
      </c>
      <c r="C14" s="45"/>
      <c r="D14" s="45"/>
      <c r="E14" s="45"/>
    </row>
    <row r="15" spans="1:35" ht="12.75" customHeight="1" x14ac:dyDescent="0.25">
      <c r="A15" s="82"/>
      <c r="B15" s="45"/>
      <c r="C15" s="45"/>
      <c r="D15" s="45"/>
      <c r="E15" s="45"/>
    </row>
    <row r="16" spans="1:35" ht="12.75" customHeight="1" x14ac:dyDescent="0.25">
      <c r="A16" s="45"/>
      <c r="B16" s="45"/>
      <c r="C16" s="45"/>
      <c r="D16" s="45"/>
      <c r="E16" s="45"/>
    </row>
    <row r="17" spans="1:11" ht="12.75" customHeight="1" x14ac:dyDescent="0.25">
      <c r="A17" s="54" t="s">
        <v>30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</row>
    <row r="18" spans="1:11" ht="12.75" customHeight="1" x14ac:dyDescent="0.25">
      <c r="A18" s="45" t="s">
        <v>1</v>
      </c>
      <c r="B18" s="90">
        <v>0.7</v>
      </c>
    </row>
    <row r="19" spans="1:11" ht="12.75" customHeight="1" x14ac:dyDescent="0.25">
      <c r="A19" s="45" t="s">
        <v>31</v>
      </c>
      <c r="B19" s="90">
        <v>0.3</v>
      </c>
      <c r="D19" s="45"/>
      <c r="E19" s="45"/>
    </row>
    <row r="20" spans="1:11" ht="12.75" customHeight="1" x14ac:dyDescent="0.25">
      <c r="A20" s="45"/>
      <c r="B20" s="45"/>
      <c r="D20" s="45"/>
      <c r="E20" s="45"/>
    </row>
    <row r="21" spans="1:11" ht="12.75" customHeight="1" x14ac:dyDescent="0.25">
      <c r="A21" s="45"/>
      <c r="B21" s="91">
        <f>SUM(B18:B20)</f>
        <v>1</v>
      </c>
      <c r="D21" s="45"/>
      <c r="E21" s="45"/>
    </row>
    <row r="22" spans="1:11" ht="12.75" customHeight="1" x14ac:dyDescent="0.25">
      <c r="A22" s="45"/>
      <c r="B22" s="45"/>
      <c r="C22" s="45"/>
      <c r="D22" s="45"/>
      <c r="E22" s="45"/>
    </row>
    <row r="23" spans="1:11" ht="12.75" customHeight="1" x14ac:dyDescent="0.25">
      <c r="A23" s="45"/>
      <c r="B23" s="45"/>
      <c r="C23" s="45"/>
      <c r="D23" s="45"/>
      <c r="E23" s="45"/>
    </row>
    <row r="24" spans="1:11" ht="12.75" customHeight="1" x14ac:dyDescent="0.25">
      <c r="A24" s="54" t="s">
        <v>32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</row>
    <row r="25" spans="1:11" ht="12.75" customHeight="1" x14ac:dyDescent="0.25">
      <c r="A25" s="45" t="s">
        <v>3</v>
      </c>
      <c r="B25" s="83" t="s">
        <v>35</v>
      </c>
      <c r="C25" s="84"/>
      <c r="D25" s="84"/>
      <c r="E25" s="84"/>
      <c r="F25" s="84"/>
      <c r="G25" s="85"/>
    </row>
    <row r="26" spans="1:11" ht="12.75" customHeight="1" x14ac:dyDescent="0.25">
      <c r="A26" s="45" t="s">
        <v>18</v>
      </c>
      <c r="B26" s="86" t="s">
        <v>33</v>
      </c>
      <c r="C26" s="87"/>
      <c r="D26" s="87"/>
      <c r="E26" s="87"/>
      <c r="F26" s="87"/>
      <c r="G26" s="88"/>
    </row>
    <row r="27" spans="1:11" ht="12.75" customHeight="1" x14ac:dyDescent="0.25">
      <c r="A27" s="45" t="s">
        <v>19</v>
      </c>
      <c r="B27" s="86" t="s">
        <v>34</v>
      </c>
      <c r="C27" s="87"/>
      <c r="D27" s="87"/>
      <c r="E27" s="87"/>
      <c r="F27" s="87"/>
      <c r="G27" s="88"/>
    </row>
    <row r="28" spans="1:11" ht="12.75" customHeight="1" x14ac:dyDescent="0.25">
      <c r="A28" s="45"/>
      <c r="B28" s="89"/>
      <c r="C28" s="89"/>
      <c r="D28" s="89"/>
      <c r="E28" s="89"/>
      <c r="F28" s="89"/>
      <c r="G28" s="89"/>
    </row>
    <row r="29" spans="1:11" ht="12.75" customHeight="1" x14ac:dyDescent="0.25">
      <c r="A29" s="45"/>
      <c r="B29" s="45"/>
      <c r="C29" s="45"/>
      <c r="D29" s="45"/>
      <c r="E29" s="45"/>
    </row>
    <row r="30" spans="1:11" x14ac:dyDescent="0.25">
      <c r="A30" s="39" t="s">
        <v>88</v>
      </c>
      <c r="B30" s="39"/>
      <c r="C30" s="39"/>
      <c r="D30" s="40"/>
      <c r="E30" s="129" t="s">
        <v>77</v>
      </c>
      <c r="F30" s="129" t="s">
        <v>78</v>
      </c>
      <c r="G30" s="129" t="s">
        <v>79</v>
      </c>
      <c r="H30" s="129" t="s">
        <v>80</v>
      </c>
      <c r="I30" s="98"/>
      <c r="J30" s="40"/>
      <c r="K30" s="40"/>
    </row>
    <row r="31" spans="1:11" x14ac:dyDescent="0.25">
      <c r="A31" s="111" t="s">
        <v>73</v>
      </c>
      <c r="B31" s="112"/>
      <c r="C31" s="113"/>
      <c r="D31" s="114"/>
      <c r="E31" s="115">
        <v>1.1757125218136175</v>
      </c>
      <c r="F31" s="115">
        <v>1.1129126464165966</v>
      </c>
      <c r="G31" s="115">
        <v>1.050660524730181</v>
      </c>
      <c r="H31" s="115">
        <v>1.014889156509222</v>
      </c>
      <c r="I31" s="116"/>
      <c r="J31" s="114"/>
      <c r="K31" s="114"/>
    </row>
    <row r="32" spans="1:11" ht="12.75" customHeight="1" x14ac:dyDescent="0.25">
      <c r="A32" s="41"/>
      <c r="B32" s="41"/>
      <c r="C32" s="41"/>
      <c r="D32" s="42"/>
      <c r="E32" s="42"/>
      <c r="F32" s="42"/>
      <c r="G32" s="42"/>
      <c r="H32" s="42"/>
    </row>
    <row r="33" spans="1:11" ht="12.75" customHeight="1" x14ac:dyDescent="0.25">
      <c r="A33" s="41"/>
      <c r="B33" s="41"/>
      <c r="C33" s="41"/>
      <c r="D33" s="42"/>
      <c r="E33" s="42"/>
      <c r="F33" s="42"/>
      <c r="G33" s="42"/>
      <c r="H33" s="42"/>
    </row>
    <row r="34" spans="1:11" ht="12.75" customHeight="1" x14ac:dyDescent="0.25">
      <c r="A34" s="73"/>
      <c r="B34" s="73"/>
      <c r="C34" s="73"/>
      <c r="D34" s="73"/>
      <c r="E34" s="73"/>
      <c r="F34" s="73"/>
      <c r="G34" s="73"/>
      <c r="H34" s="73"/>
      <c r="I34" s="73"/>
      <c r="J34" s="73"/>
      <c r="K34" s="73"/>
    </row>
    <row r="35" spans="1:11" ht="12.75" customHeight="1" x14ac:dyDescent="0.25"/>
    <row r="36" spans="1:11" ht="12.75" customHeight="1" x14ac:dyDescent="0.25">
      <c r="A36" s="45" t="s">
        <v>36</v>
      </c>
      <c r="C36" s="133" t="s">
        <v>80</v>
      </c>
      <c r="D36" t="s">
        <v>28</v>
      </c>
    </row>
    <row r="37" spans="1:11" ht="12.75" customHeight="1" x14ac:dyDescent="0.25">
      <c r="A37" s="45" t="s">
        <v>37</v>
      </c>
      <c r="C37" s="44" t="str">
        <f>$B$12</f>
        <v>June 2024</v>
      </c>
    </row>
    <row r="38" spans="1:11" ht="12.75" customHeight="1" x14ac:dyDescent="0.25">
      <c r="A38" s="45" t="s">
        <v>38</v>
      </c>
      <c r="C38" s="92">
        <f>INDEX($E$31:$H$31,MATCH($C$37,$E$30:$H$30))</f>
        <v>1.1129126464165966</v>
      </c>
    </row>
    <row r="39" spans="1:11" ht="12.75" customHeight="1" x14ac:dyDescent="0.25"/>
    <row r="40" spans="1:11" ht="12.75" customHeight="1" x14ac:dyDescent="0.25">
      <c r="A40" s="73"/>
      <c r="B40" s="73"/>
      <c r="C40" s="73"/>
      <c r="D40" s="73"/>
      <c r="E40" s="73"/>
      <c r="F40" s="73"/>
      <c r="G40" s="73"/>
      <c r="H40" s="73"/>
      <c r="I40" s="73"/>
      <c r="J40" s="73"/>
      <c r="K40" s="73"/>
    </row>
    <row r="41" spans="1:11" ht="12.75" customHeight="1" x14ac:dyDescent="0.25"/>
    <row r="42" spans="1:11" ht="12.75" customHeight="1" x14ac:dyDescent="0.25">
      <c r="A42" s="45" t="s">
        <v>39</v>
      </c>
      <c r="C42" s="134" t="s">
        <v>40</v>
      </c>
      <c r="D42" t="s">
        <v>81</v>
      </c>
    </row>
    <row r="43" spans="1:11" ht="12.75" customHeight="1" x14ac:dyDescent="0.25">
      <c r="A43" s="45" t="s">
        <v>37</v>
      </c>
      <c r="C43" s="94">
        <v>135.18960020374115</v>
      </c>
      <c r="D43" t="s">
        <v>82</v>
      </c>
    </row>
    <row r="44" spans="1:11" ht="12.75" customHeight="1" x14ac:dyDescent="0.25">
      <c r="A44" s="45" t="s">
        <v>38</v>
      </c>
      <c r="C44" s="95">
        <v>145.77740895836223</v>
      </c>
      <c r="D44" t="s">
        <v>83</v>
      </c>
    </row>
    <row r="45" spans="1:11" ht="12.75" customHeight="1" x14ac:dyDescent="0.25"/>
    <row r="46" spans="1:11" ht="12.75" customHeight="1" x14ac:dyDescent="0.25"/>
    <row r="47" spans="1:11" ht="12.75" customHeight="1" x14ac:dyDescent="0.25"/>
    <row r="48" spans="1:11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</sheetData>
  <dataValidations count="1">
    <dataValidation type="list" allowBlank="1" showInputMessage="1" showErrorMessage="1" sqref="B12" xr:uid="{F4530B8B-E1E8-402D-B0E6-F53F35029D26}">
      <formula1>$E$30:$F$30</formula1>
    </dataValidation>
  </dataValidation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6F26E-5845-4C2B-802C-F5BB95486F50}">
  <dimension ref="A1:Y85"/>
  <sheetViews>
    <sheetView showGridLines="0" zoomScale="90" zoomScaleNormal="90" workbookViewId="0">
      <pane xSplit="3" ySplit="9" topLeftCell="D10" activePane="bottomRight" state="frozen"/>
      <selection activeCell="R1" sqref="R1:T3"/>
      <selection pane="topRight" activeCell="R1" sqref="R1:T3"/>
      <selection pane="bottomLeft" activeCell="R1" sqref="R1:T3"/>
      <selection pane="bottomRight" activeCell="R1" sqref="R1:T3"/>
    </sheetView>
  </sheetViews>
  <sheetFormatPr defaultColWidth="9.140625" defaultRowHeight="12.75" x14ac:dyDescent="0.2"/>
  <cols>
    <col min="1" max="1" width="4.28515625" style="1" customWidth="1"/>
    <col min="2" max="2" width="2.7109375" style="1" customWidth="1"/>
    <col min="3" max="3" width="48.140625" style="1" customWidth="1"/>
    <col min="4" max="4" width="12.7109375" style="1" customWidth="1"/>
    <col min="5" max="5" width="11.140625" style="1" customWidth="1"/>
    <col min="6" max="6" width="2.85546875" style="1" customWidth="1"/>
    <col min="7" max="7" width="12.140625" style="1" customWidth="1"/>
    <col min="8" max="8" width="12.7109375" style="9" customWidth="1"/>
    <col min="9" max="9" width="2.85546875" style="1" customWidth="1"/>
    <col min="10" max="14" width="12.140625" style="1" customWidth="1"/>
    <col min="15" max="15" width="2.85546875" style="1" customWidth="1"/>
    <col min="16" max="20" width="12.140625" style="1" customWidth="1"/>
    <col min="21" max="21" width="13" style="1" customWidth="1"/>
    <col min="22" max="16384" width="9.140625" style="1"/>
  </cols>
  <sheetData>
    <row r="1" spans="1:25" ht="21" x14ac:dyDescent="0.35">
      <c r="A1" s="62" t="str">
        <f>Project_name</f>
        <v>Network management systems</v>
      </c>
      <c r="B1" s="14"/>
      <c r="C1" s="11"/>
      <c r="D1" s="11"/>
      <c r="E1" s="11"/>
      <c r="F1" s="11"/>
      <c r="G1" s="11"/>
      <c r="H1" s="12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</row>
    <row r="2" spans="1:25" ht="15.75" x14ac:dyDescent="0.25">
      <c r="A2" s="59" t="str">
        <f>Business</f>
        <v>CitiPower &amp; Powercor</v>
      </c>
      <c r="B2" s="13"/>
      <c r="C2" s="11"/>
      <c r="D2" s="11"/>
      <c r="E2" s="11"/>
      <c r="F2" s="11"/>
      <c r="G2" s="11"/>
      <c r="H2" s="12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</row>
    <row r="3" spans="1:25" s="32" customFormat="1" ht="15.75" x14ac:dyDescent="0.25">
      <c r="A3" s="30" t="s">
        <v>3</v>
      </c>
      <c r="B3" s="30"/>
      <c r="C3" s="30"/>
      <c r="D3" s="30"/>
      <c r="E3" s="30"/>
      <c r="F3" s="30"/>
      <c r="G3" s="30"/>
      <c r="H3" s="31"/>
      <c r="I3" s="30"/>
      <c r="J3" s="30"/>
      <c r="K3" s="30"/>
      <c r="L3" s="30"/>
      <c r="M3" s="30"/>
      <c r="N3" s="30"/>
      <c r="O3" s="30"/>
      <c r="P3" s="13"/>
      <c r="Q3" s="11"/>
      <c r="R3" s="11"/>
      <c r="S3" s="11"/>
      <c r="T3" s="11"/>
      <c r="V3" s="49" t="b">
        <f>SUM(V7:V55)=0</f>
        <v>1</v>
      </c>
    </row>
    <row r="4" spans="1:25" ht="12.75" customHeight="1" x14ac:dyDescent="0.25">
      <c r="B4" s="15"/>
      <c r="C4" s="16"/>
      <c r="D4" s="16"/>
      <c r="E4" s="16"/>
      <c r="F4" s="16"/>
      <c r="G4" s="16"/>
      <c r="H4" s="17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</row>
    <row r="5" spans="1:25" ht="12.75" customHeight="1" x14ac:dyDescent="0.2">
      <c r="A5" s="1" t="str">
        <f>"Inputs are in $"&amp;Assumptions!$B$12&amp; " unless otherwise stated"</f>
        <v>Inputs are in $June 2024 unless otherwise stated</v>
      </c>
      <c r="B5" s="18"/>
      <c r="C5" s="16"/>
      <c r="D5" s="16"/>
      <c r="E5" s="16"/>
      <c r="F5" s="16"/>
      <c r="G5" s="16"/>
      <c r="H5" s="17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spans="1:25" ht="12.75" customHeight="1" x14ac:dyDescent="0.2">
      <c r="A6" s="4"/>
      <c r="F6" s="16"/>
    </row>
    <row r="7" spans="1:25" ht="12.75" customHeight="1" x14ac:dyDescent="0.2">
      <c r="A7" s="4"/>
      <c r="C7" s="51" t="s">
        <v>41</v>
      </c>
      <c r="D7" s="64" t="s">
        <v>42</v>
      </c>
      <c r="E7" s="64" t="s">
        <v>43</v>
      </c>
      <c r="F7" s="16"/>
      <c r="G7" s="107" t="s">
        <v>10</v>
      </c>
      <c r="H7" s="19" t="s">
        <v>44</v>
      </c>
      <c r="J7" s="19" t="s">
        <v>45</v>
      </c>
      <c r="K7" s="20"/>
      <c r="L7" s="20"/>
      <c r="M7" s="20"/>
      <c r="N7" s="20"/>
      <c r="P7" s="19" t="s">
        <v>46</v>
      </c>
      <c r="Q7" s="20"/>
      <c r="R7" s="20"/>
      <c r="S7" s="20"/>
      <c r="T7" s="20"/>
    </row>
    <row r="8" spans="1:25" ht="12.75" customHeight="1" x14ac:dyDescent="0.2">
      <c r="A8" s="4"/>
      <c r="B8" s="4"/>
      <c r="C8" s="97"/>
      <c r="D8" s="97" t="s">
        <v>47</v>
      </c>
      <c r="E8" s="97"/>
      <c r="F8" s="16"/>
      <c r="G8" s="108" t="s">
        <v>48</v>
      </c>
      <c r="H8" s="4"/>
      <c r="J8" s="52" t="s">
        <v>5</v>
      </c>
      <c r="K8" s="52" t="s">
        <v>6</v>
      </c>
      <c r="L8" s="52" t="s">
        <v>7</v>
      </c>
      <c r="M8" s="52" t="s">
        <v>8</v>
      </c>
      <c r="N8" s="52" t="s">
        <v>9</v>
      </c>
      <c r="P8" s="52" t="s">
        <v>5</v>
      </c>
      <c r="Q8" s="52" t="s">
        <v>6</v>
      </c>
      <c r="R8" s="52" t="s">
        <v>7</v>
      </c>
      <c r="S8" s="52" t="s">
        <v>8</v>
      </c>
      <c r="T8" s="52" t="s">
        <v>9</v>
      </c>
    </row>
    <row r="9" spans="1:25" ht="12.75" customHeight="1" x14ac:dyDescent="0.2">
      <c r="F9" s="16"/>
    </row>
    <row r="10" spans="1:25" ht="12.75" customHeight="1" x14ac:dyDescent="0.2">
      <c r="A10" s="4"/>
      <c r="C10" s="79" t="s">
        <v>49</v>
      </c>
      <c r="D10" s="80" t="s">
        <v>47</v>
      </c>
      <c r="E10" s="78" t="s">
        <v>13</v>
      </c>
      <c r="F10" s="2"/>
      <c r="G10" s="63">
        <f>IF($E10="Labour",Assumptions!$B$14,)</f>
        <v>0</v>
      </c>
      <c r="H10" s="9" t="str">
        <f>IF($E10="Labour","Hours","$")</f>
        <v>$</v>
      </c>
      <c r="I10" s="2"/>
      <c r="J10" s="81">
        <v>161182.44900000002</v>
      </c>
      <c r="K10" s="81">
        <v>177300.69390000004</v>
      </c>
      <c r="L10" s="81">
        <v>195030.76329000006</v>
      </c>
      <c r="M10" s="81">
        <v>214533.83961900009</v>
      </c>
      <c r="N10" s="81">
        <v>235987.22358090011</v>
      </c>
      <c r="O10" s="2"/>
      <c r="P10" s="5">
        <f t="shared" ref="P10:P54" si="0">IF($E10="Labour",$G10*J10,J10)</f>
        <v>161182.44900000002</v>
      </c>
      <c r="Q10" s="5">
        <f t="shared" ref="Q10:Q54" si="1">IF($E10="Labour",$G10*K10,K10)</f>
        <v>177300.69390000004</v>
      </c>
      <c r="R10" s="5">
        <f t="shared" ref="R10:R54" si="2">IF($E10="Labour",$G10*L10,L10)</f>
        <v>195030.76329000006</v>
      </c>
      <c r="S10" s="5">
        <f t="shared" ref="S10:S54" si="3">IF($E10="Labour",$G10*M10,M10)</f>
        <v>214533.83961900009</v>
      </c>
      <c r="T10" s="5">
        <f t="shared" ref="T10:T54" si="4">IF($E10="Labour",$G10*N10,N10)</f>
        <v>235987.22358090011</v>
      </c>
    </row>
    <row r="11" spans="1:25" ht="12.75" customHeight="1" x14ac:dyDescent="0.2">
      <c r="A11" s="4"/>
      <c r="C11" s="79" t="s">
        <v>51</v>
      </c>
      <c r="D11" s="80" t="s">
        <v>47</v>
      </c>
      <c r="E11" s="78" t="s">
        <v>13</v>
      </c>
      <c r="F11" s="2"/>
      <c r="G11" s="63">
        <f>IF($E11="Labour",Assumptions!$B$14,)</f>
        <v>0</v>
      </c>
      <c r="H11" s="9" t="str">
        <f t="shared" ref="H11:H54" si="5">IF($E11="Labour","Hours","$")</f>
        <v>$</v>
      </c>
      <c r="I11" s="2"/>
      <c r="J11" s="81"/>
      <c r="K11" s="81"/>
      <c r="L11" s="81"/>
      <c r="M11" s="81"/>
      <c r="N11" s="81"/>
      <c r="O11" s="2"/>
      <c r="P11" s="5">
        <f t="shared" si="0"/>
        <v>0</v>
      </c>
      <c r="Q11" s="5">
        <f t="shared" si="1"/>
        <v>0</v>
      </c>
      <c r="R11" s="5">
        <f t="shared" si="2"/>
        <v>0</v>
      </c>
      <c r="S11" s="5">
        <f t="shared" si="3"/>
        <v>0</v>
      </c>
      <c r="T11" s="5">
        <f t="shared" si="4"/>
        <v>0</v>
      </c>
    </row>
    <row r="12" spans="1:25" ht="12.75" customHeight="1" x14ac:dyDescent="0.2">
      <c r="A12" s="4"/>
      <c r="C12" s="79" t="s">
        <v>53</v>
      </c>
      <c r="D12" s="80" t="s">
        <v>47</v>
      </c>
      <c r="E12" s="78" t="s">
        <v>13</v>
      </c>
      <c r="F12" s="2"/>
      <c r="G12" s="63">
        <f>IF($E12="Labour",Assumptions!$B$14,)</f>
        <v>0</v>
      </c>
      <c r="H12" s="9" t="str">
        <f t="shared" si="5"/>
        <v>$</v>
      </c>
      <c r="I12" s="2"/>
      <c r="J12" s="81">
        <v>8000</v>
      </c>
      <c r="K12" s="81">
        <v>8800</v>
      </c>
      <c r="L12" s="81">
        <v>9680</v>
      </c>
      <c r="M12" s="81">
        <v>10648</v>
      </c>
      <c r="N12" s="81">
        <v>11712.800000000001</v>
      </c>
      <c r="O12" s="2"/>
      <c r="P12" s="5">
        <f t="shared" si="0"/>
        <v>8000</v>
      </c>
      <c r="Q12" s="5">
        <f t="shared" si="1"/>
        <v>8800</v>
      </c>
      <c r="R12" s="5">
        <f t="shared" si="2"/>
        <v>9680</v>
      </c>
      <c r="S12" s="5">
        <f t="shared" si="3"/>
        <v>10648</v>
      </c>
      <c r="T12" s="5">
        <f t="shared" si="4"/>
        <v>11712.800000000001</v>
      </c>
    </row>
    <row r="13" spans="1:25" ht="12.75" customHeight="1" x14ac:dyDescent="0.25">
      <c r="A13" s="4"/>
      <c r="C13" s="79" t="s">
        <v>54</v>
      </c>
      <c r="D13" s="80" t="s">
        <v>47</v>
      </c>
      <c r="E13" s="78" t="s">
        <v>13</v>
      </c>
      <c r="F13" s="2"/>
      <c r="G13" s="63">
        <f>IF($E13="Labour",Assumptions!$B$14,)</f>
        <v>0</v>
      </c>
      <c r="H13" s="9" t="str">
        <f t="shared" si="5"/>
        <v>$</v>
      </c>
      <c r="I13" s="2"/>
      <c r="J13" s="81"/>
      <c r="K13" s="81"/>
      <c r="L13" s="81"/>
      <c r="M13" s="81"/>
      <c r="N13" s="81"/>
      <c r="O13" s="2"/>
      <c r="P13" s="5">
        <f t="shared" si="0"/>
        <v>0</v>
      </c>
      <c r="Q13" s="5">
        <f t="shared" si="1"/>
        <v>0</v>
      </c>
      <c r="R13" s="5">
        <f t="shared" si="2"/>
        <v>0</v>
      </c>
      <c r="S13" s="5">
        <f t="shared" si="3"/>
        <v>0</v>
      </c>
      <c r="T13" s="5">
        <f t="shared" si="4"/>
        <v>0</v>
      </c>
      <c r="Y13"/>
    </row>
    <row r="14" spans="1:25" ht="12.75" customHeight="1" x14ac:dyDescent="0.25">
      <c r="A14" s="4"/>
      <c r="C14" s="79" t="s">
        <v>55</v>
      </c>
      <c r="D14" s="80" t="s">
        <v>47</v>
      </c>
      <c r="E14" s="78" t="s">
        <v>13</v>
      </c>
      <c r="F14" s="2"/>
      <c r="G14" s="63">
        <f>IF($E14="Labour",Assumptions!$B$14,)</f>
        <v>0</v>
      </c>
      <c r="H14" s="9" t="str">
        <f t="shared" si="5"/>
        <v>$</v>
      </c>
      <c r="I14" s="2"/>
      <c r="J14" s="81">
        <v>4000</v>
      </c>
      <c r="K14" s="81">
        <v>4400.0000000000073</v>
      </c>
      <c r="L14" s="81">
        <v>4840.0000000000073</v>
      </c>
      <c r="M14" s="81">
        <v>5324.0000000000073</v>
      </c>
      <c r="N14" s="81">
        <v>5856.4000000000087</v>
      </c>
      <c r="O14" s="2"/>
      <c r="P14" s="5">
        <f t="shared" si="0"/>
        <v>4000</v>
      </c>
      <c r="Q14" s="5">
        <f t="shared" si="1"/>
        <v>4400.0000000000073</v>
      </c>
      <c r="R14" s="5">
        <f t="shared" si="2"/>
        <v>4840.0000000000073</v>
      </c>
      <c r="S14" s="5">
        <f t="shared" si="3"/>
        <v>5324.0000000000073</v>
      </c>
      <c r="T14" s="5">
        <f t="shared" si="4"/>
        <v>5856.4000000000087</v>
      </c>
      <c r="Y14"/>
    </row>
    <row r="15" spans="1:25" ht="12.75" customHeight="1" x14ac:dyDescent="0.25">
      <c r="A15" s="4"/>
      <c r="C15" s="79" t="s">
        <v>56</v>
      </c>
      <c r="D15" s="80" t="s">
        <v>47</v>
      </c>
      <c r="E15" s="78" t="s">
        <v>13</v>
      </c>
      <c r="F15" s="2"/>
      <c r="G15" s="63">
        <f>IF($E15="Labour",Assumptions!$B$14,)</f>
        <v>0</v>
      </c>
      <c r="H15" s="9" t="str">
        <f t="shared" si="5"/>
        <v>$</v>
      </c>
      <c r="I15" s="2"/>
      <c r="J15" s="81">
        <v>30000</v>
      </c>
      <c r="K15" s="81">
        <v>33000.000000000058</v>
      </c>
      <c r="L15" s="81">
        <v>36300.000000000058</v>
      </c>
      <c r="M15" s="81">
        <v>39930.000000000058</v>
      </c>
      <c r="N15" s="81">
        <v>43923.000000000058</v>
      </c>
      <c r="O15" s="2"/>
      <c r="P15" s="5">
        <f t="shared" si="0"/>
        <v>30000</v>
      </c>
      <c r="Q15" s="5">
        <f t="shared" si="1"/>
        <v>33000.000000000058</v>
      </c>
      <c r="R15" s="5">
        <f t="shared" si="2"/>
        <v>36300.000000000058</v>
      </c>
      <c r="S15" s="5">
        <f t="shared" si="3"/>
        <v>39930.000000000058</v>
      </c>
      <c r="T15" s="5">
        <f t="shared" si="4"/>
        <v>43923.000000000058</v>
      </c>
      <c r="Y15"/>
    </row>
    <row r="16" spans="1:25" ht="12.75" customHeight="1" x14ac:dyDescent="0.25">
      <c r="A16" s="4"/>
      <c r="C16" s="79" t="s">
        <v>68</v>
      </c>
      <c r="D16" s="80" t="s">
        <v>47</v>
      </c>
      <c r="E16" s="78" t="s">
        <v>13</v>
      </c>
      <c r="F16" s="2"/>
      <c r="G16" s="63">
        <f>IF($E16="Labour",Assumptions!$B$14,)</f>
        <v>0</v>
      </c>
      <c r="H16" s="9" t="str">
        <f t="shared" si="5"/>
        <v>$</v>
      </c>
      <c r="I16" s="2"/>
      <c r="J16" s="81">
        <v>62500</v>
      </c>
      <c r="K16" s="81">
        <v>68750</v>
      </c>
      <c r="L16" s="81">
        <v>75625</v>
      </c>
      <c r="M16" s="81">
        <v>83187.5</v>
      </c>
      <c r="N16" s="81">
        <v>91506.250000000015</v>
      </c>
      <c r="O16" s="2"/>
      <c r="P16" s="5">
        <f t="shared" si="0"/>
        <v>62500</v>
      </c>
      <c r="Q16" s="5">
        <f t="shared" si="1"/>
        <v>68750</v>
      </c>
      <c r="R16" s="5">
        <f t="shared" si="2"/>
        <v>75625</v>
      </c>
      <c r="S16" s="5">
        <f t="shared" si="3"/>
        <v>83187.5</v>
      </c>
      <c r="T16" s="5">
        <f t="shared" si="4"/>
        <v>91506.250000000015</v>
      </c>
      <c r="Y16"/>
    </row>
    <row r="17" spans="1:25" ht="12.75" customHeight="1" x14ac:dyDescent="0.25">
      <c r="A17" s="4"/>
      <c r="C17" s="79" t="s">
        <v>69</v>
      </c>
      <c r="D17" s="80" t="s">
        <v>47</v>
      </c>
      <c r="E17" s="78" t="s">
        <v>13</v>
      </c>
      <c r="F17" s="2"/>
      <c r="G17" s="63">
        <f>IF($E17="Labour",Assumptions!$B$14,)</f>
        <v>0</v>
      </c>
      <c r="H17" s="9" t="str">
        <f t="shared" si="5"/>
        <v>$</v>
      </c>
      <c r="I17" s="2"/>
      <c r="J17" s="81">
        <v>27770.800000000003</v>
      </c>
      <c r="K17" s="81">
        <v>30547.880000000005</v>
      </c>
      <c r="L17" s="81">
        <v>33602.668000000005</v>
      </c>
      <c r="M17" s="81">
        <v>36962.93480000001</v>
      </c>
      <c r="N17" s="81">
        <v>40659.228280000018</v>
      </c>
      <c r="O17" s="2"/>
      <c r="P17" s="5">
        <f t="shared" si="0"/>
        <v>27770.800000000003</v>
      </c>
      <c r="Q17" s="5">
        <f t="shared" si="1"/>
        <v>30547.880000000005</v>
      </c>
      <c r="R17" s="5">
        <f t="shared" si="2"/>
        <v>33602.668000000005</v>
      </c>
      <c r="S17" s="5">
        <f t="shared" si="3"/>
        <v>36962.93480000001</v>
      </c>
      <c r="T17" s="5">
        <f t="shared" si="4"/>
        <v>40659.228280000018</v>
      </c>
      <c r="Y17"/>
    </row>
    <row r="18" spans="1:25" ht="12.75" customHeight="1" x14ac:dyDescent="0.25">
      <c r="A18" s="4"/>
      <c r="C18" s="79" t="s">
        <v>59</v>
      </c>
      <c r="D18" s="80" t="s">
        <v>47</v>
      </c>
      <c r="E18" s="78" t="s">
        <v>13</v>
      </c>
      <c r="F18" s="2"/>
      <c r="G18" s="63">
        <f>IF($E18="Labour",Assumptions!$B$14,)</f>
        <v>0</v>
      </c>
      <c r="H18" s="9" t="str">
        <f t="shared" si="5"/>
        <v>$</v>
      </c>
      <c r="I18" s="2"/>
      <c r="J18" s="81">
        <v>5600</v>
      </c>
      <c r="K18" s="81">
        <v>6160.0000000000009</v>
      </c>
      <c r="L18" s="81">
        <v>6776.0000000000018</v>
      </c>
      <c r="M18" s="81">
        <v>7453.6000000000022</v>
      </c>
      <c r="N18" s="81">
        <v>8198.9600000000028</v>
      </c>
      <c r="O18" s="2"/>
      <c r="P18" s="5">
        <f t="shared" si="0"/>
        <v>5600</v>
      </c>
      <c r="Q18" s="5">
        <f t="shared" si="1"/>
        <v>6160.0000000000009</v>
      </c>
      <c r="R18" s="5">
        <f t="shared" si="2"/>
        <v>6776.0000000000018</v>
      </c>
      <c r="S18" s="5">
        <f t="shared" si="3"/>
        <v>7453.6000000000022</v>
      </c>
      <c r="T18" s="5">
        <f t="shared" si="4"/>
        <v>8198.9600000000028</v>
      </c>
      <c r="Y18"/>
    </row>
    <row r="19" spans="1:25" ht="12.75" customHeight="1" x14ac:dyDescent="0.25">
      <c r="A19" s="4"/>
      <c r="C19" s="79" t="s">
        <v>60</v>
      </c>
      <c r="D19" s="80" t="s">
        <v>47</v>
      </c>
      <c r="E19" s="78" t="s">
        <v>13</v>
      </c>
      <c r="F19" s="2"/>
      <c r="G19" s="63">
        <f>IF($E19="Labour",Assumptions!$B$14,)</f>
        <v>0</v>
      </c>
      <c r="H19" s="9" t="str">
        <f t="shared" si="5"/>
        <v>$</v>
      </c>
      <c r="I19" s="2"/>
      <c r="J19" s="81">
        <v>5299.3160000000007</v>
      </c>
      <c r="K19" s="81">
        <v>5829.2476000000015</v>
      </c>
      <c r="L19" s="81">
        <v>6412.1723600000023</v>
      </c>
      <c r="M19" s="81">
        <v>7053.3895960000027</v>
      </c>
      <c r="N19" s="81">
        <v>7758.7285556000033</v>
      </c>
      <c r="O19" s="2"/>
      <c r="P19" s="5">
        <f t="shared" si="0"/>
        <v>5299.3160000000007</v>
      </c>
      <c r="Q19" s="5">
        <f t="shared" si="1"/>
        <v>5829.2476000000015</v>
      </c>
      <c r="R19" s="5">
        <f t="shared" si="2"/>
        <v>6412.1723600000023</v>
      </c>
      <c r="S19" s="5">
        <f t="shared" si="3"/>
        <v>7053.3895960000027</v>
      </c>
      <c r="T19" s="5">
        <f t="shared" si="4"/>
        <v>7758.7285556000033</v>
      </c>
      <c r="Y19"/>
    </row>
    <row r="20" spans="1:25" ht="12.75" customHeight="1" x14ac:dyDescent="0.25">
      <c r="A20" s="4"/>
      <c r="C20" s="79" t="s">
        <v>61</v>
      </c>
      <c r="D20" s="80" t="s">
        <v>47</v>
      </c>
      <c r="E20" s="78" t="s">
        <v>13</v>
      </c>
      <c r="F20" s="2"/>
      <c r="G20" s="63">
        <f>IF($E20="Labour",Assumptions!$B$14,)</f>
        <v>0</v>
      </c>
      <c r="H20" s="9" t="str">
        <f t="shared" si="5"/>
        <v>$</v>
      </c>
      <c r="I20" s="2"/>
      <c r="J20" s="81">
        <v>796.16600000000005</v>
      </c>
      <c r="K20" s="81">
        <v>875.78260000000012</v>
      </c>
      <c r="L20" s="81">
        <v>963.36086000000023</v>
      </c>
      <c r="M20" s="81">
        <v>1059.6969460000003</v>
      </c>
      <c r="N20" s="81">
        <v>1165.6666406000004</v>
      </c>
      <c r="O20" s="2"/>
      <c r="P20" s="5">
        <f t="shared" si="0"/>
        <v>796.16600000000005</v>
      </c>
      <c r="Q20" s="5">
        <f t="shared" si="1"/>
        <v>875.78260000000012</v>
      </c>
      <c r="R20" s="5">
        <f t="shared" si="2"/>
        <v>963.36086000000023</v>
      </c>
      <c r="S20" s="5">
        <f t="shared" si="3"/>
        <v>1059.6969460000003</v>
      </c>
      <c r="T20" s="5">
        <f t="shared" si="4"/>
        <v>1165.6666406000004</v>
      </c>
      <c r="Y20"/>
    </row>
    <row r="21" spans="1:25" ht="12.75" customHeight="1" x14ac:dyDescent="0.25">
      <c r="A21" s="4"/>
      <c r="C21" s="79" t="s">
        <v>70</v>
      </c>
      <c r="D21" s="80" t="s">
        <v>47</v>
      </c>
      <c r="E21" s="78" t="s">
        <v>13</v>
      </c>
      <c r="F21" s="2"/>
      <c r="G21" s="63">
        <f>IF($E21="Labour",Assumptions!$B$14,)</f>
        <v>0</v>
      </c>
      <c r="H21" s="9" t="str">
        <f t="shared" si="5"/>
        <v>$</v>
      </c>
      <c r="I21" s="2"/>
      <c r="J21" s="81">
        <v>3714</v>
      </c>
      <c r="K21" s="81">
        <v>4085</v>
      </c>
      <c r="L21" s="81">
        <v>4494</v>
      </c>
      <c r="M21" s="81">
        <v>4943</v>
      </c>
      <c r="N21" s="81">
        <v>5438</v>
      </c>
      <c r="O21" s="2"/>
      <c r="P21" s="5">
        <f t="shared" si="0"/>
        <v>3714</v>
      </c>
      <c r="Q21" s="5">
        <f t="shared" si="1"/>
        <v>4085</v>
      </c>
      <c r="R21" s="5">
        <f t="shared" si="2"/>
        <v>4494</v>
      </c>
      <c r="S21" s="5">
        <f t="shared" si="3"/>
        <v>4943</v>
      </c>
      <c r="T21" s="5">
        <f t="shared" si="4"/>
        <v>5438</v>
      </c>
      <c r="Y21"/>
    </row>
    <row r="22" spans="1:25" ht="12.75" customHeight="1" x14ac:dyDescent="0.25">
      <c r="A22" s="4"/>
      <c r="C22" s="79" t="s">
        <v>63</v>
      </c>
      <c r="D22" s="80" t="s">
        <v>47</v>
      </c>
      <c r="E22" s="78" t="s">
        <v>13</v>
      </c>
      <c r="F22" s="2"/>
      <c r="G22" s="63">
        <f>IF($E22="Labour",Assumptions!$B$14,)</f>
        <v>0</v>
      </c>
      <c r="H22" s="9" t="str">
        <f t="shared" si="5"/>
        <v>$</v>
      </c>
      <c r="I22" s="2"/>
      <c r="J22" s="81">
        <v>78939</v>
      </c>
      <c r="K22" s="81">
        <v>86832.35</v>
      </c>
      <c r="L22" s="81">
        <v>95516</v>
      </c>
      <c r="M22" s="81">
        <v>105067</v>
      </c>
      <c r="N22" s="81">
        <v>115574</v>
      </c>
      <c r="O22" s="2"/>
      <c r="P22" s="5">
        <f t="shared" si="0"/>
        <v>78939</v>
      </c>
      <c r="Q22" s="5">
        <f t="shared" si="1"/>
        <v>86832.35</v>
      </c>
      <c r="R22" s="5">
        <f t="shared" si="2"/>
        <v>95516</v>
      </c>
      <c r="S22" s="5">
        <f t="shared" si="3"/>
        <v>105067</v>
      </c>
      <c r="T22" s="5">
        <f t="shared" si="4"/>
        <v>115574</v>
      </c>
      <c r="Y22"/>
    </row>
    <row r="23" spans="1:25" ht="12.75" customHeight="1" x14ac:dyDescent="0.25">
      <c r="A23" s="4"/>
      <c r="C23" s="79"/>
      <c r="D23" s="80"/>
      <c r="E23" s="78"/>
      <c r="F23" s="2"/>
      <c r="G23" s="63">
        <f>IF($E23="Labour",Assumptions!$B$14,)</f>
        <v>0</v>
      </c>
      <c r="H23" s="9" t="str">
        <f t="shared" si="5"/>
        <v>$</v>
      </c>
      <c r="I23" s="2"/>
      <c r="J23" s="110"/>
      <c r="K23" s="81"/>
      <c r="L23" s="81"/>
      <c r="M23" s="81"/>
      <c r="N23" s="81"/>
      <c r="O23" s="2"/>
      <c r="P23" s="5">
        <f t="shared" si="0"/>
        <v>0</v>
      </c>
      <c r="Q23" s="5">
        <f t="shared" si="1"/>
        <v>0</v>
      </c>
      <c r="R23" s="5">
        <f t="shared" si="2"/>
        <v>0</v>
      </c>
      <c r="S23" s="5">
        <f t="shared" si="3"/>
        <v>0</v>
      </c>
      <c r="T23" s="5">
        <f t="shared" si="4"/>
        <v>0</v>
      </c>
      <c r="Y23"/>
    </row>
    <row r="24" spans="1:25" ht="12.75" customHeight="1" x14ac:dyDescent="0.25">
      <c r="A24" s="4"/>
      <c r="C24" s="79"/>
      <c r="D24" s="80"/>
      <c r="E24" s="78"/>
      <c r="F24" s="2"/>
      <c r="G24" s="63">
        <f>IF($E24="Labour",Assumptions!$B$14,)</f>
        <v>0</v>
      </c>
      <c r="H24" s="9" t="str">
        <f t="shared" si="5"/>
        <v>$</v>
      </c>
      <c r="I24" s="2"/>
      <c r="J24" s="81"/>
      <c r="K24" s="81"/>
      <c r="L24" s="81"/>
      <c r="M24" s="81"/>
      <c r="N24" s="81"/>
      <c r="O24" s="2"/>
      <c r="P24" s="5">
        <f t="shared" si="0"/>
        <v>0</v>
      </c>
      <c r="Q24" s="5">
        <f t="shared" si="1"/>
        <v>0</v>
      </c>
      <c r="R24" s="5">
        <f t="shared" si="2"/>
        <v>0</v>
      </c>
      <c r="S24" s="5">
        <f t="shared" si="3"/>
        <v>0</v>
      </c>
      <c r="T24" s="5">
        <f t="shared" si="4"/>
        <v>0</v>
      </c>
      <c r="Y24"/>
    </row>
    <row r="25" spans="1:25" ht="12.75" customHeight="1" x14ac:dyDescent="0.25">
      <c r="A25" s="4"/>
      <c r="C25" s="79"/>
      <c r="D25" s="80"/>
      <c r="E25" s="78"/>
      <c r="F25" s="2"/>
      <c r="G25" s="63">
        <f>IF($E25="Labour",Assumptions!$B$14,)</f>
        <v>0</v>
      </c>
      <c r="H25" s="9" t="str">
        <f t="shared" si="5"/>
        <v>$</v>
      </c>
      <c r="I25" s="2"/>
      <c r="J25" s="81"/>
      <c r="K25" s="81"/>
      <c r="L25" s="81"/>
      <c r="M25" s="81"/>
      <c r="N25" s="81"/>
      <c r="O25" s="2"/>
      <c r="P25" s="5">
        <f t="shared" si="0"/>
        <v>0</v>
      </c>
      <c r="Q25" s="5">
        <f t="shared" si="1"/>
        <v>0</v>
      </c>
      <c r="R25" s="5">
        <f t="shared" si="2"/>
        <v>0</v>
      </c>
      <c r="S25" s="5">
        <f t="shared" si="3"/>
        <v>0</v>
      </c>
      <c r="T25" s="5">
        <f t="shared" si="4"/>
        <v>0</v>
      </c>
      <c r="Y25"/>
    </row>
    <row r="26" spans="1:25" ht="12.75" customHeight="1" x14ac:dyDescent="0.25">
      <c r="A26" s="4"/>
      <c r="C26" s="79"/>
      <c r="D26" s="80"/>
      <c r="E26" s="78"/>
      <c r="F26" s="2"/>
      <c r="G26" s="63">
        <f>IF($E26="Labour",Assumptions!$B$14,)</f>
        <v>0</v>
      </c>
      <c r="H26" s="9" t="str">
        <f t="shared" si="5"/>
        <v>$</v>
      </c>
      <c r="I26" s="2"/>
      <c r="J26" s="110"/>
      <c r="K26" s="81"/>
      <c r="L26" s="81"/>
      <c r="M26" s="81"/>
      <c r="N26" s="81"/>
      <c r="O26" s="2"/>
      <c r="P26" s="5">
        <f t="shared" si="0"/>
        <v>0</v>
      </c>
      <c r="Q26" s="5">
        <f t="shared" si="1"/>
        <v>0</v>
      </c>
      <c r="R26" s="5">
        <f t="shared" si="2"/>
        <v>0</v>
      </c>
      <c r="S26" s="5">
        <f t="shared" si="3"/>
        <v>0</v>
      </c>
      <c r="T26" s="5">
        <f t="shared" si="4"/>
        <v>0</v>
      </c>
      <c r="Y26"/>
    </row>
    <row r="27" spans="1:25" ht="12.75" customHeight="1" x14ac:dyDescent="0.25">
      <c r="A27" s="4"/>
      <c r="C27" s="79"/>
      <c r="D27" s="80"/>
      <c r="E27" s="78"/>
      <c r="F27" s="2"/>
      <c r="G27" s="63">
        <f>IF($E27="Labour",Assumptions!$B$14,)</f>
        <v>0</v>
      </c>
      <c r="H27" s="9" t="str">
        <f t="shared" si="5"/>
        <v>$</v>
      </c>
      <c r="I27" s="2"/>
      <c r="J27" s="81"/>
      <c r="K27" s="81"/>
      <c r="L27" s="81"/>
      <c r="M27" s="81"/>
      <c r="N27" s="81"/>
      <c r="O27" s="2"/>
      <c r="P27" s="5">
        <f t="shared" si="0"/>
        <v>0</v>
      </c>
      <c r="Q27" s="5">
        <f t="shared" si="1"/>
        <v>0</v>
      </c>
      <c r="R27" s="5">
        <f t="shared" si="2"/>
        <v>0</v>
      </c>
      <c r="S27" s="5">
        <f t="shared" si="3"/>
        <v>0</v>
      </c>
      <c r="T27" s="5">
        <f t="shared" si="4"/>
        <v>0</v>
      </c>
      <c r="Y27"/>
    </row>
    <row r="28" spans="1:25" ht="12.75" customHeight="1" x14ac:dyDescent="0.25">
      <c r="A28" s="4"/>
      <c r="C28" s="79"/>
      <c r="D28" s="80"/>
      <c r="E28" s="78"/>
      <c r="F28" s="2"/>
      <c r="G28" s="63">
        <f>IF($E28="Labour",Assumptions!$B$14,)</f>
        <v>0</v>
      </c>
      <c r="H28" s="9" t="str">
        <f t="shared" si="5"/>
        <v>$</v>
      </c>
      <c r="I28" s="2"/>
      <c r="J28" s="81"/>
      <c r="K28" s="81"/>
      <c r="L28" s="81"/>
      <c r="M28" s="81"/>
      <c r="N28" s="81"/>
      <c r="O28" s="2"/>
      <c r="P28" s="5">
        <f t="shared" si="0"/>
        <v>0</v>
      </c>
      <c r="Q28" s="5">
        <f t="shared" si="1"/>
        <v>0</v>
      </c>
      <c r="R28" s="5">
        <f t="shared" si="2"/>
        <v>0</v>
      </c>
      <c r="S28" s="5">
        <f t="shared" si="3"/>
        <v>0</v>
      </c>
      <c r="T28" s="5">
        <f t="shared" si="4"/>
        <v>0</v>
      </c>
      <c r="Y28"/>
    </row>
    <row r="29" spans="1:25" ht="12.75" customHeight="1" x14ac:dyDescent="0.25">
      <c r="A29" s="4"/>
      <c r="C29" s="79"/>
      <c r="D29" s="80"/>
      <c r="E29" s="78"/>
      <c r="F29" s="2"/>
      <c r="G29" s="63">
        <f>IF($E29="Labour",Assumptions!$B$14,)</f>
        <v>0</v>
      </c>
      <c r="H29" s="9" t="str">
        <f t="shared" si="5"/>
        <v>$</v>
      </c>
      <c r="I29" s="2"/>
      <c r="J29" s="81"/>
      <c r="K29" s="81"/>
      <c r="L29" s="81"/>
      <c r="M29" s="81"/>
      <c r="N29" s="81"/>
      <c r="O29" s="2"/>
      <c r="P29" s="5">
        <f t="shared" si="0"/>
        <v>0</v>
      </c>
      <c r="Q29" s="5">
        <f t="shared" si="1"/>
        <v>0</v>
      </c>
      <c r="R29" s="5">
        <f t="shared" si="2"/>
        <v>0</v>
      </c>
      <c r="S29" s="5">
        <f t="shared" si="3"/>
        <v>0</v>
      </c>
      <c r="T29" s="5">
        <f t="shared" si="4"/>
        <v>0</v>
      </c>
      <c r="Y29"/>
    </row>
    <row r="30" spans="1:25" ht="12.75" customHeight="1" x14ac:dyDescent="0.25">
      <c r="A30" s="4"/>
      <c r="C30" s="79"/>
      <c r="D30" s="80"/>
      <c r="E30" s="78"/>
      <c r="F30" s="2"/>
      <c r="G30" s="63">
        <f>IF($E30="Labour",Assumptions!$B$14,)</f>
        <v>0</v>
      </c>
      <c r="H30" s="9" t="str">
        <f t="shared" si="5"/>
        <v>$</v>
      </c>
      <c r="I30" s="2"/>
      <c r="J30" s="81"/>
      <c r="K30" s="81"/>
      <c r="L30" s="81"/>
      <c r="M30" s="81"/>
      <c r="N30" s="81"/>
      <c r="O30" s="2"/>
      <c r="P30" s="5">
        <f t="shared" si="0"/>
        <v>0</v>
      </c>
      <c r="Q30" s="5">
        <f t="shared" si="1"/>
        <v>0</v>
      </c>
      <c r="R30" s="5">
        <f t="shared" si="2"/>
        <v>0</v>
      </c>
      <c r="S30" s="5">
        <f t="shared" si="3"/>
        <v>0</v>
      </c>
      <c r="T30" s="5">
        <f t="shared" si="4"/>
        <v>0</v>
      </c>
      <c r="Y30"/>
    </row>
    <row r="31" spans="1:25" ht="12.75" customHeight="1" x14ac:dyDescent="0.25">
      <c r="A31" s="4"/>
      <c r="C31" s="79"/>
      <c r="D31" s="80"/>
      <c r="E31" s="78"/>
      <c r="F31" s="2"/>
      <c r="G31" s="63">
        <f>IF($E31="Labour",Assumptions!$B$14,)</f>
        <v>0</v>
      </c>
      <c r="H31" s="9" t="str">
        <f t="shared" si="5"/>
        <v>$</v>
      </c>
      <c r="I31" s="2"/>
      <c r="J31" s="81"/>
      <c r="K31" s="81"/>
      <c r="L31" s="81"/>
      <c r="M31" s="81"/>
      <c r="N31" s="81"/>
      <c r="O31" s="2"/>
      <c r="P31" s="5">
        <f t="shared" si="0"/>
        <v>0</v>
      </c>
      <c r="Q31" s="5">
        <f t="shared" si="1"/>
        <v>0</v>
      </c>
      <c r="R31" s="5">
        <f t="shared" si="2"/>
        <v>0</v>
      </c>
      <c r="S31" s="5">
        <f t="shared" si="3"/>
        <v>0</v>
      </c>
      <c r="T31" s="5">
        <f t="shared" si="4"/>
        <v>0</v>
      </c>
      <c r="Y31"/>
    </row>
    <row r="32" spans="1:25" ht="12.75" customHeight="1" x14ac:dyDescent="0.25">
      <c r="A32" s="4"/>
      <c r="C32" s="79"/>
      <c r="D32" s="80"/>
      <c r="E32" s="78"/>
      <c r="F32" s="2"/>
      <c r="G32" s="63">
        <f>IF($E32="Labour",Assumptions!$B$14,)</f>
        <v>0</v>
      </c>
      <c r="H32" s="9" t="str">
        <f t="shared" si="5"/>
        <v>$</v>
      </c>
      <c r="I32" s="2"/>
      <c r="J32" s="81"/>
      <c r="K32" s="81"/>
      <c r="L32" s="81"/>
      <c r="M32" s="81"/>
      <c r="N32" s="81"/>
      <c r="O32" s="2"/>
      <c r="P32" s="5">
        <f t="shared" si="0"/>
        <v>0</v>
      </c>
      <c r="Q32" s="5">
        <f t="shared" si="1"/>
        <v>0</v>
      </c>
      <c r="R32" s="5">
        <f t="shared" si="2"/>
        <v>0</v>
      </c>
      <c r="S32" s="5">
        <f t="shared" si="3"/>
        <v>0</v>
      </c>
      <c r="T32" s="5">
        <f t="shared" si="4"/>
        <v>0</v>
      </c>
      <c r="Y32"/>
    </row>
    <row r="33" spans="1:25" ht="12.75" customHeight="1" x14ac:dyDescent="0.25">
      <c r="A33" s="4"/>
      <c r="C33" s="79"/>
      <c r="D33" s="80"/>
      <c r="E33" s="78"/>
      <c r="F33" s="2"/>
      <c r="G33" s="63">
        <f>IF($E33="Labour",Assumptions!$B$14,)</f>
        <v>0</v>
      </c>
      <c r="H33" s="9" t="str">
        <f t="shared" si="5"/>
        <v>$</v>
      </c>
      <c r="I33" s="2"/>
      <c r="J33" s="81"/>
      <c r="K33" s="81"/>
      <c r="L33" s="81"/>
      <c r="M33" s="81"/>
      <c r="N33" s="81"/>
      <c r="O33" s="2"/>
      <c r="P33" s="5">
        <f t="shared" si="0"/>
        <v>0</v>
      </c>
      <c r="Q33" s="5">
        <f t="shared" si="1"/>
        <v>0</v>
      </c>
      <c r="R33" s="5">
        <f t="shared" si="2"/>
        <v>0</v>
      </c>
      <c r="S33" s="5">
        <f t="shared" si="3"/>
        <v>0</v>
      </c>
      <c r="T33" s="5">
        <f t="shared" si="4"/>
        <v>0</v>
      </c>
      <c r="Y33"/>
    </row>
    <row r="34" spans="1:25" ht="12.75" customHeight="1" x14ac:dyDescent="0.25">
      <c r="A34" s="4"/>
      <c r="C34" s="79"/>
      <c r="D34" s="80"/>
      <c r="E34" s="78"/>
      <c r="F34" s="2"/>
      <c r="G34" s="63">
        <f>IF($E34="Labour",Assumptions!$B$14,)</f>
        <v>0</v>
      </c>
      <c r="H34" s="9" t="str">
        <f t="shared" si="5"/>
        <v>$</v>
      </c>
      <c r="I34" s="2"/>
      <c r="J34" s="81"/>
      <c r="K34" s="81"/>
      <c r="L34" s="81"/>
      <c r="M34" s="81"/>
      <c r="N34" s="81"/>
      <c r="O34" s="2"/>
      <c r="P34" s="5">
        <f t="shared" si="0"/>
        <v>0</v>
      </c>
      <c r="Q34" s="5">
        <f t="shared" si="1"/>
        <v>0</v>
      </c>
      <c r="R34" s="5">
        <f t="shared" si="2"/>
        <v>0</v>
      </c>
      <c r="S34" s="5">
        <f t="shared" si="3"/>
        <v>0</v>
      </c>
      <c r="T34" s="5">
        <f t="shared" si="4"/>
        <v>0</v>
      </c>
      <c r="Y34"/>
    </row>
    <row r="35" spans="1:25" ht="12.75" customHeight="1" x14ac:dyDescent="0.25">
      <c r="A35" s="4"/>
      <c r="C35" s="79"/>
      <c r="D35" s="80"/>
      <c r="E35" s="78"/>
      <c r="F35" s="2"/>
      <c r="G35" s="63">
        <f>IF($E35="Labour",Assumptions!$B$14,)</f>
        <v>0</v>
      </c>
      <c r="H35" s="9" t="str">
        <f t="shared" si="5"/>
        <v>$</v>
      </c>
      <c r="I35" s="2"/>
      <c r="J35" s="81"/>
      <c r="K35" s="81"/>
      <c r="L35" s="81"/>
      <c r="M35" s="81"/>
      <c r="N35" s="81"/>
      <c r="O35" s="2"/>
      <c r="P35" s="5">
        <f t="shared" si="0"/>
        <v>0</v>
      </c>
      <c r="Q35" s="5">
        <f t="shared" si="1"/>
        <v>0</v>
      </c>
      <c r="R35" s="5">
        <f t="shared" si="2"/>
        <v>0</v>
      </c>
      <c r="S35" s="5">
        <f t="shared" si="3"/>
        <v>0</v>
      </c>
      <c r="T35" s="5">
        <f t="shared" si="4"/>
        <v>0</v>
      </c>
      <c r="Y35"/>
    </row>
    <row r="36" spans="1:25" ht="12.75" customHeight="1" x14ac:dyDescent="0.25">
      <c r="A36" s="4"/>
      <c r="C36" s="79"/>
      <c r="D36" s="80"/>
      <c r="E36" s="78"/>
      <c r="F36" s="2"/>
      <c r="G36" s="63">
        <f>IF($E36="Labour",Assumptions!$B$14,)</f>
        <v>0</v>
      </c>
      <c r="H36" s="9" t="str">
        <f t="shared" si="5"/>
        <v>$</v>
      </c>
      <c r="I36" s="2"/>
      <c r="J36" s="81"/>
      <c r="K36" s="81"/>
      <c r="L36" s="81"/>
      <c r="M36" s="81"/>
      <c r="N36" s="81"/>
      <c r="O36" s="2"/>
      <c r="P36" s="5">
        <f t="shared" si="0"/>
        <v>0</v>
      </c>
      <c r="Q36" s="5">
        <f t="shared" si="1"/>
        <v>0</v>
      </c>
      <c r="R36" s="5">
        <f t="shared" si="2"/>
        <v>0</v>
      </c>
      <c r="S36" s="5">
        <f t="shared" si="3"/>
        <v>0</v>
      </c>
      <c r="T36" s="5">
        <f t="shared" si="4"/>
        <v>0</v>
      </c>
      <c r="Y36"/>
    </row>
    <row r="37" spans="1:25" ht="12.75" customHeight="1" x14ac:dyDescent="0.25">
      <c r="A37" s="4"/>
      <c r="C37" s="79"/>
      <c r="D37" s="80"/>
      <c r="E37" s="78"/>
      <c r="F37" s="2"/>
      <c r="G37" s="63">
        <f>IF($E37="Labour",Assumptions!$B$14,)</f>
        <v>0</v>
      </c>
      <c r="H37" s="9" t="str">
        <f t="shared" si="5"/>
        <v>$</v>
      </c>
      <c r="I37" s="2"/>
      <c r="J37" s="81"/>
      <c r="K37" s="81"/>
      <c r="L37" s="81"/>
      <c r="M37" s="81"/>
      <c r="N37" s="81"/>
      <c r="O37" s="2"/>
      <c r="P37" s="5">
        <f t="shared" si="0"/>
        <v>0</v>
      </c>
      <c r="Q37" s="5">
        <f t="shared" si="1"/>
        <v>0</v>
      </c>
      <c r="R37" s="5">
        <f t="shared" si="2"/>
        <v>0</v>
      </c>
      <c r="S37" s="5">
        <f t="shared" si="3"/>
        <v>0</v>
      </c>
      <c r="T37" s="5">
        <f t="shared" si="4"/>
        <v>0</v>
      </c>
      <c r="Y37"/>
    </row>
    <row r="38" spans="1:25" ht="12.75" customHeight="1" x14ac:dyDescent="0.25">
      <c r="A38" s="4"/>
      <c r="C38" s="79"/>
      <c r="D38" s="80"/>
      <c r="E38" s="78"/>
      <c r="F38" s="2"/>
      <c r="G38" s="63">
        <f>IF($E38="Labour",Assumptions!$B$14,)</f>
        <v>0</v>
      </c>
      <c r="H38" s="9" t="str">
        <f t="shared" si="5"/>
        <v>$</v>
      </c>
      <c r="I38" s="2"/>
      <c r="J38" s="81"/>
      <c r="K38" s="81"/>
      <c r="L38" s="81"/>
      <c r="M38" s="81"/>
      <c r="N38" s="81"/>
      <c r="O38" s="2"/>
      <c r="P38" s="5">
        <f t="shared" si="0"/>
        <v>0</v>
      </c>
      <c r="Q38" s="5">
        <f t="shared" si="1"/>
        <v>0</v>
      </c>
      <c r="R38" s="5">
        <f t="shared" si="2"/>
        <v>0</v>
      </c>
      <c r="S38" s="5">
        <f t="shared" si="3"/>
        <v>0</v>
      </c>
      <c r="T38" s="5">
        <f t="shared" si="4"/>
        <v>0</v>
      </c>
      <c r="Y38"/>
    </row>
    <row r="39" spans="1:25" ht="12.75" customHeight="1" x14ac:dyDescent="0.25">
      <c r="A39" s="4"/>
      <c r="C39" s="79"/>
      <c r="D39" s="80"/>
      <c r="E39" s="78"/>
      <c r="F39" s="2"/>
      <c r="G39" s="63">
        <f>IF($E39="Labour",Assumptions!$B$14,)</f>
        <v>0</v>
      </c>
      <c r="H39" s="9" t="str">
        <f t="shared" si="5"/>
        <v>$</v>
      </c>
      <c r="I39" s="2"/>
      <c r="J39" s="81"/>
      <c r="K39" s="81"/>
      <c r="L39" s="81"/>
      <c r="M39" s="81"/>
      <c r="N39" s="81"/>
      <c r="O39" s="2"/>
      <c r="P39" s="5">
        <f t="shared" si="0"/>
        <v>0</v>
      </c>
      <c r="Q39" s="5">
        <f t="shared" si="1"/>
        <v>0</v>
      </c>
      <c r="R39" s="5">
        <f t="shared" si="2"/>
        <v>0</v>
      </c>
      <c r="S39" s="5">
        <f t="shared" si="3"/>
        <v>0</v>
      </c>
      <c r="T39" s="5">
        <f t="shared" si="4"/>
        <v>0</v>
      </c>
      <c r="Y39"/>
    </row>
    <row r="40" spans="1:25" ht="12.75" customHeight="1" x14ac:dyDescent="0.2">
      <c r="A40" s="4"/>
      <c r="C40" s="79"/>
      <c r="D40" s="80"/>
      <c r="E40" s="78"/>
      <c r="G40" s="63">
        <f>IF($E40="Labour",Assumptions!$B$14,)</f>
        <v>0</v>
      </c>
      <c r="H40" s="9" t="str">
        <f t="shared" si="5"/>
        <v>$</v>
      </c>
      <c r="J40" s="81"/>
      <c r="K40" s="81"/>
      <c r="L40" s="81"/>
      <c r="M40" s="81"/>
      <c r="N40" s="81"/>
      <c r="P40" s="5">
        <f t="shared" si="0"/>
        <v>0</v>
      </c>
      <c r="Q40" s="5">
        <f t="shared" si="1"/>
        <v>0</v>
      </c>
      <c r="R40" s="5">
        <f t="shared" si="2"/>
        <v>0</v>
      </c>
      <c r="S40" s="5">
        <f t="shared" si="3"/>
        <v>0</v>
      </c>
      <c r="T40" s="5">
        <f t="shared" si="4"/>
        <v>0</v>
      </c>
    </row>
    <row r="41" spans="1:25" ht="12.75" customHeight="1" x14ac:dyDescent="0.2">
      <c r="A41" s="4"/>
      <c r="C41" s="79"/>
      <c r="D41" s="80"/>
      <c r="E41" s="78"/>
      <c r="G41" s="63">
        <f>IF($E41="Labour",Assumptions!$B$14,)</f>
        <v>0</v>
      </c>
      <c r="H41" s="9" t="str">
        <f t="shared" si="5"/>
        <v>$</v>
      </c>
      <c r="J41" s="81"/>
      <c r="K41" s="81"/>
      <c r="L41" s="81"/>
      <c r="M41" s="81"/>
      <c r="N41" s="81"/>
      <c r="P41" s="5">
        <f t="shared" si="0"/>
        <v>0</v>
      </c>
      <c r="Q41" s="5">
        <f t="shared" si="1"/>
        <v>0</v>
      </c>
      <c r="R41" s="5">
        <f t="shared" si="2"/>
        <v>0</v>
      </c>
      <c r="S41" s="5">
        <f t="shared" si="3"/>
        <v>0</v>
      </c>
      <c r="T41" s="5">
        <f t="shared" si="4"/>
        <v>0</v>
      </c>
    </row>
    <row r="42" spans="1:25" ht="12.75" customHeight="1" x14ac:dyDescent="0.2">
      <c r="A42" s="4"/>
      <c r="C42" s="79"/>
      <c r="D42" s="80"/>
      <c r="E42" s="78"/>
      <c r="G42" s="63">
        <f>IF($E42="Labour",Assumptions!$B$14,)</f>
        <v>0</v>
      </c>
      <c r="H42" s="9" t="str">
        <f t="shared" si="5"/>
        <v>$</v>
      </c>
      <c r="J42" s="81"/>
      <c r="K42" s="81"/>
      <c r="L42" s="81"/>
      <c r="M42" s="81"/>
      <c r="N42" s="81"/>
      <c r="P42" s="5">
        <f t="shared" si="0"/>
        <v>0</v>
      </c>
      <c r="Q42" s="5">
        <f t="shared" si="1"/>
        <v>0</v>
      </c>
      <c r="R42" s="5">
        <f t="shared" si="2"/>
        <v>0</v>
      </c>
      <c r="S42" s="5">
        <f t="shared" si="3"/>
        <v>0</v>
      </c>
      <c r="T42" s="5">
        <f t="shared" si="4"/>
        <v>0</v>
      </c>
    </row>
    <row r="43" spans="1:25" ht="12.75" customHeight="1" x14ac:dyDescent="0.2">
      <c r="A43" s="4"/>
      <c r="C43" s="79"/>
      <c r="D43" s="80"/>
      <c r="E43" s="78"/>
      <c r="G43" s="63">
        <f>IF($E43="Labour",Assumptions!$B$14,)</f>
        <v>0</v>
      </c>
      <c r="H43" s="9" t="str">
        <f t="shared" si="5"/>
        <v>$</v>
      </c>
      <c r="J43" s="81"/>
      <c r="K43" s="81"/>
      <c r="L43" s="81"/>
      <c r="M43" s="81"/>
      <c r="N43" s="81"/>
      <c r="P43" s="5">
        <f t="shared" si="0"/>
        <v>0</v>
      </c>
      <c r="Q43" s="5">
        <f t="shared" si="1"/>
        <v>0</v>
      </c>
      <c r="R43" s="5">
        <f t="shared" si="2"/>
        <v>0</v>
      </c>
      <c r="S43" s="5">
        <f t="shared" si="3"/>
        <v>0</v>
      </c>
      <c r="T43" s="5">
        <f t="shared" si="4"/>
        <v>0</v>
      </c>
    </row>
    <row r="44" spans="1:25" ht="12.75" customHeight="1" x14ac:dyDescent="0.2">
      <c r="A44" s="4"/>
      <c r="C44" s="79"/>
      <c r="D44" s="80"/>
      <c r="E44" s="78"/>
      <c r="G44" s="63">
        <f>IF($E44="Labour",Assumptions!$B$14,)</f>
        <v>0</v>
      </c>
      <c r="H44" s="9" t="str">
        <f t="shared" si="5"/>
        <v>$</v>
      </c>
      <c r="J44" s="81"/>
      <c r="K44" s="81"/>
      <c r="L44" s="81"/>
      <c r="M44" s="81"/>
      <c r="N44" s="81"/>
      <c r="P44" s="5">
        <f t="shared" si="0"/>
        <v>0</v>
      </c>
      <c r="Q44" s="5">
        <f t="shared" si="1"/>
        <v>0</v>
      </c>
      <c r="R44" s="5">
        <f t="shared" si="2"/>
        <v>0</v>
      </c>
      <c r="S44" s="5">
        <f t="shared" si="3"/>
        <v>0</v>
      </c>
      <c r="T44" s="5">
        <f t="shared" si="4"/>
        <v>0</v>
      </c>
    </row>
    <row r="45" spans="1:25" ht="12.75" customHeight="1" x14ac:dyDescent="0.2">
      <c r="A45" s="4"/>
      <c r="C45" s="79"/>
      <c r="D45" s="80"/>
      <c r="E45" s="78"/>
      <c r="G45" s="63">
        <f>IF($E45="Labour",Assumptions!$B$14,)</f>
        <v>0</v>
      </c>
      <c r="H45" s="9" t="str">
        <f t="shared" si="5"/>
        <v>$</v>
      </c>
      <c r="J45" s="81"/>
      <c r="K45" s="81"/>
      <c r="L45" s="81"/>
      <c r="M45" s="81"/>
      <c r="N45" s="81"/>
      <c r="P45" s="5">
        <f t="shared" si="0"/>
        <v>0</v>
      </c>
      <c r="Q45" s="5">
        <f t="shared" si="1"/>
        <v>0</v>
      </c>
      <c r="R45" s="5">
        <f t="shared" si="2"/>
        <v>0</v>
      </c>
      <c r="S45" s="5">
        <f t="shared" si="3"/>
        <v>0</v>
      </c>
      <c r="T45" s="5">
        <f t="shared" si="4"/>
        <v>0</v>
      </c>
    </row>
    <row r="46" spans="1:25" ht="12.75" customHeight="1" x14ac:dyDescent="0.2">
      <c r="A46" s="4"/>
      <c r="C46" s="79"/>
      <c r="D46" s="80"/>
      <c r="E46" s="78"/>
      <c r="G46" s="63">
        <f>IF($E46="Labour",Assumptions!$B$14,)</f>
        <v>0</v>
      </c>
      <c r="H46" s="9" t="str">
        <f t="shared" si="5"/>
        <v>$</v>
      </c>
      <c r="J46" s="81"/>
      <c r="K46" s="81"/>
      <c r="L46" s="81"/>
      <c r="M46" s="81"/>
      <c r="N46" s="81"/>
      <c r="P46" s="5">
        <f t="shared" si="0"/>
        <v>0</v>
      </c>
      <c r="Q46" s="5">
        <f t="shared" si="1"/>
        <v>0</v>
      </c>
      <c r="R46" s="5">
        <f t="shared" si="2"/>
        <v>0</v>
      </c>
      <c r="S46" s="5">
        <f t="shared" si="3"/>
        <v>0</v>
      </c>
      <c r="T46" s="5">
        <f t="shared" si="4"/>
        <v>0</v>
      </c>
    </row>
    <row r="47" spans="1:25" ht="12.75" customHeight="1" x14ac:dyDescent="0.2">
      <c r="A47" s="4"/>
      <c r="C47" s="79"/>
      <c r="D47" s="80"/>
      <c r="E47" s="78"/>
      <c r="G47" s="63">
        <f>IF($E47="Labour",Assumptions!$B$14,)</f>
        <v>0</v>
      </c>
      <c r="H47" s="9" t="str">
        <f t="shared" si="5"/>
        <v>$</v>
      </c>
      <c r="J47" s="81"/>
      <c r="K47" s="81"/>
      <c r="L47" s="81"/>
      <c r="M47" s="81"/>
      <c r="N47" s="81"/>
      <c r="P47" s="5">
        <f t="shared" si="0"/>
        <v>0</v>
      </c>
      <c r="Q47" s="5">
        <f t="shared" si="1"/>
        <v>0</v>
      </c>
      <c r="R47" s="5">
        <f t="shared" si="2"/>
        <v>0</v>
      </c>
      <c r="S47" s="5">
        <f t="shared" si="3"/>
        <v>0</v>
      </c>
      <c r="T47" s="5">
        <f t="shared" si="4"/>
        <v>0</v>
      </c>
    </row>
    <row r="48" spans="1:25" ht="12.75" customHeight="1" x14ac:dyDescent="0.2">
      <c r="A48" s="4"/>
      <c r="C48" s="79"/>
      <c r="D48" s="80"/>
      <c r="E48" s="78"/>
      <c r="G48" s="63">
        <f>IF($E48="Labour",Assumptions!$B$14,)</f>
        <v>0</v>
      </c>
      <c r="H48" s="9" t="str">
        <f t="shared" si="5"/>
        <v>$</v>
      </c>
      <c r="J48" s="81"/>
      <c r="K48" s="81"/>
      <c r="L48" s="81"/>
      <c r="M48" s="81"/>
      <c r="N48" s="81"/>
      <c r="P48" s="5">
        <f t="shared" si="0"/>
        <v>0</v>
      </c>
      <c r="Q48" s="5">
        <f t="shared" si="1"/>
        <v>0</v>
      </c>
      <c r="R48" s="5">
        <f t="shared" si="2"/>
        <v>0</v>
      </c>
      <c r="S48" s="5">
        <f t="shared" si="3"/>
        <v>0</v>
      </c>
      <c r="T48" s="5">
        <f t="shared" si="4"/>
        <v>0</v>
      </c>
    </row>
    <row r="49" spans="1:25" ht="12.75" customHeight="1" x14ac:dyDescent="0.2">
      <c r="A49" s="4"/>
      <c r="C49" s="79"/>
      <c r="D49" s="80"/>
      <c r="E49" s="78"/>
      <c r="G49" s="63">
        <f>IF($E49="Labour",Assumptions!$B$14,)</f>
        <v>0</v>
      </c>
      <c r="H49" s="9" t="str">
        <f t="shared" si="5"/>
        <v>$</v>
      </c>
      <c r="J49" s="81"/>
      <c r="K49" s="81"/>
      <c r="L49" s="81"/>
      <c r="M49" s="81"/>
      <c r="N49" s="81"/>
      <c r="P49" s="5">
        <f t="shared" si="0"/>
        <v>0</v>
      </c>
      <c r="Q49" s="5">
        <f t="shared" si="1"/>
        <v>0</v>
      </c>
      <c r="R49" s="5">
        <f t="shared" si="2"/>
        <v>0</v>
      </c>
      <c r="S49" s="5">
        <f t="shared" si="3"/>
        <v>0</v>
      </c>
      <c r="T49" s="5">
        <f t="shared" si="4"/>
        <v>0</v>
      </c>
    </row>
    <row r="50" spans="1:25" ht="12.75" customHeight="1" x14ac:dyDescent="0.2">
      <c r="A50" s="4"/>
      <c r="C50" s="79"/>
      <c r="D50" s="80"/>
      <c r="E50" s="78"/>
      <c r="G50" s="63">
        <f>IF($E50="Labour",Assumptions!$B$14,)</f>
        <v>0</v>
      </c>
      <c r="H50" s="9" t="str">
        <f t="shared" si="5"/>
        <v>$</v>
      </c>
      <c r="J50" s="81"/>
      <c r="K50" s="81"/>
      <c r="L50" s="81"/>
      <c r="M50" s="81"/>
      <c r="N50" s="81"/>
      <c r="P50" s="5">
        <f t="shared" si="0"/>
        <v>0</v>
      </c>
      <c r="Q50" s="5">
        <f t="shared" si="1"/>
        <v>0</v>
      </c>
      <c r="R50" s="5">
        <f t="shared" si="2"/>
        <v>0</v>
      </c>
      <c r="S50" s="5">
        <f t="shared" si="3"/>
        <v>0</v>
      </c>
      <c r="T50" s="5">
        <f t="shared" si="4"/>
        <v>0</v>
      </c>
    </row>
    <row r="51" spans="1:25" ht="12.75" customHeight="1" x14ac:dyDescent="0.2">
      <c r="A51" s="4"/>
      <c r="C51" s="79"/>
      <c r="D51" s="80"/>
      <c r="E51" s="78"/>
      <c r="G51" s="63">
        <f>IF($E51="Labour",Assumptions!$B$14,)</f>
        <v>0</v>
      </c>
      <c r="H51" s="9" t="str">
        <f t="shared" si="5"/>
        <v>$</v>
      </c>
      <c r="J51" s="81"/>
      <c r="K51" s="81"/>
      <c r="L51" s="81"/>
      <c r="M51" s="81"/>
      <c r="N51" s="81"/>
      <c r="P51" s="5">
        <f t="shared" si="0"/>
        <v>0</v>
      </c>
      <c r="Q51" s="5">
        <f t="shared" si="1"/>
        <v>0</v>
      </c>
      <c r="R51" s="5">
        <f t="shared" si="2"/>
        <v>0</v>
      </c>
      <c r="S51" s="5">
        <f t="shared" si="3"/>
        <v>0</v>
      </c>
      <c r="T51" s="5">
        <f t="shared" si="4"/>
        <v>0</v>
      </c>
    </row>
    <row r="52" spans="1:25" ht="12.75" customHeight="1" x14ac:dyDescent="0.2">
      <c r="A52" s="4"/>
      <c r="C52" s="79"/>
      <c r="D52" s="80"/>
      <c r="E52" s="78"/>
      <c r="G52" s="63">
        <f>IF($E52="Labour",Assumptions!$B$14,)</f>
        <v>0</v>
      </c>
      <c r="H52" s="9" t="str">
        <f t="shared" si="5"/>
        <v>$</v>
      </c>
      <c r="J52" s="81"/>
      <c r="K52" s="81"/>
      <c r="L52" s="81"/>
      <c r="M52" s="81"/>
      <c r="N52" s="81"/>
      <c r="P52" s="5">
        <f t="shared" si="0"/>
        <v>0</v>
      </c>
      <c r="Q52" s="5">
        <f t="shared" si="1"/>
        <v>0</v>
      </c>
      <c r="R52" s="5">
        <f t="shared" si="2"/>
        <v>0</v>
      </c>
      <c r="S52" s="5">
        <f t="shared" si="3"/>
        <v>0</v>
      </c>
      <c r="T52" s="5">
        <f t="shared" si="4"/>
        <v>0</v>
      </c>
    </row>
    <row r="53" spans="1:25" ht="12.75" customHeight="1" x14ac:dyDescent="0.2">
      <c r="A53" s="4"/>
      <c r="C53" s="79"/>
      <c r="D53" s="80"/>
      <c r="E53" s="78"/>
      <c r="G53" s="63">
        <f>IF($E53="Labour",Assumptions!$B$14,)</f>
        <v>0</v>
      </c>
      <c r="H53" s="9" t="str">
        <f t="shared" si="5"/>
        <v>$</v>
      </c>
      <c r="J53" s="81"/>
      <c r="K53" s="81"/>
      <c r="L53" s="81"/>
      <c r="M53" s="81"/>
      <c r="N53" s="81"/>
      <c r="P53" s="5">
        <f t="shared" si="0"/>
        <v>0</v>
      </c>
      <c r="Q53" s="5">
        <f t="shared" si="1"/>
        <v>0</v>
      </c>
      <c r="R53" s="5">
        <f t="shared" si="2"/>
        <v>0</v>
      </c>
      <c r="S53" s="5">
        <f t="shared" si="3"/>
        <v>0</v>
      </c>
      <c r="T53" s="5">
        <f t="shared" si="4"/>
        <v>0</v>
      </c>
    </row>
    <row r="54" spans="1:25" ht="12.75" customHeight="1" x14ac:dyDescent="0.2">
      <c r="A54" s="4"/>
      <c r="C54" s="79"/>
      <c r="D54" s="80"/>
      <c r="E54" s="78"/>
      <c r="G54" s="63">
        <f>IF($E54="Labour",Assumptions!$B$14,)</f>
        <v>0</v>
      </c>
      <c r="H54" s="9" t="str">
        <f t="shared" si="5"/>
        <v>$</v>
      </c>
      <c r="J54" s="81"/>
      <c r="K54" s="81"/>
      <c r="L54" s="81"/>
      <c r="M54" s="81"/>
      <c r="N54" s="81"/>
      <c r="P54" s="5">
        <f t="shared" si="0"/>
        <v>0</v>
      </c>
      <c r="Q54" s="5">
        <f t="shared" si="1"/>
        <v>0</v>
      </c>
      <c r="R54" s="5">
        <f t="shared" si="2"/>
        <v>0</v>
      </c>
      <c r="S54" s="5">
        <f t="shared" si="3"/>
        <v>0</v>
      </c>
      <c r="T54" s="5">
        <f t="shared" si="4"/>
        <v>0</v>
      </c>
      <c r="U54" s="104"/>
    </row>
    <row r="55" spans="1:25" ht="12.75" customHeight="1" x14ac:dyDescent="0.25">
      <c r="F55" s="2"/>
      <c r="I55" s="2"/>
      <c r="O55" s="2"/>
      <c r="Y55"/>
    </row>
    <row r="56" spans="1:25" ht="12.75" customHeight="1" x14ac:dyDescent="0.25">
      <c r="F56" s="2"/>
      <c r="I56" s="2"/>
      <c r="O56" s="2"/>
      <c r="Y56"/>
    </row>
    <row r="57" spans="1:25" ht="12.75" customHeight="1" x14ac:dyDescent="0.25">
      <c r="C57" s="3" t="s">
        <v>64</v>
      </c>
      <c r="F57" s="2"/>
      <c r="I57" s="2"/>
      <c r="O57" s="2"/>
      <c r="P57" s="68" t="s">
        <v>5</v>
      </c>
      <c r="Q57" s="68" t="s">
        <v>6</v>
      </c>
      <c r="R57" s="68" t="s">
        <v>7</v>
      </c>
      <c r="S57" s="68" t="s">
        <v>8</v>
      </c>
      <c r="T57" s="68" t="s">
        <v>9</v>
      </c>
      <c r="U57" s="68" t="s">
        <v>0</v>
      </c>
      <c r="Y57"/>
    </row>
    <row r="58" spans="1:25" ht="12.75" customHeight="1" x14ac:dyDescent="0.2">
      <c r="C58" s="24" t="s">
        <v>10</v>
      </c>
      <c r="D58" s="24" t="s">
        <v>50</v>
      </c>
      <c r="E58" s="24"/>
      <c r="F58" s="2"/>
      <c r="G58" s="65"/>
      <c r="H58" s="66"/>
      <c r="I58" s="2"/>
      <c r="J58" s="24"/>
      <c r="K58" s="24"/>
      <c r="L58" s="24"/>
      <c r="M58" s="24"/>
      <c r="N58" s="24"/>
      <c r="O58" s="2"/>
      <c r="P58" s="25">
        <f>SUMIFS(P$10:P$54,$E$10:$E$54,$C58,$D$10:$D$54,$D58)</f>
        <v>0</v>
      </c>
      <c r="Q58" s="25">
        <f t="shared" ref="Q58:T60" si="6">SUMIFS(Q$10:Q$54,$E$10:$E$54,$C58,$D$10:$D$54,$D58)</f>
        <v>0</v>
      </c>
      <c r="R58" s="25">
        <f t="shared" si="6"/>
        <v>0</v>
      </c>
      <c r="S58" s="25">
        <f t="shared" si="6"/>
        <v>0</v>
      </c>
      <c r="T58" s="25">
        <f t="shared" si="6"/>
        <v>0</v>
      </c>
      <c r="U58" s="69">
        <f>SUM(P58:T58)</f>
        <v>0</v>
      </c>
    </row>
    <row r="59" spans="1:25" ht="12.75" customHeight="1" x14ac:dyDescent="0.2">
      <c r="C59" s="1" t="s">
        <v>12</v>
      </c>
      <c r="D59" s="1" t="s">
        <v>50</v>
      </c>
      <c r="F59" s="2"/>
      <c r="G59" s="67"/>
      <c r="I59" s="2"/>
      <c r="O59" s="2"/>
      <c r="P59" s="6">
        <f t="shared" ref="P59:P60" si="7">SUMIFS(P$10:P$54,$E$10:$E$54,$C59,$D$10:$D$54,$D59)</f>
        <v>0</v>
      </c>
      <c r="Q59" s="6">
        <f t="shared" si="6"/>
        <v>0</v>
      </c>
      <c r="R59" s="6">
        <f t="shared" si="6"/>
        <v>0</v>
      </c>
      <c r="S59" s="6">
        <f t="shared" si="6"/>
        <v>0</v>
      </c>
      <c r="T59" s="6">
        <f t="shared" si="6"/>
        <v>0</v>
      </c>
      <c r="U59" s="70">
        <f t="shared" ref="U59:U67" si="8">SUM(P59:T59)</f>
        <v>0</v>
      </c>
    </row>
    <row r="60" spans="1:25" ht="12.75" customHeight="1" x14ac:dyDescent="0.2">
      <c r="C60" s="1" t="s">
        <v>13</v>
      </c>
      <c r="D60" s="1" t="s">
        <v>50</v>
      </c>
      <c r="F60" s="2"/>
      <c r="G60" s="67"/>
      <c r="I60" s="2"/>
      <c r="O60" s="2"/>
      <c r="P60" s="6">
        <f t="shared" si="7"/>
        <v>0</v>
      </c>
      <c r="Q60" s="6">
        <f t="shared" si="6"/>
        <v>0</v>
      </c>
      <c r="R60" s="6">
        <f t="shared" si="6"/>
        <v>0</v>
      </c>
      <c r="S60" s="6">
        <f t="shared" si="6"/>
        <v>0</v>
      </c>
      <c r="T60" s="6">
        <f t="shared" si="6"/>
        <v>0</v>
      </c>
      <c r="U60" s="70">
        <f t="shared" si="8"/>
        <v>0</v>
      </c>
    </row>
    <row r="61" spans="1:25" ht="12.75" customHeight="1" x14ac:dyDescent="0.2">
      <c r="C61" s="21" t="s">
        <v>14</v>
      </c>
      <c r="D61" s="21" t="s">
        <v>50</v>
      </c>
      <c r="E61" s="99"/>
      <c r="F61" s="101"/>
      <c r="G61" s="100"/>
      <c r="H61" s="102"/>
      <c r="I61" s="101"/>
      <c r="J61" s="99"/>
      <c r="K61" s="99"/>
      <c r="L61" s="99"/>
      <c r="M61" s="99"/>
      <c r="N61" s="99"/>
      <c r="O61" s="101"/>
      <c r="P61" s="22">
        <f>SUM(P58:P60)</f>
        <v>0</v>
      </c>
      <c r="Q61" s="22">
        <f t="shared" ref="Q61:U61" si="9">SUM(Q58:Q60)</f>
        <v>0</v>
      </c>
      <c r="R61" s="22">
        <f t="shared" si="9"/>
        <v>0</v>
      </c>
      <c r="S61" s="22">
        <f t="shared" si="9"/>
        <v>0</v>
      </c>
      <c r="T61" s="22">
        <f t="shared" si="9"/>
        <v>0</v>
      </c>
      <c r="U61" s="22">
        <f t="shared" si="9"/>
        <v>0</v>
      </c>
    </row>
    <row r="62" spans="1:25" ht="12.75" customHeight="1" x14ac:dyDescent="0.2">
      <c r="C62" s="1" t="s">
        <v>10</v>
      </c>
      <c r="D62" s="1" t="s">
        <v>47</v>
      </c>
      <c r="F62" s="2"/>
      <c r="G62" s="67"/>
      <c r="I62" s="2"/>
      <c r="O62" s="2"/>
      <c r="P62" s="6">
        <f t="shared" ref="P62:T64" si="10">SUMIFS(P$10:P$54,$E$10:$E$54,$C62,$D$10:$D$54,$D62)</f>
        <v>0</v>
      </c>
      <c r="Q62" s="6">
        <f t="shared" si="10"/>
        <v>0</v>
      </c>
      <c r="R62" s="6">
        <f t="shared" si="10"/>
        <v>0</v>
      </c>
      <c r="S62" s="6">
        <f t="shared" si="10"/>
        <v>0</v>
      </c>
      <c r="T62" s="6">
        <f t="shared" si="10"/>
        <v>0</v>
      </c>
      <c r="U62" s="70">
        <f t="shared" si="8"/>
        <v>0</v>
      </c>
    </row>
    <row r="63" spans="1:25" ht="12.75" customHeight="1" x14ac:dyDescent="0.2">
      <c r="C63" s="1" t="s">
        <v>12</v>
      </c>
      <c r="D63" s="1" t="s">
        <v>47</v>
      </c>
      <c r="F63" s="2"/>
      <c r="G63" s="67"/>
      <c r="I63" s="2"/>
      <c r="O63" s="2"/>
      <c r="P63" s="6">
        <f t="shared" si="10"/>
        <v>0</v>
      </c>
      <c r="Q63" s="6">
        <f t="shared" si="10"/>
        <v>0</v>
      </c>
      <c r="R63" s="6">
        <f t="shared" si="10"/>
        <v>0</v>
      </c>
      <c r="S63" s="6">
        <f t="shared" si="10"/>
        <v>0</v>
      </c>
      <c r="T63" s="6">
        <f t="shared" si="10"/>
        <v>0</v>
      </c>
      <c r="U63" s="70">
        <f t="shared" si="8"/>
        <v>0</v>
      </c>
    </row>
    <row r="64" spans="1:25" ht="12.75" customHeight="1" x14ac:dyDescent="0.2">
      <c r="C64" s="1" t="s">
        <v>13</v>
      </c>
      <c r="D64" s="1" t="s">
        <v>47</v>
      </c>
      <c r="F64" s="2"/>
      <c r="G64" s="67"/>
      <c r="I64" s="2"/>
      <c r="O64" s="2"/>
      <c r="P64" s="6">
        <f t="shared" si="10"/>
        <v>387801.73100000003</v>
      </c>
      <c r="Q64" s="6">
        <f t="shared" si="10"/>
        <v>426580.95410000009</v>
      </c>
      <c r="R64" s="6">
        <f t="shared" si="10"/>
        <v>469239.96451000019</v>
      </c>
      <c r="S64" s="6">
        <f t="shared" si="10"/>
        <v>516162.96096100012</v>
      </c>
      <c r="T64" s="6">
        <f t="shared" si="10"/>
        <v>567780.2570571003</v>
      </c>
      <c r="U64" s="70">
        <f t="shared" si="8"/>
        <v>2367565.8676281003</v>
      </c>
    </row>
    <row r="65" spans="3:22" ht="12.75" customHeight="1" x14ac:dyDescent="0.2">
      <c r="C65" s="21" t="s">
        <v>16</v>
      </c>
      <c r="D65" s="21" t="s">
        <v>47</v>
      </c>
      <c r="E65" s="99"/>
      <c r="F65" s="101"/>
      <c r="G65" s="100"/>
      <c r="H65" s="102"/>
      <c r="I65" s="101"/>
      <c r="J65" s="99"/>
      <c r="K65" s="99"/>
      <c r="L65" s="99"/>
      <c r="M65" s="99"/>
      <c r="N65" s="99"/>
      <c r="O65" s="101"/>
      <c r="P65" s="22">
        <f>SUM(P62:P64)</f>
        <v>387801.73100000003</v>
      </c>
      <c r="Q65" s="22">
        <f t="shared" ref="Q65" si="11">SUM(Q62:Q64)</f>
        <v>426580.95410000009</v>
      </c>
      <c r="R65" s="22">
        <f t="shared" ref="R65" si="12">SUM(R62:R64)</f>
        <v>469239.96451000019</v>
      </c>
      <c r="S65" s="22">
        <f t="shared" ref="S65" si="13">SUM(S62:S64)</f>
        <v>516162.96096100012</v>
      </c>
      <c r="T65" s="22">
        <f t="shared" ref="T65" si="14">SUM(T62:T64)</f>
        <v>567780.2570571003</v>
      </c>
      <c r="U65" s="22">
        <f t="shared" ref="U65" si="15">SUM(U62:U64)</f>
        <v>2367565.8676281003</v>
      </c>
    </row>
    <row r="66" spans="3:22" ht="12.75" customHeight="1" x14ac:dyDescent="0.2">
      <c r="F66" s="2"/>
      <c r="G66" s="67"/>
      <c r="I66" s="2"/>
      <c r="O66" s="2"/>
      <c r="P66" s="6"/>
      <c r="Q66" s="6"/>
      <c r="R66" s="6"/>
      <c r="S66" s="6"/>
      <c r="T66" s="6"/>
      <c r="U66" s="70"/>
    </row>
    <row r="67" spans="3:22" ht="12.75" customHeight="1" x14ac:dyDescent="0.2">
      <c r="C67" s="7" t="str">
        <f>"Total Expenditure ($ "&amp;Assumptions!$B$12&amp;")"</f>
        <v>Total Expenditure ($ June 2024)</v>
      </c>
      <c r="D67" s="7" t="s">
        <v>65</v>
      </c>
      <c r="E67" s="7"/>
      <c r="F67" s="2"/>
      <c r="G67" s="7"/>
      <c r="H67" s="10"/>
      <c r="I67" s="2"/>
      <c r="J67" s="7"/>
      <c r="K67" s="7"/>
      <c r="L67" s="7"/>
      <c r="M67" s="7"/>
      <c r="N67" s="7"/>
      <c r="O67" s="2"/>
      <c r="P67" s="8">
        <f>P61+P65</f>
        <v>387801.73100000003</v>
      </c>
      <c r="Q67" s="8">
        <f t="shared" ref="Q67:T67" si="16">Q61+Q65</f>
        <v>426580.95410000009</v>
      </c>
      <c r="R67" s="8">
        <f t="shared" si="16"/>
        <v>469239.96451000019</v>
      </c>
      <c r="S67" s="8">
        <f t="shared" si="16"/>
        <v>516162.96096100012</v>
      </c>
      <c r="T67" s="8">
        <f t="shared" si="16"/>
        <v>567780.2570571003</v>
      </c>
      <c r="U67" s="71">
        <f t="shared" si="8"/>
        <v>2367565.8676281003</v>
      </c>
    </row>
    <row r="68" spans="3:22" ht="12.75" customHeight="1" x14ac:dyDescent="0.2">
      <c r="C68" s="46" t="s">
        <v>66</v>
      </c>
      <c r="D68" s="46"/>
      <c r="E68" s="46"/>
      <c r="F68" s="2"/>
      <c r="G68" s="46"/>
      <c r="H68" s="46"/>
      <c r="I68" s="2"/>
      <c r="J68" s="46"/>
      <c r="K68" s="46"/>
      <c r="L68" s="46"/>
      <c r="M68" s="46"/>
      <c r="N68" s="46"/>
      <c r="O68" s="2"/>
      <c r="P68" s="47">
        <f>P67-SUM(P$10:P$54)</f>
        <v>0</v>
      </c>
      <c r="Q68" s="47">
        <f t="shared" ref="Q68:T68" si="17">Q67-SUM(Q$10:Q$54)</f>
        <v>0</v>
      </c>
      <c r="R68" s="47">
        <f t="shared" si="17"/>
        <v>0</v>
      </c>
      <c r="S68" s="47">
        <f t="shared" si="17"/>
        <v>0</v>
      </c>
      <c r="T68" s="47">
        <f t="shared" si="17"/>
        <v>0</v>
      </c>
      <c r="U68" s="47">
        <f>U67-SUM(P$10:T$54)</f>
        <v>0</v>
      </c>
      <c r="V68" s="47">
        <f>SUM(P68:U68)</f>
        <v>0</v>
      </c>
    </row>
    <row r="69" spans="3:22" ht="12.75" customHeight="1" x14ac:dyDescent="0.2">
      <c r="F69" s="2"/>
      <c r="I69" s="2"/>
      <c r="O69" s="2"/>
    </row>
    <row r="70" spans="3:22" ht="12.75" customHeight="1" x14ac:dyDescent="0.2">
      <c r="C70" s="56" t="str">
        <f>"NPV ($ "&amp;Assumptions!$B$12&amp;")"</f>
        <v>NPV ($ June 2024)</v>
      </c>
      <c r="D70" s="57">
        <f>NPV(Real_Discount_rate,P67:T67)</f>
        <v>2123995.0528939669</v>
      </c>
      <c r="F70" s="2"/>
      <c r="I70" s="2"/>
      <c r="O70" s="2"/>
    </row>
    <row r="71" spans="3:22" ht="12.75" customHeight="1" x14ac:dyDescent="0.2">
      <c r="F71" s="2"/>
      <c r="I71" s="2"/>
      <c r="O71" s="2"/>
    </row>
    <row r="72" spans="3:22" ht="12.75" customHeight="1" x14ac:dyDescent="0.2">
      <c r="F72" s="2"/>
      <c r="I72" s="2"/>
      <c r="O72" s="2"/>
    </row>
    <row r="73" spans="3:22" ht="12.75" customHeight="1" x14ac:dyDescent="0.2">
      <c r="C73" s="74" t="s">
        <v>67</v>
      </c>
      <c r="F73" s="2"/>
      <c r="I73" s="2"/>
      <c r="O73" s="2"/>
      <c r="P73" s="68" t="s">
        <v>5</v>
      </c>
      <c r="Q73" s="68" t="s">
        <v>6</v>
      </c>
      <c r="R73" s="68" t="s">
        <v>7</v>
      </c>
      <c r="S73" s="68" t="s">
        <v>8</v>
      </c>
      <c r="T73" s="68" t="s">
        <v>9</v>
      </c>
      <c r="U73" s="68" t="s">
        <v>0</v>
      </c>
    </row>
    <row r="74" spans="3:22" ht="12.75" customHeight="1" x14ac:dyDescent="0.2">
      <c r="C74" s="24" t="s">
        <v>10</v>
      </c>
      <c r="D74" s="24" t="s">
        <v>50</v>
      </c>
      <c r="E74" s="24"/>
      <c r="F74" s="2"/>
      <c r="G74" s="65"/>
      <c r="H74" s="66"/>
      <c r="I74" s="2"/>
      <c r="J74" s="24"/>
      <c r="K74" s="24"/>
      <c r="L74" s="24"/>
      <c r="M74" s="24"/>
      <c r="N74" s="24"/>
      <c r="O74" s="2"/>
      <c r="P74" s="34">
        <f t="shared" ref="P74:T76" si="18">P58*business_case_dollars</f>
        <v>0</v>
      </c>
      <c r="Q74" s="34">
        <f t="shared" si="18"/>
        <v>0</v>
      </c>
      <c r="R74" s="34">
        <f t="shared" si="18"/>
        <v>0</v>
      </c>
      <c r="S74" s="34">
        <f t="shared" si="18"/>
        <v>0</v>
      </c>
      <c r="T74" s="34">
        <f t="shared" si="18"/>
        <v>0</v>
      </c>
      <c r="U74" s="69">
        <f>SUM(P74:T74)</f>
        <v>0</v>
      </c>
    </row>
    <row r="75" spans="3:22" ht="12.75" customHeight="1" x14ac:dyDescent="0.2">
      <c r="C75" s="1" t="s">
        <v>12</v>
      </c>
      <c r="D75" s="1" t="s">
        <v>50</v>
      </c>
      <c r="F75" s="2"/>
      <c r="G75" s="67"/>
      <c r="I75" s="2"/>
      <c r="O75" s="2"/>
      <c r="P75" s="6">
        <f t="shared" si="18"/>
        <v>0</v>
      </c>
      <c r="Q75" s="6">
        <f t="shared" si="18"/>
        <v>0</v>
      </c>
      <c r="R75" s="6">
        <f t="shared" si="18"/>
        <v>0</v>
      </c>
      <c r="S75" s="6">
        <f t="shared" si="18"/>
        <v>0</v>
      </c>
      <c r="T75" s="6">
        <f t="shared" si="18"/>
        <v>0</v>
      </c>
      <c r="U75" s="70">
        <f t="shared" ref="U75:U83" si="19">SUM(P75:T75)</f>
        <v>0</v>
      </c>
    </row>
    <row r="76" spans="3:22" ht="12.75" customHeight="1" x14ac:dyDescent="0.2">
      <c r="C76" s="1" t="s">
        <v>13</v>
      </c>
      <c r="D76" s="1" t="s">
        <v>50</v>
      </c>
      <c r="F76" s="2"/>
      <c r="G76" s="67"/>
      <c r="I76" s="2"/>
      <c r="O76" s="2"/>
      <c r="P76" s="6">
        <f t="shared" si="18"/>
        <v>0</v>
      </c>
      <c r="Q76" s="6">
        <f t="shared" si="18"/>
        <v>0</v>
      </c>
      <c r="R76" s="6">
        <f t="shared" si="18"/>
        <v>0</v>
      </c>
      <c r="S76" s="6">
        <f t="shared" si="18"/>
        <v>0</v>
      </c>
      <c r="T76" s="6">
        <f t="shared" si="18"/>
        <v>0</v>
      </c>
      <c r="U76" s="70">
        <f t="shared" si="19"/>
        <v>0</v>
      </c>
    </row>
    <row r="77" spans="3:22" ht="12.75" customHeight="1" x14ac:dyDescent="0.2">
      <c r="C77" s="21" t="s">
        <v>14</v>
      </c>
      <c r="D77" s="21" t="s">
        <v>50</v>
      </c>
      <c r="E77" s="99"/>
      <c r="F77" s="101"/>
      <c r="G77" s="100"/>
      <c r="H77" s="102"/>
      <c r="I77" s="101"/>
      <c r="J77" s="99"/>
      <c r="K77" s="99"/>
      <c r="L77" s="99"/>
      <c r="M77" s="99"/>
      <c r="N77" s="99"/>
      <c r="O77" s="101"/>
      <c r="P77" s="22">
        <f>SUM(P74:P76)</f>
        <v>0</v>
      </c>
      <c r="Q77" s="22">
        <f t="shared" ref="Q77" si="20">SUM(Q74:Q76)</f>
        <v>0</v>
      </c>
      <c r="R77" s="22">
        <f t="shared" ref="R77" si="21">SUM(R74:R76)</f>
        <v>0</v>
      </c>
      <c r="S77" s="22">
        <f t="shared" ref="S77" si="22">SUM(S74:S76)</f>
        <v>0</v>
      </c>
      <c r="T77" s="22">
        <f t="shared" ref="T77" si="23">SUM(T74:T76)</f>
        <v>0</v>
      </c>
      <c r="U77" s="22">
        <f t="shared" ref="U77" si="24">SUM(U74:U76)</f>
        <v>0</v>
      </c>
    </row>
    <row r="78" spans="3:22" ht="12.75" customHeight="1" x14ac:dyDescent="0.2">
      <c r="C78" s="1" t="s">
        <v>10</v>
      </c>
      <c r="D78" s="1" t="s">
        <v>47</v>
      </c>
      <c r="F78" s="2"/>
      <c r="G78" s="67"/>
      <c r="I78" s="2"/>
      <c r="O78" s="2"/>
      <c r="P78" s="34">
        <f t="shared" ref="P78:T80" si="25">P62*business_case_dollars</f>
        <v>0</v>
      </c>
      <c r="Q78" s="34">
        <f t="shared" si="25"/>
        <v>0</v>
      </c>
      <c r="R78" s="34">
        <f t="shared" si="25"/>
        <v>0</v>
      </c>
      <c r="S78" s="34">
        <f t="shared" si="25"/>
        <v>0</v>
      </c>
      <c r="T78" s="34">
        <f t="shared" si="25"/>
        <v>0</v>
      </c>
      <c r="U78" s="69">
        <f>SUM(P78:T78)</f>
        <v>0</v>
      </c>
    </row>
    <row r="79" spans="3:22" ht="12.75" customHeight="1" x14ac:dyDescent="0.2">
      <c r="C79" s="1" t="s">
        <v>12</v>
      </c>
      <c r="D79" s="1" t="s">
        <v>47</v>
      </c>
      <c r="F79" s="2"/>
      <c r="G79" s="67"/>
      <c r="I79" s="2"/>
      <c r="O79" s="2"/>
      <c r="P79" s="6">
        <f t="shared" si="25"/>
        <v>0</v>
      </c>
      <c r="Q79" s="6">
        <f t="shared" si="25"/>
        <v>0</v>
      </c>
      <c r="R79" s="6">
        <f t="shared" si="25"/>
        <v>0</v>
      </c>
      <c r="S79" s="6">
        <f t="shared" si="25"/>
        <v>0</v>
      </c>
      <c r="T79" s="6">
        <f t="shared" si="25"/>
        <v>0</v>
      </c>
      <c r="U79" s="70">
        <f t="shared" ref="U79:U80" si="26">SUM(P79:T79)</f>
        <v>0</v>
      </c>
    </row>
    <row r="80" spans="3:22" ht="12.75" customHeight="1" x14ac:dyDescent="0.2">
      <c r="C80" s="1" t="s">
        <v>13</v>
      </c>
      <c r="D80" s="1" t="s">
        <v>47</v>
      </c>
      <c r="F80" s="2"/>
      <c r="G80" s="67"/>
      <c r="I80" s="2"/>
      <c r="O80" s="2"/>
      <c r="P80" s="6">
        <f t="shared" si="25"/>
        <v>431589.45073214715</v>
      </c>
      <c r="Q80" s="6">
        <f t="shared" si="25"/>
        <v>474747.3385383478</v>
      </c>
      <c r="R80" s="6">
        <f t="shared" si="25"/>
        <v>522223.09070725419</v>
      </c>
      <c r="S80" s="6">
        <f t="shared" si="25"/>
        <v>574444.2868653331</v>
      </c>
      <c r="T80" s="6">
        <f t="shared" si="25"/>
        <v>631889.82846451295</v>
      </c>
      <c r="U80" s="70">
        <f t="shared" si="26"/>
        <v>2634893.9953075955</v>
      </c>
    </row>
    <row r="81" spans="3:22" ht="12.75" customHeight="1" x14ac:dyDescent="0.2">
      <c r="C81" s="21" t="s">
        <v>16</v>
      </c>
      <c r="D81" s="21" t="s">
        <v>47</v>
      </c>
      <c r="E81" s="99"/>
      <c r="F81" s="101"/>
      <c r="G81" s="100"/>
      <c r="H81" s="102"/>
      <c r="I81" s="101"/>
      <c r="J81" s="99"/>
      <c r="K81" s="99"/>
      <c r="L81" s="99"/>
      <c r="M81" s="99"/>
      <c r="N81" s="99"/>
      <c r="O81" s="101"/>
      <c r="P81" s="22">
        <f>SUM(P78:P80)</f>
        <v>431589.45073214715</v>
      </c>
      <c r="Q81" s="22">
        <f t="shared" ref="Q81" si="27">SUM(Q78:Q80)</f>
        <v>474747.3385383478</v>
      </c>
      <c r="R81" s="22">
        <f t="shared" ref="R81" si="28">SUM(R78:R80)</f>
        <v>522223.09070725419</v>
      </c>
      <c r="S81" s="22">
        <f t="shared" ref="S81" si="29">SUM(S78:S80)</f>
        <v>574444.2868653331</v>
      </c>
      <c r="T81" s="22">
        <f t="shared" ref="T81" si="30">SUM(T78:T80)</f>
        <v>631889.82846451295</v>
      </c>
      <c r="U81" s="22">
        <f t="shared" ref="U81" si="31">SUM(U78:U80)</f>
        <v>2634893.9953075955</v>
      </c>
    </row>
    <row r="82" spans="3:22" ht="12.75" customHeight="1" x14ac:dyDescent="0.2">
      <c r="F82" s="2"/>
      <c r="G82" s="67"/>
      <c r="I82" s="2"/>
      <c r="O82" s="2"/>
      <c r="P82" s="6"/>
      <c r="Q82" s="6"/>
      <c r="R82" s="6"/>
      <c r="S82" s="6"/>
      <c r="T82" s="6"/>
      <c r="U82" s="70"/>
    </row>
    <row r="83" spans="3:22" x14ac:dyDescent="0.2">
      <c r="C83" s="7" t="str">
        <f>"Total Expenditure ($ "&amp;Assumptions!$C$36&amp;")"</f>
        <v>Total Expenditure ($ June 2026)</v>
      </c>
      <c r="D83" s="7" t="s">
        <v>65</v>
      </c>
      <c r="E83" s="7"/>
      <c r="F83" s="2"/>
      <c r="G83" s="7"/>
      <c r="H83" s="10"/>
      <c r="I83" s="2"/>
      <c r="J83" s="7"/>
      <c r="K83" s="7"/>
      <c r="L83" s="7"/>
      <c r="M83" s="7"/>
      <c r="N83" s="7"/>
      <c r="O83" s="2"/>
      <c r="P83" s="8">
        <f>P77+P81</f>
        <v>431589.45073214715</v>
      </c>
      <c r="Q83" s="8">
        <f t="shared" ref="Q83:T83" si="32">Q77+Q81</f>
        <v>474747.3385383478</v>
      </c>
      <c r="R83" s="8">
        <f t="shared" si="32"/>
        <v>522223.09070725419</v>
      </c>
      <c r="S83" s="8">
        <f t="shared" si="32"/>
        <v>574444.2868653331</v>
      </c>
      <c r="T83" s="8">
        <f t="shared" si="32"/>
        <v>631889.82846451295</v>
      </c>
      <c r="U83" s="71">
        <f t="shared" si="19"/>
        <v>2634893.9953075955</v>
      </c>
    </row>
    <row r="84" spans="3:22" x14ac:dyDescent="0.2">
      <c r="F84" s="2"/>
      <c r="I84" s="2"/>
      <c r="O84" s="2"/>
      <c r="P84" s="47">
        <f>SUM(P10:P54)*business_case_dollars-P83</f>
        <v>0</v>
      </c>
      <c r="Q84" s="47">
        <f>SUM(Q10:Q54)*business_case_dollars-Q83</f>
        <v>0</v>
      </c>
      <c r="R84" s="47">
        <f>SUM(R10:R54)*business_case_dollars-R83</f>
        <v>0</v>
      </c>
      <c r="S84" s="47">
        <f>SUM(S10:S54)*business_case_dollars-S83</f>
        <v>0</v>
      </c>
      <c r="T84" s="47">
        <f>SUM(T10:T54)*business_case_dollars-T83</f>
        <v>0</v>
      </c>
      <c r="U84" s="47">
        <f>SUM(P10:T54)*business_case_dollars-U83</f>
        <v>0</v>
      </c>
      <c r="V84" s="47">
        <f>SUM(P84:U84)</f>
        <v>0</v>
      </c>
    </row>
    <row r="85" spans="3:22" x14ac:dyDescent="0.2">
      <c r="C85" s="56" t="str">
        <f>"NPV ($ "&amp;Assumptions!$C$36&amp;")"</f>
        <v>NPV ($ June 2026)</v>
      </c>
      <c r="D85" s="57">
        <f>NPV(Real_Discount_rate,P83:T83)</f>
        <v>2363820.9552919841</v>
      </c>
      <c r="F85" s="2"/>
      <c r="I85" s="2"/>
      <c r="O85" s="2"/>
      <c r="P85" s="53"/>
      <c r="Q85" s="53"/>
      <c r="R85" s="53"/>
      <c r="S85" s="53"/>
      <c r="T85" s="53"/>
    </row>
  </sheetData>
  <conditionalFormatting sqref="G10:G54">
    <cfRule type="expression" dxfId="20" priority="8">
      <formula>$E10="Contracts"</formula>
    </cfRule>
    <cfRule type="expression" dxfId="19" priority="9">
      <formula>$E10="Materials"</formula>
    </cfRule>
    <cfRule type="expression" dxfId="18" priority="10">
      <formula>$E10="Labour"</formula>
    </cfRule>
  </conditionalFormatting>
  <conditionalFormatting sqref="P68:U68">
    <cfRule type="expression" dxfId="17" priority="1">
      <formula>ABS(P68)&gt;0.001</formula>
    </cfRule>
  </conditionalFormatting>
  <conditionalFormatting sqref="P84:U84">
    <cfRule type="expression" dxfId="16" priority="2">
      <formula>ABS(P84)&gt;0.001</formula>
    </cfRule>
  </conditionalFormatting>
  <conditionalFormatting sqref="V68">
    <cfRule type="expression" dxfId="15" priority="14">
      <formula>ABS(V68)&gt;0.001</formula>
    </cfRule>
  </conditionalFormatting>
  <conditionalFormatting sqref="V84">
    <cfRule type="expression" dxfId="14" priority="4">
      <formula>ABS(V84)&gt;0.001</formula>
    </cfRule>
  </conditionalFormatting>
  <dataValidations count="2">
    <dataValidation type="list" allowBlank="1" showInputMessage="1" showErrorMessage="1" sqref="E10:E54" xr:uid="{B0E8B852-301B-4563-9163-FFDB1711704F}">
      <formula1>"Labour, Materials, Contracts"</formula1>
    </dataValidation>
    <dataValidation type="list" allowBlank="1" showInputMessage="1" showErrorMessage="1" sqref="D10:D54" xr:uid="{056126DF-837A-45EA-97BA-3AA3767E7A6C}">
      <formula1>"Capex, Opex"</formula1>
    </dataValidation>
  </dataValidations>
  <pageMargins left="0.7" right="0.7" top="0.75" bottom="0.75" header="0.3" footer="0.3"/>
  <pageSetup paperSize="9" orientation="portrait" r:id="rId1"/>
  <ignoredErrors>
    <ignoredError sqref="P61 Q61:U61 P77:U77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CFB243-33B7-4471-BAB5-268899AB61E3}">
  <dimension ref="A1:Y85"/>
  <sheetViews>
    <sheetView showGridLines="0" zoomScale="80" zoomScaleNormal="80" workbookViewId="0">
      <pane xSplit="3" topLeftCell="D1" activePane="topRight" state="frozen"/>
      <selection activeCell="R1" sqref="R1:T3"/>
      <selection pane="topRight" activeCell="R1" sqref="R1:T3"/>
    </sheetView>
  </sheetViews>
  <sheetFormatPr defaultColWidth="9.140625" defaultRowHeight="12.75" x14ac:dyDescent="0.2"/>
  <cols>
    <col min="1" max="1" width="4.28515625" style="1" customWidth="1"/>
    <col min="2" max="2" width="2.7109375" style="1" customWidth="1"/>
    <col min="3" max="3" width="67.7109375" style="1" customWidth="1"/>
    <col min="4" max="4" width="12.5703125" style="1" customWidth="1"/>
    <col min="5" max="5" width="11.140625" style="1" customWidth="1"/>
    <col min="6" max="6" width="2.85546875" style="1" customWidth="1"/>
    <col min="7" max="7" width="12.140625" style="1" customWidth="1"/>
    <col min="8" max="8" width="12.7109375" style="9" customWidth="1"/>
    <col min="9" max="9" width="2.85546875" style="1" customWidth="1"/>
    <col min="10" max="14" width="12.140625" style="1" customWidth="1"/>
    <col min="15" max="15" width="2.85546875" style="1" customWidth="1"/>
    <col min="16" max="20" width="12.140625" style="1" customWidth="1"/>
    <col min="21" max="21" width="13" style="1" customWidth="1"/>
    <col min="22" max="16384" width="9.140625" style="1"/>
  </cols>
  <sheetData>
    <row r="1" spans="1:25" ht="21" x14ac:dyDescent="0.35">
      <c r="A1" s="62" t="str">
        <f>Project_name</f>
        <v>Network management systems</v>
      </c>
      <c r="B1" s="14"/>
      <c r="C1" s="11"/>
      <c r="D1" s="11"/>
      <c r="E1" s="11"/>
      <c r="F1" s="11"/>
      <c r="G1" s="11"/>
      <c r="H1" s="12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</row>
    <row r="2" spans="1:25" ht="15.75" x14ac:dyDescent="0.25">
      <c r="A2" s="59" t="str">
        <f>Business</f>
        <v>CitiPower &amp; Powercor</v>
      </c>
      <c r="B2" s="13"/>
      <c r="C2" s="11"/>
      <c r="D2" s="11"/>
      <c r="E2" s="11"/>
      <c r="F2" s="11"/>
      <c r="G2" s="11"/>
      <c r="H2" s="12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</row>
    <row r="3" spans="1:25" s="32" customFormat="1" ht="15.75" x14ac:dyDescent="0.25">
      <c r="A3" s="30" t="s">
        <v>18</v>
      </c>
      <c r="B3" s="30"/>
      <c r="C3" s="30"/>
      <c r="D3" s="30"/>
      <c r="E3" s="30"/>
      <c r="F3" s="30"/>
      <c r="G3" s="30"/>
      <c r="H3" s="31"/>
      <c r="I3" s="30"/>
      <c r="J3" s="30"/>
      <c r="K3" s="30"/>
      <c r="L3" s="30"/>
      <c r="M3" s="30"/>
      <c r="N3" s="30"/>
      <c r="O3" s="30"/>
      <c r="P3" s="13"/>
      <c r="Q3" s="11"/>
      <c r="R3" s="11"/>
      <c r="S3" s="11"/>
      <c r="T3" s="11"/>
      <c r="V3" s="49" t="b">
        <f>SUM(V7:V55)=0</f>
        <v>1</v>
      </c>
    </row>
    <row r="4" spans="1:25" ht="12.75" customHeight="1" x14ac:dyDescent="0.25">
      <c r="B4" s="15"/>
      <c r="C4" s="16"/>
      <c r="D4" s="16"/>
      <c r="E4" s="16"/>
      <c r="F4" s="16"/>
      <c r="G4" s="16"/>
      <c r="H4" s="17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</row>
    <row r="5" spans="1:25" ht="12.75" customHeight="1" x14ac:dyDescent="0.2">
      <c r="A5" s="1" t="str">
        <f>"Inputs are in $"&amp;Assumptions!$B$12&amp; " unless otherwise stated"</f>
        <v>Inputs are in $June 2024 unless otherwise stated</v>
      </c>
      <c r="B5" s="18"/>
      <c r="C5" s="16"/>
      <c r="D5" s="16"/>
      <c r="E5" s="16"/>
      <c r="F5" s="16"/>
      <c r="G5" s="16"/>
      <c r="H5" s="17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spans="1:25" ht="12.75" customHeight="1" x14ac:dyDescent="0.2">
      <c r="A6" s="4"/>
      <c r="F6" s="16"/>
    </row>
    <row r="7" spans="1:25" ht="12.75" customHeight="1" x14ac:dyDescent="0.2">
      <c r="A7" s="4"/>
      <c r="C7" s="51" t="s">
        <v>41</v>
      </c>
      <c r="D7" s="64" t="s">
        <v>42</v>
      </c>
      <c r="E7" s="64" t="s">
        <v>43</v>
      </c>
      <c r="F7" s="16"/>
      <c r="G7" s="107" t="s">
        <v>10</v>
      </c>
      <c r="H7" s="19" t="s">
        <v>44</v>
      </c>
      <c r="J7" s="19" t="s">
        <v>45</v>
      </c>
      <c r="K7" s="20"/>
      <c r="L7" s="20"/>
      <c r="M7" s="20"/>
      <c r="N7" s="20"/>
      <c r="P7" s="19" t="s">
        <v>46</v>
      </c>
      <c r="Q7" s="20"/>
      <c r="R7" s="20"/>
      <c r="S7" s="20"/>
      <c r="T7" s="20"/>
    </row>
    <row r="8" spans="1:25" ht="12.75" customHeight="1" x14ac:dyDescent="0.2">
      <c r="A8" s="4"/>
      <c r="B8" s="4"/>
      <c r="C8" s="97"/>
      <c r="D8" s="97" t="s">
        <v>47</v>
      </c>
      <c r="E8" s="97"/>
      <c r="F8" s="16"/>
      <c r="G8" s="108" t="s">
        <v>48</v>
      </c>
      <c r="H8" s="4"/>
      <c r="J8" s="52" t="s">
        <v>5</v>
      </c>
      <c r="K8" s="52" t="s">
        <v>6</v>
      </c>
      <c r="L8" s="52" t="s">
        <v>7</v>
      </c>
      <c r="M8" s="52" t="s">
        <v>8</v>
      </c>
      <c r="N8" s="52" t="s">
        <v>9</v>
      </c>
      <c r="P8" s="52" t="s">
        <v>5</v>
      </c>
      <c r="Q8" s="52" t="s">
        <v>6</v>
      </c>
      <c r="R8" s="52" t="s">
        <v>7</v>
      </c>
      <c r="S8" s="52" t="s">
        <v>8</v>
      </c>
      <c r="T8" s="52" t="s">
        <v>9</v>
      </c>
    </row>
    <row r="9" spans="1:25" ht="12.75" customHeight="1" x14ac:dyDescent="0.2">
      <c r="F9" s="16"/>
    </row>
    <row r="10" spans="1:25" ht="12.75" customHeight="1" x14ac:dyDescent="0.2">
      <c r="A10" s="4"/>
      <c r="C10" s="79" t="s">
        <v>49</v>
      </c>
      <c r="D10" s="80" t="s">
        <v>50</v>
      </c>
      <c r="E10" s="78" t="s">
        <v>10</v>
      </c>
      <c r="F10" s="2"/>
      <c r="G10" s="63">
        <f>IF($E10="Labour",Assumptions!$B$14,)</f>
        <v>145.77740895836223</v>
      </c>
      <c r="H10" s="9" t="str">
        <f>IF($E10="Labour","Hours","$")</f>
        <v>Hours</v>
      </c>
      <c r="I10" s="2"/>
      <c r="J10" s="81"/>
      <c r="K10" s="81"/>
      <c r="L10" s="81">
        <f>5652005/G10/2</f>
        <v>19385.73692722978</v>
      </c>
      <c r="M10" s="81">
        <f>5652005/G10/2</f>
        <v>19385.73692722978</v>
      </c>
      <c r="N10" s="81"/>
      <c r="O10" s="2"/>
      <c r="P10" s="5">
        <f t="shared" ref="P10:P54" si="0">IF($E10="Labour",$G10*J10,J10)</f>
        <v>0</v>
      </c>
      <c r="Q10" s="5">
        <f t="shared" ref="Q10:Q54" si="1">IF($E10="Labour",$G10*K10,K10)</f>
        <v>0</v>
      </c>
      <c r="R10" s="5">
        <f t="shared" ref="R10:R54" si="2">IF($E10="Labour",$G10*L10,L10)</f>
        <v>2826002.5</v>
      </c>
      <c r="S10" s="5">
        <f t="shared" ref="S10:S54" si="3">IF($E10="Labour",$G10*M10,M10)</f>
        <v>2826002.5</v>
      </c>
      <c r="T10" s="5">
        <f t="shared" ref="T10:T54" si="4">IF($E10="Labour",$G10*N10,N10)</f>
        <v>0</v>
      </c>
    </row>
    <row r="11" spans="1:25" ht="12.75" customHeight="1" x14ac:dyDescent="0.2">
      <c r="A11" s="4"/>
      <c r="C11" s="79" t="s">
        <v>49</v>
      </c>
      <c r="D11" s="80" t="s">
        <v>50</v>
      </c>
      <c r="E11" s="78" t="s">
        <v>12</v>
      </c>
      <c r="F11" s="2"/>
      <c r="G11" s="63">
        <f>IF($E11="Labour",Assumptions!$B$14,)</f>
        <v>0</v>
      </c>
      <c r="H11" s="9" t="str">
        <f t="shared" ref="H11:H54" si="5">IF($E11="Labour","Hours","$")</f>
        <v>$</v>
      </c>
      <c r="I11" s="2"/>
      <c r="J11" s="81"/>
      <c r="K11" s="81"/>
      <c r="L11" s="81">
        <f>482488.241305/2</f>
        <v>241244.12065249999</v>
      </c>
      <c r="M11" s="81">
        <f>482488.241305/2</f>
        <v>241244.12065249999</v>
      </c>
      <c r="N11" s="81"/>
      <c r="O11" s="2"/>
      <c r="P11" s="5">
        <f t="shared" si="0"/>
        <v>0</v>
      </c>
      <c r="Q11" s="5">
        <f t="shared" si="1"/>
        <v>0</v>
      </c>
      <c r="R11" s="5">
        <f t="shared" si="2"/>
        <v>241244.12065249999</v>
      </c>
      <c r="S11" s="5">
        <f t="shared" si="3"/>
        <v>241244.12065249999</v>
      </c>
      <c r="T11" s="5">
        <f t="shared" si="4"/>
        <v>0</v>
      </c>
    </row>
    <row r="12" spans="1:25" ht="12.75" customHeight="1" x14ac:dyDescent="0.2">
      <c r="A12" s="4"/>
      <c r="C12" s="79" t="s">
        <v>49</v>
      </c>
      <c r="D12" s="80" t="s">
        <v>50</v>
      </c>
      <c r="E12" s="78" t="s">
        <v>13</v>
      </c>
      <c r="F12" s="2"/>
      <c r="G12" s="63">
        <f>IF($E12="Labour",Assumptions!$B$14,)</f>
        <v>0</v>
      </c>
      <c r="H12" s="9" t="str">
        <f t="shared" si="5"/>
        <v>$</v>
      </c>
      <c r="I12" s="2"/>
      <c r="J12" s="81"/>
      <c r="K12" s="81"/>
      <c r="L12" s="81">
        <f>758195.807765/2</f>
        <v>379097.90388250002</v>
      </c>
      <c r="M12" s="81">
        <f>758195.807765/2</f>
        <v>379097.90388250002</v>
      </c>
      <c r="N12" s="81"/>
      <c r="O12" s="2"/>
      <c r="P12" s="5">
        <f t="shared" si="0"/>
        <v>0</v>
      </c>
      <c r="Q12" s="5">
        <f t="shared" si="1"/>
        <v>0</v>
      </c>
      <c r="R12" s="5">
        <f t="shared" si="2"/>
        <v>379097.90388250002</v>
      </c>
      <c r="S12" s="5">
        <f t="shared" si="3"/>
        <v>379097.90388250002</v>
      </c>
      <c r="T12" s="5">
        <f t="shared" si="4"/>
        <v>0</v>
      </c>
    </row>
    <row r="13" spans="1:25" ht="12.75" customHeight="1" x14ac:dyDescent="0.25">
      <c r="A13" s="4"/>
      <c r="C13" s="79" t="s">
        <v>51</v>
      </c>
      <c r="D13" s="80" t="s">
        <v>50</v>
      </c>
      <c r="E13" s="78" t="s">
        <v>10</v>
      </c>
      <c r="F13" s="2"/>
      <c r="G13" s="63">
        <f>IF($E13="Labour",Assumptions!$B$14,)</f>
        <v>145.77740895836223</v>
      </c>
      <c r="H13" s="9" t="str">
        <f t="shared" si="5"/>
        <v>Hours</v>
      </c>
      <c r="I13" s="2"/>
      <c r="J13" s="81"/>
      <c r="K13" s="81">
        <f>610392/G13</f>
        <v>4187.1508374410987</v>
      </c>
      <c r="L13" s="81"/>
      <c r="M13" s="81"/>
      <c r="N13" s="81">
        <f>610392/G13</f>
        <v>4187.1508374410987</v>
      </c>
      <c r="O13" s="2"/>
      <c r="P13" s="5">
        <f t="shared" si="0"/>
        <v>0</v>
      </c>
      <c r="Q13" s="5">
        <f t="shared" si="1"/>
        <v>610391.99999999988</v>
      </c>
      <c r="R13" s="5">
        <f t="shared" si="2"/>
        <v>0</v>
      </c>
      <c r="S13" s="5">
        <f t="shared" si="3"/>
        <v>0</v>
      </c>
      <c r="T13" s="5">
        <f t="shared" si="4"/>
        <v>610391.99999999988</v>
      </c>
      <c r="Y13"/>
    </row>
    <row r="14" spans="1:25" ht="12.75" customHeight="1" x14ac:dyDescent="0.25">
      <c r="A14" s="4"/>
      <c r="C14" s="79" t="s">
        <v>51</v>
      </c>
      <c r="D14" s="80" t="s">
        <v>50</v>
      </c>
      <c r="E14" s="78" t="s">
        <v>12</v>
      </c>
      <c r="F14" s="2"/>
      <c r="G14" s="63">
        <f>IF($E14="Labour",Assumptions!$B$14,)</f>
        <v>0</v>
      </c>
      <c r="H14" s="9" t="str">
        <f t="shared" si="5"/>
        <v>$</v>
      </c>
      <c r="I14" s="2"/>
      <c r="J14" s="81"/>
      <c r="K14" s="110" t="s">
        <v>52</v>
      </c>
      <c r="L14" s="81"/>
      <c r="M14" s="81"/>
      <c r="N14" s="81" t="s">
        <v>52</v>
      </c>
      <c r="O14" s="2"/>
      <c r="P14" s="5">
        <f t="shared" si="0"/>
        <v>0</v>
      </c>
      <c r="Q14" s="5" t="str">
        <f t="shared" si="1"/>
        <v>-</v>
      </c>
      <c r="R14" s="5">
        <f t="shared" si="2"/>
        <v>0</v>
      </c>
      <c r="S14" s="5">
        <f t="shared" si="3"/>
        <v>0</v>
      </c>
      <c r="T14" s="5" t="str">
        <f t="shared" si="4"/>
        <v>-</v>
      </c>
      <c r="Y14"/>
    </row>
    <row r="15" spans="1:25" ht="12.75" customHeight="1" x14ac:dyDescent="0.25">
      <c r="A15" s="4"/>
      <c r="C15" s="79" t="s">
        <v>51</v>
      </c>
      <c r="D15" s="80" t="s">
        <v>50</v>
      </c>
      <c r="E15" s="78" t="s">
        <v>13</v>
      </c>
      <c r="F15" s="2"/>
      <c r="G15" s="63">
        <f>IF($E15="Labour",Assumptions!$B$14,)</f>
        <v>0</v>
      </c>
      <c r="H15" s="9" t="str">
        <f t="shared" si="5"/>
        <v>$</v>
      </c>
      <c r="I15" s="2"/>
      <c r="J15" s="81"/>
      <c r="K15" s="110" t="s">
        <v>52</v>
      </c>
      <c r="L15" s="81"/>
      <c r="M15" s="81"/>
      <c r="N15" s="81" t="s">
        <v>52</v>
      </c>
      <c r="O15" s="2"/>
      <c r="P15" s="5">
        <f t="shared" si="0"/>
        <v>0</v>
      </c>
      <c r="Q15" s="5" t="str">
        <f t="shared" si="1"/>
        <v>-</v>
      </c>
      <c r="R15" s="5">
        <f t="shared" si="2"/>
        <v>0</v>
      </c>
      <c r="S15" s="5">
        <f t="shared" si="3"/>
        <v>0</v>
      </c>
      <c r="T15" s="5" t="str">
        <f t="shared" si="4"/>
        <v>-</v>
      </c>
      <c r="Y15"/>
    </row>
    <row r="16" spans="1:25" ht="12.75" customHeight="1" x14ac:dyDescent="0.25">
      <c r="A16" s="4"/>
      <c r="C16" s="79" t="s">
        <v>53</v>
      </c>
      <c r="D16" s="80" t="s">
        <v>50</v>
      </c>
      <c r="E16" s="78" t="s">
        <v>10</v>
      </c>
      <c r="F16" s="2"/>
      <c r="G16" s="63">
        <f>IF($E16="Labour",Assumptions!$B$14,)</f>
        <v>145.77740895836223</v>
      </c>
      <c r="H16" s="9" t="str">
        <f t="shared" si="5"/>
        <v>Hours</v>
      </c>
      <c r="I16" s="2"/>
      <c r="J16" s="81">
        <f>933789/G16</f>
        <v>6405.5809927772425</v>
      </c>
      <c r="K16" s="81"/>
      <c r="L16" s="81"/>
      <c r="M16" s="81">
        <f>933789/G16</f>
        <v>6405.5809927772425</v>
      </c>
      <c r="N16" s="81"/>
      <c r="O16" s="2"/>
      <c r="P16" s="5">
        <f t="shared" si="0"/>
        <v>933789</v>
      </c>
      <c r="Q16" s="5">
        <f t="shared" si="1"/>
        <v>0</v>
      </c>
      <c r="R16" s="5">
        <f t="shared" si="2"/>
        <v>0</v>
      </c>
      <c r="S16" s="5">
        <f t="shared" si="3"/>
        <v>933789</v>
      </c>
      <c r="T16" s="5">
        <f t="shared" si="4"/>
        <v>0</v>
      </c>
      <c r="Y16"/>
    </row>
    <row r="17" spans="1:25" ht="12.75" customHeight="1" x14ac:dyDescent="0.25">
      <c r="A17" s="4"/>
      <c r="C17" s="79" t="s">
        <v>53</v>
      </c>
      <c r="D17" s="80" t="s">
        <v>50</v>
      </c>
      <c r="E17" s="78" t="s">
        <v>12</v>
      </c>
      <c r="F17" s="2"/>
      <c r="G17" s="63">
        <f>IF($E17="Labour",Assumptions!$B$14,)</f>
        <v>0</v>
      </c>
      <c r="H17" s="9" t="str">
        <f t="shared" si="5"/>
        <v>$</v>
      </c>
      <c r="I17" s="2"/>
      <c r="J17" s="110" t="s">
        <v>52</v>
      </c>
      <c r="K17" s="81"/>
      <c r="L17" s="110"/>
      <c r="M17" s="81" t="s">
        <v>52</v>
      </c>
      <c r="N17" s="81"/>
      <c r="O17" s="2"/>
      <c r="P17" s="5" t="str">
        <f t="shared" si="0"/>
        <v>-</v>
      </c>
      <c r="Q17" s="5">
        <f t="shared" si="1"/>
        <v>0</v>
      </c>
      <c r="R17" s="5">
        <f t="shared" si="2"/>
        <v>0</v>
      </c>
      <c r="S17" s="5" t="str">
        <f t="shared" si="3"/>
        <v>-</v>
      </c>
      <c r="T17" s="5">
        <f t="shared" si="4"/>
        <v>0</v>
      </c>
      <c r="Y17"/>
    </row>
    <row r="18" spans="1:25" ht="12.75" customHeight="1" x14ac:dyDescent="0.25">
      <c r="A18" s="4"/>
      <c r="C18" s="79" t="s">
        <v>53</v>
      </c>
      <c r="D18" s="80" t="s">
        <v>50</v>
      </c>
      <c r="E18" s="78" t="s">
        <v>13</v>
      </c>
      <c r="F18" s="2"/>
      <c r="G18" s="63">
        <f>IF($E18="Labour",Assumptions!$B$14,)</f>
        <v>0</v>
      </c>
      <c r="H18" s="9" t="str">
        <f t="shared" si="5"/>
        <v>$</v>
      </c>
      <c r="I18" s="2"/>
      <c r="J18" s="81">
        <v>400195.31999999995</v>
      </c>
      <c r="K18" s="81"/>
      <c r="L18" s="81"/>
      <c r="M18" s="81">
        <v>400195.31999999995</v>
      </c>
      <c r="N18" s="81"/>
      <c r="O18" s="2"/>
      <c r="P18" s="5">
        <f t="shared" si="0"/>
        <v>400195.31999999995</v>
      </c>
      <c r="Q18" s="5">
        <f t="shared" si="1"/>
        <v>0</v>
      </c>
      <c r="R18" s="5">
        <f t="shared" si="2"/>
        <v>0</v>
      </c>
      <c r="S18" s="5">
        <f t="shared" si="3"/>
        <v>400195.31999999995</v>
      </c>
      <c r="T18" s="5">
        <f t="shared" si="4"/>
        <v>0</v>
      </c>
      <c r="Y18"/>
    </row>
    <row r="19" spans="1:25" ht="12.75" customHeight="1" x14ac:dyDescent="0.25">
      <c r="A19" s="4"/>
      <c r="C19" s="79" t="s">
        <v>54</v>
      </c>
      <c r="D19" s="80" t="s">
        <v>50</v>
      </c>
      <c r="E19" s="78" t="s">
        <v>10</v>
      </c>
      <c r="F19" s="2"/>
      <c r="G19" s="63">
        <f>IF($E19="Labour",Assumptions!$B$14,)</f>
        <v>145.77740895836223</v>
      </c>
      <c r="H19" s="9" t="str">
        <f t="shared" si="5"/>
        <v>Hours</v>
      </c>
      <c r="I19" s="2"/>
      <c r="J19" s="81">
        <f>244512/$G$19</f>
        <v>1677.2969265068973</v>
      </c>
      <c r="K19" s="81">
        <f>244512/$G$19</f>
        <v>1677.2969265068973</v>
      </c>
      <c r="L19" s="81">
        <f>244512/$G$19</f>
        <v>1677.2969265068973</v>
      </c>
      <c r="M19" s="81">
        <f>244512/$G$19</f>
        <v>1677.2969265068973</v>
      </c>
      <c r="N19" s="81">
        <f>244512/$G$19</f>
        <v>1677.2969265068973</v>
      </c>
      <c r="O19" s="2"/>
      <c r="P19" s="5">
        <f t="shared" si="0"/>
        <v>244512</v>
      </c>
      <c r="Q19" s="5">
        <f t="shared" si="1"/>
        <v>244512</v>
      </c>
      <c r="R19" s="5">
        <f t="shared" si="2"/>
        <v>244512</v>
      </c>
      <c r="S19" s="5">
        <f t="shared" si="3"/>
        <v>244512</v>
      </c>
      <c r="T19" s="5">
        <f t="shared" si="4"/>
        <v>244512</v>
      </c>
      <c r="Y19"/>
    </row>
    <row r="20" spans="1:25" ht="12.75" customHeight="1" x14ac:dyDescent="0.25">
      <c r="A20" s="4"/>
      <c r="C20" s="79" t="s">
        <v>54</v>
      </c>
      <c r="D20" s="80" t="s">
        <v>50</v>
      </c>
      <c r="E20" s="78" t="s">
        <v>12</v>
      </c>
      <c r="F20" s="2"/>
      <c r="G20" s="63">
        <f>IF($E20="Labour",Assumptions!$B$14,)</f>
        <v>0</v>
      </c>
      <c r="H20" s="9" t="str">
        <f t="shared" si="5"/>
        <v>$</v>
      </c>
      <c r="I20" s="2"/>
      <c r="J20" s="81" t="s">
        <v>52</v>
      </c>
      <c r="K20" s="81" t="s">
        <v>52</v>
      </c>
      <c r="L20" s="81" t="s">
        <v>52</v>
      </c>
      <c r="M20" s="81" t="s">
        <v>52</v>
      </c>
      <c r="N20" s="81" t="s">
        <v>52</v>
      </c>
      <c r="O20" s="2"/>
      <c r="P20" s="5" t="str">
        <f t="shared" si="0"/>
        <v>-</v>
      </c>
      <c r="Q20" s="5" t="str">
        <f t="shared" si="1"/>
        <v>-</v>
      </c>
      <c r="R20" s="5" t="str">
        <f t="shared" si="2"/>
        <v>-</v>
      </c>
      <c r="S20" s="5" t="str">
        <f t="shared" si="3"/>
        <v>-</v>
      </c>
      <c r="T20" s="5" t="str">
        <f t="shared" si="4"/>
        <v>-</v>
      </c>
      <c r="Y20"/>
    </row>
    <row r="21" spans="1:25" ht="12.75" customHeight="1" x14ac:dyDescent="0.25">
      <c r="A21" s="4"/>
      <c r="C21" s="79" t="s">
        <v>54</v>
      </c>
      <c r="D21" s="80" t="s">
        <v>50</v>
      </c>
      <c r="E21" s="78" t="s">
        <v>13</v>
      </c>
      <c r="F21" s="2"/>
      <c r="G21" s="63">
        <f>IF($E21="Labour",Assumptions!$B$14,)</f>
        <v>0</v>
      </c>
      <c r="H21" s="9" t="str">
        <f t="shared" si="5"/>
        <v>$</v>
      </c>
      <c r="I21" s="2"/>
      <c r="J21" s="81" t="s">
        <v>52</v>
      </c>
      <c r="K21" s="81" t="s">
        <v>52</v>
      </c>
      <c r="L21" s="81" t="s">
        <v>52</v>
      </c>
      <c r="M21" s="81" t="s">
        <v>52</v>
      </c>
      <c r="N21" s="81" t="s">
        <v>52</v>
      </c>
      <c r="O21" s="2"/>
      <c r="P21" s="5" t="str">
        <f t="shared" si="0"/>
        <v>-</v>
      </c>
      <c r="Q21" s="5" t="str">
        <f t="shared" si="1"/>
        <v>-</v>
      </c>
      <c r="R21" s="5" t="str">
        <f t="shared" si="2"/>
        <v>-</v>
      </c>
      <c r="S21" s="5" t="str">
        <f t="shared" si="3"/>
        <v>-</v>
      </c>
      <c r="T21" s="5" t="str">
        <f t="shared" si="4"/>
        <v>-</v>
      </c>
      <c r="Y21"/>
    </row>
    <row r="22" spans="1:25" ht="12.75" customHeight="1" x14ac:dyDescent="0.25">
      <c r="A22" s="4"/>
      <c r="C22" s="79" t="s">
        <v>55</v>
      </c>
      <c r="D22" s="80" t="s">
        <v>50</v>
      </c>
      <c r="E22" s="78" t="s">
        <v>10</v>
      </c>
      <c r="F22" s="2"/>
      <c r="G22" s="63">
        <f>IF($E22="Labour",Assumptions!$B$14,)</f>
        <v>145.77740895836223</v>
      </c>
      <c r="H22" s="9" t="str">
        <f t="shared" si="5"/>
        <v>Hours</v>
      </c>
      <c r="I22" s="2"/>
      <c r="J22" s="81">
        <f>30000/$G$22</f>
        <v>205.79320358594637</v>
      </c>
      <c r="K22" s="81">
        <f t="shared" ref="K22:N22" si="6">30000/$G$22</f>
        <v>205.79320358594637</v>
      </c>
      <c r="L22" s="81">
        <f t="shared" si="6"/>
        <v>205.79320358594637</v>
      </c>
      <c r="M22" s="81">
        <f t="shared" si="6"/>
        <v>205.79320358594637</v>
      </c>
      <c r="N22" s="81">
        <f t="shared" si="6"/>
        <v>205.79320358594637</v>
      </c>
      <c r="O22" s="2"/>
      <c r="P22" s="5">
        <f t="shared" si="0"/>
        <v>30000</v>
      </c>
      <c r="Q22" s="5">
        <f t="shared" si="1"/>
        <v>30000</v>
      </c>
      <c r="R22" s="5">
        <f t="shared" si="2"/>
        <v>30000</v>
      </c>
      <c r="S22" s="5">
        <f t="shared" si="3"/>
        <v>30000</v>
      </c>
      <c r="T22" s="5">
        <f t="shared" si="4"/>
        <v>30000</v>
      </c>
      <c r="Y22"/>
    </row>
    <row r="23" spans="1:25" ht="12.75" customHeight="1" x14ac:dyDescent="0.25">
      <c r="A23" s="4"/>
      <c r="C23" s="79" t="s">
        <v>55</v>
      </c>
      <c r="D23" s="80" t="s">
        <v>50</v>
      </c>
      <c r="E23" s="78" t="s">
        <v>12</v>
      </c>
      <c r="F23" s="2"/>
      <c r="G23" s="63">
        <f>IF($E23="Labour",Assumptions!$B$14,)</f>
        <v>0</v>
      </c>
      <c r="H23" s="9" t="str">
        <f t="shared" si="5"/>
        <v>$</v>
      </c>
      <c r="I23" s="2"/>
      <c r="J23" s="81" t="s">
        <v>52</v>
      </c>
      <c r="K23" s="81" t="s">
        <v>52</v>
      </c>
      <c r="L23" s="81" t="s">
        <v>52</v>
      </c>
      <c r="M23" s="81" t="s">
        <v>52</v>
      </c>
      <c r="N23" s="81" t="s">
        <v>52</v>
      </c>
      <c r="O23" s="2"/>
      <c r="P23" s="5" t="str">
        <f t="shared" si="0"/>
        <v>-</v>
      </c>
      <c r="Q23" s="5" t="str">
        <f t="shared" si="1"/>
        <v>-</v>
      </c>
      <c r="R23" s="5" t="str">
        <f t="shared" si="2"/>
        <v>-</v>
      </c>
      <c r="S23" s="5" t="str">
        <f t="shared" si="3"/>
        <v>-</v>
      </c>
      <c r="T23" s="5" t="str">
        <f t="shared" si="4"/>
        <v>-</v>
      </c>
      <c r="Y23"/>
    </row>
    <row r="24" spans="1:25" ht="12.75" customHeight="1" x14ac:dyDescent="0.25">
      <c r="A24" s="4"/>
      <c r="C24" s="79" t="s">
        <v>55</v>
      </c>
      <c r="D24" s="80" t="s">
        <v>50</v>
      </c>
      <c r="E24" s="78" t="s">
        <v>13</v>
      </c>
      <c r="F24" s="2"/>
      <c r="G24" s="63">
        <f>IF($E24="Labour",Assumptions!$B$14,)</f>
        <v>0</v>
      </c>
      <c r="H24" s="9" t="str">
        <f t="shared" si="5"/>
        <v>$</v>
      </c>
      <c r="I24" s="2"/>
      <c r="J24" s="81">
        <v>70000</v>
      </c>
      <c r="K24" s="81">
        <v>70000</v>
      </c>
      <c r="L24" s="81">
        <v>70000</v>
      </c>
      <c r="M24" s="81">
        <v>70000</v>
      </c>
      <c r="N24" s="81">
        <v>70000</v>
      </c>
      <c r="O24" s="2"/>
      <c r="P24" s="5">
        <f t="shared" si="0"/>
        <v>70000</v>
      </c>
      <c r="Q24" s="5">
        <f t="shared" si="1"/>
        <v>70000</v>
      </c>
      <c r="R24" s="5">
        <f t="shared" si="2"/>
        <v>70000</v>
      </c>
      <c r="S24" s="5">
        <f t="shared" si="3"/>
        <v>70000</v>
      </c>
      <c r="T24" s="5">
        <f t="shared" si="4"/>
        <v>70000</v>
      </c>
      <c r="Y24"/>
    </row>
    <row r="25" spans="1:25" ht="12.75" customHeight="1" x14ac:dyDescent="0.25">
      <c r="A25" s="4"/>
      <c r="C25" s="79" t="s">
        <v>56</v>
      </c>
      <c r="D25" s="80" t="s">
        <v>50</v>
      </c>
      <c r="E25" s="78" t="s">
        <v>10</v>
      </c>
      <c r="F25" s="2"/>
      <c r="G25" s="63">
        <f>IF($E25="Labour",Assumptions!$B$14,)</f>
        <v>145.77740895836223</v>
      </c>
      <c r="H25" s="9" t="str">
        <f t="shared" si="5"/>
        <v>Hours</v>
      </c>
      <c r="I25" s="2"/>
      <c r="J25" s="81"/>
      <c r="K25" s="81">
        <f>250000/G25</f>
        <v>1714.9433632162197</v>
      </c>
      <c r="L25" s="81"/>
      <c r="M25" s="81"/>
      <c r="N25" s="81">
        <f>250000/G25</f>
        <v>1714.9433632162197</v>
      </c>
      <c r="O25" s="2"/>
      <c r="P25" s="5">
        <f t="shared" si="0"/>
        <v>0</v>
      </c>
      <c r="Q25" s="5">
        <f t="shared" si="1"/>
        <v>250000</v>
      </c>
      <c r="R25" s="5">
        <f t="shared" si="2"/>
        <v>0</v>
      </c>
      <c r="S25" s="5">
        <f t="shared" si="3"/>
        <v>0</v>
      </c>
      <c r="T25" s="5">
        <f t="shared" si="4"/>
        <v>250000</v>
      </c>
      <c r="Y25"/>
    </row>
    <row r="26" spans="1:25" ht="12.75" customHeight="1" x14ac:dyDescent="0.25">
      <c r="A26" s="4"/>
      <c r="C26" s="79" t="s">
        <v>56</v>
      </c>
      <c r="D26" s="80" t="s">
        <v>50</v>
      </c>
      <c r="E26" s="78" t="s">
        <v>12</v>
      </c>
      <c r="F26" s="2"/>
      <c r="G26" s="63">
        <f>IF($E26="Labour",Assumptions!$B$14,)</f>
        <v>0</v>
      </c>
      <c r="H26" s="9" t="str">
        <f t="shared" si="5"/>
        <v>$</v>
      </c>
      <c r="I26" s="2"/>
      <c r="J26" s="81"/>
      <c r="K26" s="81">
        <v>50000</v>
      </c>
      <c r="L26" s="81"/>
      <c r="M26" s="81"/>
      <c r="N26" s="81">
        <v>50000</v>
      </c>
      <c r="O26" s="2"/>
      <c r="P26" s="5">
        <f t="shared" si="0"/>
        <v>0</v>
      </c>
      <c r="Q26" s="5">
        <f t="shared" si="1"/>
        <v>50000</v>
      </c>
      <c r="R26" s="5">
        <f t="shared" si="2"/>
        <v>0</v>
      </c>
      <c r="S26" s="5">
        <f t="shared" si="3"/>
        <v>0</v>
      </c>
      <c r="T26" s="5">
        <f t="shared" si="4"/>
        <v>50000</v>
      </c>
      <c r="Y26"/>
    </row>
    <row r="27" spans="1:25" ht="12.75" customHeight="1" x14ac:dyDescent="0.25">
      <c r="A27" s="4"/>
      <c r="C27" s="79" t="s">
        <v>56</v>
      </c>
      <c r="D27" s="80" t="s">
        <v>50</v>
      </c>
      <c r="E27" s="78" t="s">
        <v>13</v>
      </c>
      <c r="F27" s="2"/>
      <c r="G27" s="63">
        <f>IF($E27="Labour",Assumptions!$B$14,)</f>
        <v>0</v>
      </c>
      <c r="H27" s="9" t="str">
        <f t="shared" si="5"/>
        <v>$</v>
      </c>
      <c r="I27" s="2"/>
      <c r="J27" s="81"/>
      <c r="K27" s="81">
        <v>200000</v>
      </c>
      <c r="L27" s="81"/>
      <c r="M27" s="81"/>
      <c r="N27" s="81">
        <v>200000</v>
      </c>
      <c r="O27" s="2"/>
      <c r="P27" s="5">
        <f t="shared" si="0"/>
        <v>0</v>
      </c>
      <c r="Q27" s="5">
        <f t="shared" si="1"/>
        <v>200000</v>
      </c>
      <c r="R27" s="5">
        <f t="shared" si="2"/>
        <v>0</v>
      </c>
      <c r="S27" s="5">
        <f t="shared" si="3"/>
        <v>0</v>
      </c>
      <c r="T27" s="5">
        <f t="shared" si="4"/>
        <v>200000</v>
      </c>
      <c r="Y27"/>
    </row>
    <row r="28" spans="1:25" ht="12.75" customHeight="1" x14ac:dyDescent="0.25">
      <c r="A28" s="4"/>
      <c r="C28" s="79" t="s">
        <v>57</v>
      </c>
      <c r="D28" s="80" t="s">
        <v>50</v>
      </c>
      <c r="E28" s="78" t="s">
        <v>10</v>
      </c>
      <c r="F28" s="2"/>
      <c r="G28" s="63">
        <f>IF($E28="Labour",Assumptions!$B$14,)</f>
        <v>145.77740895836223</v>
      </c>
      <c r="H28" s="9" t="str">
        <f t="shared" si="5"/>
        <v>Hours</v>
      </c>
      <c r="I28" s="2"/>
      <c r="J28" s="81">
        <f>1218750/$G28</f>
        <v>8360.3488956790716</v>
      </c>
      <c r="K28" s="81">
        <f>1218750/$G28</f>
        <v>8360.3488956790716</v>
      </c>
      <c r="L28" s="81">
        <f>1218750/$G28</f>
        <v>8360.3488956790716</v>
      </c>
      <c r="M28" s="81">
        <f>1218750/$G28</f>
        <v>8360.3488956790716</v>
      </c>
      <c r="N28" s="81">
        <f>1218750/$G28</f>
        <v>8360.3488956790716</v>
      </c>
      <c r="O28" s="2"/>
      <c r="P28" s="5">
        <f t="shared" si="0"/>
        <v>1218750</v>
      </c>
      <c r="Q28" s="5">
        <f t="shared" si="1"/>
        <v>1218750</v>
      </c>
      <c r="R28" s="5">
        <f t="shared" si="2"/>
        <v>1218750</v>
      </c>
      <c r="S28" s="5">
        <f t="shared" si="3"/>
        <v>1218750</v>
      </c>
      <c r="T28" s="5">
        <f t="shared" si="4"/>
        <v>1218750</v>
      </c>
      <c r="Y28"/>
    </row>
    <row r="29" spans="1:25" ht="12.75" customHeight="1" x14ac:dyDescent="0.25">
      <c r="A29" s="4"/>
      <c r="C29" s="79" t="s">
        <v>57</v>
      </c>
      <c r="D29" s="80" t="s">
        <v>50</v>
      </c>
      <c r="E29" s="78" t="s">
        <v>12</v>
      </c>
      <c r="F29" s="2"/>
      <c r="G29" s="63">
        <f>IF($E29="Labour",Assumptions!$B$14,)</f>
        <v>0</v>
      </c>
      <c r="H29" s="9" t="str">
        <f t="shared" si="5"/>
        <v>$</v>
      </c>
      <c r="I29" s="2"/>
      <c r="J29" s="81">
        <v>187500</v>
      </c>
      <c r="K29" s="81">
        <v>187500</v>
      </c>
      <c r="L29" s="81">
        <v>187500</v>
      </c>
      <c r="M29" s="81">
        <v>187500</v>
      </c>
      <c r="N29" s="81">
        <v>187500</v>
      </c>
      <c r="O29" s="2"/>
      <c r="P29" s="5">
        <f t="shared" si="0"/>
        <v>187500</v>
      </c>
      <c r="Q29" s="5">
        <f t="shared" si="1"/>
        <v>187500</v>
      </c>
      <c r="R29" s="5">
        <f t="shared" si="2"/>
        <v>187500</v>
      </c>
      <c r="S29" s="5">
        <f t="shared" si="3"/>
        <v>187500</v>
      </c>
      <c r="T29" s="5">
        <f t="shared" si="4"/>
        <v>187500</v>
      </c>
      <c r="Y29"/>
    </row>
    <row r="30" spans="1:25" ht="12.75" customHeight="1" x14ac:dyDescent="0.25">
      <c r="A30" s="4"/>
      <c r="C30" s="79" t="s">
        <v>57</v>
      </c>
      <c r="D30" s="80" t="s">
        <v>50</v>
      </c>
      <c r="E30" s="78" t="s">
        <v>13</v>
      </c>
      <c r="F30" s="2"/>
      <c r="G30" s="63">
        <f>IF($E30="Labour",Assumptions!$B$14,)</f>
        <v>0</v>
      </c>
      <c r="H30" s="9" t="str">
        <f t="shared" si="5"/>
        <v>$</v>
      </c>
      <c r="I30" s="2"/>
      <c r="J30" s="81">
        <v>468750</v>
      </c>
      <c r="K30" s="81">
        <v>468750</v>
      </c>
      <c r="L30" s="81">
        <v>468750</v>
      </c>
      <c r="M30" s="81">
        <v>468750</v>
      </c>
      <c r="N30" s="81">
        <v>468750</v>
      </c>
      <c r="O30" s="2"/>
      <c r="P30" s="5">
        <f t="shared" si="0"/>
        <v>468750</v>
      </c>
      <c r="Q30" s="5">
        <f t="shared" si="1"/>
        <v>468750</v>
      </c>
      <c r="R30" s="5">
        <f t="shared" si="2"/>
        <v>468750</v>
      </c>
      <c r="S30" s="5">
        <f t="shared" si="3"/>
        <v>468750</v>
      </c>
      <c r="T30" s="5">
        <f t="shared" si="4"/>
        <v>468750</v>
      </c>
      <c r="Y30"/>
    </row>
    <row r="31" spans="1:25" ht="12.75" customHeight="1" x14ac:dyDescent="0.25">
      <c r="A31" s="4"/>
      <c r="C31" s="79" t="s">
        <v>58</v>
      </c>
      <c r="D31" s="80" t="s">
        <v>50</v>
      </c>
      <c r="E31" s="78" t="s">
        <v>10</v>
      </c>
      <c r="F31" s="2"/>
      <c r="G31" s="63">
        <f>IF($E31="Labour",Assumptions!$B$14,)</f>
        <v>145.77740895836223</v>
      </c>
      <c r="H31" s="9" t="str">
        <f t="shared" si="5"/>
        <v>Hours</v>
      </c>
      <c r="I31" s="2"/>
      <c r="J31" s="81"/>
      <c r="K31" s="81">
        <f>1200000/$G31</f>
        <v>8231.7281434378547</v>
      </c>
      <c r="L31" s="81">
        <f>1200000/$G31</f>
        <v>8231.7281434378547</v>
      </c>
      <c r="M31" s="81">
        <f>1800000/$G28</f>
        <v>12347.592215156781</v>
      </c>
      <c r="N31" s="81">
        <f>1800000/$G28</f>
        <v>12347.592215156781</v>
      </c>
      <c r="O31" s="2"/>
      <c r="P31" s="5">
        <f t="shared" si="0"/>
        <v>0</v>
      </c>
      <c r="Q31" s="5">
        <f t="shared" si="1"/>
        <v>1200000</v>
      </c>
      <c r="R31" s="5">
        <f t="shared" si="2"/>
        <v>1200000</v>
      </c>
      <c r="S31" s="5">
        <f t="shared" si="3"/>
        <v>1799999.9999999998</v>
      </c>
      <c r="T31" s="5">
        <f t="shared" si="4"/>
        <v>1799999.9999999998</v>
      </c>
      <c r="Y31"/>
    </row>
    <row r="32" spans="1:25" ht="12.75" customHeight="1" x14ac:dyDescent="0.25">
      <c r="A32" s="4"/>
      <c r="C32" s="79" t="s">
        <v>58</v>
      </c>
      <c r="D32" s="80" t="s">
        <v>50</v>
      </c>
      <c r="E32" s="78" t="s">
        <v>12</v>
      </c>
      <c r="F32" s="2"/>
      <c r="G32" s="63">
        <f>IF($E32="Labour",Assumptions!$B$14,)</f>
        <v>0</v>
      </c>
      <c r="H32" s="9" t="str">
        <f t="shared" si="5"/>
        <v>$</v>
      </c>
      <c r="I32" s="2"/>
      <c r="J32" s="81"/>
      <c r="K32" s="81">
        <v>300000</v>
      </c>
      <c r="L32" s="81">
        <v>300000</v>
      </c>
      <c r="M32" s="81">
        <v>450000</v>
      </c>
      <c r="N32" s="81">
        <v>450000</v>
      </c>
      <c r="O32" s="2"/>
      <c r="P32" s="5">
        <f t="shared" si="0"/>
        <v>0</v>
      </c>
      <c r="Q32" s="5">
        <f t="shared" si="1"/>
        <v>300000</v>
      </c>
      <c r="R32" s="5">
        <f t="shared" si="2"/>
        <v>300000</v>
      </c>
      <c r="S32" s="5">
        <f t="shared" si="3"/>
        <v>450000</v>
      </c>
      <c r="T32" s="5">
        <f t="shared" si="4"/>
        <v>450000</v>
      </c>
      <c r="Y32"/>
    </row>
    <row r="33" spans="1:25" ht="12.75" customHeight="1" x14ac:dyDescent="0.25">
      <c r="A33" s="4"/>
      <c r="C33" s="79" t="s">
        <v>58</v>
      </c>
      <c r="D33" s="80" t="s">
        <v>50</v>
      </c>
      <c r="E33" s="78" t="s">
        <v>13</v>
      </c>
      <c r="F33" s="2"/>
      <c r="G33" s="63">
        <f>IF($E33="Labour",Assumptions!$B$14,)</f>
        <v>0</v>
      </c>
      <c r="H33" s="9" t="str">
        <f t="shared" si="5"/>
        <v>$</v>
      </c>
      <c r="I33" s="2"/>
      <c r="J33" s="81"/>
      <c r="K33" s="81">
        <v>500000</v>
      </c>
      <c r="L33" s="81">
        <v>500000</v>
      </c>
      <c r="M33" s="81">
        <v>750000</v>
      </c>
      <c r="N33" s="81">
        <v>750000</v>
      </c>
      <c r="O33" s="2"/>
      <c r="P33" s="5">
        <f t="shared" si="0"/>
        <v>0</v>
      </c>
      <c r="Q33" s="5">
        <f t="shared" si="1"/>
        <v>500000</v>
      </c>
      <c r="R33" s="5">
        <f t="shared" si="2"/>
        <v>500000</v>
      </c>
      <c r="S33" s="5">
        <f t="shared" si="3"/>
        <v>750000</v>
      </c>
      <c r="T33" s="5">
        <f t="shared" si="4"/>
        <v>750000</v>
      </c>
      <c r="Y33"/>
    </row>
    <row r="34" spans="1:25" ht="12.75" customHeight="1" x14ac:dyDescent="0.25">
      <c r="A34" s="4"/>
      <c r="C34" s="79" t="s">
        <v>59</v>
      </c>
      <c r="D34" s="80" t="s">
        <v>50</v>
      </c>
      <c r="E34" s="78" t="s">
        <v>10</v>
      </c>
      <c r="F34" s="2"/>
      <c r="G34" s="63">
        <f>IF($E34="Labour",Assumptions!$B$14,)</f>
        <v>145.77740895836223</v>
      </c>
      <c r="H34" s="9" t="str">
        <f t="shared" si="5"/>
        <v>Hours</v>
      </c>
      <c r="I34" s="2"/>
      <c r="J34" s="81"/>
      <c r="K34" s="81">
        <f>490000/$G34</f>
        <v>3361.2889919037907</v>
      </c>
      <c r="L34" s="81"/>
      <c r="M34" s="81"/>
      <c r="N34" s="81">
        <f>700000/$G34</f>
        <v>4801.8414170054148</v>
      </c>
      <c r="O34" s="2"/>
      <c r="P34" s="5">
        <f t="shared" si="0"/>
        <v>0</v>
      </c>
      <c r="Q34" s="5">
        <f t="shared" si="1"/>
        <v>490000</v>
      </c>
      <c r="R34" s="5">
        <f t="shared" si="2"/>
        <v>0</v>
      </c>
      <c r="S34" s="5">
        <f t="shared" si="3"/>
        <v>0</v>
      </c>
      <c r="T34" s="5">
        <f t="shared" si="4"/>
        <v>699999.99999999988</v>
      </c>
      <c r="Y34"/>
    </row>
    <row r="35" spans="1:25" ht="12.75" customHeight="1" x14ac:dyDescent="0.25">
      <c r="A35" s="4"/>
      <c r="C35" s="79" t="s">
        <v>59</v>
      </c>
      <c r="D35" s="80" t="s">
        <v>50</v>
      </c>
      <c r="E35" s="78" t="s">
        <v>12</v>
      </c>
      <c r="F35" s="2"/>
      <c r="G35" s="63">
        <f>IF($E35="Labour",Assumptions!$B$14,)</f>
        <v>0</v>
      </c>
      <c r="H35" s="9" t="str">
        <f t="shared" si="5"/>
        <v>$</v>
      </c>
      <c r="I35" s="2"/>
      <c r="J35" s="81"/>
      <c r="K35" s="81">
        <v>105000</v>
      </c>
      <c r="L35" s="81"/>
      <c r="M35" s="81"/>
      <c r="N35" s="81">
        <v>150000</v>
      </c>
      <c r="O35" s="2"/>
      <c r="P35" s="5">
        <f t="shared" si="0"/>
        <v>0</v>
      </c>
      <c r="Q35" s="5">
        <f t="shared" si="1"/>
        <v>105000</v>
      </c>
      <c r="R35" s="5">
        <f t="shared" si="2"/>
        <v>0</v>
      </c>
      <c r="S35" s="5">
        <f t="shared" si="3"/>
        <v>0</v>
      </c>
      <c r="T35" s="5">
        <f t="shared" si="4"/>
        <v>150000</v>
      </c>
      <c r="Y35"/>
    </row>
    <row r="36" spans="1:25" ht="12.75" customHeight="1" x14ac:dyDescent="0.25">
      <c r="A36" s="4"/>
      <c r="C36" s="79" t="s">
        <v>59</v>
      </c>
      <c r="D36" s="80" t="s">
        <v>50</v>
      </c>
      <c r="E36" s="78" t="s">
        <v>13</v>
      </c>
      <c r="F36" s="2"/>
      <c r="G36" s="63">
        <f>IF($E36="Labour",Assumptions!$B$14,)</f>
        <v>0</v>
      </c>
      <c r="H36" s="9" t="str">
        <f t="shared" si="5"/>
        <v>$</v>
      </c>
      <c r="I36" s="2"/>
      <c r="J36" s="81"/>
      <c r="K36" s="81">
        <v>105000</v>
      </c>
      <c r="L36" s="81"/>
      <c r="M36" s="81"/>
      <c r="N36" s="81">
        <v>150000</v>
      </c>
      <c r="O36" s="2"/>
      <c r="P36" s="5">
        <f t="shared" si="0"/>
        <v>0</v>
      </c>
      <c r="Q36" s="5">
        <f t="shared" si="1"/>
        <v>105000</v>
      </c>
      <c r="R36" s="5">
        <f t="shared" si="2"/>
        <v>0</v>
      </c>
      <c r="S36" s="5">
        <f t="shared" si="3"/>
        <v>0</v>
      </c>
      <c r="T36" s="5">
        <f t="shared" si="4"/>
        <v>150000</v>
      </c>
      <c r="Y36"/>
    </row>
    <row r="37" spans="1:25" ht="12.75" customHeight="1" x14ac:dyDescent="0.25">
      <c r="A37" s="4"/>
      <c r="C37" s="79" t="s">
        <v>60</v>
      </c>
      <c r="D37" s="80" t="s">
        <v>50</v>
      </c>
      <c r="E37" s="78" t="s">
        <v>10</v>
      </c>
      <c r="F37" s="2"/>
      <c r="G37" s="63">
        <f>IF($E37="Labour",Assumptions!$B$14,)</f>
        <v>145.77740895836223</v>
      </c>
      <c r="H37" s="9" t="str">
        <f t="shared" si="5"/>
        <v>Hours</v>
      </c>
      <c r="I37" s="2"/>
      <c r="J37" s="81">
        <f>490000/$G37</f>
        <v>3361.2889919037907</v>
      </c>
      <c r="K37" s="81"/>
      <c r="L37" s="81"/>
      <c r="M37" s="81"/>
      <c r="N37" s="81"/>
      <c r="O37" s="2"/>
      <c r="P37" s="5">
        <f t="shared" si="0"/>
        <v>490000</v>
      </c>
      <c r="Q37" s="5">
        <f t="shared" si="1"/>
        <v>0</v>
      </c>
      <c r="R37" s="5">
        <f t="shared" si="2"/>
        <v>0</v>
      </c>
      <c r="S37" s="5">
        <f t="shared" si="3"/>
        <v>0</v>
      </c>
      <c r="T37" s="5">
        <f t="shared" si="4"/>
        <v>0</v>
      </c>
      <c r="Y37"/>
    </row>
    <row r="38" spans="1:25" ht="12.75" customHeight="1" x14ac:dyDescent="0.25">
      <c r="A38" s="4"/>
      <c r="C38" s="79" t="s">
        <v>60</v>
      </c>
      <c r="D38" s="80" t="s">
        <v>50</v>
      </c>
      <c r="E38" s="78" t="s">
        <v>12</v>
      </c>
      <c r="F38" s="2"/>
      <c r="G38" s="63">
        <f>IF($E38="Labour",Assumptions!$B$14,)</f>
        <v>0</v>
      </c>
      <c r="H38" s="9" t="str">
        <f t="shared" si="5"/>
        <v>$</v>
      </c>
      <c r="I38" s="2"/>
      <c r="J38" s="81">
        <v>105000</v>
      </c>
      <c r="K38" s="81"/>
      <c r="L38" s="81"/>
      <c r="M38" s="81"/>
      <c r="N38" s="81"/>
      <c r="O38" s="2"/>
      <c r="P38" s="5">
        <f t="shared" si="0"/>
        <v>105000</v>
      </c>
      <c r="Q38" s="5">
        <f t="shared" si="1"/>
        <v>0</v>
      </c>
      <c r="R38" s="5">
        <f t="shared" si="2"/>
        <v>0</v>
      </c>
      <c r="S38" s="5">
        <f t="shared" si="3"/>
        <v>0</v>
      </c>
      <c r="T38" s="5">
        <f t="shared" si="4"/>
        <v>0</v>
      </c>
      <c r="Y38"/>
    </row>
    <row r="39" spans="1:25" ht="12.75" customHeight="1" x14ac:dyDescent="0.25">
      <c r="A39" s="4"/>
      <c r="C39" s="79" t="s">
        <v>60</v>
      </c>
      <c r="D39" s="80" t="s">
        <v>50</v>
      </c>
      <c r="E39" s="78" t="s">
        <v>13</v>
      </c>
      <c r="F39" s="2"/>
      <c r="G39" s="63">
        <f>IF($E39="Labour",Assumptions!$B$14,)</f>
        <v>0</v>
      </c>
      <c r="H39" s="9" t="str">
        <f t="shared" si="5"/>
        <v>$</v>
      </c>
      <c r="I39" s="2"/>
      <c r="J39" s="81">
        <v>105000</v>
      </c>
      <c r="K39" s="81"/>
      <c r="L39" s="81"/>
      <c r="M39" s="81"/>
      <c r="N39" s="81"/>
      <c r="O39" s="2"/>
      <c r="P39" s="5">
        <f t="shared" si="0"/>
        <v>105000</v>
      </c>
      <c r="Q39" s="5">
        <f t="shared" si="1"/>
        <v>0</v>
      </c>
      <c r="R39" s="5">
        <f t="shared" si="2"/>
        <v>0</v>
      </c>
      <c r="S39" s="5">
        <f t="shared" si="3"/>
        <v>0</v>
      </c>
      <c r="T39" s="5">
        <f t="shared" si="4"/>
        <v>0</v>
      </c>
      <c r="Y39"/>
    </row>
    <row r="40" spans="1:25" ht="12.75" customHeight="1" x14ac:dyDescent="0.2">
      <c r="A40" s="4"/>
      <c r="C40" s="79" t="s">
        <v>61</v>
      </c>
      <c r="D40" s="80" t="s">
        <v>50</v>
      </c>
      <c r="E40" s="78" t="s">
        <v>10</v>
      </c>
      <c r="G40" s="63">
        <f>IF($E40="Labour",Assumptions!$B$14,)</f>
        <v>145.77740895836223</v>
      </c>
      <c r="H40" s="9" t="str">
        <f t="shared" si="5"/>
        <v>Hours</v>
      </c>
      <c r="J40" s="81"/>
      <c r="K40" s="81">
        <f>747500/$G40</f>
        <v>5127.6806560164969</v>
      </c>
      <c r="L40" s="81"/>
      <c r="M40" s="81"/>
      <c r="N40" s="81"/>
      <c r="P40" s="5">
        <f t="shared" si="0"/>
        <v>0</v>
      </c>
      <c r="Q40" s="5">
        <f t="shared" si="1"/>
        <v>747500</v>
      </c>
      <c r="R40" s="5">
        <f t="shared" si="2"/>
        <v>0</v>
      </c>
      <c r="S40" s="5">
        <f t="shared" si="3"/>
        <v>0</v>
      </c>
      <c r="T40" s="5">
        <f t="shared" si="4"/>
        <v>0</v>
      </c>
    </row>
    <row r="41" spans="1:25" ht="12.75" customHeight="1" x14ac:dyDescent="0.2">
      <c r="A41" s="4"/>
      <c r="C41" s="79" t="s">
        <v>61</v>
      </c>
      <c r="D41" s="80" t="s">
        <v>50</v>
      </c>
      <c r="E41" s="78" t="s">
        <v>12</v>
      </c>
      <c r="G41" s="63">
        <f>IF($E41="Labour",Assumptions!$B$14,)</f>
        <v>0</v>
      </c>
      <c r="H41" s="9" t="str">
        <f t="shared" si="5"/>
        <v>$</v>
      </c>
      <c r="J41" s="81"/>
      <c r="K41" s="81">
        <v>172500</v>
      </c>
      <c r="L41" s="81"/>
      <c r="M41" s="81"/>
      <c r="N41" s="81"/>
      <c r="P41" s="5">
        <f t="shared" si="0"/>
        <v>0</v>
      </c>
      <c r="Q41" s="5">
        <f t="shared" si="1"/>
        <v>172500</v>
      </c>
      <c r="R41" s="5">
        <f t="shared" si="2"/>
        <v>0</v>
      </c>
      <c r="S41" s="5">
        <f t="shared" si="3"/>
        <v>0</v>
      </c>
      <c r="T41" s="5">
        <f t="shared" si="4"/>
        <v>0</v>
      </c>
    </row>
    <row r="42" spans="1:25" ht="12.75" customHeight="1" x14ac:dyDescent="0.2">
      <c r="A42" s="4"/>
      <c r="C42" s="79" t="s">
        <v>61</v>
      </c>
      <c r="D42" s="80" t="s">
        <v>50</v>
      </c>
      <c r="E42" s="78" t="s">
        <v>13</v>
      </c>
      <c r="G42" s="63">
        <f>IF($E42="Labour",Assumptions!$B$14,)</f>
        <v>0</v>
      </c>
      <c r="H42" s="9" t="str">
        <f t="shared" si="5"/>
        <v>$</v>
      </c>
      <c r="J42" s="81"/>
      <c r="K42" s="81">
        <v>230000</v>
      </c>
      <c r="L42" s="81"/>
      <c r="M42" s="81"/>
      <c r="N42" s="81"/>
      <c r="P42" s="5">
        <f t="shared" si="0"/>
        <v>0</v>
      </c>
      <c r="Q42" s="5">
        <f t="shared" si="1"/>
        <v>230000</v>
      </c>
      <c r="R42" s="5">
        <f t="shared" si="2"/>
        <v>0</v>
      </c>
      <c r="S42" s="5">
        <f t="shared" si="3"/>
        <v>0</v>
      </c>
      <c r="T42" s="5">
        <f t="shared" si="4"/>
        <v>0</v>
      </c>
    </row>
    <row r="43" spans="1:25" ht="12.75" customHeight="1" x14ac:dyDescent="0.2">
      <c r="A43" s="4"/>
      <c r="C43" s="79" t="s">
        <v>62</v>
      </c>
      <c r="D43" s="80" t="s">
        <v>50</v>
      </c>
      <c r="E43" s="78" t="s">
        <v>10</v>
      </c>
      <c r="G43" s="63">
        <f>IF($E43="Labour",Assumptions!$B$14,)</f>
        <v>145.77740895836223</v>
      </c>
      <c r="H43" s="9" t="str">
        <f t="shared" si="5"/>
        <v>Hours</v>
      </c>
      <c r="J43" s="81">
        <f>718360/$G43</f>
        <v>4927.7868576000146</v>
      </c>
      <c r="K43" s="81"/>
      <c r="L43" s="81"/>
      <c r="M43" s="81"/>
      <c r="N43" s="81">
        <f>718360/$G43</f>
        <v>4927.7868576000146</v>
      </c>
      <c r="P43" s="5">
        <f t="shared" si="0"/>
        <v>718360</v>
      </c>
      <c r="Q43" s="5">
        <f t="shared" si="1"/>
        <v>0</v>
      </c>
      <c r="R43" s="5">
        <f t="shared" si="2"/>
        <v>0</v>
      </c>
      <c r="S43" s="5">
        <f t="shared" si="3"/>
        <v>0</v>
      </c>
      <c r="T43" s="5">
        <f t="shared" si="4"/>
        <v>718360</v>
      </c>
    </row>
    <row r="44" spans="1:25" ht="12.75" customHeight="1" x14ac:dyDescent="0.2">
      <c r="A44" s="4"/>
      <c r="C44" s="79" t="s">
        <v>62</v>
      </c>
      <c r="D44" s="80" t="s">
        <v>50</v>
      </c>
      <c r="E44" s="78" t="s">
        <v>12</v>
      </c>
      <c r="G44" s="63">
        <f>IF($E44="Labour",Assumptions!$B$14,)</f>
        <v>0</v>
      </c>
      <c r="H44" s="9" t="str">
        <f t="shared" si="5"/>
        <v>$</v>
      </c>
      <c r="J44" s="81">
        <v>179590.02300000002</v>
      </c>
      <c r="K44" s="81"/>
      <c r="L44" s="81"/>
      <c r="M44" s="81"/>
      <c r="N44" s="81">
        <v>179590.02300000002</v>
      </c>
      <c r="P44" s="5">
        <f t="shared" si="0"/>
        <v>179590.02300000002</v>
      </c>
      <c r="Q44" s="5">
        <f t="shared" si="1"/>
        <v>0</v>
      </c>
      <c r="R44" s="5">
        <f t="shared" si="2"/>
        <v>0</v>
      </c>
      <c r="S44" s="5">
        <f t="shared" si="3"/>
        <v>0</v>
      </c>
      <c r="T44" s="5">
        <f t="shared" si="4"/>
        <v>179590.02300000002</v>
      </c>
    </row>
    <row r="45" spans="1:25" ht="12.75" customHeight="1" x14ac:dyDescent="0.2">
      <c r="A45" s="4"/>
      <c r="C45" s="79" t="s">
        <v>62</v>
      </c>
      <c r="D45" s="80" t="s">
        <v>50</v>
      </c>
      <c r="E45" s="78" t="s">
        <v>13</v>
      </c>
      <c r="G45" s="63">
        <f>IF($E45="Labour",Assumptions!$B$14,)</f>
        <v>0</v>
      </c>
      <c r="H45" s="9" t="str">
        <f t="shared" si="5"/>
        <v>$</v>
      </c>
      <c r="J45" s="81">
        <v>299316.70500000002</v>
      </c>
      <c r="K45" s="81"/>
      <c r="L45" s="81"/>
      <c r="M45" s="81"/>
      <c r="N45" s="81">
        <v>299316.70500000002</v>
      </c>
      <c r="P45" s="5">
        <f t="shared" si="0"/>
        <v>299316.70500000002</v>
      </c>
      <c r="Q45" s="5">
        <f t="shared" si="1"/>
        <v>0</v>
      </c>
      <c r="R45" s="5">
        <f t="shared" si="2"/>
        <v>0</v>
      </c>
      <c r="S45" s="5">
        <f t="shared" si="3"/>
        <v>0</v>
      </c>
      <c r="T45" s="5">
        <f t="shared" si="4"/>
        <v>299316.70500000002</v>
      </c>
    </row>
    <row r="46" spans="1:25" ht="12.75" customHeight="1" x14ac:dyDescent="0.2">
      <c r="A46" s="4"/>
      <c r="C46" s="79" t="s">
        <v>63</v>
      </c>
      <c r="D46" s="80" t="s">
        <v>50</v>
      </c>
      <c r="E46" s="78" t="s">
        <v>10</v>
      </c>
      <c r="G46" s="63">
        <f>IF($E46="Labour",Assumptions!$B$14,)</f>
        <v>145.77740895836223</v>
      </c>
      <c r="H46" s="9" t="str">
        <f t="shared" si="5"/>
        <v>Hours</v>
      </c>
      <c r="J46" s="81">
        <f>150486/G46</f>
        <v>1032.2998678278241</v>
      </c>
      <c r="K46" s="81">
        <f>1312500/G46</f>
        <v>9003.4526568851543</v>
      </c>
      <c r="L46" s="81">
        <f>150000/G46</f>
        <v>1028.9660179297318</v>
      </c>
      <c r="M46" s="81">
        <f>1500000/G46</f>
        <v>10289.660179297318</v>
      </c>
      <c r="N46" s="81">
        <v>1032.2977822489827</v>
      </c>
      <c r="P46" s="5">
        <f t="shared" si="0"/>
        <v>150486</v>
      </c>
      <c r="Q46" s="5">
        <f t="shared" si="1"/>
        <v>1312500</v>
      </c>
      <c r="R46" s="5">
        <f t="shared" si="2"/>
        <v>150000</v>
      </c>
      <c r="S46" s="5">
        <f t="shared" si="3"/>
        <v>1500000</v>
      </c>
      <c r="T46" s="5">
        <f t="shared" si="4"/>
        <v>150485.69596972031</v>
      </c>
    </row>
    <row r="47" spans="1:25" ht="12.75" customHeight="1" x14ac:dyDescent="0.2">
      <c r="A47" s="4"/>
      <c r="C47" s="79" t="s">
        <v>63</v>
      </c>
      <c r="D47" s="80" t="s">
        <v>50</v>
      </c>
      <c r="E47" s="78" t="s">
        <v>12</v>
      </c>
      <c r="G47" s="63">
        <f>IF($E47="Labour",Assumptions!$B$14,)</f>
        <v>0</v>
      </c>
      <c r="H47" s="9" t="str">
        <f t="shared" si="5"/>
        <v>$</v>
      </c>
      <c r="J47" s="81">
        <v>10000</v>
      </c>
      <c r="K47" s="81">
        <v>87500</v>
      </c>
      <c r="L47" s="81">
        <v>10000</v>
      </c>
      <c r="M47" s="81">
        <v>100000</v>
      </c>
      <c r="N47" s="81">
        <v>10000</v>
      </c>
      <c r="P47" s="5">
        <f t="shared" si="0"/>
        <v>10000</v>
      </c>
      <c r="Q47" s="5">
        <f t="shared" si="1"/>
        <v>87500</v>
      </c>
      <c r="R47" s="5">
        <f t="shared" si="2"/>
        <v>10000</v>
      </c>
      <c r="S47" s="5">
        <f t="shared" si="3"/>
        <v>100000</v>
      </c>
      <c r="T47" s="5">
        <f t="shared" si="4"/>
        <v>10000</v>
      </c>
    </row>
    <row r="48" spans="1:25" ht="12.75" customHeight="1" x14ac:dyDescent="0.2">
      <c r="A48" s="4"/>
      <c r="C48" s="79" t="s">
        <v>63</v>
      </c>
      <c r="D48" s="80" t="s">
        <v>50</v>
      </c>
      <c r="E48" s="78" t="s">
        <v>13</v>
      </c>
      <c r="G48" s="63">
        <f>IF($E48="Labour",Assumptions!$B$14,)</f>
        <v>0</v>
      </c>
      <c r="H48" s="9" t="str">
        <f t="shared" si="5"/>
        <v>$</v>
      </c>
      <c r="J48" s="81">
        <v>40000</v>
      </c>
      <c r="K48" s="81">
        <v>350000</v>
      </c>
      <c r="L48" s="81">
        <v>40000</v>
      </c>
      <c r="M48" s="81">
        <v>400000</v>
      </c>
      <c r="N48" s="81">
        <v>40000</v>
      </c>
      <c r="P48" s="5">
        <f t="shared" si="0"/>
        <v>40000</v>
      </c>
      <c r="Q48" s="5">
        <f t="shared" si="1"/>
        <v>350000</v>
      </c>
      <c r="R48" s="5">
        <f t="shared" si="2"/>
        <v>40000</v>
      </c>
      <c r="S48" s="5">
        <f t="shared" si="3"/>
        <v>400000</v>
      </c>
      <c r="T48" s="5">
        <f t="shared" si="4"/>
        <v>40000</v>
      </c>
    </row>
    <row r="49" spans="1:25" ht="12.75" customHeight="1" x14ac:dyDescent="0.2">
      <c r="A49" s="4"/>
      <c r="C49" s="79" t="s">
        <v>71</v>
      </c>
      <c r="D49" s="80" t="s">
        <v>50</v>
      </c>
      <c r="E49" s="78" t="s">
        <v>10</v>
      </c>
      <c r="G49" s="63">
        <f>IF($E49="Labour",Assumptions!$B$14,)</f>
        <v>145.77740895836223</v>
      </c>
      <c r="H49" s="9" t="str">
        <f t="shared" si="5"/>
        <v>Hours</v>
      </c>
      <c r="J49" s="81">
        <f>1829782/G49</f>
        <v>12551.889988130004</v>
      </c>
      <c r="K49" s="81"/>
      <c r="L49" s="81"/>
      <c r="M49" s="81"/>
      <c r="N49" s="81"/>
      <c r="P49" s="5">
        <f t="shared" si="0"/>
        <v>1829782</v>
      </c>
      <c r="Q49" s="5">
        <f t="shared" si="1"/>
        <v>0</v>
      </c>
      <c r="R49" s="5">
        <f t="shared" si="2"/>
        <v>0</v>
      </c>
      <c r="S49" s="5">
        <f t="shared" si="3"/>
        <v>0</v>
      </c>
      <c r="T49" s="5">
        <f t="shared" si="4"/>
        <v>0</v>
      </c>
    </row>
    <row r="50" spans="1:25" ht="12.75" customHeight="1" x14ac:dyDescent="0.2">
      <c r="A50" s="4"/>
      <c r="C50" s="79" t="s">
        <v>71</v>
      </c>
      <c r="D50" s="80" t="s">
        <v>50</v>
      </c>
      <c r="E50" s="78" t="s">
        <v>12</v>
      </c>
      <c r="G50" s="63">
        <f>IF($E50="Labour",Assumptions!$B$14,)</f>
        <v>0</v>
      </c>
      <c r="H50" s="9" t="str">
        <f t="shared" si="5"/>
        <v>$</v>
      </c>
      <c r="J50" s="81">
        <v>46784</v>
      </c>
      <c r="K50" s="81"/>
      <c r="L50" s="81"/>
      <c r="M50" s="81"/>
      <c r="N50" s="81"/>
      <c r="P50" s="5">
        <f t="shared" si="0"/>
        <v>46784</v>
      </c>
      <c r="Q50" s="5">
        <f t="shared" si="1"/>
        <v>0</v>
      </c>
      <c r="R50" s="5">
        <f t="shared" si="2"/>
        <v>0</v>
      </c>
      <c r="S50" s="5">
        <f t="shared" si="3"/>
        <v>0</v>
      </c>
      <c r="T50" s="5">
        <f t="shared" si="4"/>
        <v>0</v>
      </c>
    </row>
    <row r="51" spans="1:25" ht="12.75" customHeight="1" x14ac:dyDescent="0.2">
      <c r="A51" s="4"/>
      <c r="C51" s="79" t="s">
        <v>71</v>
      </c>
      <c r="D51" s="80" t="s">
        <v>50</v>
      </c>
      <c r="E51" s="78" t="s">
        <v>13</v>
      </c>
      <c r="G51" s="63">
        <f>IF($E51="Labour",Assumptions!$B$14,)</f>
        <v>0</v>
      </c>
      <c r="H51" s="9" t="str">
        <f t="shared" si="5"/>
        <v>$</v>
      </c>
      <c r="J51" s="81">
        <v>19434</v>
      </c>
      <c r="K51" s="81"/>
      <c r="L51" s="81"/>
      <c r="M51" s="81"/>
      <c r="N51" s="81"/>
      <c r="P51" s="5">
        <f t="shared" si="0"/>
        <v>19434</v>
      </c>
      <c r="Q51" s="5">
        <f t="shared" si="1"/>
        <v>0</v>
      </c>
      <c r="R51" s="5">
        <f t="shared" si="2"/>
        <v>0</v>
      </c>
      <c r="S51" s="5">
        <f t="shared" si="3"/>
        <v>0</v>
      </c>
      <c r="T51" s="5">
        <f t="shared" si="4"/>
        <v>0</v>
      </c>
    </row>
    <row r="52" spans="1:25" ht="12.75" customHeight="1" x14ac:dyDescent="0.2">
      <c r="A52" s="4"/>
      <c r="C52" s="79" t="s">
        <v>72</v>
      </c>
      <c r="D52" s="80" t="s">
        <v>50</v>
      </c>
      <c r="E52" s="78" t="s">
        <v>10</v>
      </c>
      <c r="G52" s="63">
        <f>IF($E52="Labour",Assumptions!$B$14,)</f>
        <v>145.77740895836223</v>
      </c>
      <c r="H52" s="9" t="str">
        <f t="shared" si="5"/>
        <v>Hours</v>
      </c>
      <c r="J52" s="81">
        <f>1507098/G52</f>
        <v>10338.350851265754</v>
      </c>
      <c r="K52" s="81"/>
      <c r="L52" s="81"/>
      <c r="M52" s="81"/>
      <c r="N52" s="81"/>
      <c r="P52" s="5">
        <f t="shared" si="0"/>
        <v>1507098</v>
      </c>
      <c r="Q52" s="5">
        <f t="shared" si="1"/>
        <v>0</v>
      </c>
      <c r="R52" s="5">
        <f t="shared" si="2"/>
        <v>0</v>
      </c>
      <c r="S52" s="5">
        <f t="shared" si="3"/>
        <v>0</v>
      </c>
      <c r="T52" s="5">
        <f t="shared" si="4"/>
        <v>0</v>
      </c>
    </row>
    <row r="53" spans="1:25" ht="12.75" customHeight="1" x14ac:dyDescent="0.2">
      <c r="A53" s="4"/>
      <c r="C53" s="79" t="s">
        <v>72</v>
      </c>
      <c r="D53" s="80" t="s">
        <v>50</v>
      </c>
      <c r="E53" s="78" t="s">
        <v>12</v>
      </c>
      <c r="G53" s="63">
        <f>IF($E53="Labour",Assumptions!$B$14,)</f>
        <v>0</v>
      </c>
      <c r="H53" s="9" t="str">
        <f t="shared" si="5"/>
        <v>$</v>
      </c>
      <c r="J53" s="81">
        <v>186554</v>
      </c>
      <c r="K53" s="81"/>
      <c r="L53" s="81"/>
      <c r="M53" s="81"/>
      <c r="N53" s="81"/>
      <c r="P53" s="5">
        <f t="shared" si="0"/>
        <v>186554</v>
      </c>
      <c r="Q53" s="5">
        <f t="shared" si="1"/>
        <v>0</v>
      </c>
      <c r="R53" s="5">
        <f t="shared" si="2"/>
        <v>0</v>
      </c>
      <c r="S53" s="5">
        <f t="shared" si="3"/>
        <v>0</v>
      </c>
      <c r="T53" s="5">
        <f t="shared" si="4"/>
        <v>0</v>
      </c>
    </row>
    <row r="54" spans="1:25" ht="12.75" customHeight="1" x14ac:dyDescent="0.2">
      <c r="A54" s="4"/>
      <c r="C54" s="79" t="s">
        <v>72</v>
      </c>
      <c r="D54" s="80" t="s">
        <v>50</v>
      </c>
      <c r="E54" s="78" t="s">
        <v>13</v>
      </c>
      <c r="G54" s="63">
        <f>IF($E54="Labour",Assumptions!$B$14,)</f>
        <v>0</v>
      </c>
      <c r="H54" s="9" t="str">
        <f t="shared" si="5"/>
        <v>$</v>
      </c>
      <c r="J54" s="81">
        <v>202347</v>
      </c>
      <c r="K54" s="81"/>
      <c r="L54" s="81"/>
      <c r="M54" s="81"/>
      <c r="N54" s="81"/>
      <c r="P54" s="5">
        <f t="shared" si="0"/>
        <v>202347</v>
      </c>
      <c r="Q54" s="5">
        <f t="shared" si="1"/>
        <v>0</v>
      </c>
      <c r="R54" s="5">
        <f t="shared" si="2"/>
        <v>0</v>
      </c>
      <c r="S54" s="5">
        <f t="shared" si="3"/>
        <v>0</v>
      </c>
      <c r="T54" s="5">
        <f t="shared" si="4"/>
        <v>0</v>
      </c>
    </row>
    <row r="55" spans="1:25" ht="12.75" customHeight="1" x14ac:dyDescent="0.25">
      <c r="F55" s="2"/>
      <c r="I55" s="2"/>
      <c r="O55" s="2"/>
      <c r="Y55"/>
    </row>
    <row r="56" spans="1:25" ht="12.75" customHeight="1" x14ac:dyDescent="0.25">
      <c r="F56" s="2"/>
      <c r="I56" s="2"/>
      <c r="O56" s="2"/>
      <c r="Y56"/>
    </row>
    <row r="57" spans="1:25" ht="12.75" customHeight="1" x14ac:dyDescent="0.25">
      <c r="C57" s="3" t="s">
        <v>64</v>
      </c>
      <c r="F57" s="2"/>
      <c r="I57" s="2"/>
      <c r="O57" s="2"/>
      <c r="P57" s="68" t="s">
        <v>5</v>
      </c>
      <c r="Q57" s="68" t="s">
        <v>6</v>
      </c>
      <c r="R57" s="68" t="s">
        <v>7</v>
      </c>
      <c r="S57" s="68" t="s">
        <v>8</v>
      </c>
      <c r="T57" s="68" t="s">
        <v>9</v>
      </c>
      <c r="U57" s="68" t="s">
        <v>0</v>
      </c>
      <c r="Y57"/>
    </row>
    <row r="58" spans="1:25" ht="12.75" customHeight="1" x14ac:dyDescent="0.2">
      <c r="C58" s="24" t="s">
        <v>10</v>
      </c>
      <c r="D58" s="24" t="s">
        <v>50</v>
      </c>
      <c r="E58" s="24"/>
      <c r="F58" s="2"/>
      <c r="G58" s="65"/>
      <c r="H58" s="66"/>
      <c r="I58" s="2"/>
      <c r="J58" s="24"/>
      <c r="K58" s="24"/>
      <c r="L58" s="24"/>
      <c r="M58" s="24"/>
      <c r="N58" s="24"/>
      <c r="O58" s="2"/>
      <c r="P58" s="25">
        <f>SUMIFS(P$10:P$54,$E$10:$E$54,$C58,$D$10:$D$54,$D58)</f>
        <v>7122777</v>
      </c>
      <c r="Q58" s="25">
        <f t="shared" ref="Q58:T60" si="7">SUMIFS(Q$10:Q$54,$E$10:$E$54,$C58,$D$10:$D$54,$D58)</f>
        <v>6103654</v>
      </c>
      <c r="R58" s="25">
        <f t="shared" si="7"/>
        <v>5669264.5</v>
      </c>
      <c r="S58" s="25">
        <f t="shared" si="7"/>
        <v>8553053.5</v>
      </c>
      <c r="T58" s="25">
        <f t="shared" si="7"/>
        <v>5722499.6959697204</v>
      </c>
      <c r="U58" s="69">
        <f>SUM(P58:T58)</f>
        <v>33171248.695969719</v>
      </c>
    </row>
    <row r="59" spans="1:25" ht="12.75" customHeight="1" x14ac:dyDescent="0.2">
      <c r="C59" s="1" t="s">
        <v>12</v>
      </c>
      <c r="D59" s="1" t="s">
        <v>50</v>
      </c>
      <c r="F59" s="2"/>
      <c r="G59" s="67"/>
      <c r="I59" s="2"/>
      <c r="O59" s="2"/>
      <c r="P59" s="6">
        <f t="shared" ref="P59:P60" si="8">SUMIFS(P$10:P$54,$E$10:$E$54,$C59,$D$10:$D$54,$D59)</f>
        <v>715428.02300000004</v>
      </c>
      <c r="Q59" s="6">
        <f t="shared" si="7"/>
        <v>902500</v>
      </c>
      <c r="R59" s="6">
        <f t="shared" si="7"/>
        <v>738744.12065249996</v>
      </c>
      <c r="S59" s="6">
        <f t="shared" si="7"/>
        <v>978744.12065249996</v>
      </c>
      <c r="T59" s="6">
        <f t="shared" si="7"/>
        <v>1027090.023</v>
      </c>
      <c r="U59" s="70">
        <f t="shared" ref="U59:U64" si="9">SUM(P59:T59)</f>
        <v>4362506.2873050002</v>
      </c>
    </row>
    <row r="60" spans="1:25" ht="12.75" customHeight="1" x14ac:dyDescent="0.2">
      <c r="C60" s="1" t="s">
        <v>13</v>
      </c>
      <c r="D60" s="1" t="s">
        <v>50</v>
      </c>
      <c r="F60" s="2"/>
      <c r="G60" s="67"/>
      <c r="I60" s="2"/>
      <c r="O60" s="2"/>
      <c r="P60" s="6">
        <f t="shared" si="8"/>
        <v>1605043.0249999999</v>
      </c>
      <c r="Q60" s="6">
        <f t="shared" si="7"/>
        <v>1923750</v>
      </c>
      <c r="R60" s="6">
        <f t="shared" si="7"/>
        <v>1457847.9038825</v>
      </c>
      <c r="S60" s="6">
        <f t="shared" si="7"/>
        <v>2468043.2238825001</v>
      </c>
      <c r="T60" s="6">
        <f t="shared" si="7"/>
        <v>1978066.7050000001</v>
      </c>
      <c r="U60" s="70">
        <f t="shared" si="9"/>
        <v>9432750.8577650003</v>
      </c>
    </row>
    <row r="61" spans="1:25" ht="12.75" customHeight="1" x14ac:dyDescent="0.2">
      <c r="C61" s="21" t="s">
        <v>14</v>
      </c>
      <c r="D61" s="21" t="s">
        <v>50</v>
      </c>
      <c r="E61" s="99"/>
      <c r="F61" s="101"/>
      <c r="G61" s="100"/>
      <c r="H61" s="102"/>
      <c r="I61" s="101"/>
      <c r="J61" s="99"/>
      <c r="K61" s="99"/>
      <c r="L61" s="99"/>
      <c r="M61" s="99"/>
      <c r="N61" s="99"/>
      <c r="O61" s="101"/>
      <c r="P61" s="22">
        <f>SUM(P58:P60)</f>
        <v>9443248.0480000004</v>
      </c>
      <c r="Q61" s="22">
        <f t="shared" ref="Q61:U61" si="10">SUM(Q58:Q60)</f>
        <v>8929904</v>
      </c>
      <c r="R61" s="22">
        <f t="shared" si="10"/>
        <v>7865856.5245349994</v>
      </c>
      <c r="S61" s="22">
        <f t="shared" si="10"/>
        <v>11999840.844535001</v>
      </c>
      <c r="T61" s="22">
        <f t="shared" si="10"/>
        <v>8727656.4239697196</v>
      </c>
      <c r="U61" s="22">
        <f t="shared" si="10"/>
        <v>46966505.841039717</v>
      </c>
    </row>
    <row r="62" spans="1:25" ht="12.75" customHeight="1" x14ac:dyDescent="0.2">
      <c r="C62" s="1" t="s">
        <v>10</v>
      </c>
      <c r="D62" s="1" t="s">
        <v>47</v>
      </c>
      <c r="F62" s="2"/>
      <c r="G62" s="67"/>
      <c r="I62" s="2"/>
      <c r="O62" s="2"/>
      <c r="P62" s="6">
        <f t="shared" ref="P62:T64" si="11">SUMIFS(P$10:P$54,$E$10:$E$54,$C62,$D$10:$D$54,$D62)</f>
        <v>0</v>
      </c>
      <c r="Q62" s="6">
        <f t="shared" si="11"/>
        <v>0</v>
      </c>
      <c r="R62" s="6">
        <f t="shared" si="11"/>
        <v>0</v>
      </c>
      <c r="S62" s="6">
        <f t="shared" si="11"/>
        <v>0</v>
      </c>
      <c r="T62" s="6">
        <f t="shared" si="11"/>
        <v>0</v>
      </c>
      <c r="U62" s="70">
        <f t="shared" si="9"/>
        <v>0</v>
      </c>
    </row>
    <row r="63" spans="1:25" ht="12.75" customHeight="1" x14ac:dyDescent="0.2">
      <c r="C63" s="1" t="s">
        <v>12</v>
      </c>
      <c r="D63" s="1" t="s">
        <v>47</v>
      </c>
      <c r="F63" s="2"/>
      <c r="G63" s="67"/>
      <c r="I63" s="2"/>
      <c r="O63" s="2"/>
      <c r="P63" s="6">
        <f t="shared" si="11"/>
        <v>0</v>
      </c>
      <c r="Q63" s="6">
        <f t="shared" si="11"/>
        <v>0</v>
      </c>
      <c r="R63" s="6">
        <f t="shared" si="11"/>
        <v>0</v>
      </c>
      <c r="S63" s="6">
        <f t="shared" si="11"/>
        <v>0</v>
      </c>
      <c r="T63" s="6">
        <f t="shared" si="11"/>
        <v>0</v>
      </c>
      <c r="U63" s="70">
        <f t="shared" si="9"/>
        <v>0</v>
      </c>
    </row>
    <row r="64" spans="1:25" ht="12.75" customHeight="1" x14ac:dyDescent="0.2">
      <c r="C64" s="1" t="s">
        <v>13</v>
      </c>
      <c r="D64" s="1" t="s">
        <v>47</v>
      </c>
      <c r="F64" s="2"/>
      <c r="G64" s="67"/>
      <c r="I64" s="2"/>
      <c r="O64" s="2"/>
      <c r="P64" s="6">
        <f t="shared" si="11"/>
        <v>0</v>
      </c>
      <c r="Q64" s="6">
        <f t="shared" si="11"/>
        <v>0</v>
      </c>
      <c r="R64" s="6">
        <f t="shared" si="11"/>
        <v>0</v>
      </c>
      <c r="S64" s="6">
        <f t="shared" si="11"/>
        <v>0</v>
      </c>
      <c r="T64" s="6">
        <f t="shared" si="11"/>
        <v>0</v>
      </c>
      <c r="U64" s="70">
        <f t="shared" si="9"/>
        <v>0</v>
      </c>
    </row>
    <row r="65" spans="3:22" ht="12.75" customHeight="1" x14ac:dyDescent="0.2">
      <c r="C65" s="21" t="s">
        <v>16</v>
      </c>
      <c r="D65" s="21" t="s">
        <v>47</v>
      </c>
      <c r="E65" s="99"/>
      <c r="F65" s="101"/>
      <c r="G65" s="100"/>
      <c r="H65" s="102"/>
      <c r="I65" s="101"/>
      <c r="J65" s="99"/>
      <c r="K65" s="99"/>
      <c r="L65" s="99"/>
      <c r="M65" s="99"/>
      <c r="N65" s="99"/>
      <c r="O65" s="101"/>
      <c r="P65" s="22">
        <f>SUM(P62:P64)</f>
        <v>0</v>
      </c>
      <c r="Q65" s="22">
        <f t="shared" ref="Q65:U65" si="12">SUM(Q62:Q64)</f>
        <v>0</v>
      </c>
      <c r="R65" s="22">
        <f t="shared" si="12"/>
        <v>0</v>
      </c>
      <c r="S65" s="22">
        <f t="shared" si="12"/>
        <v>0</v>
      </c>
      <c r="T65" s="22">
        <f t="shared" si="12"/>
        <v>0</v>
      </c>
      <c r="U65" s="22">
        <f t="shared" si="12"/>
        <v>0</v>
      </c>
    </row>
    <row r="66" spans="3:22" ht="12.75" customHeight="1" x14ac:dyDescent="0.2">
      <c r="F66" s="2"/>
      <c r="G66" s="67"/>
      <c r="I66" s="2"/>
      <c r="O66" s="2"/>
      <c r="P66" s="6"/>
      <c r="Q66" s="6"/>
      <c r="R66" s="6"/>
      <c r="S66" s="6"/>
      <c r="T66" s="6"/>
      <c r="U66" s="70"/>
    </row>
    <row r="67" spans="3:22" ht="12.75" customHeight="1" x14ac:dyDescent="0.2">
      <c r="C67" s="7" t="str">
        <f>"Total Expenditure ($ "&amp;Assumptions!$B$12&amp;")"</f>
        <v>Total Expenditure ($ June 2024)</v>
      </c>
      <c r="D67" s="7" t="s">
        <v>65</v>
      </c>
      <c r="E67" s="7"/>
      <c r="F67" s="2"/>
      <c r="G67" s="7"/>
      <c r="H67" s="10"/>
      <c r="I67" s="2"/>
      <c r="J67" s="7"/>
      <c r="K67" s="7"/>
      <c r="L67" s="7"/>
      <c r="M67" s="7"/>
      <c r="N67" s="7"/>
      <c r="O67" s="2"/>
      <c r="P67" s="8">
        <f>P61+P65</f>
        <v>9443248.0480000004</v>
      </c>
      <c r="Q67" s="8">
        <f t="shared" ref="Q67:T67" si="13">Q61+Q65</f>
        <v>8929904</v>
      </c>
      <c r="R67" s="8">
        <f t="shared" si="13"/>
        <v>7865856.5245349994</v>
      </c>
      <c r="S67" s="8">
        <f t="shared" si="13"/>
        <v>11999840.844535001</v>
      </c>
      <c r="T67" s="8">
        <f t="shared" si="13"/>
        <v>8727656.4239697196</v>
      </c>
      <c r="U67" s="71">
        <f t="shared" ref="U67" si="14">SUM(P67:T67)</f>
        <v>46966505.841039717</v>
      </c>
    </row>
    <row r="68" spans="3:22" ht="12.75" customHeight="1" x14ac:dyDescent="0.2">
      <c r="C68" s="46" t="s">
        <v>66</v>
      </c>
      <c r="D68" s="46"/>
      <c r="E68" s="46"/>
      <c r="F68" s="2"/>
      <c r="G68" s="46"/>
      <c r="H68" s="46"/>
      <c r="I68" s="2"/>
      <c r="J68" s="46"/>
      <c r="K68" s="46"/>
      <c r="L68" s="46"/>
      <c r="M68" s="46"/>
      <c r="N68" s="46"/>
      <c r="O68" s="2"/>
      <c r="P68" s="47">
        <f>P67-SUM(P$10:P$54)</f>
        <v>0</v>
      </c>
      <c r="Q68" s="47">
        <f t="shared" ref="Q68:T68" si="15">Q67-SUM(Q$10:Q$54)</f>
        <v>0</v>
      </c>
      <c r="R68" s="47">
        <f t="shared" si="15"/>
        <v>0</v>
      </c>
      <c r="S68" s="47">
        <f t="shared" si="15"/>
        <v>0</v>
      </c>
      <c r="T68" s="47">
        <f t="shared" si="15"/>
        <v>0</v>
      </c>
      <c r="U68" s="47">
        <f>U67-SUM(P$10:T$54)</f>
        <v>0</v>
      </c>
      <c r="V68" s="47">
        <f>SUM(P68:U68)</f>
        <v>0</v>
      </c>
    </row>
    <row r="69" spans="3:22" ht="12.75" customHeight="1" x14ac:dyDescent="0.2">
      <c r="F69" s="2"/>
      <c r="I69" s="2"/>
      <c r="O69" s="2"/>
    </row>
    <row r="70" spans="3:22" ht="12.75" customHeight="1" x14ac:dyDescent="0.2">
      <c r="C70" s="56" t="str">
        <f>"NPV ($ "&amp;Assumptions!$B$12&amp;")"</f>
        <v>NPV ($ June 2024)</v>
      </c>
      <c r="D70" s="57">
        <f>NPV(Real_Discount_rate,P67:T67)</f>
        <v>42360244.56700106</v>
      </c>
      <c r="F70" s="2"/>
      <c r="I70" s="2"/>
      <c r="O70" s="2"/>
    </row>
    <row r="71" spans="3:22" ht="12.75" customHeight="1" x14ac:dyDescent="0.2">
      <c r="F71" s="2"/>
      <c r="I71" s="2"/>
      <c r="O71" s="2"/>
    </row>
    <row r="72" spans="3:22" ht="12.75" customHeight="1" x14ac:dyDescent="0.2">
      <c r="F72" s="2"/>
      <c r="I72" s="2"/>
      <c r="O72" s="2"/>
    </row>
    <row r="73" spans="3:22" ht="12.75" customHeight="1" x14ac:dyDescent="0.2">
      <c r="C73" s="74" t="s">
        <v>67</v>
      </c>
      <c r="F73" s="2"/>
      <c r="I73" s="2"/>
      <c r="O73" s="2"/>
      <c r="P73" s="68" t="s">
        <v>5</v>
      </c>
      <c r="Q73" s="68" t="s">
        <v>6</v>
      </c>
      <c r="R73" s="68" t="s">
        <v>7</v>
      </c>
      <c r="S73" s="68" t="s">
        <v>8</v>
      </c>
      <c r="T73" s="68" t="s">
        <v>9</v>
      </c>
      <c r="U73" s="68" t="s">
        <v>0</v>
      </c>
    </row>
    <row r="74" spans="3:22" ht="12.75" customHeight="1" x14ac:dyDescent="0.2">
      <c r="C74" s="24" t="s">
        <v>10</v>
      </c>
      <c r="D74" s="24" t="s">
        <v>50</v>
      </c>
      <c r="E74" s="24"/>
      <c r="F74" s="2"/>
      <c r="G74" s="65"/>
      <c r="H74" s="66"/>
      <c r="I74" s="2"/>
      <c r="J74" s="24"/>
      <c r="K74" s="24"/>
      <c r="L74" s="24"/>
      <c r="M74" s="24"/>
      <c r="N74" s="24"/>
      <c r="O74" s="2"/>
      <c r="P74" s="25">
        <f t="shared" ref="P74:T76" si="16">P58*business_case_dollars</f>
        <v>7927028.6009052666</v>
      </c>
      <c r="Q74" s="25">
        <f t="shared" si="16"/>
        <v>6792833.7259512451</v>
      </c>
      <c r="R74" s="25">
        <f t="shared" si="16"/>
        <v>6309396.1579306629</v>
      </c>
      <c r="S74" s="25">
        <f t="shared" si="16"/>
        <v>9518801.4056277331</v>
      </c>
      <c r="T74" s="25">
        <f t="shared" si="16"/>
        <v>6368642.280759831</v>
      </c>
      <c r="U74" s="69">
        <f>SUM(P74:T74)</f>
        <v>36916702.171174742</v>
      </c>
    </row>
    <row r="75" spans="3:22" ht="12.75" customHeight="1" x14ac:dyDescent="0.2">
      <c r="C75" s="1" t="s">
        <v>12</v>
      </c>
      <c r="D75" s="1" t="s">
        <v>50</v>
      </c>
      <c r="F75" s="2"/>
      <c r="G75" s="67"/>
      <c r="I75" s="2"/>
      <c r="O75" s="2"/>
      <c r="P75" s="6">
        <f t="shared" si="16"/>
        <v>796208.89439752384</v>
      </c>
      <c r="Q75" s="6">
        <f t="shared" si="16"/>
        <v>1004403.6633909785</v>
      </c>
      <c r="R75" s="6">
        <f t="shared" si="16"/>
        <v>822157.67434007523</v>
      </c>
      <c r="S75" s="6">
        <f t="shared" si="16"/>
        <v>1089256.7094800584</v>
      </c>
      <c r="T75" s="6">
        <f t="shared" si="16"/>
        <v>1143061.4756050131</v>
      </c>
      <c r="U75" s="70">
        <f t="shared" ref="U75:U76" si="17">SUM(P75:T75)</f>
        <v>4855088.4172136495</v>
      </c>
    </row>
    <row r="76" spans="3:22" ht="12.75" customHeight="1" x14ac:dyDescent="0.2">
      <c r="C76" s="1" t="s">
        <v>13</v>
      </c>
      <c r="D76" s="1" t="s">
        <v>50</v>
      </c>
      <c r="F76" s="2"/>
      <c r="G76" s="67"/>
      <c r="I76" s="2"/>
      <c r="O76" s="2"/>
      <c r="P76" s="6">
        <f t="shared" si="16"/>
        <v>1786272.6805652494</v>
      </c>
      <c r="Q76" s="6">
        <f t="shared" si="16"/>
        <v>2140965.7035439275</v>
      </c>
      <c r="R76" s="6">
        <f t="shared" si="16"/>
        <v>1622457.3687827613</v>
      </c>
      <c r="S76" s="6">
        <f t="shared" si="16"/>
        <v>2746716.5157616218</v>
      </c>
      <c r="T76" s="6">
        <f t="shared" si="16"/>
        <v>2201415.4514501072</v>
      </c>
      <c r="U76" s="70">
        <f t="shared" si="17"/>
        <v>10497827.720103668</v>
      </c>
    </row>
    <row r="77" spans="3:22" ht="12.75" customHeight="1" x14ac:dyDescent="0.2">
      <c r="C77" s="21" t="s">
        <v>14</v>
      </c>
      <c r="D77" s="21" t="s">
        <v>50</v>
      </c>
      <c r="E77" s="99"/>
      <c r="F77" s="101"/>
      <c r="G77" s="100"/>
      <c r="H77" s="102"/>
      <c r="I77" s="101"/>
      <c r="J77" s="99"/>
      <c r="K77" s="99"/>
      <c r="L77" s="99"/>
      <c r="M77" s="99"/>
      <c r="N77" s="99"/>
      <c r="O77" s="101"/>
      <c r="P77" s="22">
        <f>SUM(P74:P76)</f>
        <v>10509510.17586804</v>
      </c>
      <c r="Q77" s="22">
        <f t="shared" ref="Q77:U77" si="18">SUM(Q74:Q76)</f>
        <v>9938203.0928861499</v>
      </c>
      <c r="R77" s="22">
        <f t="shared" si="18"/>
        <v>8754011.2010534983</v>
      </c>
      <c r="S77" s="22">
        <f t="shared" si="18"/>
        <v>13354774.630869413</v>
      </c>
      <c r="T77" s="22">
        <f t="shared" si="18"/>
        <v>9713119.2078149505</v>
      </c>
      <c r="U77" s="22">
        <f t="shared" si="18"/>
        <v>52269618.308492057</v>
      </c>
    </row>
    <row r="78" spans="3:22" ht="12.75" customHeight="1" x14ac:dyDescent="0.2">
      <c r="C78" s="1" t="s">
        <v>10</v>
      </c>
      <c r="D78" s="1" t="s">
        <v>47</v>
      </c>
      <c r="F78" s="2"/>
      <c r="G78" s="67"/>
      <c r="I78" s="2"/>
      <c r="O78" s="2"/>
      <c r="P78" s="25">
        <f t="shared" ref="P78:T80" si="19">P62*business_case_dollars</f>
        <v>0</v>
      </c>
      <c r="Q78" s="25">
        <f t="shared" si="19"/>
        <v>0</v>
      </c>
      <c r="R78" s="25">
        <f t="shared" si="19"/>
        <v>0</v>
      </c>
      <c r="S78" s="25">
        <f t="shared" si="19"/>
        <v>0</v>
      </c>
      <c r="T78" s="25">
        <f t="shared" si="19"/>
        <v>0</v>
      </c>
      <c r="U78" s="69">
        <f>SUM(P78:T78)</f>
        <v>0</v>
      </c>
    </row>
    <row r="79" spans="3:22" ht="12.75" customHeight="1" x14ac:dyDescent="0.2">
      <c r="C79" s="1" t="s">
        <v>12</v>
      </c>
      <c r="D79" s="1" t="s">
        <v>47</v>
      </c>
      <c r="F79" s="2"/>
      <c r="G79" s="67"/>
      <c r="I79" s="2"/>
      <c r="O79" s="2"/>
      <c r="P79" s="6">
        <f t="shared" si="19"/>
        <v>0</v>
      </c>
      <c r="Q79" s="6">
        <f t="shared" si="19"/>
        <v>0</v>
      </c>
      <c r="R79" s="6">
        <f t="shared" si="19"/>
        <v>0</v>
      </c>
      <c r="S79" s="6">
        <f t="shared" si="19"/>
        <v>0</v>
      </c>
      <c r="T79" s="6">
        <f t="shared" si="19"/>
        <v>0</v>
      </c>
      <c r="U79" s="70">
        <f t="shared" ref="U79:U80" si="20">SUM(P79:T79)</f>
        <v>0</v>
      </c>
    </row>
    <row r="80" spans="3:22" ht="12.75" customHeight="1" x14ac:dyDescent="0.2">
      <c r="C80" s="1" t="s">
        <v>13</v>
      </c>
      <c r="D80" s="1" t="s">
        <v>47</v>
      </c>
      <c r="F80" s="2"/>
      <c r="G80" s="67"/>
      <c r="I80" s="2"/>
      <c r="O80" s="2"/>
      <c r="P80" s="6">
        <f t="shared" si="19"/>
        <v>0</v>
      </c>
      <c r="Q80" s="6">
        <f t="shared" si="19"/>
        <v>0</v>
      </c>
      <c r="R80" s="6">
        <f t="shared" si="19"/>
        <v>0</v>
      </c>
      <c r="S80" s="6">
        <f t="shared" si="19"/>
        <v>0</v>
      </c>
      <c r="T80" s="6">
        <f t="shared" si="19"/>
        <v>0</v>
      </c>
      <c r="U80" s="70">
        <f t="shared" si="20"/>
        <v>0</v>
      </c>
    </row>
    <row r="81" spans="3:22" ht="12.75" customHeight="1" x14ac:dyDescent="0.2">
      <c r="C81" s="21" t="s">
        <v>16</v>
      </c>
      <c r="D81" s="21" t="s">
        <v>47</v>
      </c>
      <c r="E81" s="99"/>
      <c r="F81" s="101"/>
      <c r="G81" s="100"/>
      <c r="H81" s="102"/>
      <c r="I81" s="101"/>
      <c r="J81" s="99"/>
      <c r="K81" s="99"/>
      <c r="L81" s="99"/>
      <c r="M81" s="99"/>
      <c r="N81" s="99"/>
      <c r="O81" s="101"/>
      <c r="P81" s="22">
        <f>SUM(P78:P80)</f>
        <v>0</v>
      </c>
      <c r="Q81" s="22">
        <f t="shared" ref="Q81:U81" si="21">SUM(Q78:Q80)</f>
        <v>0</v>
      </c>
      <c r="R81" s="22">
        <f t="shared" si="21"/>
        <v>0</v>
      </c>
      <c r="S81" s="22">
        <f t="shared" si="21"/>
        <v>0</v>
      </c>
      <c r="T81" s="22">
        <f t="shared" si="21"/>
        <v>0</v>
      </c>
      <c r="U81" s="22">
        <f t="shared" si="21"/>
        <v>0</v>
      </c>
    </row>
    <row r="82" spans="3:22" ht="12.75" customHeight="1" x14ac:dyDescent="0.2">
      <c r="F82" s="2"/>
      <c r="G82" s="67"/>
      <c r="I82" s="2"/>
      <c r="O82" s="2"/>
      <c r="P82" s="6"/>
      <c r="Q82" s="6"/>
      <c r="R82" s="6"/>
      <c r="S82" s="6"/>
      <c r="T82" s="6"/>
      <c r="U82" s="70"/>
    </row>
    <row r="83" spans="3:22" x14ac:dyDescent="0.2">
      <c r="C83" s="7" t="str">
        <f>"Total Expenditure ($ "&amp;Assumptions!$C$36&amp;")"</f>
        <v>Total Expenditure ($ June 2026)</v>
      </c>
      <c r="D83" s="7" t="s">
        <v>65</v>
      </c>
      <c r="E83" s="7"/>
      <c r="F83" s="2"/>
      <c r="G83" s="7"/>
      <c r="H83" s="10"/>
      <c r="I83" s="2"/>
      <c r="J83" s="7"/>
      <c r="K83" s="7"/>
      <c r="L83" s="7"/>
      <c r="M83" s="7"/>
      <c r="N83" s="7"/>
      <c r="O83" s="2"/>
      <c r="P83" s="8">
        <f>P77+P81</f>
        <v>10509510.17586804</v>
      </c>
      <c r="Q83" s="8">
        <f t="shared" ref="Q83:T83" si="22">Q77+Q81</f>
        <v>9938203.0928861499</v>
      </c>
      <c r="R83" s="8">
        <f t="shared" si="22"/>
        <v>8754011.2010534983</v>
      </c>
      <c r="S83" s="8">
        <f t="shared" si="22"/>
        <v>13354774.630869413</v>
      </c>
      <c r="T83" s="8">
        <f t="shared" si="22"/>
        <v>9713119.2078149505</v>
      </c>
      <c r="U83" s="71">
        <f t="shared" ref="U83" si="23">SUM(P83:T83)</f>
        <v>52269618.30849205</v>
      </c>
    </row>
    <row r="84" spans="3:22" x14ac:dyDescent="0.2">
      <c r="F84" s="2"/>
      <c r="I84" s="2"/>
      <c r="O84" s="2"/>
      <c r="P84" s="47">
        <f>SUM(P10:P54)*business_case_dollars-P83</f>
        <v>0</v>
      </c>
      <c r="Q84" s="47">
        <f>SUM(Q10:Q54)*business_case_dollars-Q83</f>
        <v>0</v>
      </c>
      <c r="R84" s="47">
        <f>SUM(R10:R54)*business_case_dollars-R83</f>
        <v>0</v>
      </c>
      <c r="S84" s="47">
        <f>SUM(S10:S54)*business_case_dollars-S83</f>
        <v>0</v>
      </c>
      <c r="T84" s="47">
        <f>SUM(T10:T54)*business_case_dollars-T83</f>
        <v>0</v>
      </c>
      <c r="U84" s="47">
        <f>SUM(P10:T54)*business_case_dollars-U83</f>
        <v>0</v>
      </c>
      <c r="V84" s="47">
        <f>SUM(P84:U84)</f>
        <v>0</v>
      </c>
    </row>
    <row r="85" spans="3:22" x14ac:dyDescent="0.2">
      <c r="C85" s="56" t="str">
        <f>"NPV ($ "&amp;Assumptions!$C$36&amp;")"</f>
        <v>NPV ($ June 2026)</v>
      </c>
      <c r="D85" s="57">
        <f>NPV(Real_Discount_rate,P83:T83)</f>
        <v>47143251.883915402</v>
      </c>
      <c r="F85" s="2"/>
      <c r="I85" s="2"/>
      <c r="O85" s="2"/>
      <c r="P85" s="53"/>
      <c r="Q85" s="53"/>
      <c r="R85" s="53"/>
      <c r="S85" s="53"/>
      <c r="T85" s="53"/>
    </row>
  </sheetData>
  <conditionalFormatting sqref="G10:G54">
    <cfRule type="expression" dxfId="13" priority="6">
      <formula>$E10="Contracts"</formula>
    </cfRule>
    <cfRule type="expression" dxfId="12" priority="7">
      <formula>$E10="Materials"</formula>
    </cfRule>
    <cfRule type="expression" dxfId="11" priority="8">
      <formula>$E10="Labour"</formula>
    </cfRule>
  </conditionalFormatting>
  <conditionalFormatting sqref="P68:U68">
    <cfRule type="expression" dxfId="10" priority="1">
      <formula>ABS(P68)&gt;0.001</formula>
    </cfRule>
  </conditionalFormatting>
  <conditionalFormatting sqref="P84:U84">
    <cfRule type="expression" dxfId="9" priority="2">
      <formula>ABS(P84)&gt;0.001</formula>
    </cfRule>
  </conditionalFormatting>
  <conditionalFormatting sqref="V68">
    <cfRule type="expression" dxfId="8" priority="12">
      <formula>ABS(V68)&gt;0.001</formula>
    </cfRule>
  </conditionalFormatting>
  <conditionalFormatting sqref="V84">
    <cfRule type="expression" dxfId="7" priority="3">
      <formula>ABS(V84)&gt;0.001</formula>
    </cfRule>
  </conditionalFormatting>
  <dataValidations count="2">
    <dataValidation type="list" allowBlank="1" showInputMessage="1" showErrorMessage="1" sqref="E10:E54" xr:uid="{B30C51E7-6CCB-4165-857D-6C68F6D5B597}">
      <formula1>"Labour, Materials, Contracts"</formula1>
    </dataValidation>
    <dataValidation type="list" allowBlank="1" showInputMessage="1" showErrorMessage="1" sqref="D10:D54" xr:uid="{DF0503E8-5C90-44E3-A680-C7F86DE1A1A6}">
      <formula1>"Capex, Opex"</formula1>
    </dataValidation>
  </dataValidations>
  <pageMargins left="0.7" right="0.7" top="0.75" bottom="0.75" header="0.3" footer="0.3"/>
  <pageSetup paperSize="9" orientation="portrait" r:id="rId1"/>
  <ignoredErrors>
    <ignoredError sqref="P61:T61 P77:U77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A66690-2D4B-45C0-8F1C-3EA4B01F9CA8}">
  <dimension ref="A1:Y85"/>
  <sheetViews>
    <sheetView showGridLines="0" zoomScale="90" zoomScaleNormal="90" workbookViewId="0">
      <pane xSplit="3" topLeftCell="D1" activePane="topRight" state="frozen"/>
      <selection activeCell="J32" sqref="J32"/>
      <selection pane="topRight" activeCell="R1" sqref="R1:T3"/>
    </sheetView>
  </sheetViews>
  <sheetFormatPr defaultColWidth="9.140625" defaultRowHeight="12.75" x14ac:dyDescent="0.2"/>
  <cols>
    <col min="1" max="1" width="4.28515625" style="1" customWidth="1"/>
    <col min="2" max="2" width="2.7109375" style="1" customWidth="1"/>
    <col min="3" max="3" width="51.42578125" style="1" customWidth="1"/>
    <col min="4" max="4" width="12.7109375" style="1" customWidth="1"/>
    <col min="5" max="5" width="11.140625" style="1" customWidth="1"/>
    <col min="6" max="6" width="2.85546875" style="1" customWidth="1"/>
    <col min="7" max="7" width="12.140625" style="1" customWidth="1"/>
    <col min="8" max="8" width="12.7109375" style="9" customWidth="1"/>
    <col min="9" max="9" width="2.85546875" style="1" customWidth="1"/>
    <col min="10" max="14" width="12.140625" style="1" customWidth="1"/>
    <col min="15" max="15" width="2.85546875" style="1" customWidth="1"/>
    <col min="16" max="20" width="12.140625" style="1" customWidth="1"/>
    <col min="21" max="21" width="13" style="1" customWidth="1"/>
    <col min="22" max="16384" width="9.140625" style="1"/>
  </cols>
  <sheetData>
    <row r="1" spans="1:25" ht="21" x14ac:dyDescent="0.35">
      <c r="A1" s="62" t="str">
        <f>Project_name</f>
        <v>Network management systems</v>
      </c>
      <c r="B1" s="14"/>
      <c r="C1" s="11"/>
      <c r="D1" s="11"/>
      <c r="E1" s="11"/>
      <c r="F1" s="11"/>
      <c r="G1" s="11"/>
      <c r="H1" s="12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</row>
    <row r="2" spans="1:25" ht="15.75" x14ac:dyDescent="0.25">
      <c r="A2" s="59" t="str">
        <f>Business</f>
        <v>CitiPower &amp; Powercor</v>
      </c>
      <c r="B2" s="13"/>
      <c r="C2" s="11"/>
      <c r="D2" s="11"/>
      <c r="E2" s="11"/>
      <c r="F2" s="11"/>
      <c r="G2" s="11"/>
      <c r="H2" s="12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</row>
    <row r="3" spans="1:25" s="32" customFormat="1" ht="15.75" x14ac:dyDescent="0.25">
      <c r="A3" s="30" t="s">
        <v>19</v>
      </c>
      <c r="B3" s="30"/>
      <c r="C3" s="30"/>
      <c r="D3" s="30"/>
      <c r="E3" s="30"/>
      <c r="F3" s="30"/>
      <c r="G3" s="30"/>
      <c r="H3" s="31"/>
      <c r="I3" s="30"/>
      <c r="J3" s="30"/>
      <c r="K3" s="30"/>
      <c r="L3" s="30"/>
      <c r="M3" s="30"/>
      <c r="N3" s="30"/>
      <c r="O3" s="30"/>
      <c r="P3" s="13"/>
      <c r="Q3" s="11"/>
      <c r="R3" s="11"/>
      <c r="S3" s="11"/>
      <c r="T3" s="11"/>
      <c r="V3" s="49" t="b">
        <f>SUM(V7:V55)=0</f>
        <v>1</v>
      </c>
    </row>
    <row r="4" spans="1:25" ht="12.75" customHeight="1" x14ac:dyDescent="0.25">
      <c r="B4" s="15"/>
      <c r="C4" s="16"/>
      <c r="D4" s="16"/>
      <c r="E4" s="16"/>
      <c r="F4" s="16"/>
      <c r="G4" s="16"/>
      <c r="H4" s="17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</row>
    <row r="5" spans="1:25" ht="12.75" customHeight="1" x14ac:dyDescent="0.2">
      <c r="A5" s="1" t="str">
        <f>"Inputs are in $"&amp;Assumptions!$B$12&amp; " unless otherwise stated"</f>
        <v>Inputs are in $June 2024 unless otherwise stated</v>
      </c>
      <c r="B5" s="18"/>
      <c r="C5" s="16"/>
      <c r="D5" s="16"/>
      <c r="E5" s="16"/>
      <c r="F5" s="16"/>
      <c r="G5" s="16"/>
      <c r="H5" s="17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spans="1:25" ht="12.75" customHeight="1" x14ac:dyDescent="0.2">
      <c r="A6" s="4"/>
      <c r="F6" s="16"/>
    </row>
    <row r="7" spans="1:25" ht="12.75" customHeight="1" x14ac:dyDescent="0.2">
      <c r="A7" s="4"/>
      <c r="C7" s="51" t="s">
        <v>41</v>
      </c>
      <c r="D7" s="64" t="s">
        <v>42</v>
      </c>
      <c r="E7" s="64" t="s">
        <v>43</v>
      </c>
      <c r="F7" s="16"/>
      <c r="G7" s="107" t="s">
        <v>10</v>
      </c>
      <c r="H7" s="19" t="s">
        <v>44</v>
      </c>
      <c r="J7" s="19" t="s">
        <v>45</v>
      </c>
      <c r="K7" s="20"/>
      <c r="L7" s="20"/>
      <c r="M7" s="20"/>
      <c r="N7" s="20"/>
      <c r="P7" s="19" t="s">
        <v>46</v>
      </c>
      <c r="Q7" s="20"/>
      <c r="R7" s="20"/>
      <c r="S7" s="20"/>
      <c r="T7" s="20"/>
    </row>
    <row r="8" spans="1:25" ht="12.75" customHeight="1" x14ac:dyDescent="0.2">
      <c r="A8" s="4"/>
      <c r="B8" s="4"/>
      <c r="C8" s="97"/>
      <c r="D8" s="97" t="s">
        <v>47</v>
      </c>
      <c r="E8" s="97"/>
      <c r="F8" s="16"/>
      <c r="G8" s="108" t="s">
        <v>48</v>
      </c>
      <c r="H8" s="108"/>
      <c r="J8" s="52" t="s">
        <v>5</v>
      </c>
      <c r="K8" s="52" t="s">
        <v>6</v>
      </c>
      <c r="L8" s="52" t="s">
        <v>7</v>
      </c>
      <c r="M8" s="52" t="s">
        <v>8</v>
      </c>
      <c r="N8" s="52" t="s">
        <v>9</v>
      </c>
      <c r="P8" s="52" t="s">
        <v>5</v>
      </c>
      <c r="Q8" s="52" t="s">
        <v>6</v>
      </c>
      <c r="R8" s="52" t="s">
        <v>7</v>
      </c>
      <c r="S8" s="52" t="s">
        <v>8</v>
      </c>
      <c r="T8" s="52" t="s">
        <v>9</v>
      </c>
    </row>
    <row r="9" spans="1:25" ht="12.75" customHeight="1" x14ac:dyDescent="0.2">
      <c r="F9" s="16"/>
    </row>
    <row r="10" spans="1:25" ht="12.75" customHeight="1" x14ac:dyDescent="0.2">
      <c r="A10" s="4"/>
      <c r="C10" s="79" t="s">
        <v>49</v>
      </c>
      <c r="D10" s="80" t="s">
        <v>50</v>
      </c>
      <c r="E10" s="78" t="s">
        <v>10</v>
      </c>
      <c r="F10" s="2"/>
      <c r="G10" s="63">
        <f>IF($E10="Labour",Assumptions!$B$14,)</f>
        <v>145.77740895836223</v>
      </c>
      <c r="H10" s="9" t="str">
        <f>IF($E10="Labour","Hours","$")</f>
        <v>Hours</v>
      </c>
      <c r="I10" s="2"/>
      <c r="J10" s="81"/>
      <c r="K10" s="81">
        <f>2260802/$G10</f>
        <v>15508.589541783824</v>
      </c>
      <c r="L10" s="81">
        <f>2260802/$G10</f>
        <v>15508.589541783824</v>
      </c>
      <c r="M10" s="81"/>
      <c r="N10" s="81">
        <f>L10</f>
        <v>15508.589541783824</v>
      </c>
      <c r="O10" s="2"/>
      <c r="P10" s="5">
        <f t="shared" ref="P10:P54" si="0">IF($E10="Labour",$G10*J10,J10)</f>
        <v>0</v>
      </c>
      <c r="Q10" s="5">
        <f t="shared" ref="Q10:Q54" si="1">IF($E10="Labour",$G10*K10,K10)</f>
        <v>2260802</v>
      </c>
      <c r="R10" s="5">
        <f t="shared" ref="R10:R54" si="2">IF($E10="Labour",$G10*L10,L10)</f>
        <v>2260802</v>
      </c>
      <c r="S10" s="5">
        <f t="shared" ref="S10:S54" si="3">IF($E10="Labour",$G10*M10,M10)</f>
        <v>0</v>
      </c>
      <c r="T10" s="5">
        <f t="shared" ref="T10:T54" si="4">IF($E10="Labour",$G10*N10,N10)</f>
        <v>2260802</v>
      </c>
    </row>
    <row r="11" spans="1:25" ht="12.75" customHeight="1" x14ac:dyDescent="0.2">
      <c r="A11" s="4"/>
      <c r="C11" s="79" t="s">
        <v>49</v>
      </c>
      <c r="D11" s="80" t="s">
        <v>50</v>
      </c>
      <c r="E11" s="78" t="s">
        <v>12</v>
      </c>
      <c r="F11" s="2"/>
      <c r="G11" s="63">
        <f>IF($E11="Labour",Assumptions!$B$14,)</f>
        <v>0</v>
      </c>
      <c r="H11" s="9" t="str">
        <f t="shared" ref="H11:H54" si="5">IF($E11="Labour","Hours","$")</f>
        <v>$</v>
      </c>
      <c r="I11" s="2"/>
      <c r="J11" s="81"/>
      <c r="K11" s="81">
        <v>192995</v>
      </c>
      <c r="L11" s="81">
        <v>192995</v>
      </c>
      <c r="M11" s="81"/>
      <c r="N11" s="81">
        <v>192995</v>
      </c>
      <c r="O11" s="2"/>
      <c r="P11" s="5">
        <f t="shared" si="0"/>
        <v>0</v>
      </c>
      <c r="Q11" s="5">
        <f t="shared" si="1"/>
        <v>192995</v>
      </c>
      <c r="R11" s="5">
        <f t="shared" si="2"/>
        <v>192995</v>
      </c>
      <c r="S11" s="5">
        <f t="shared" si="3"/>
        <v>0</v>
      </c>
      <c r="T11" s="5">
        <f t="shared" si="4"/>
        <v>192995</v>
      </c>
    </row>
    <row r="12" spans="1:25" ht="12.75" customHeight="1" x14ac:dyDescent="0.2">
      <c r="A12" s="4"/>
      <c r="C12" s="79" t="s">
        <v>49</v>
      </c>
      <c r="D12" s="80" t="s">
        <v>50</v>
      </c>
      <c r="E12" s="78" t="s">
        <v>13</v>
      </c>
      <c r="F12" s="2"/>
      <c r="G12" s="63">
        <f>IF($E12="Labour",Assumptions!$B$14,)</f>
        <v>0</v>
      </c>
      <c r="H12" s="9" t="str">
        <f t="shared" si="5"/>
        <v>$</v>
      </c>
      <c r="I12" s="2"/>
      <c r="J12" s="81"/>
      <c r="K12" s="81">
        <v>303278</v>
      </c>
      <c r="L12" s="81">
        <v>303278</v>
      </c>
      <c r="M12" s="81"/>
      <c r="N12" s="81">
        <f>L12</f>
        <v>303278</v>
      </c>
      <c r="O12" s="2"/>
      <c r="P12" s="5">
        <f t="shared" si="0"/>
        <v>0</v>
      </c>
      <c r="Q12" s="5">
        <f t="shared" si="1"/>
        <v>303278</v>
      </c>
      <c r="R12" s="5">
        <f t="shared" si="2"/>
        <v>303278</v>
      </c>
      <c r="S12" s="5">
        <f t="shared" si="3"/>
        <v>0</v>
      </c>
      <c r="T12" s="5">
        <f t="shared" si="4"/>
        <v>303278</v>
      </c>
    </row>
    <row r="13" spans="1:25" ht="12.75" customHeight="1" x14ac:dyDescent="0.25">
      <c r="A13" s="4"/>
      <c r="C13" s="79" t="s">
        <v>51</v>
      </c>
      <c r="D13" s="80" t="s">
        <v>50</v>
      </c>
      <c r="E13" s="78" t="s">
        <v>10</v>
      </c>
      <c r="F13" s="2"/>
      <c r="G13" s="63">
        <f>IF($E13="Labour",Assumptions!$B$14,)</f>
        <v>145.77740895836223</v>
      </c>
      <c r="H13" s="9" t="str">
        <f t="shared" si="5"/>
        <v>Hours</v>
      </c>
      <c r="I13" s="2"/>
      <c r="J13" s="81">
        <f>439482/G13</f>
        <v>3014.7469566119626</v>
      </c>
      <c r="K13" s="81"/>
      <c r="L13" s="81">
        <f>J13</f>
        <v>3014.7469566119626</v>
      </c>
      <c r="M13" s="81"/>
      <c r="N13" s="81">
        <f>L13</f>
        <v>3014.7469566119626</v>
      </c>
      <c r="O13" s="2"/>
      <c r="P13" s="5">
        <f t="shared" si="0"/>
        <v>439482</v>
      </c>
      <c r="Q13" s="5">
        <f t="shared" si="1"/>
        <v>0</v>
      </c>
      <c r="R13" s="5">
        <f t="shared" si="2"/>
        <v>439482</v>
      </c>
      <c r="S13" s="5">
        <f t="shared" si="3"/>
        <v>0</v>
      </c>
      <c r="T13" s="5">
        <f t="shared" si="4"/>
        <v>439482</v>
      </c>
      <c r="Y13"/>
    </row>
    <row r="14" spans="1:25" ht="12.75" customHeight="1" x14ac:dyDescent="0.25">
      <c r="A14" s="4"/>
      <c r="C14" s="79" t="s">
        <v>51</v>
      </c>
      <c r="D14" s="80" t="s">
        <v>50</v>
      </c>
      <c r="E14" s="78" t="s">
        <v>12</v>
      </c>
      <c r="F14" s="2"/>
      <c r="G14" s="63">
        <f>IF($E14="Labour",Assumptions!$B$14,)</f>
        <v>0</v>
      </c>
      <c r="H14" s="9" t="str">
        <f t="shared" si="5"/>
        <v>$</v>
      </c>
      <c r="I14" s="2"/>
      <c r="J14" s="81">
        <v>48831</v>
      </c>
      <c r="K14" s="81"/>
      <c r="L14" s="81">
        <v>48831</v>
      </c>
      <c r="M14" s="81"/>
      <c r="N14" s="81">
        <v>48831</v>
      </c>
      <c r="O14" s="2"/>
      <c r="P14" s="5">
        <f t="shared" si="0"/>
        <v>48831</v>
      </c>
      <c r="Q14" s="5">
        <f t="shared" si="1"/>
        <v>0</v>
      </c>
      <c r="R14" s="5">
        <f t="shared" si="2"/>
        <v>48831</v>
      </c>
      <c r="S14" s="5">
        <f t="shared" si="3"/>
        <v>0</v>
      </c>
      <c r="T14" s="5">
        <f t="shared" si="4"/>
        <v>48831</v>
      </c>
      <c r="Y14"/>
    </row>
    <row r="15" spans="1:25" ht="12.75" customHeight="1" x14ac:dyDescent="0.25">
      <c r="A15" s="4"/>
      <c r="C15" s="79" t="s">
        <v>51</v>
      </c>
      <c r="D15" s="80" t="s">
        <v>50</v>
      </c>
      <c r="E15" s="78" t="s">
        <v>13</v>
      </c>
      <c r="F15" s="2"/>
      <c r="G15" s="63">
        <f>IF($E15="Labour",Assumptions!$B$14,)</f>
        <v>0</v>
      </c>
      <c r="H15" s="9" t="str">
        <f t="shared" si="5"/>
        <v>$</v>
      </c>
      <c r="I15" s="2"/>
      <c r="J15" s="81"/>
      <c r="K15" s="81"/>
      <c r="L15" s="81"/>
      <c r="M15" s="81"/>
      <c r="N15" s="81"/>
      <c r="O15" s="2"/>
      <c r="P15" s="5">
        <f t="shared" si="0"/>
        <v>0</v>
      </c>
      <c r="Q15" s="5">
        <f t="shared" si="1"/>
        <v>0</v>
      </c>
      <c r="R15" s="5">
        <f t="shared" si="2"/>
        <v>0</v>
      </c>
      <c r="S15" s="5">
        <f t="shared" si="3"/>
        <v>0</v>
      </c>
      <c r="T15" s="5">
        <f t="shared" si="4"/>
        <v>0</v>
      </c>
      <c r="Y15"/>
    </row>
    <row r="16" spans="1:25" ht="12.75" customHeight="1" x14ac:dyDescent="0.25">
      <c r="A16" s="4"/>
      <c r="C16" s="79" t="s">
        <v>53</v>
      </c>
      <c r="D16" s="80" t="s">
        <v>50</v>
      </c>
      <c r="E16" s="78" t="s">
        <v>10</v>
      </c>
      <c r="F16" s="2"/>
      <c r="G16" s="63">
        <f>IF($E16="Labour",Assumptions!$B$14,)</f>
        <v>145.77740895836223</v>
      </c>
      <c r="H16" s="9" t="str">
        <f t="shared" si="5"/>
        <v>Hours</v>
      </c>
      <c r="I16" s="2"/>
      <c r="J16" s="81">
        <f>693672/$G16</f>
        <v>4758.4327705956866</v>
      </c>
      <c r="K16" s="81"/>
      <c r="L16" s="81">
        <f>J16</f>
        <v>4758.4327705956866</v>
      </c>
      <c r="M16" s="81"/>
      <c r="N16" s="81">
        <f>L16</f>
        <v>4758.4327705956866</v>
      </c>
      <c r="O16" s="2"/>
      <c r="P16" s="5">
        <f t="shared" si="0"/>
        <v>693672</v>
      </c>
      <c r="Q16" s="5">
        <f t="shared" si="1"/>
        <v>0</v>
      </c>
      <c r="R16" s="5">
        <f t="shared" si="2"/>
        <v>693672</v>
      </c>
      <c r="S16" s="5">
        <f t="shared" si="3"/>
        <v>0</v>
      </c>
      <c r="T16" s="5">
        <f t="shared" si="4"/>
        <v>693672</v>
      </c>
      <c r="Y16"/>
    </row>
    <row r="17" spans="1:25" ht="12.75" customHeight="1" x14ac:dyDescent="0.25">
      <c r="A17" s="4"/>
      <c r="C17" s="79" t="s">
        <v>53</v>
      </c>
      <c r="D17" s="80" t="s">
        <v>50</v>
      </c>
      <c r="E17" s="78" t="s">
        <v>12</v>
      </c>
      <c r="F17" s="2"/>
      <c r="G17" s="63">
        <f>IF($E17="Labour",Assumptions!$B$14,)</f>
        <v>0</v>
      </c>
      <c r="H17" s="9" t="str">
        <f t="shared" si="5"/>
        <v>$</v>
      </c>
      <c r="I17" s="2"/>
      <c r="J17" s="110">
        <v>106719</v>
      </c>
      <c r="K17" s="81"/>
      <c r="L17" s="81">
        <v>106719</v>
      </c>
      <c r="M17" s="81"/>
      <c r="N17" s="81">
        <v>106719</v>
      </c>
      <c r="O17" s="2"/>
      <c r="P17" s="5">
        <f t="shared" si="0"/>
        <v>106719</v>
      </c>
      <c r="Q17" s="5">
        <f t="shared" si="1"/>
        <v>0</v>
      </c>
      <c r="R17" s="5">
        <f t="shared" si="2"/>
        <v>106719</v>
      </c>
      <c r="S17" s="5">
        <f t="shared" si="3"/>
        <v>0</v>
      </c>
      <c r="T17" s="5">
        <f t="shared" si="4"/>
        <v>106719</v>
      </c>
      <c r="Y17"/>
    </row>
    <row r="18" spans="1:25" ht="12.75" customHeight="1" x14ac:dyDescent="0.25">
      <c r="A18" s="4"/>
      <c r="C18" s="79" t="s">
        <v>53</v>
      </c>
      <c r="D18" s="80" t="s">
        <v>50</v>
      </c>
      <c r="E18" s="78" t="s">
        <v>13</v>
      </c>
      <c r="F18" s="2"/>
      <c r="G18" s="63">
        <f>IF($E18="Labour",Assumptions!$B$14,)</f>
        <v>0</v>
      </c>
      <c r="H18" s="9" t="str">
        <f t="shared" si="5"/>
        <v>$</v>
      </c>
      <c r="I18" s="2"/>
      <c r="J18" s="81">
        <v>266797</v>
      </c>
      <c r="K18" s="81"/>
      <c r="L18" s="81">
        <f>J18</f>
        <v>266797</v>
      </c>
      <c r="M18" s="81"/>
      <c r="N18" s="81">
        <f>L18</f>
        <v>266797</v>
      </c>
      <c r="O18" s="2"/>
      <c r="P18" s="5">
        <f t="shared" si="0"/>
        <v>266797</v>
      </c>
      <c r="Q18" s="5">
        <f t="shared" si="1"/>
        <v>0</v>
      </c>
      <c r="R18" s="5">
        <f t="shared" si="2"/>
        <v>266797</v>
      </c>
      <c r="S18" s="5">
        <f t="shared" si="3"/>
        <v>0</v>
      </c>
      <c r="T18" s="5">
        <f t="shared" si="4"/>
        <v>266797</v>
      </c>
      <c r="Y18"/>
    </row>
    <row r="19" spans="1:25" ht="12.75" customHeight="1" x14ac:dyDescent="0.25">
      <c r="A19" s="4"/>
      <c r="C19" s="79" t="s">
        <v>54</v>
      </c>
      <c r="D19" s="80" t="s">
        <v>50</v>
      </c>
      <c r="E19" s="78" t="s">
        <v>10</v>
      </c>
      <c r="F19" s="2"/>
      <c r="G19" s="63">
        <f>IF($E19="Labour",Assumptions!$B$14,)</f>
        <v>145.77740895836223</v>
      </c>
      <c r="H19" s="9" t="str">
        <f t="shared" si="5"/>
        <v>Hours</v>
      </c>
      <c r="I19" s="2"/>
      <c r="J19" s="81">
        <f>293414/$G19</f>
        <v>2012.7535678988957</v>
      </c>
      <c r="K19" s="81">
        <f t="shared" ref="K19:N19" si="6">293414/$G19</f>
        <v>2012.7535678988957</v>
      </c>
      <c r="L19" s="81">
        <f t="shared" si="6"/>
        <v>2012.7535678988957</v>
      </c>
      <c r="M19" s="81">
        <f t="shared" si="6"/>
        <v>2012.7535678988957</v>
      </c>
      <c r="N19" s="81">
        <f t="shared" si="6"/>
        <v>2012.7535678988957</v>
      </c>
      <c r="O19" s="2"/>
      <c r="P19" s="5">
        <f t="shared" si="0"/>
        <v>293414</v>
      </c>
      <c r="Q19" s="5">
        <f t="shared" si="1"/>
        <v>293414</v>
      </c>
      <c r="R19" s="5">
        <f t="shared" si="2"/>
        <v>293414</v>
      </c>
      <c r="S19" s="5">
        <f t="shared" si="3"/>
        <v>293414</v>
      </c>
      <c r="T19" s="5">
        <f t="shared" si="4"/>
        <v>293414</v>
      </c>
      <c r="Y19"/>
    </row>
    <row r="20" spans="1:25" ht="12.75" customHeight="1" x14ac:dyDescent="0.25">
      <c r="A20" s="4"/>
      <c r="C20" s="79" t="s">
        <v>54</v>
      </c>
      <c r="D20" s="80" t="s">
        <v>50</v>
      </c>
      <c r="E20" s="78" t="s">
        <v>12</v>
      </c>
      <c r="F20" s="2"/>
      <c r="G20" s="63">
        <f>IF($E20="Labour",Assumptions!$B$14,)</f>
        <v>0</v>
      </c>
      <c r="H20" s="9" t="str">
        <f t="shared" si="5"/>
        <v>$</v>
      </c>
      <c r="I20" s="2"/>
      <c r="J20" s="110" t="s">
        <v>52</v>
      </c>
      <c r="K20" s="81" t="s">
        <v>52</v>
      </c>
      <c r="L20" s="81" t="s">
        <v>52</v>
      </c>
      <c r="M20" s="81" t="s">
        <v>52</v>
      </c>
      <c r="N20" s="81" t="s">
        <v>52</v>
      </c>
      <c r="O20" s="2"/>
      <c r="P20" s="5" t="str">
        <f t="shared" si="0"/>
        <v>-</v>
      </c>
      <c r="Q20" s="5" t="str">
        <f t="shared" si="1"/>
        <v>-</v>
      </c>
      <c r="R20" s="5" t="str">
        <f t="shared" si="2"/>
        <v>-</v>
      </c>
      <c r="S20" s="5" t="str">
        <f t="shared" si="3"/>
        <v>-</v>
      </c>
      <c r="T20" s="5" t="str">
        <f t="shared" si="4"/>
        <v>-</v>
      </c>
      <c r="Y20"/>
    </row>
    <row r="21" spans="1:25" ht="12.75" customHeight="1" x14ac:dyDescent="0.25">
      <c r="A21" s="4"/>
      <c r="C21" s="79" t="s">
        <v>54</v>
      </c>
      <c r="D21" s="80" t="s">
        <v>50</v>
      </c>
      <c r="E21" s="78" t="s">
        <v>13</v>
      </c>
      <c r="F21" s="2"/>
      <c r="G21" s="63">
        <f>IF($E21="Labour",Assumptions!$B$14,)</f>
        <v>0</v>
      </c>
      <c r="H21" s="9" t="str">
        <f t="shared" si="5"/>
        <v>$</v>
      </c>
      <c r="I21" s="2"/>
      <c r="J21" s="81" t="s">
        <v>52</v>
      </c>
      <c r="K21" s="81" t="s">
        <v>52</v>
      </c>
      <c r="L21" s="81" t="s">
        <v>52</v>
      </c>
      <c r="M21" s="81" t="s">
        <v>52</v>
      </c>
      <c r="N21" s="81" t="s">
        <v>52</v>
      </c>
      <c r="O21" s="2"/>
      <c r="P21" s="5" t="str">
        <f t="shared" si="0"/>
        <v>-</v>
      </c>
      <c r="Q21" s="5" t="str">
        <f t="shared" si="1"/>
        <v>-</v>
      </c>
      <c r="R21" s="5" t="str">
        <f t="shared" si="2"/>
        <v>-</v>
      </c>
      <c r="S21" s="5" t="str">
        <f t="shared" si="3"/>
        <v>-</v>
      </c>
      <c r="T21" s="5" t="str">
        <f t="shared" si="4"/>
        <v>-</v>
      </c>
      <c r="Y21"/>
    </row>
    <row r="22" spans="1:25" ht="12.75" customHeight="1" x14ac:dyDescent="0.25">
      <c r="A22" s="4"/>
      <c r="C22" s="79" t="s">
        <v>55</v>
      </c>
      <c r="D22" s="80" t="s">
        <v>50</v>
      </c>
      <c r="E22" s="78" t="s">
        <v>10</v>
      </c>
      <c r="F22" s="2"/>
      <c r="G22" s="63">
        <f>IF($E22="Labour",Assumptions!$B$14,)</f>
        <v>145.77740895836223</v>
      </c>
      <c r="H22" s="9" t="str">
        <f t="shared" si="5"/>
        <v>Hours</v>
      </c>
      <c r="I22" s="2"/>
      <c r="J22" s="81">
        <f>36000/$G22</f>
        <v>246.95184430313563</v>
      </c>
      <c r="K22" s="81">
        <f t="shared" ref="K22:N22" si="7">36000/$G22</f>
        <v>246.95184430313563</v>
      </c>
      <c r="L22" s="81">
        <f t="shared" si="7"/>
        <v>246.95184430313563</v>
      </c>
      <c r="M22" s="81">
        <f t="shared" si="7"/>
        <v>246.95184430313563</v>
      </c>
      <c r="N22" s="81">
        <f t="shared" si="7"/>
        <v>246.95184430313563</v>
      </c>
      <c r="O22" s="2"/>
      <c r="P22" s="5">
        <f t="shared" si="0"/>
        <v>36000</v>
      </c>
      <c r="Q22" s="5">
        <f t="shared" si="1"/>
        <v>36000</v>
      </c>
      <c r="R22" s="5">
        <f t="shared" si="2"/>
        <v>36000</v>
      </c>
      <c r="S22" s="5">
        <f t="shared" si="3"/>
        <v>36000</v>
      </c>
      <c r="T22" s="5">
        <f t="shared" si="4"/>
        <v>36000</v>
      </c>
      <c r="Y22"/>
    </row>
    <row r="23" spans="1:25" ht="12.75" customHeight="1" x14ac:dyDescent="0.25">
      <c r="A23" s="4"/>
      <c r="C23" s="79" t="s">
        <v>55</v>
      </c>
      <c r="D23" s="80" t="s">
        <v>50</v>
      </c>
      <c r="E23" s="78" t="s">
        <v>12</v>
      </c>
      <c r="F23" s="2"/>
      <c r="G23" s="63">
        <f>IF($E23="Labour",Assumptions!$B$14,)</f>
        <v>0</v>
      </c>
      <c r="H23" s="9" t="str">
        <f t="shared" si="5"/>
        <v>$</v>
      </c>
      <c r="I23" s="2"/>
      <c r="J23" s="110" t="s">
        <v>52</v>
      </c>
      <c r="K23" s="81" t="s">
        <v>52</v>
      </c>
      <c r="L23" s="81" t="s">
        <v>52</v>
      </c>
      <c r="M23" s="81" t="s">
        <v>52</v>
      </c>
      <c r="N23" s="81" t="s">
        <v>52</v>
      </c>
      <c r="O23" s="2"/>
      <c r="P23" s="5" t="str">
        <f t="shared" si="0"/>
        <v>-</v>
      </c>
      <c r="Q23" s="5" t="str">
        <f t="shared" si="1"/>
        <v>-</v>
      </c>
      <c r="R23" s="5" t="str">
        <f t="shared" si="2"/>
        <v>-</v>
      </c>
      <c r="S23" s="5" t="str">
        <f t="shared" si="3"/>
        <v>-</v>
      </c>
      <c r="T23" s="5" t="str">
        <f t="shared" si="4"/>
        <v>-</v>
      </c>
      <c r="Y23"/>
    </row>
    <row r="24" spans="1:25" ht="12.75" customHeight="1" x14ac:dyDescent="0.25">
      <c r="A24" s="4"/>
      <c r="C24" s="79" t="s">
        <v>55</v>
      </c>
      <c r="D24" s="80" t="s">
        <v>50</v>
      </c>
      <c r="E24" s="78" t="s">
        <v>13</v>
      </c>
      <c r="F24" s="2"/>
      <c r="G24" s="63">
        <f>IF($E24="Labour",Assumptions!$B$14,)</f>
        <v>0</v>
      </c>
      <c r="H24" s="9" t="str">
        <f t="shared" si="5"/>
        <v>$</v>
      </c>
      <c r="I24" s="2"/>
      <c r="J24" s="81">
        <v>84000</v>
      </c>
      <c r="K24" s="81">
        <v>84000</v>
      </c>
      <c r="L24" s="81">
        <v>84000</v>
      </c>
      <c r="M24" s="81">
        <v>84000</v>
      </c>
      <c r="N24" s="81">
        <v>84000</v>
      </c>
      <c r="O24" s="2"/>
      <c r="P24" s="5">
        <f t="shared" si="0"/>
        <v>84000</v>
      </c>
      <c r="Q24" s="5">
        <f t="shared" si="1"/>
        <v>84000</v>
      </c>
      <c r="R24" s="5">
        <f t="shared" si="2"/>
        <v>84000</v>
      </c>
      <c r="S24" s="5">
        <f t="shared" si="3"/>
        <v>84000</v>
      </c>
      <c r="T24" s="5">
        <f t="shared" si="4"/>
        <v>84000</v>
      </c>
      <c r="Y24"/>
    </row>
    <row r="25" spans="1:25" ht="12.75" customHeight="1" x14ac:dyDescent="0.25">
      <c r="A25" s="4"/>
      <c r="C25" s="79" t="s">
        <v>56</v>
      </c>
      <c r="D25" s="80" t="s">
        <v>50</v>
      </c>
      <c r="E25" s="78" t="s">
        <v>10</v>
      </c>
      <c r="F25" s="2"/>
      <c r="G25" s="63">
        <f>IF($E25="Labour",Assumptions!$B$14,)</f>
        <v>145.77740895836223</v>
      </c>
      <c r="H25" s="9" t="str">
        <f t="shared" si="5"/>
        <v>Hours</v>
      </c>
      <c r="I25" s="2"/>
      <c r="J25" s="81">
        <v>932.92918958962355</v>
      </c>
      <c r="K25" s="81"/>
      <c r="L25" s="81">
        <f>J25</f>
        <v>932.92918958962355</v>
      </c>
      <c r="M25" s="81"/>
      <c r="N25" s="81">
        <f>L25</f>
        <v>932.92918958962355</v>
      </c>
      <c r="O25" s="2"/>
      <c r="P25" s="5">
        <f t="shared" si="0"/>
        <v>136000</v>
      </c>
      <c r="Q25" s="5">
        <f t="shared" si="1"/>
        <v>0</v>
      </c>
      <c r="R25" s="5">
        <f t="shared" si="2"/>
        <v>136000</v>
      </c>
      <c r="S25" s="5">
        <f t="shared" si="3"/>
        <v>0</v>
      </c>
      <c r="T25" s="5">
        <f t="shared" si="4"/>
        <v>136000</v>
      </c>
      <c r="Y25"/>
    </row>
    <row r="26" spans="1:25" ht="12.75" customHeight="1" x14ac:dyDescent="0.25">
      <c r="A26" s="4"/>
      <c r="C26" s="79" t="s">
        <v>56</v>
      </c>
      <c r="D26" s="80" t="s">
        <v>50</v>
      </c>
      <c r="E26" s="78" t="s">
        <v>12</v>
      </c>
      <c r="F26" s="2"/>
      <c r="G26" s="63">
        <f>IF($E26="Labour",Assumptions!$B$14,)</f>
        <v>0</v>
      </c>
      <c r="H26" s="9" t="str">
        <f t="shared" si="5"/>
        <v>$</v>
      </c>
      <c r="I26" s="2"/>
      <c r="J26" s="110">
        <v>24000</v>
      </c>
      <c r="K26" s="81"/>
      <c r="L26" s="81">
        <f t="shared" ref="L26:N27" si="8">J26</f>
        <v>24000</v>
      </c>
      <c r="M26" s="81"/>
      <c r="N26" s="81">
        <f t="shared" si="8"/>
        <v>24000</v>
      </c>
      <c r="O26" s="2"/>
      <c r="P26" s="5">
        <f t="shared" si="0"/>
        <v>24000</v>
      </c>
      <c r="Q26" s="5">
        <f t="shared" si="1"/>
        <v>0</v>
      </c>
      <c r="R26" s="5">
        <f t="shared" si="2"/>
        <v>24000</v>
      </c>
      <c r="S26" s="5">
        <f t="shared" si="3"/>
        <v>0</v>
      </c>
      <c r="T26" s="5">
        <f t="shared" si="4"/>
        <v>24000</v>
      </c>
      <c r="Y26"/>
    </row>
    <row r="27" spans="1:25" ht="12.75" customHeight="1" x14ac:dyDescent="0.25">
      <c r="A27" s="4"/>
      <c r="C27" s="79" t="s">
        <v>56</v>
      </c>
      <c r="D27" s="80" t="s">
        <v>50</v>
      </c>
      <c r="E27" s="78" t="s">
        <v>13</v>
      </c>
      <c r="F27" s="2"/>
      <c r="G27" s="63">
        <f>IF($E27="Labour",Assumptions!$B$14,)</f>
        <v>0</v>
      </c>
      <c r="H27" s="9" t="str">
        <f t="shared" si="5"/>
        <v>$</v>
      </c>
      <c r="I27" s="2"/>
      <c r="J27" s="81">
        <v>240000</v>
      </c>
      <c r="K27" s="81"/>
      <c r="L27" s="81">
        <f t="shared" si="8"/>
        <v>240000</v>
      </c>
      <c r="M27" s="81"/>
      <c r="N27" s="81">
        <f t="shared" si="8"/>
        <v>240000</v>
      </c>
      <c r="O27" s="2"/>
      <c r="P27" s="5">
        <f t="shared" si="0"/>
        <v>240000</v>
      </c>
      <c r="Q27" s="5">
        <f t="shared" si="1"/>
        <v>0</v>
      </c>
      <c r="R27" s="5">
        <f t="shared" si="2"/>
        <v>240000</v>
      </c>
      <c r="S27" s="5">
        <f t="shared" si="3"/>
        <v>0</v>
      </c>
      <c r="T27" s="5">
        <f t="shared" si="4"/>
        <v>240000</v>
      </c>
      <c r="Y27"/>
    </row>
    <row r="28" spans="1:25" ht="12.75" customHeight="1" x14ac:dyDescent="0.25">
      <c r="A28" s="4"/>
      <c r="C28" s="79" t="s">
        <v>68</v>
      </c>
      <c r="D28" s="80" t="s">
        <v>50</v>
      </c>
      <c r="E28" s="78" t="s">
        <v>10</v>
      </c>
      <c r="F28" s="2"/>
      <c r="G28" s="63">
        <f>IF($E28="Labour",Assumptions!$B$14,)</f>
        <v>145.77740895836223</v>
      </c>
      <c r="H28" s="9" t="str">
        <f t="shared" si="5"/>
        <v>Hours</v>
      </c>
      <c r="I28" s="2"/>
      <c r="J28" s="81">
        <f>1462500/$G28</f>
        <v>10032.418674814886</v>
      </c>
      <c r="K28" s="81">
        <f>1462500/$G28</f>
        <v>10032.418674814886</v>
      </c>
      <c r="L28" s="81">
        <f>1462500/$G28</f>
        <v>10032.418674814886</v>
      </c>
      <c r="M28" s="81">
        <f>1462500/$G28</f>
        <v>10032.418674814886</v>
      </c>
      <c r="N28" s="81">
        <f>1462500/$G28</f>
        <v>10032.418674814886</v>
      </c>
      <c r="O28" s="2"/>
      <c r="P28" s="5">
        <f t="shared" si="0"/>
        <v>1462500</v>
      </c>
      <c r="Q28" s="5">
        <f t="shared" si="1"/>
        <v>1462500</v>
      </c>
      <c r="R28" s="5">
        <f t="shared" si="2"/>
        <v>1462500</v>
      </c>
      <c r="S28" s="5">
        <f t="shared" si="3"/>
        <v>1462500</v>
      </c>
      <c r="T28" s="5">
        <f t="shared" si="4"/>
        <v>1462500</v>
      </c>
      <c r="Y28"/>
    </row>
    <row r="29" spans="1:25" ht="12.75" customHeight="1" x14ac:dyDescent="0.25">
      <c r="A29" s="4"/>
      <c r="C29" s="79" t="s">
        <v>68</v>
      </c>
      <c r="D29" s="80" t="s">
        <v>50</v>
      </c>
      <c r="E29" s="78" t="s">
        <v>12</v>
      </c>
      <c r="F29" s="2"/>
      <c r="G29" s="63">
        <f>IF($E29="Labour",Assumptions!$B$14,)</f>
        <v>0</v>
      </c>
      <c r="H29" s="9" t="str">
        <f t="shared" si="5"/>
        <v>$</v>
      </c>
      <c r="I29" s="2"/>
      <c r="J29" s="81">
        <v>225000</v>
      </c>
      <c r="K29" s="81">
        <v>225000</v>
      </c>
      <c r="L29" s="81">
        <v>225000</v>
      </c>
      <c r="M29" s="81">
        <v>225000</v>
      </c>
      <c r="N29" s="81">
        <v>225000</v>
      </c>
      <c r="O29" s="2"/>
      <c r="P29" s="5">
        <f t="shared" si="0"/>
        <v>225000</v>
      </c>
      <c r="Q29" s="5">
        <f t="shared" si="1"/>
        <v>225000</v>
      </c>
      <c r="R29" s="5">
        <f t="shared" si="2"/>
        <v>225000</v>
      </c>
      <c r="S29" s="5">
        <f t="shared" si="3"/>
        <v>225000</v>
      </c>
      <c r="T29" s="5">
        <f t="shared" si="4"/>
        <v>225000</v>
      </c>
      <c r="Y29"/>
    </row>
    <row r="30" spans="1:25" ht="12.75" customHeight="1" x14ac:dyDescent="0.25">
      <c r="A30" s="4"/>
      <c r="C30" s="79" t="s">
        <v>68</v>
      </c>
      <c r="D30" s="80" t="s">
        <v>50</v>
      </c>
      <c r="E30" s="78" t="s">
        <v>13</v>
      </c>
      <c r="F30" s="2"/>
      <c r="G30" s="63">
        <f>IF($E30="Labour",Assumptions!$B$14,)</f>
        <v>0</v>
      </c>
      <c r="H30" s="9" t="str">
        <f t="shared" si="5"/>
        <v>$</v>
      </c>
      <c r="I30" s="2"/>
      <c r="J30" s="81">
        <v>562500</v>
      </c>
      <c r="K30" s="81">
        <v>562500</v>
      </c>
      <c r="L30" s="81">
        <v>562500</v>
      </c>
      <c r="M30" s="81">
        <v>562500</v>
      </c>
      <c r="N30" s="81">
        <v>562500</v>
      </c>
      <c r="O30" s="2"/>
      <c r="P30" s="5">
        <f t="shared" si="0"/>
        <v>562500</v>
      </c>
      <c r="Q30" s="5">
        <f t="shared" si="1"/>
        <v>562500</v>
      </c>
      <c r="R30" s="5">
        <f t="shared" si="2"/>
        <v>562500</v>
      </c>
      <c r="S30" s="5">
        <f t="shared" si="3"/>
        <v>562500</v>
      </c>
      <c r="T30" s="5">
        <f t="shared" si="4"/>
        <v>562500</v>
      </c>
      <c r="Y30"/>
    </row>
    <row r="31" spans="1:25" ht="12.75" customHeight="1" x14ac:dyDescent="0.25">
      <c r="A31" s="4"/>
      <c r="C31" s="79" t="s">
        <v>58</v>
      </c>
      <c r="D31" s="80" t="s">
        <v>50</v>
      </c>
      <c r="E31" s="78" t="s">
        <v>10</v>
      </c>
      <c r="F31" s="2"/>
      <c r="G31" s="63">
        <f>IF($E31="Labour",Assumptions!$B$14,)</f>
        <v>145.77740895836223</v>
      </c>
      <c r="H31" s="9" t="str">
        <f t="shared" si="5"/>
        <v>Hours</v>
      </c>
      <c r="I31" s="2"/>
      <c r="J31" s="81"/>
      <c r="K31" s="81">
        <f>1440000/$G31</f>
        <v>9878.0737721254263</v>
      </c>
      <c r="L31" s="81">
        <f>1440000/$G31</f>
        <v>9878.0737721254263</v>
      </c>
      <c r="M31" s="81">
        <f>2160000/$G28</f>
        <v>14817.110658188138</v>
      </c>
      <c r="N31" s="81">
        <f>2160000/$G28</f>
        <v>14817.110658188138</v>
      </c>
      <c r="O31" s="2"/>
      <c r="P31" s="5">
        <f t="shared" si="0"/>
        <v>0</v>
      </c>
      <c r="Q31" s="5">
        <f t="shared" si="1"/>
        <v>1440000</v>
      </c>
      <c r="R31" s="5">
        <f t="shared" si="2"/>
        <v>1440000</v>
      </c>
      <c r="S31" s="5">
        <f t="shared" si="3"/>
        <v>2160000</v>
      </c>
      <c r="T31" s="5">
        <f t="shared" si="4"/>
        <v>2160000</v>
      </c>
      <c r="Y31"/>
    </row>
    <row r="32" spans="1:25" ht="12.75" customHeight="1" x14ac:dyDescent="0.25">
      <c r="A32" s="4"/>
      <c r="C32" s="79" t="s">
        <v>58</v>
      </c>
      <c r="D32" s="80" t="s">
        <v>50</v>
      </c>
      <c r="E32" s="78" t="s">
        <v>12</v>
      </c>
      <c r="F32" s="2"/>
      <c r="G32" s="63">
        <f>IF($E32="Labour",Assumptions!$B$14,)</f>
        <v>0</v>
      </c>
      <c r="H32" s="9" t="str">
        <f t="shared" si="5"/>
        <v>$</v>
      </c>
      <c r="I32" s="2"/>
      <c r="J32" s="81"/>
      <c r="K32" s="81">
        <v>360000</v>
      </c>
      <c r="L32" s="81">
        <v>360000</v>
      </c>
      <c r="M32" s="81">
        <v>540000</v>
      </c>
      <c r="N32" s="81">
        <v>540000</v>
      </c>
      <c r="O32" s="2"/>
      <c r="P32" s="5">
        <f t="shared" si="0"/>
        <v>0</v>
      </c>
      <c r="Q32" s="5">
        <f t="shared" si="1"/>
        <v>360000</v>
      </c>
      <c r="R32" s="5">
        <f t="shared" si="2"/>
        <v>360000</v>
      </c>
      <c r="S32" s="5">
        <f t="shared" si="3"/>
        <v>540000</v>
      </c>
      <c r="T32" s="5">
        <f t="shared" si="4"/>
        <v>540000</v>
      </c>
      <c r="Y32"/>
    </row>
    <row r="33" spans="1:25" ht="12.75" customHeight="1" x14ac:dyDescent="0.25">
      <c r="A33" s="4"/>
      <c r="C33" s="79" t="s">
        <v>58</v>
      </c>
      <c r="D33" s="80" t="s">
        <v>50</v>
      </c>
      <c r="E33" s="78" t="s">
        <v>13</v>
      </c>
      <c r="F33" s="2"/>
      <c r="G33" s="63">
        <f>IF($E33="Labour",Assumptions!$B$14,)</f>
        <v>0</v>
      </c>
      <c r="H33" s="9" t="str">
        <f t="shared" si="5"/>
        <v>$</v>
      </c>
      <c r="I33" s="2"/>
      <c r="J33" s="81"/>
      <c r="K33" s="81">
        <v>600000</v>
      </c>
      <c r="L33" s="81">
        <v>600000</v>
      </c>
      <c r="M33" s="81">
        <v>900000</v>
      </c>
      <c r="N33" s="81">
        <v>900000</v>
      </c>
      <c r="O33" s="2"/>
      <c r="P33" s="5">
        <f t="shared" si="0"/>
        <v>0</v>
      </c>
      <c r="Q33" s="5">
        <f t="shared" si="1"/>
        <v>600000</v>
      </c>
      <c r="R33" s="5">
        <f t="shared" si="2"/>
        <v>600000</v>
      </c>
      <c r="S33" s="5">
        <f t="shared" si="3"/>
        <v>900000</v>
      </c>
      <c r="T33" s="5">
        <f t="shared" si="4"/>
        <v>900000</v>
      </c>
      <c r="Y33"/>
    </row>
    <row r="34" spans="1:25" ht="12.75" customHeight="1" x14ac:dyDescent="0.25">
      <c r="A34" s="4"/>
      <c r="C34" s="79" t="s">
        <v>59</v>
      </c>
      <c r="D34" s="80" t="s">
        <v>50</v>
      </c>
      <c r="E34" s="78" t="s">
        <v>10</v>
      </c>
      <c r="F34" s="2"/>
      <c r="G34" s="63">
        <f>IF($E34="Labour",Assumptions!$B$14,)</f>
        <v>145.77740895836223</v>
      </c>
      <c r="H34" s="9" t="str">
        <f t="shared" si="5"/>
        <v>Hours</v>
      </c>
      <c r="I34" s="2"/>
      <c r="J34" s="81"/>
      <c r="K34" s="81">
        <f>588000/$G34</f>
        <v>4033.5467902845489</v>
      </c>
      <c r="L34" s="81"/>
      <c r="M34" s="81">
        <f>840000/$G34</f>
        <v>5762.2097004064981</v>
      </c>
      <c r="N34" s="81"/>
      <c r="O34" s="2"/>
      <c r="P34" s="5">
        <f t="shared" si="0"/>
        <v>0</v>
      </c>
      <c r="Q34" s="5">
        <f t="shared" si="1"/>
        <v>588000</v>
      </c>
      <c r="R34" s="5">
        <f t="shared" si="2"/>
        <v>0</v>
      </c>
      <c r="S34" s="5">
        <f t="shared" si="3"/>
        <v>840000</v>
      </c>
      <c r="T34" s="5">
        <f t="shared" si="4"/>
        <v>0</v>
      </c>
      <c r="Y34"/>
    </row>
    <row r="35" spans="1:25" ht="12.75" customHeight="1" x14ac:dyDescent="0.25">
      <c r="A35" s="4"/>
      <c r="C35" s="79" t="s">
        <v>59</v>
      </c>
      <c r="D35" s="80" t="s">
        <v>50</v>
      </c>
      <c r="E35" s="78" t="s">
        <v>12</v>
      </c>
      <c r="F35" s="2"/>
      <c r="G35" s="63">
        <f>IF($E35="Labour",Assumptions!$B$14,)</f>
        <v>0</v>
      </c>
      <c r="H35" s="9" t="str">
        <f t="shared" si="5"/>
        <v>$</v>
      </c>
      <c r="I35" s="2"/>
      <c r="J35" s="81"/>
      <c r="K35" s="81">
        <v>126000</v>
      </c>
      <c r="L35" s="81"/>
      <c r="M35" s="81">
        <v>180000</v>
      </c>
      <c r="N35" s="81"/>
      <c r="O35" s="2"/>
      <c r="P35" s="5">
        <f t="shared" si="0"/>
        <v>0</v>
      </c>
      <c r="Q35" s="5">
        <f t="shared" si="1"/>
        <v>126000</v>
      </c>
      <c r="R35" s="5">
        <f t="shared" si="2"/>
        <v>0</v>
      </c>
      <c r="S35" s="5">
        <f t="shared" si="3"/>
        <v>180000</v>
      </c>
      <c r="T35" s="5">
        <f t="shared" si="4"/>
        <v>0</v>
      </c>
      <c r="Y35"/>
    </row>
    <row r="36" spans="1:25" ht="12.75" customHeight="1" x14ac:dyDescent="0.25">
      <c r="A36" s="4"/>
      <c r="C36" s="79" t="s">
        <v>59</v>
      </c>
      <c r="D36" s="80" t="s">
        <v>50</v>
      </c>
      <c r="E36" s="78" t="s">
        <v>13</v>
      </c>
      <c r="F36" s="2"/>
      <c r="G36" s="63">
        <f>IF($E36="Labour",Assumptions!$B$14,)</f>
        <v>0</v>
      </c>
      <c r="H36" s="9" t="str">
        <f t="shared" si="5"/>
        <v>$</v>
      </c>
      <c r="I36" s="2"/>
      <c r="J36" s="81"/>
      <c r="K36" s="81">
        <v>126000</v>
      </c>
      <c r="L36" s="81"/>
      <c r="M36" s="81">
        <v>180000</v>
      </c>
      <c r="N36" s="81"/>
      <c r="O36" s="2"/>
      <c r="P36" s="5">
        <f t="shared" si="0"/>
        <v>0</v>
      </c>
      <c r="Q36" s="5">
        <f t="shared" si="1"/>
        <v>126000</v>
      </c>
      <c r="R36" s="5">
        <f t="shared" si="2"/>
        <v>0</v>
      </c>
      <c r="S36" s="5">
        <f t="shared" si="3"/>
        <v>180000</v>
      </c>
      <c r="T36" s="5">
        <f t="shared" si="4"/>
        <v>0</v>
      </c>
      <c r="Y36"/>
    </row>
    <row r="37" spans="1:25" ht="12.75" customHeight="1" x14ac:dyDescent="0.25">
      <c r="A37" s="4"/>
      <c r="C37" s="79" t="s">
        <v>60</v>
      </c>
      <c r="D37" s="80" t="s">
        <v>50</v>
      </c>
      <c r="E37" s="78" t="s">
        <v>10</v>
      </c>
      <c r="F37" s="2"/>
      <c r="G37" s="63">
        <f>IF($E37="Labour",Assumptions!$B$14,)</f>
        <v>145.77740895836223</v>
      </c>
      <c r="H37" s="9" t="str">
        <f t="shared" si="5"/>
        <v>Hours</v>
      </c>
      <c r="I37" s="2"/>
      <c r="J37" s="81">
        <f>588000/G37</f>
        <v>4033.5467902845489</v>
      </c>
      <c r="K37" s="81"/>
      <c r="L37" s="81"/>
      <c r="M37" s="81"/>
      <c r="N37" s="81"/>
      <c r="O37" s="2"/>
      <c r="P37" s="5">
        <f t="shared" si="0"/>
        <v>588000</v>
      </c>
      <c r="Q37" s="5">
        <f t="shared" si="1"/>
        <v>0</v>
      </c>
      <c r="R37" s="5">
        <f t="shared" si="2"/>
        <v>0</v>
      </c>
      <c r="S37" s="5">
        <f t="shared" si="3"/>
        <v>0</v>
      </c>
      <c r="T37" s="5">
        <f t="shared" si="4"/>
        <v>0</v>
      </c>
      <c r="Y37"/>
    </row>
    <row r="38" spans="1:25" ht="12.75" customHeight="1" x14ac:dyDescent="0.25">
      <c r="A38" s="4"/>
      <c r="C38" s="79" t="s">
        <v>60</v>
      </c>
      <c r="D38" s="80" t="s">
        <v>50</v>
      </c>
      <c r="E38" s="78" t="s">
        <v>12</v>
      </c>
      <c r="F38" s="2"/>
      <c r="G38" s="63">
        <f>IF($E38="Labour",Assumptions!$B$14,)</f>
        <v>0</v>
      </c>
      <c r="H38" s="9" t="str">
        <f t="shared" si="5"/>
        <v>$</v>
      </c>
      <c r="I38" s="2"/>
      <c r="J38" s="81">
        <v>126000</v>
      </c>
      <c r="K38" s="81"/>
      <c r="L38" s="81"/>
      <c r="M38" s="81"/>
      <c r="N38" s="81"/>
      <c r="O38" s="2"/>
      <c r="P38" s="5">
        <f t="shared" si="0"/>
        <v>126000</v>
      </c>
      <c r="Q38" s="5">
        <f t="shared" si="1"/>
        <v>0</v>
      </c>
      <c r="R38" s="5">
        <f t="shared" si="2"/>
        <v>0</v>
      </c>
      <c r="S38" s="5">
        <f t="shared" si="3"/>
        <v>0</v>
      </c>
      <c r="T38" s="5">
        <f t="shared" si="4"/>
        <v>0</v>
      </c>
      <c r="Y38"/>
    </row>
    <row r="39" spans="1:25" ht="12.75" customHeight="1" x14ac:dyDescent="0.25">
      <c r="A39" s="4"/>
      <c r="C39" s="79" t="s">
        <v>60</v>
      </c>
      <c r="D39" s="80" t="s">
        <v>50</v>
      </c>
      <c r="E39" s="78" t="s">
        <v>13</v>
      </c>
      <c r="F39" s="2"/>
      <c r="G39" s="63">
        <f>IF($E39="Labour",Assumptions!$B$14,)</f>
        <v>0</v>
      </c>
      <c r="H39" s="9" t="str">
        <f t="shared" si="5"/>
        <v>$</v>
      </c>
      <c r="I39" s="2"/>
      <c r="J39" s="81">
        <v>126000</v>
      </c>
      <c r="K39" s="81"/>
      <c r="L39" s="81"/>
      <c r="M39" s="81"/>
      <c r="N39" s="81"/>
      <c r="O39" s="2"/>
      <c r="P39" s="5">
        <f t="shared" si="0"/>
        <v>126000</v>
      </c>
      <c r="Q39" s="5">
        <f t="shared" si="1"/>
        <v>0</v>
      </c>
      <c r="R39" s="5">
        <f t="shared" si="2"/>
        <v>0</v>
      </c>
      <c r="S39" s="5">
        <f t="shared" si="3"/>
        <v>0</v>
      </c>
      <c r="T39" s="5">
        <f t="shared" si="4"/>
        <v>0</v>
      </c>
      <c r="Y39"/>
    </row>
    <row r="40" spans="1:25" ht="12.75" customHeight="1" x14ac:dyDescent="0.2">
      <c r="A40" s="4"/>
      <c r="C40" s="79" t="s">
        <v>61</v>
      </c>
      <c r="D40" s="80" t="s">
        <v>50</v>
      </c>
      <c r="E40" s="78" t="s">
        <v>10</v>
      </c>
      <c r="G40" s="63">
        <f>IF($E40="Labour",Assumptions!$B$14,)</f>
        <v>145.77740895836223</v>
      </c>
      <c r="H40" s="9" t="str">
        <f t="shared" si="5"/>
        <v>Hours</v>
      </c>
      <c r="J40" s="81"/>
      <c r="K40" s="81">
        <f>448500/$G40</f>
        <v>3076.608393609898</v>
      </c>
      <c r="L40" s="81"/>
      <c r="M40" s="81">
        <f>448500/$G40</f>
        <v>3076.608393609898</v>
      </c>
      <c r="N40" s="81"/>
      <c r="P40" s="5">
        <f t="shared" si="0"/>
        <v>0</v>
      </c>
      <c r="Q40" s="5">
        <f t="shared" si="1"/>
        <v>448500</v>
      </c>
      <c r="R40" s="5">
        <f t="shared" si="2"/>
        <v>0</v>
      </c>
      <c r="S40" s="5">
        <f t="shared" si="3"/>
        <v>448500</v>
      </c>
      <c r="T40" s="5">
        <f t="shared" si="4"/>
        <v>0</v>
      </c>
    </row>
    <row r="41" spans="1:25" ht="12.75" customHeight="1" x14ac:dyDescent="0.2">
      <c r="A41" s="4"/>
      <c r="C41" s="79" t="s">
        <v>61</v>
      </c>
      <c r="D41" s="80" t="s">
        <v>50</v>
      </c>
      <c r="E41" s="78" t="s">
        <v>12</v>
      </c>
      <c r="G41" s="63">
        <f>IF($E41="Labour",Assumptions!$B$14,)</f>
        <v>0</v>
      </c>
      <c r="H41" s="9" t="str">
        <f t="shared" si="5"/>
        <v>$</v>
      </c>
      <c r="J41" s="81"/>
      <c r="K41" s="81">
        <v>103500</v>
      </c>
      <c r="L41" s="81"/>
      <c r="M41" s="81">
        <v>103500</v>
      </c>
      <c r="N41" s="81"/>
      <c r="P41" s="5">
        <f t="shared" si="0"/>
        <v>0</v>
      </c>
      <c r="Q41" s="5">
        <f t="shared" si="1"/>
        <v>103500</v>
      </c>
      <c r="R41" s="5">
        <f t="shared" si="2"/>
        <v>0</v>
      </c>
      <c r="S41" s="5">
        <f t="shared" si="3"/>
        <v>103500</v>
      </c>
      <c r="T41" s="5">
        <f t="shared" si="4"/>
        <v>0</v>
      </c>
    </row>
    <row r="42" spans="1:25" ht="12.75" customHeight="1" x14ac:dyDescent="0.2">
      <c r="A42" s="4"/>
      <c r="C42" s="79" t="s">
        <v>61</v>
      </c>
      <c r="D42" s="80" t="s">
        <v>50</v>
      </c>
      <c r="E42" s="78" t="s">
        <v>13</v>
      </c>
      <c r="G42" s="63">
        <f>IF($E42="Labour",Assumptions!$B$14,)</f>
        <v>0</v>
      </c>
      <c r="H42" s="9" t="str">
        <f t="shared" si="5"/>
        <v>$</v>
      </c>
      <c r="J42" s="81"/>
      <c r="K42" s="81">
        <v>138000</v>
      </c>
      <c r="L42" s="81"/>
      <c r="M42" s="81">
        <v>138000</v>
      </c>
      <c r="N42" s="81"/>
      <c r="P42" s="5">
        <f t="shared" si="0"/>
        <v>0</v>
      </c>
      <c r="Q42" s="5">
        <f t="shared" si="1"/>
        <v>138000</v>
      </c>
      <c r="R42" s="5">
        <f t="shared" si="2"/>
        <v>0</v>
      </c>
      <c r="S42" s="5">
        <f t="shared" si="3"/>
        <v>138000</v>
      </c>
      <c r="T42" s="5">
        <f t="shared" si="4"/>
        <v>0</v>
      </c>
    </row>
    <row r="43" spans="1:25" ht="12.75" customHeight="1" x14ac:dyDescent="0.2">
      <c r="A43" s="4"/>
      <c r="C43" s="79" t="s">
        <v>62</v>
      </c>
      <c r="D43" s="80" t="s">
        <v>50</v>
      </c>
      <c r="E43" s="78" t="s">
        <v>10</v>
      </c>
      <c r="G43" s="63">
        <f>IF($E43="Labour",Assumptions!$B$14,)</f>
        <v>145.77740895836223</v>
      </c>
      <c r="H43" s="9" t="str">
        <f t="shared" si="5"/>
        <v>Hours</v>
      </c>
      <c r="J43" s="81">
        <f>574688/$G43</f>
        <v>3942.2294860800116</v>
      </c>
      <c r="K43" s="81"/>
      <c r="L43" s="81">
        <f>574688/$G43</f>
        <v>3942.2294860800116</v>
      </c>
      <c r="M43" s="81"/>
      <c r="N43" s="81">
        <f>574688/$G43</f>
        <v>3942.2294860800116</v>
      </c>
      <c r="P43" s="5">
        <f t="shared" si="0"/>
        <v>574688</v>
      </c>
      <c r="Q43" s="5">
        <f t="shared" si="1"/>
        <v>0</v>
      </c>
      <c r="R43" s="5">
        <f t="shared" si="2"/>
        <v>574688</v>
      </c>
      <c r="S43" s="5">
        <f t="shared" si="3"/>
        <v>0</v>
      </c>
      <c r="T43" s="5">
        <f t="shared" si="4"/>
        <v>574688</v>
      </c>
    </row>
    <row r="44" spans="1:25" ht="12.75" customHeight="1" x14ac:dyDescent="0.2">
      <c r="A44" s="4"/>
      <c r="C44" s="79" t="s">
        <v>62</v>
      </c>
      <c r="D44" s="80" t="s">
        <v>50</v>
      </c>
      <c r="E44" s="78" t="s">
        <v>12</v>
      </c>
      <c r="G44" s="63">
        <f>IF($E44="Labour",Assumptions!$B$14,)</f>
        <v>0</v>
      </c>
      <c r="H44" s="9" t="str">
        <f t="shared" si="5"/>
        <v>$</v>
      </c>
      <c r="J44" s="81">
        <v>143672.0184</v>
      </c>
      <c r="K44" s="81"/>
      <c r="L44" s="81">
        <v>143672.0184</v>
      </c>
      <c r="M44" s="81"/>
      <c r="N44" s="81">
        <v>143672.0184</v>
      </c>
      <c r="P44" s="5">
        <f t="shared" si="0"/>
        <v>143672.0184</v>
      </c>
      <c r="Q44" s="5">
        <f t="shared" si="1"/>
        <v>0</v>
      </c>
      <c r="R44" s="5">
        <f t="shared" si="2"/>
        <v>143672.0184</v>
      </c>
      <c r="S44" s="5">
        <f t="shared" si="3"/>
        <v>0</v>
      </c>
      <c r="T44" s="5">
        <f t="shared" si="4"/>
        <v>143672.0184</v>
      </c>
    </row>
    <row r="45" spans="1:25" ht="12.75" customHeight="1" x14ac:dyDescent="0.2">
      <c r="A45" s="4"/>
      <c r="C45" s="79" t="s">
        <v>62</v>
      </c>
      <c r="D45" s="80" t="s">
        <v>50</v>
      </c>
      <c r="E45" s="78" t="s">
        <v>13</v>
      </c>
      <c r="G45" s="63">
        <f>IF($E45="Labour",Assumptions!$B$14,)</f>
        <v>0</v>
      </c>
      <c r="H45" s="9" t="str">
        <f t="shared" si="5"/>
        <v>$</v>
      </c>
      <c r="J45" s="81">
        <v>239453.36400000003</v>
      </c>
      <c r="K45" s="81"/>
      <c r="L45" s="81">
        <v>239453.36400000003</v>
      </c>
      <c r="M45" s="81"/>
      <c r="N45" s="81">
        <v>239453.36400000003</v>
      </c>
      <c r="P45" s="5">
        <f t="shared" si="0"/>
        <v>239453.36400000003</v>
      </c>
      <c r="Q45" s="5">
        <f t="shared" si="1"/>
        <v>0</v>
      </c>
      <c r="R45" s="5">
        <f t="shared" si="2"/>
        <v>239453.36400000003</v>
      </c>
      <c r="S45" s="5">
        <f t="shared" si="3"/>
        <v>0</v>
      </c>
      <c r="T45" s="5">
        <f t="shared" si="4"/>
        <v>239453.36400000003</v>
      </c>
    </row>
    <row r="46" spans="1:25" ht="12.75" customHeight="1" x14ac:dyDescent="0.2">
      <c r="A46" s="4"/>
      <c r="C46" s="79" t="s">
        <v>63</v>
      </c>
      <c r="D46" s="80" t="s">
        <v>50</v>
      </c>
      <c r="E46" s="78" t="s">
        <v>10</v>
      </c>
      <c r="G46" s="63">
        <f>IF($E46="Labour",Assumptions!$B$14,)</f>
        <v>145.77740895836223</v>
      </c>
      <c r="H46" s="9" t="str">
        <f t="shared" si="5"/>
        <v>Hours</v>
      </c>
      <c r="J46" s="81">
        <f>785449/G46</f>
        <v>5388.0021987792661</v>
      </c>
      <c r="K46" s="81">
        <f>785449/G46</f>
        <v>5388.0021987792661</v>
      </c>
      <c r="L46" s="81">
        <f>785449/G46</f>
        <v>5388.0021987792661</v>
      </c>
      <c r="M46" s="81">
        <f>785449/G46</f>
        <v>5388.0021987792661</v>
      </c>
      <c r="N46" s="81">
        <f>785449/G46</f>
        <v>5388.0021987792661</v>
      </c>
      <c r="P46" s="5">
        <f t="shared" si="0"/>
        <v>785449</v>
      </c>
      <c r="Q46" s="5">
        <f t="shared" si="1"/>
        <v>785449</v>
      </c>
      <c r="R46" s="5">
        <f t="shared" si="2"/>
        <v>785449</v>
      </c>
      <c r="S46" s="5">
        <f t="shared" si="3"/>
        <v>785449</v>
      </c>
      <c r="T46" s="5">
        <f t="shared" si="4"/>
        <v>785449</v>
      </c>
    </row>
    <row r="47" spans="1:25" ht="12.75" customHeight="1" x14ac:dyDescent="0.2">
      <c r="A47" s="4"/>
      <c r="C47" s="79" t="s">
        <v>63</v>
      </c>
      <c r="D47" s="80" t="s">
        <v>50</v>
      </c>
      <c r="E47" s="78" t="s">
        <v>12</v>
      </c>
      <c r="G47" s="63">
        <f>IF($E47="Labour",Assumptions!$B$14,)</f>
        <v>0</v>
      </c>
      <c r="H47" s="9" t="str">
        <f t="shared" si="5"/>
        <v>$</v>
      </c>
      <c r="J47" s="81">
        <v>52250</v>
      </c>
      <c r="K47" s="81">
        <v>52250</v>
      </c>
      <c r="L47" s="81">
        <v>52250</v>
      </c>
      <c r="M47" s="81">
        <v>52250</v>
      </c>
      <c r="N47" s="81">
        <v>52250</v>
      </c>
      <c r="P47" s="5">
        <f t="shared" si="0"/>
        <v>52250</v>
      </c>
      <c r="Q47" s="5">
        <f t="shared" si="1"/>
        <v>52250</v>
      </c>
      <c r="R47" s="5">
        <f t="shared" si="2"/>
        <v>52250</v>
      </c>
      <c r="S47" s="5">
        <f t="shared" si="3"/>
        <v>52250</v>
      </c>
      <c r="T47" s="5">
        <f t="shared" si="4"/>
        <v>52250</v>
      </c>
    </row>
    <row r="48" spans="1:25" ht="12.75" customHeight="1" x14ac:dyDescent="0.2">
      <c r="A48" s="4"/>
      <c r="C48" s="79" t="s">
        <v>63</v>
      </c>
      <c r="D48" s="80" t="s">
        <v>50</v>
      </c>
      <c r="E48" s="78" t="s">
        <v>13</v>
      </c>
      <c r="G48" s="63">
        <f>IF($E48="Labour",Assumptions!$B$14,)</f>
        <v>0</v>
      </c>
      <c r="H48" s="9" t="str">
        <f t="shared" si="5"/>
        <v>$</v>
      </c>
      <c r="J48" s="81">
        <v>208800</v>
      </c>
      <c r="K48" s="81">
        <v>208800</v>
      </c>
      <c r="L48" s="81">
        <v>208800</v>
      </c>
      <c r="M48" s="81">
        <v>208800</v>
      </c>
      <c r="N48" s="81">
        <v>208800</v>
      </c>
      <c r="P48" s="5">
        <f t="shared" si="0"/>
        <v>208800</v>
      </c>
      <c r="Q48" s="5">
        <f t="shared" si="1"/>
        <v>208800</v>
      </c>
      <c r="R48" s="5">
        <f t="shared" si="2"/>
        <v>208800</v>
      </c>
      <c r="S48" s="5">
        <f t="shared" si="3"/>
        <v>208800</v>
      </c>
      <c r="T48" s="5">
        <f t="shared" si="4"/>
        <v>208800</v>
      </c>
    </row>
    <row r="49" spans="1:25" ht="12.75" customHeight="1" x14ac:dyDescent="0.2">
      <c r="A49" s="4"/>
      <c r="C49" s="79" t="s">
        <v>71</v>
      </c>
      <c r="D49" s="80" t="s">
        <v>50</v>
      </c>
      <c r="E49" s="78" t="s">
        <v>10</v>
      </c>
      <c r="G49" s="63">
        <f>IF($E49="Labour",Assumptions!$B$14,)</f>
        <v>145.77740895836223</v>
      </c>
      <c r="H49" s="9" t="str">
        <f t="shared" si="5"/>
        <v>Hours</v>
      </c>
      <c r="J49" s="81">
        <f>2195739/G49</f>
        <v>15062.272101620076</v>
      </c>
      <c r="K49" s="81"/>
      <c r="L49" s="81"/>
      <c r="M49" s="81"/>
      <c r="N49" s="81"/>
      <c r="P49" s="5">
        <f t="shared" si="0"/>
        <v>2195739</v>
      </c>
      <c r="Q49" s="5">
        <f t="shared" si="1"/>
        <v>0</v>
      </c>
      <c r="R49" s="5">
        <f t="shared" si="2"/>
        <v>0</v>
      </c>
      <c r="S49" s="5">
        <f t="shared" si="3"/>
        <v>0</v>
      </c>
      <c r="T49" s="5">
        <f t="shared" si="4"/>
        <v>0</v>
      </c>
    </row>
    <row r="50" spans="1:25" ht="12.75" customHeight="1" x14ac:dyDescent="0.2">
      <c r="A50" s="4"/>
      <c r="C50" s="79" t="s">
        <v>71</v>
      </c>
      <c r="D50" s="80" t="s">
        <v>50</v>
      </c>
      <c r="E50" s="78" t="s">
        <v>12</v>
      </c>
      <c r="G50" s="63">
        <f>IF($E50="Labour",Assumptions!$B$14,)</f>
        <v>0</v>
      </c>
      <c r="H50" s="9" t="str">
        <f t="shared" si="5"/>
        <v>$</v>
      </c>
      <c r="J50" s="81">
        <v>56141</v>
      </c>
      <c r="K50" s="81"/>
      <c r="L50" s="81"/>
      <c r="M50" s="81"/>
      <c r="N50" s="81"/>
      <c r="P50" s="5">
        <f t="shared" si="0"/>
        <v>56141</v>
      </c>
      <c r="Q50" s="5">
        <f t="shared" si="1"/>
        <v>0</v>
      </c>
      <c r="R50" s="5">
        <f t="shared" si="2"/>
        <v>0</v>
      </c>
      <c r="S50" s="5">
        <f t="shared" si="3"/>
        <v>0</v>
      </c>
      <c r="T50" s="5">
        <f t="shared" si="4"/>
        <v>0</v>
      </c>
    </row>
    <row r="51" spans="1:25" ht="12.75" customHeight="1" x14ac:dyDescent="0.2">
      <c r="A51" s="4"/>
      <c r="C51" s="79" t="s">
        <v>71</v>
      </c>
      <c r="D51" s="80" t="s">
        <v>50</v>
      </c>
      <c r="E51" s="78" t="s">
        <v>13</v>
      </c>
      <c r="G51" s="63">
        <f>IF($E51="Labour",Assumptions!$B$14,)</f>
        <v>0</v>
      </c>
      <c r="H51" s="9" t="str">
        <f t="shared" si="5"/>
        <v>$</v>
      </c>
      <c r="J51" s="81">
        <v>23321</v>
      </c>
      <c r="K51" s="81"/>
      <c r="L51" s="81"/>
      <c r="M51" s="81"/>
      <c r="N51" s="81"/>
      <c r="P51" s="5">
        <f t="shared" si="0"/>
        <v>23321</v>
      </c>
      <c r="Q51" s="5">
        <f t="shared" si="1"/>
        <v>0</v>
      </c>
      <c r="R51" s="5">
        <f t="shared" si="2"/>
        <v>0</v>
      </c>
      <c r="S51" s="5">
        <f t="shared" si="3"/>
        <v>0</v>
      </c>
      <c r="T51" s="5">
        <f t="shared" si="4"/>
        <v>0</v>
      </c>
    </row>
    <row r="52" spans="1:25" ht="12.75" customHeight="1" x14ac:dyDescent="0.2">
      <c r="A52" s="4"/>
      <c r="C52" s="79" t="s">
        <v>72</v>
      </c>
      <c r="D52" s="80" t="s">
        <v>50</v>
      </c>
      <c r="E52" s="78" t="s">
        <v>10</v>
      </c>
      <c r="G52" s="63">
        <f>IF($E52="Labour",Assumptions!$B$14,)</f>
        <v>145.77740895836223</v>
      </c>
      <c r="H52" s="9" t="str">
        <f t="shared" si="5"/>
        <v>Hours</v>
      </c>
      <c r="J52" s="81">
        <f>1808518/G52</f>
        <v>12406.023765428285</v>
      </c>
      <c r="K52" s="81"/>
      <c r="L52" s="81"/>
      <c r="M52" s="81"/>
      <c r="N52" s="81"/>
      <c r="P52" s="5">
        <f t="shared" si="0"/>
        <v>1808518</v>
      </c>
      <c r="Q52" s="5">
        <f t="shared" si="1"/>
        <v>0</v>
      </c>
      <c r="R52" s="5">
        <f t="shared" si="2"/>
        <v>0</v>
      </c>
      <c r="S52" s="5">
        <f t="shared" si="3"/>
        <v>0</v>
      </c>
      <c r="T52" s="5">
        <f t="shared" si="4"/>
        <v>0</v>
      </c>
    </row>
    <row r="53" spans="1:25" ht="12.75" customHeight="1" x14ac:dyDescent="0.2">
      <c r="A53" s="4"/>
      <c r="C53" s="79" t="s">
        <v>72</v>
      </c>
      <c r="D53" s="80" t="s">
        <v>50</v>
      </c>
      <c r="E53" s="78" t="s">
        <v>12</v>
      </c>
      <c r="G53" s="63">
        <f>IF($E53="Labour",Assumptions!$B$14,)</f>
        <v>0</v>
      </c>
      <c r="H53" s="9" t="str">
        <f t="shared" si="5"/>
        <v>$</v>
      </c>
      <c r="J53" s="81">
        <f>223865</f>
        <v>223865</v>
      </c>
      <c r="K53" s="81"/>
      <c r="L53" s="81"/>
      <c r="M53" s="81"/>
      <c r="N53" s="81"/>
      <c r="P53" s="5">
        <f t="shared" si="0"/>
        <v>223865</v>
      </c>
      <c r="Q53" s="5">
        <f t="shared" si="1"/>
        <v>0</v>
      </c>
      <c r="R53" s="5">
        <f t="shared" si="2"/>
        <v>0</v>
      </c>
      <c r="S53" s="5">
        <f t="shared" si="3"/>
        <v>0</v>
      </c>
      <c r="T53" s="5">
        <f t="shared" si="4"/>
        <v>0</v>
      </c>
    </row>
    <row r="54" spans="1:25" ht="12.75" customHeight="1" x14ac:dyDescent="0.2">
      <c r="A54" s="4"/>
      <c r="C54" s="79" t="s">
        <v>72</v>
      </c>
      <c r="D54" s="80" t="s">
        <v>50</v>
      </c>
      <c r="E54" s="78" t="s">
        <v>13</v>
      </c>
      <c r="G54" s="63">
        <f>IF($E54="Labour",Assumptions!$B$14,)</f>
        <v>0</v>
      </c>
      <c r="H54" s="9" t="str">
        <f t="shared" si="5"/>
        <v>$</v>
      </c>
      <c r="J54" s="81">
        <v>242817</v>
      </c>
      <c r="K54" s="81"/>
      <c r="L54" s="81"/>
      <c r="M54" s="81"/>
      <c r="N54" s="81"/>
      <c r="P54" s="5">
        <f t="shared" si="0"/>
        <v>242817</v>
      </c>
      <c r="Q54" s="5">
        <f t="shared" si="1"/>
        <v>0</v>
      </c>
      <c r="R54" s="5">
        <f t="shared" si="2"/>
        <v>0</v>
      </c>
      <c r="S54" s="5">
        <f t="shared" si="3"/>
        <v>0</v>
      </c>
      <c r="T54" s="5">
        <f t="shared" si="4"/>
        <v>0</v>
      </c>
    </row>
    <row r="55" spans="1:25" ht="12.75" customHeight="1" x14ac:dyDescent="0.25">
      <c r="F55" s="2"/>
      <c r="I55" s="2"/>
      <c r="O55" s="2"/>
      <c r="Y55"/>
    </row>
    <row r="56" spans="1:25" ht="12.75" customHeight="1" x14ac:dyDescent="0.25">
      <c r="F56" s="2"/>
      <c r="I56" s="2"/>
      <c r="O56" s="2"/>
      <c r="Y56"/>
    </row>
    <row r="57" spans="1:25" ht="12.75" customHeight="1" x14ac:dyDescent="0.25">
      <c r="C57" s="3" t="s">
        <v>64</v>
      </c>
      <c r="F57" s="2"/>
      <c r="I57" s="2"/>
      <c r="O57" s="2"/>
      <c r="P57" s="68" t="s">
        <v>5</v>
      </c>
      <c r="Q57" s="68" t="s">
        <v>6</v>
      </c>
      <c r="R57" s="68" t="s">
        <v>7</v>
      </c>
      <c r="S57" s="68" t="s">
        <v>8</v>
      </c>
      <c r="T57" s="68" t="s">
        <v>9</v>
      </c>
      <c r="U57" s="68" t="s">
        <v>0</v>
      </c>
      <c r="Y57"/>
    </row>
    <row r="58" spans="1:25" ht="12.75" customHeight="1" x14ac:dyDescent="0.2">
      <c r="C58" s="24" t="s">
        <v>10</v>
      </c>
      <c r="D58" s="24" t="s">
        <v>50</v>
      </c>
      <c r="E58" s="24"/>
      <c r="F58" s="2"/>
      <c r="G58" s="65"/>
      <c r="H58" s="66"/>
      <c r="I58" s="2"/>
      <c r="J58" s="24"/>
      <c r="K58" s="24"/>
      <c r="L58" s="24"/>
      <c r="M58" s="24"/>
      <c r="N58" s="24"/>
      <c r="O58" s="2"/>
      <c r="P58" s="25">
        <f>SUMIFS(P$10:P$54,$E$10:$E$54,$C58,$D$10:$D$54,$D58)</f>
        <v>9013462</v>
      </c>
      <c r="Q58" s="25">
        <f t="shared" ref="Q58:T60" si="9">SUMIFS(Q$10:Q$54,$E$10:$E$54,$C58,$D$10:$D$54,$D58)</f>
        <v>7314665</v>
      </c>
      <c r="R58" s="25">
        <f t="shared" si="9"/>
        <v>8122007</v>
      </c>
      <c r="S58" s="25">
        <f t="shared" si="9"/>
        <v>6025863</v>
      </c>
      <c r="T58" s="25">
        <f t="shared" si="9"/>
        <v>8842007</v>
      </c>
      <c r="U58" s="69">
        <f>SUM(P58:T58)</f>
        <v>39318004</v>
      </c>
    </row>
    <row r="59" spans="1:25" ht="12.75" customHeight="1" x14ac:dyDescent="0.2">
      <c r="C59" s="1" t="s">
        <v>12</v>
      </c>
      <c r="D59" s="1" t="s">
        <v>50</v>
      </c>
      <c r="F59" s="2"/>
      <c r="G59" s="67"/>
      <c r="I59" s="2"/>
      <c r="O59" s="2"/>
      <c r="P59" s="6">
        <f t="shared" ref="P59:P60" si="10">SUMIFS(P$10:P$54,$E$10:$E$54,$C59,$D$10:$D$54,$D59)</f>
        <v>1006478.0183999999</v>
      </c>
      <c r="Q59" s="6">
        <f t="shared" si="9"/>
        <v>1059745</v>
      </c>
      <c r="R59" s="6">
        <f t="shared" si="9"/>
        <v>1153467.0183999999</v>
      </c>
      <c r="S59" s="6">
        <f t="shared" si="9"/>
        <v>1100750</v>
      </c>
      <c r="T59" s="6">
        <f t="shared" si="9"/>
        <v>1333467.0183999999</v>
      </c>
      <c r="U59" s="70">
        <f t="shared" ref="U59:U64" si="11">SUM(P59:T59)</f>
        <v>5653907.0551999994</v>
      </c>
    </row>
    <row r="60" spans="1:25" ht="12.75" customHeight="1" x14ac:dyDescent="0.2">
      <c r="C60" s="1" t="s">
        <v>13</v>
      </c>
      <c r="D60" s="1" t="s">
        <v>50</v>
      </c>
      <c r="F60" s="2"/>
      <c r="G60" s="67"/>
      <c r="I60" s="2"/>
      <c r="O60" s="2"/>
      <c r="P60" s="6">
        <f t="shared" si="10"/>
        <v>1993688.3640000001</v>
      </c>
      <c r="Q60" s="6">
        <f t="shared" si="9"/>
        <v>2022578</v>
      </c>
      <c r="R60" s="6">
        <f t="shared" si="9"/>
        <v>2504828.3640000001</v>
      </c>
      <c r="S60" s="6">
        <f t="shared" si="9"/>
        <v>2073300</v>
      </c>
      <c r="T60" s="6">
        <f t="shared" si="9"/>
        <v>2804828.3640000001</v>
      </c>
      <c r="U60" s="70">
        <f t="shared" si="11"/>
        <v>11399223.092</v>
      </c>
    </row>
    <row r="61" spans="1:25" ht="12.75" customHeight="1" x14ac:dyDescent="0.2">
      <c r="C61" s="21" t="s">
        <v>14</v>
      </c>
      <c r="D61" s="21" t="s">
        <v>50</v>
      </c>
      <c r="E61" s="99"/>
      <c r="F61" s="101"/>
      <c r="G61" s="100"/>
      <c r="H61" s="102"/>
      <c r="I61" s="101"/>
      <c r="J61" s="99"/>
      <c r="K61" s="99"/>
      <c r="L61" s="99"/>
      <c r="M61" s="99"/>
      <c r="N61" s="99"/>
      <c r="O61" s="101"/>
      <c r="P61" s="22">
        <f>SUM(P58:P60)</f>
        <v>12013628.3824</v>
      </c>
      <c r="Q61" s="22">
        <f t="shared" ref="Q61:U61" si="12">SUM(Q58:Q60)</f>
        <v>10396988</v>
      </c>
      <c r="R61" s="22">
        <f t="shared" si="12"/>
        <v>11780302.3824</v>
      </c>
      <c r="S61" s="22">
        <f t="shared" si="12"/>
        <v>9199913</v>
      </c>
      <c r="T61" s="22">
        <f t="shared" si="12"/>
        <v>12980302.3824</v>
      </c>
      <c r="U61" s="22">
        <f t="shared" si="12"/>
        <v>56371134.147199996</v>
      </c>
    </row>
    <row r="62" spans="1:25" ht="12.75" customHeight="1" x14ac:dyDescent="0.2">
      <c r="C62" s="1" t="s">
        <v>10</v>
      </c>
      <c r="D62" s="1" t="s">
        <v>47</v>
      </c>
      <c r="F62" s="2"/>
      <c r="G62" s="67"/>
      <c r="I62" s="2"/>
      <c r="O62" s="2"/>
      <c r="P62" s="6">
        <f t="shared" ref="P62:T64" si="13">SUMIFS(P$10:P$54,$E$10:$E$54,$C62,$D$10:$D$54,$D62)</f>
        <v>0</v>
      </c>
      <c r="Q62" s="6">
        <f t="shared" si="13"/>
        <v>0</v>
      </c>
      <c r="R62" s="6">
        <f t="shared" si="13"/>
        <v>0</v>
      </c>
      <c r="S62" s="6">
        <f t="shared" si="13"/>
        <v>0</v>
      </c>
      <c r="T62" s="6">
        <f t="shared" si="13"/>
        <v>0</v>
      </c>
      <c r="U62" s="70">
        <f t="shared" si="11"/>
        <v>0</v>
      </c>
    </row>
    <row r="63" spans="1:25" ht="12.75" customHeight="1" x14ac:dyDescent="0.2">
      <c r="C63" s="1" t="s">
        <v>12</v>
      </c>
      <c r="D63" s="1" t="s">
        <v>47</v>
      </c>
      <c r="F63" s="2"/>
      <c r="G63" s="67"/>
      <c r="I63" s="2"/>
      <c r="O63" s="2"/>
      <c r="P63" s="6">
        <f t="shared" si="13"/>
        <v>0</v>
      </c>
      <c r="Q63" s="6">
        <f t="shared" si="13"/>
        <v>0</v>
      </c>
      <c r="R63" s="6">
        <f t="shared" si="13"/>
        <v>0</v>
      </c>
      <c r="S63" s="6">
        <f t="shared" si="13"/>
        <v>0</v>
      </c>
      <c r="T63" s="6">
        <f t="shared" si="13"/>
        <v>0</v>
      </c>
      <c r="U63" s="70">
        <f t="shared" si="11"/>
        <v>0</v>
      </c>
    </row>
    <row r="64" spans="1:25" ht="12.75" customHeight="1" x14ac:dyDescent="0.2">
      <c r="C64" s="1" t="s">
        <v>13</v>
      </c>
      <c r="D64" s="1" t="s">
        <v>47</v>
      </c>
      <c r="F64" s="2"/>
      <c r="G64" s="67"/>
      <c r="I64" s="2"/>
      <c r="O64" s="2"/>
      <c r="P64" s="6">
        <f t="shared" si="13"/>
        <v>0</v>
      </c>
      <c r="Q64" s="6">
        <f t="shared" si="13"/>
        <v>0</v>
      </c>
      <c r="R64" s="6">
        <f t="shared" si="13"/>
        <v>0</v>
      </c>
      <c r="S64" s="6">
        <f t="shared" si="13"/>
        <v>0</v>
      </c>
      <c r="T64" s="6">
        <f t="shared" si="13"/>
        <v>0</v>
      </c>
      <c r="U64" s="70">
        <f t="shared" si="11"/>
        <v>0</v>
      </c>
    </row>
    <row r="65" spans="3:22" ht="12.75" customHeight="1" x14ac:dyDescent="0.2">
      <c r="C65" s="21" t="s">
        <v>16</v>
      </c>
      <c r="D65" s="21" t="s">
        <v>47</v>
      </c>
      <c r="E65" s="99"/>
      <c r="F65" s="101"/>
      <c r="G65" s="100"/>
      <c r="H65" s="102"/>
      <c r="I65" s="101"/>
      <c r="J65" s="99"/>
      <c r="K65" s="99"/>
      <c r="L65" s="99"/>
      <c r="M65" s="99"/>
      <c r="N65" s="99"/>
      <c r="O65" s="101"/>
      <c r="P65" s="22">
        <f>SUM(P62:P64)</f>
        <v>0</v>
      </c>
      <c r="Q65" s="22">
        <f t="shared" ref="Q65:U65" si="14">SUM(Q62:Q64)</f>
        <v>0</v>
      </c>
      <c r="R65" s="22">
        <f t="shared" si="14"/>
        <v>0</v>
      </c>
      <c r="S65" s="22">
        <f t="shared" si="14"/>
        <v>0</v>
      </c>
      <c r="T65" s="22">
        <f t="shared" si="14"/>
        <v>0</v>
      </c>
      <c r="U65" s="22">
        <f t="shared" si="14"/>
        <v>0</v>
      </c>
    </row>
    <row r="66" spans="3:22" ht="12.75" customHeight="1" x14ac:dyDescent="0.2">
      <c r="F66" s="2"/>
      <c r="G66" s="67"/>
      <c r="I66" s="2"/>
      <c r="O66" s="2"/>
      <c r="P66" s="6"/>
      <c r="Q66" s="6"/>
      <c r="R66" s="6"/>
      <c r="S66" s="6"/>
      <c r="T66" s="6"/>
      <c r="U66" s="70"/>
    </row>
    <row r="67" spans="3:22" ht="12.75" customHeight="1" x14ac:dyDescent="0.2">
      <c r="C67" s="7" t="str">
        <f>"Total Expenditure ($ "&amp;Assumptions!$B$12&amp;")"</f>
        <v>Total Expenditure ($ June 2024)</v>
      </c>
      <c r="D67" s="7" t="s">
        <v>65</v>
      </c>
      <c r="E67" s="7"/>
      <c r="F67" s="2"/>
      <c r="G67" s="7"/>
      <c r="H67" s="10"/>
      <c r="I67" s="2"/>
      <c r="J67" s="7"/>
      <c r="K67" s="7"/>
      <c r="L67" s="7"/>
      <c r="M67" s="7"/>
      <c r="N67" s="7"/>
      <c r="O67" s="2"/>
      <c r="P67" s="8">
        <f>P61+P65</f>
        <v>12013628.3824</v>
      </c>
      <c r="Q67" s="8">
        <f t="shared" ref="Q67:T67" si="15">Q61+Q65</f>
        <v>10396988</v>
      </c>
      <c r="R67" s="8">
        <f t="shared" si="15"/>
        <v>11780302.3824</v>
      </c>
      <c r="S67" s="8">
        <f t="shared" si="15"/>
        <v>9199913</v>
      </c>
      <c r="T67" s="8">
        <f t="shared" si="15"/>
        <v>12980302.3824</v>
      </c>
      <c r="U67" s="71">
        <f t="shared" ref="U67" si="16">SUM(P67:T67)</f>
        <v>56371134.147199996</v>
      </c>
    </row>
    <row r="68" spans="3:22" ht="12.75" customHeight="1" x14ac:dyDescent="0.2">
      <c r="C68" s="46" t="s">
        <v>66</v>
      </c>
      <c r="D68" s="46"/>
      <c r="E68" s="46"/>
      <c r="F68" s="2"/>
      <c r="G68" s="46"/>
      <c r="H68" s="46"/>
      <c r="I68" s="2"/>
      <c r="J68" s="46"/>
      <c r="K68" s="46"/>
      <c r="L68" s="46"/>
      <c r="M68" s="46"/>
      <c r="N68" s="46"/>
      <c r="O68" s="2"/>
      <c r="P68" s="47">
        <f>P67-SUM(P$10:P$54)</f>
        <v>0</v>
      </c>
      <c r="Q68" s="47">
        <f t="shared" ref="Q68:T68" si="17">Q67-SUM(Q$10:Q$54)</f>
        <v>0</v>
      </c>
      <c r="R68" s="47">
        <f t="shared" si="17"/>
        <v>0</v>
      </c>
      <c r="S68" s="47">
        <f t="shared" si="17"/>
        <v>0</v>
      </c>
      <c r="T68" s="47">
        <f t="shared" si="17"/>
        <v>0</v>
      </c>
      <c r="U68" s="47">
        <f>U67-SUM(P$10:T$54)</f>
        <v>0</v>
      </c>
      <c r="V68" s="47">
        <f>SUM(P68:U68)</f>
        <v>0</v>
      </c>
    </row>
    <row r="69" spans="3:22" ht="12.75" customHeight="1" x14ac:dyDescent="0.2">
      <c r="F69" s="2"/>
      <c r="I69" s="2"/>
      <c r="O69" s="2"/>
    </row>
    <row r="70" spans="3:22" ht="12" customHeight="1" x14ac:dyDescent="0.2">
      <c r="C70" s="56" t="str">
        <f>"NPV ($ "&amp;Assumptions!$B$12&amp;")"</f>
        <v>NPV ($ June 2024)</v>
      </c>
      <c r="D70" s="57">
        <f>NPV(Real_Discount_rate,P67:T67)</f>
        <v>50884486.754771814</v>
      </c>
      <c r="F70" s="2"/>
      <c r="I70" s="2"/>
      <c r="O70" s="2"/>
    </row>
    <row r="71" spans="3:22" ht="12.75" customHeight="1" x14ac:dyDescent="0.2">
      <c r="F71" s="2"/>
      <c r="I71" s="2"/>
      <c r="O71" s="2"/>
    </row>
    <row r="72" spans="3:22" ht="12.75" customHeight="1" x14ac:dyDescent="0.2">
      <c r="F72" s="2"/>
      <c r="I72" s="2"/>
      <c r="O72" s="2"/>
    </row>
    <row r="73" spans="3:22" ht="12.75" customHeight="1" x14ac:dyDescent="0.2">
      <c r="C73" s="74" t="s">
        <v>67</v>
      </c>
      <c r="F73" s="2"/>
      <c r="I73" s="2"/>
      <c r="O73" s="2"/>
      <c r="P73" s="68" t="s">
        <v>5</v>
      </c>
      <c r="Q73" s="68" t="s">
        <v>6</v>
      </c>
      <c r="R73" s="68" t="s">
        <v>7</v>
      </c>
      <c r="S73" s="68" t="s">
        <v>8</v>
      </c>
      <c r="T73" s="68" t="s">
        <v>9</v>
      </c>
      <c r="U73" s="68" t="s">
        <v>0</v>
      </c>
    </row>
    <row r="74" spans="3:22" ht="12.75" customHeight="1" x14ac:dyDescent="0.2">
      <c r="C74" s="24" t="s">
        <v>10</v>
      </c>
      <c r="D74" s="24" t="s">
        <v>50</v>
      </c>
      <c r="E74" s="24"/>
      <c r="F74" s="2"/>
      <c r="G74" s="65"/>
      <c r="H74" s="66"/>
      <c r="I74" s="2"/>
      <c r="J74" s="24"/>
      <c r="K74" s="24"/>
      <c r="L74" s="24"/>
      <c r="M74" s="24"/>
      <c r="N74" s="24"/>
      <c r="O74" s="2"/>
      <c r="P74" s="25">
        <f t="shared" ref="P74:T76" si="18">P58*business_case_dollars</f>
        <v>10031195.847795429</v>
      </c>
      <c r="Q74" s="25">
        <f t="shared" si="18"/>
        <v>8140583.1828008546</v>
      </c>
      <c r="R74" s="25">
        <f t="shared" si="18"/>
        <v>9039084.3045841232</v>
      </c>
      <c r="S74" s="25">
        <f t="shared" si="18"/>
        <v>6706259.1382738519</v>
      </c>
      <c r="T74" s="25">
        <f t="shared" si="18"/>
        <v>9840381.4100040719</v>
      </c>
      <c r="U74" s="69">
        <f>SUM(P74:T74)</f>
        <v>43757503.883458331</v>
      </c>
    </row>
    <row r="75" spans="3:22" ht="12.75" customHeight="1" x14ac:dyDescent="0.2">
      <c r="C75" s="1" t="s">
        <v>12</v>
      </c>
      <c r="D75" s="1" t="s">
        <v>50</v>
      </c>
      <c r="F75" s="2"/>
      <c r="G75" s="67"/>
      <c r="I75" s="2"/>
      <c r="O75" s="2"/>
      <c r="P75" s="6">
        <f t="shared" si="18"/>
        <v>1120122.115017676</v>
      </c>
      <c r="Q75" s="6">
        <f t="shared" si="18"/>
        <v>1179403.6124767561</v>
      </c>
      <c r="R75" s="6">
        <f t="shared" si="18"/>
        <v>1283708.032001805</v>
      </c>
      <c r="S75" s="6">
        <f t="shared" si="18"/>
        <v>1225038.5955430686</v>
      </c>
      <c r="T75" s="6">
        <f t="shared" si="18"/>
        <v>1484032.3083567924</v>
      </c>
      <c r="U75" s="70">
        <f t="shared" ref="U75:U76" si="19">SUM(P75:T75)</f>
        <v>6292304.6633960987</v>
      </c>
    </row>
    <row r="76" spans="3:22" ht="12.75" customHeight="1" x14ac:dyDescent="0.2">
      <c r="C76" s="1" t="s">
        <v>13</v>
      </c>
      <c r="D76" s="1" t="s">
        <v>50</v>
      </c>
      <c r="F76" s="2"/>
      <c r="G76" s="67"/>
      <c r="I76" s="2"/>
      <c r="O76" s="2"/>
      <c r="P76" s="6">
        <f t="shared" si="18"/>
        <v>2218800.9933092152</v>
      </c>
      <c r="Q76" s="6">
        <f t="shared" si="18"/>
        <v>2250952.6345639871</v>
      </c>
      <c r="R76" s="6">
        <f t="shared" si="18"/>
        <v>2787655.1633985941</v>
      </c>
      <c r="S76" s="6">
        <f t="shared" si="18"/>
        <v>2307401.7898155297</v>
      </c>
      <c r="T76" s="6">
        <f t="shared" si="18"/>
        <v>3121528.9573235731</v>
      </c>
      <c r="U76" s="70">
        <f t="shared" si="19"/>
        <v>12686339.5384109</v>
      </c>
    </row>
    <row r="77" spans="3:22" ht="12.75" customHeight="1" x14ac:dyDescent="0.2">
      <c r="C77" s="21" t="s">
        <v>14</v>
      </c>
      <c r="D77" s="21" t="s">
        <v>50</v>
      </c>
      <c r="E77" s="99"/>
      <c r="F77" s="101"/>
      <c r="G77" s="100"/>
      <c r="H77" s="102"/>
      <c r="I77" s="101"/>
      <c r="J77" s="99"/>
      <c r="K77" s="99"/>
      <c r="L77" s="99"/>
      <c r="M77" s="99"/>
      <c r="N77" s="99"/>
      <c r="O77" s="101"/>
      <c r="P77" s="22">
        <f>SUM(P74:P76)</f>
        <v>13370118.95612232</v>
      </c>
      <c r="Q77" s="22">
        <f t="shared" ref="Q77:U77" si="20">SUM(Q74:Q76)</f>
        <v>11570939.429841597</v>
      </c>
      <c r="R77" s="22">
        <f t="shared" si="20"/>
        <v>13110447.499984521</v>
      </c>
      <c r="S77" s="22">
        <f t="shared" si="20"/>
        <v>10238699.52363245</v>
      </c>
      <c r="T77" s="22">
        <f t="shared" si="20"/>
        <v>14445942.675684437</v>
      </c>
      <c r="U77" s="22">
        <f t="shared" si="20"/>
        <v>62736148.085265331</v>
      </c>
    </row>
    <row r="78" spans="3:22" ht="12.75" customHeight="1" x14ac:dyDescent="0.2">
      <c r="C78" s="1" t="s">
        <v>10</v>
      </c>
      <c r="D78" s="1" t="s">
        <v>47</v>
      </c>
      <c r="F78" s="2"/>
      <c r="G78" s="67"/>
      <c r="I78" s="2"/>
      <c r="O78" s="2"/>
      <c r="P78" s="25">
        <f t="shared" ref="P78:T80" si="21">P62*business_case_dollars</f>
        <v>0</v>
      </c>
      <c r="Q78" s="25">
        <f t="shared" si="21"/>
        <v>0</v>
      </c>
      <c r="R78" s="25">
        <f t="shared" si="21"/>
        <v>0</v>
      </c>
      <c r="S78" s="25">
        <f t="shared" si="21"/>
        <v>0</v>
      </c>
      <c r="T78" s="25">
        <f t="shared" si="21"/>
        <v>0</v>
      </c>
      <c r="U78" s="69">
        <f>SUM(P78:T78)</f>
        <v>0</v>
      </c>
    </row>
    <row r="79" spans="3:22" ht="12.75" customHeight="1" x14ac:dyDescent="0.2">
      <c r="C79" s="1" t="s">
        <v>12</v>
      </c>
      <c r="D79" s="1" t="s">
        <v>47</v>
      </c>
      <c r="F79" s="2"/>
      <c r="G79" s="67"/>
      <c r="I79" s="2"/>
      <c r="O79" s="2"/>
      <c r="P79" s="6">
        <f t="shared" si="21"/>
        <v>0</v>
      </c>
      <c r="Q79" s="6">
        <f t="shared" si="21"/>
        <v>0</v>
      </c>
      <c r="R79" s="6">
        <f t="shared" si="21"/>
        <v>0</v>
      </c>
      <c r="S79" s="6">
        <f t="shared" si="21"/>
        <v>0</v>
      </c>
      <c r="T79" s="6">
        <f t="shared" si="21"/>
        <v>0</v>
      </c>
      <c r="U79" s="70">
        <f t="shared" ref="U79:U80" si="22">SUM(P79:T79)</f>
        <v>0</v>
      </c>
    </row>
    <row r="80" spans="3:22" ht="12.75" customHeight="1" x14ac:dyDescent="0.2">
      <c r="C80" s="1" t="s">
        <v>13</v>
      </c>
      <c r="D80" s="1" t="s">
        <v>47</v>
      </c>
      <c r="F80" s="2"/>
      <c r="G80" s="67"/>
      <c r="I80" s="2"/>
      <c r="O80" s="2"/>
      <c r="P80" s="6">
        <f t="shared" si="21"/>
        <v>0</v>
      </c>
      <c r="Q80" s="6">
        <f t="shared" si="21"/>
        <v>0</v>
      </c>
      <c r="R80" s="6">
        <f t="shared" si="21"/>
        <v>0</v>
      </c>
      <c r="S80" s="6">
        <f t="shared" si="21"/>
        <v>0</v>
      </c>
      <c r="T80" s="6">
        <f t="shared" si="21"/>
        <v>0</v>
      </c>
      <c r="U80" s="70">
        <f t="shared" si="22"/>
        <v>0</v>
      </c>
    </row>
    <row r="81" spans="3:22" ht="12.75" customHeight="1" x14ac:dyDescent="0.2">
      <c r="C81" s="21" t="s">
        <v>16</v>
      </c>
      <c r="D81" s="21" t="s">
        <v>47</v>
      </c>
      <c r="E81" s="99"/>
      <c r="F81" s="101"/>
      <c r="G81" s="100"/>
      <c r="H81" s="102"/>
      <c r="I81" s="101"/>
      <c r="J81" s="99"/>
      <c r="K81" s="99"/>
      <c r="L81" s="99"/>
      <c r="M81" s="99"/>
      <c r="N81" s="99"/>
      <c r="O81" s="101"/>
      <c r="P81" s="22">
        <f>SUM(P78:P80)</f>
        <v>0</v>
      </c>
      <c r="Q81" s="22">
        <f t="shared" ref="Q81:U81" si="23">SUM(Q78:Q80)</f>
        <v>0</v>
      </c>
      <c r="R81" s="22">
        <f t="shared" si="23"/>
        <v>0</v>
      </c>
      <c r="S81" s="22">
        <f t="shared" si="23"/>
        <v>0</v>
      </c>
      <c r="T81" s="22">
        <f t="shared" si="23"/>
        <v>0</v>
      </c>
      <c r="U81" s="22">
        <f t="shared" si="23"/>
        <v>0</v>
      </c>
    </row>
    <row r="82" spans="3:22" ht="12.75" customHeight="1" x14ac:dyDescent="0.2">
      <c r="F82" s="2"/>
      <c r="G82" s="67"/>
      <c r="I82" s="2"/>
      <c r="O82" s="2"/>
      <c r="P82" s="6"/>
      <c r="Q82" s="6"/>
      <c r="R82" s="6"/>
      <c r="S82" s="6"/>
      <c r="T82" s="6"/>
      <c r="U82" s="70"/>
    </row>
    <row r="83" spans="3:22" x14ac:dyDescent="0.2">
      <c r="C83" s="7" t="str">
        <f>"Total Expenditure ($ "&amp;Assumptions!$C$36&amp;")"</f>
        <v>Total Expenditure ($ June 2026)</v>
      </c>
      <c r="D83" s="7" t="s">
        <v>65</v>
      </c>
      <c r="E83" s="7"/>
      <c r="F83" s="2"/>
      <c r="G83" s="7"/>
      <c r="H83" s="10"/>
      <c r="I83" s="2"/>
      <c r="J83" s="7"/>
      <c r="K83" s="7"/>
      <c r="L83" s="7"/>
      <c r="M83" s="7"/>
      <c r="N83" s="7"/>
      <c r="O83" s="2"/>
      <c r="P83" s="8">
        <f>P77+P81</f>
        <v>13370118.95612232</v>
      </c>
      <c r="Q83" s="8">
        <f t="shared" ref="Q83:T83" si="24">Q77+Q81</f>
        <v>11570939.429841597</v>
      </c>
      <c r="R83" s="8">
        <f t="shared" si="24"/>
        <v>13110447.499984521</v>
      </c>
      <c r="S83" s="8">
        <f t="shared" si="24"/>
        <v>10238699.52363245</v>
      </c>
      <c r="T83" s="8">
        <f t="shared" si="24"/>
        <v>14445942.675684437</v>
      </c>
      <c r="U83" s="71">
        <f t="shared" ref="U83" si="25">SUM(P83:T83)</f>
        <v>62736148.085265324</v>
      </c>
    </row>
    <row r="84" spans="3:22" x14ac:dyDescent="0.2">
      <c r="F84" s="2"/>
      <c r="I84" s="2"/>
      <c r="O84" s="2"/>
      <c r="P84" s="47">
        <f>SUM(P10:P54)*business_case_dollars-P83</f>
        <v>0</v>
      </c>
      <c r="Q84" s="47">
        <f>SUM(Q10:Q54)*business_case_dollars-Q83</f>
        <v>0</v>
      </c>
      <c r="R84" s="47">
        <f>SUM(R10:R54)*business_case_dollars-R83</f>
        <v>0</v>
      </c>
      <c r="S84" s="47">
        <f>SUM(S10:S54)*business_case_dollars-S83</f>
        <v>0</v>
      </c>
      <c r="T84" s="47">
        <f>SUM(T10:T54)*business_case_dollars-T83</f>
        <v>0</v>
      </c>
      <c r="U84" s="47">
        <f>SUM(P10:T54)*business_case_dollars-U83</f>
        <v>0</v>
      </c>
      <c r="V84" s="47">
        <f>SUM(P84:U84)</f>
        <v>0</v>
      </c>
    </row>
    <row r="85" spans="3:22" x14ac:dyDescent="0.2">
      <c r="C85" s="56" t="str">
        <f>"NPV ($ "&amp;Assumptions!$C$36&amp;")"</f>
        <v>NPV ($ June 2026)</v>
      </c>
      <c r="D85" s="57">
        <f>NPV(Real_Discount_rate,P83:T83)</f>
        <v>56629988.815803342</v>
      </c>
      <c r="F85" s="2"/>
      <c r="I85" s="2"/>
      <c r="O85" s="2"/>
      <c r="P85" s="53"/>
      <c r="Q85" s="53"/>
      <c r="R85" s="53"/>
      <c r="S85" s="53"/>
      <c r="T85" s="53"/>
    </row>
  </sheetData>
  <conditionalFormatting sqref="G10:G54">
    <cfRule type="expression" dxfId="6" priority="7">
      <formula>$E10="Contracts"</formula>
    </cfRule>
    <cfRule type="expression" dxfId="5" priority="8">
      <formula>$E10="Materials"</formula>
    </cfRule>
    <cfRule type="expression" dxfId="4" priority="9">
      <formula>$E10="Labour"</formula>
    </cfRule>
  </conditionalFormatting>
  <conditionalFormatting sqref="P68:U68">
    <cfRule type="expression" dxfId="3" priority="1">
      <formula>ABS(P68)&gt;0.001</formula>
    </cfRule>
  </conditionalFormatting>
  <conditionalFormatting sqref="P84:U84">
    <cfRule type="expression" dxfId="2" priority="3">
      <formula>ABS(P84)&gt;0.001</formula>
    </cfRule>
  </conditionalFormatting>
  <conditionalFormatting sqref="V68">
    <cfRule type="expression" dxfId="1" priority="13">
      <formula>ABS(V68)&gt;0.001</formula>
    </cfRule>
  </conditionalFormatting>
  <conditionalFormatting sqref="V84">
    <cfRule type="expression" dxfId="0" priority="4">
      <formula>ABS(V84)&gt;0.001</formula>
    </cfRule>
  </conditionalFormatting>
  <dataValidations count="2">
    <dataValidation type="list" allowBlank="1" showInputMessage="1" showErrorMessage="1" sqref="E10:E54" xr:uid="{26E538AD-3FEB-49D4-AC67-0B06E2C98B23}">
      <formula1>"Labour, Materials, Contracts"</formula1>
    </dataValidation>
    <dataValidation type="list" allowBlank="1" showInputMessage="1" showErrorMessage="1" sqref="D10:D54" xr:uid="{FDE84A56-F23B-44AC-8FE1-49E4963B7378}">
      <formula1>"Capex, Opex"</formula1>
    </dataValidation>
  </dataValidations>
  <pageMargins left="0.7" right="0.7" top="0.75" bottom="0.75" header="0.3" footer="0.3"/>
  <pageSetup paperSize="9" orientation="portrait" r:id="rId1"/>
  <ignoredErrors>
    <ignoredError sqref="P61:T61 P77:U77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Cover</vt:lpstr>
      <vt:lpstr>Powercor summary</vt:lpstr>
      <vt:lpstr>Project summary</vt:lpstr>
      <vt:lpstr>Assumptions</vt:lpstr>
      <vt:lpstr>Option 1</vt:lpstr>
      <vt:lpstr>Option 2</vt:lpstr>
      <vt:lpstr>Option 3</vt:lpstr>
      <vt:lpstr>Business</vt:lpstr>
      <vt:lpstr>business_case_dollars</vt:lpstr>
      <vt:lpstr>'Project summary'!Print_Area</vt:lpstr>
      <vt:lpstr>Project_name</vt:lpstr>
      <vt:lpstr>Real_Discount_rate</vt:lpstr>
      <vt:lpstr>'Option 1'!years</vt:lpstr>
      <vt:lpstr>'Option 2'!years</vt:lpstr>
      <vt:lpstr>'Option 3'!years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2025-01-17T03:38:18Z</dcterms:created>
  <dcterms:modified xsi:type="dcterms:W3CDTF">2025-01-21T03:53:53Z</dcterms:modified>
  <cp:category/>
  <cp:contentStatus/>
</cp:coreProperties>
</file>