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75574B74-66F0-4475-A728-1A8E15387317}" xr6:coauthVersionLast="47" xr6:coauthVersionMax="47" xr10:uidLastSave="{00000000-0000-0000-0000-000000000000}"/>
  <bookViews>
    <workbookView xWindow="28680" yWindow="-105" windowWidth="29040" windowHeight="15720" tabRatio="896" xr2:uid="{00000000-000D-0000-FFFF-FFFF00000000}"/>
  </bookViews>
  <sheets>
    <sheet name="Cover" sheetId="96" r:id="rId1"/>
    <sheet name="Powercor summary" sheetId="95" r:id="rId2"/>
    <sheet name="Project summary" sheetId="82" r:id="rId3"/>
    <sheet name="Assumptions" sheetId="74" r:id="rId4"/>
    <sheet name="Option 1" sheetId="79" r:id="rId5"/>
    <sheet name="Option 2" sheetId="90" r:id="rId6"/>
    <sheet name="Option 3" sheetId="89" r:id="rId7"/>
  </sheets>
  <definedNames>
    <definedName name="Business">Assumptions!$B$8</definedName>
    <definedName name="business_case_dollars">Assumptions!$C$37</definedName>
    <definedName name="_xlnm.Print_Area" localSheetId="2">'Project summary'!$A$1:$J$53</definedName>
    <definedName name="Project_name">Assumptions!$B$6</definedName>
    <definedName name="Real_Discount_rate">Assumptions!$B$10</definedName>
    <definedName name="years" localSheetId="4">'Option 1'!$Q$8:$U$8</definedName>
    <definedName name="years" localSheetId="5">'Option 2'!$Q$8:$U$8</definedName>
    <definedName name="years" localSheetId="6">'Option 3'!$Q$8:$U$8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6" l="1" a="1"/>
  <c r="D6" i="96" s="1"/>
  <c r="C5" i="96" a="1"/>
  <c r="C5" i="96" s="1"/>
  <c r="D6" i="95"/>
  <c r="C167" i="89"/>
  <c r="C157" i="90"/>
  <c r="C157" i="79"/>
  <c r="A3" i="95"/>
  <c r="A1" i="95"/>
  <c r="O78" i="89"/>
  <c r="N78" i="89"/>
  <c r="M78" i="89"/>
  <c r="L78" i="89"/>
  <c r="K78" i="89"/>
  <c r="K13" i="95" l="1"/>
  <c r="K77" i="89"/>
  <c r="O76" i="89"/>
  <c r="N76" i="89"/>
  <c r="M76" i="89"/>
  <c r="L76" i="89"/>
  <c r="K76" i="89"/>
  <c r="O74" i="89"/>
  <c r="N74" i="89"/>
  <c r="M74" i="89"/>
  <c r="L74" i="89"/>
  <c r="K74" i="89"/>
  <c r="O73" i="89"/>
  <c r="N73" i="89"/>
  <c r="M73" i="89"/>
  <c r="L73" i="89"/>
  <c r="K73" i="89"/>
  <c r="K24" i="95" l="1"/>
  <c r="K35" i="95"/>
  <c r="H96" i="89"/>
  <c r="H95" i="89"/>
  <c r="H94" i="89"/>
  <c r="H92" i="89"/>
  <c r="U90" i="89" l="1"/>
  <c r="U92" i="89"/>
  <c r="U94" i="89"/>
  <c r="U95" i="89"/>
  <c r="U96" i="89"/>
  <c r="U97" i="89"/>
  <c r="U98" i="89"/>
  <c r="U99" i="89"/>
  <c r="U100" i="89"/>
  <c r="T90" i="89"/>
  <c r="T92" i="89"/>
  <c r="T94" i="89"/>
  <c r="T95" i="89"/>
  <c r="T96" i="89"/>
  <c r="T97" i="89"/>
  <c r="T98" i="89"/>
  <c r="T99" i="89"/>
  <c r="T100" i="89"/>
  <c r="S90" i="89"/>
  <c r="S92" i="89"/>
  <c r="S94" i="89"/>
  <c r="S95" i="89"/>
  <c r="S96" i="89"/>
  <c r="S97" i="89"/>
  <c r="S98" i="89"/>
  <c r="S99" i="89"/>
  <c r="S100" i="89"/>
  <c r="R90" i="89"/>
  <c r="R92" i="89"/>
  <c r="R94" i="89"/>
  <c r="R95" i="89"/>
  <c r="R96" i="89"/>
  <c r="R97" i="89"/>
  <c r="R98" i="89"/>
  <c r="R99" i="89"/>
  <c r="R100" i="89"/>
  <c r="Q90" i="89"/>
  <c r="Q92" i="89"/>
  <c r="Q94" i="89"/>
  <c r="Q95" i="89"/>
  <c r="Q96" i="89"/>
  <c r="Q97" i="89"/>
  <c r="Q98" i="89"/>
  <c r="Q99" i="89"/>
  <c r="Q100" i="89"/>
  <c r="O42" i="89" l="1"/>
  <c r="N42" i="89"/>
  <c r="M42" i="89"/>
  <c r="L42" i="89"/>
  <c r="K42" i="89"/>
  <c r="O40" i="89"/>
  <c r="N40" i="89"/>
  <c r="M40" i="89"/>
  <c r="L40" i="89"/>
  <c r="K40" i="89"/>
  <c r="O39" i="89"/>
  <c r="N39" i="89"/>
  <c r="M39" i="89"/>
  <c r="L39" i="89"/>
  <c r="K39" i="89"/>
  <c r="O37" i="89"/>
  <c r="N37" i="89"/>
  <c r="M37" i="89"/>
  <c r="L37" i="89"/>
  <c r="K37" i="89"/>
  <c r="N33" i="89"/>
  <c r="K33" i="89"/>
  <c r="N32" i="89"/>
  <c r="K32" i="89"/>
  <c r="N31" i="89"/>
  <c r="K31" i="89"/>
  <c r="N29" i="89"/>
  <c r="K29" i="89"/>
  <c r="N28" i="89"/>
  <c r="K28" i="89"/>
  <c r="O27" i="89"/>
  <c r="M27" i="89"/>
  <c r="K27" i="89"/>
  <c r="O25" i="89"/>
  <c r="M25" i="89"/>
  <c r="K25" i="89"/>
  <c r="O24" i="89"/>
  <c r="N24" i="89"/>
  <c r="M24" i="89"/>
  <c r="L24" i="89"/>
  <c r="K24" i="89"/>
  <c r="O22" i="89"/>
  <c r="N22" i="89"/>
  <c r="M22" i="89"/>
  <c r="L22" i="89"/>
  <c r="K22" i="89"/>
  <c r="L21" i="89"/>
  <c r="K21" i="89"/>
  <c r="K20" i="89"/>
  <c r="K19" i="89"/>
  <c r="M18" i="89"/>
  <c r="K18" i="89"/>
  <c r="M16" i="89"/>
  <c r="K16" i="89"/>
  <c r="M15" i="89"/>
  <c r="K15" i="89"/>
  <c r="M14" i="89"/>
  <c r="K14" i="89"/>
  <c r="M13" i="89"/>
  <c r="K13" i="89"/>
  <c r="O12" i="89"/>
  <c r="N12" i="89"/>
  <c r="M12" i="89"/>
  <c r="L12" i="89"/>
  <c r="K12" i="89"/>
  <c r="O10" i="89"/>
  <c r="N10" i="89"/>
  <c r="M10" i="89"/>
  <c r="L10" i="89"/>
  <c r="K10" i="89"/>
  <c r="K62" i="90" l="1"/>
  <c r="O61" i="90"/>
  <c r="N61" i="90"/>
  <c r="M61" i="90"/>
  <c r="L61" i="90"/>
  <c r="K61" i="90"/>
  <c r="O59" i="90"/>
  <c r="N59" i="90"/>
  <c r="M59" i="90"/>
  <c r="L59" i="90"/>
  <c r="K59" i="90"/>
  <c r="O58" i="90"/>
  <c r="N58" i="90"/>
  <c r="M58" i="90"/>
  <c r="L58" i="90"/>
  <c r="K58" i="90"/>
  <c r="O42" i="90"/>
  <c r="N42" i="90"/>
  <c r="M42" i="90"/>
  <c r="L42" i="90"/>
  <c r="K42" i="90"/>
  <c r="O40" i="90"/>
  <c r="N40" i="90"/>
  <c r="M40" i="90"/>
  <c r="L40" i="90"/>
  <c r="K40" i="90"/>
  <c r="O39" i="90"/>
  <c r="N39" i="90"/>
  <c r="M39" i="90"/>
  <c r="L39" i="90"/>
  <c r="K39" i="90"/>
  <c r="O37" i="90"/>
  <c r="N37" i="90"/>
  <c r="M37" i="90"/>
  <c r="L37" i="90"/>
  <c r="K37" i="90"/>
  <c r="N33" i="90"/>
  <c r="K33" i="90"/>
  <c r="N32" i="90"/>
  <c r="K32" i="90"/>
  <c r="N31" i="90"/>
  <c r="K31" i="90"/>
  <c r="N29" i="90"/>
  <c r="K29" i="90"/>
  <c r="N28" i="90"/>
  <c r="K28" i="90"/>
  <c r="O27" i="90"/>
  <c r="M27" i="90"/>
  <c r="O25" i="90"/>
  <c r="M25" i="90"/>
  <c r="O24" i="90"/>
  <c r="N24" i="90"/>
  <c r="M24" i="90"/>
  <c r="L24" i="90"/>
  <c r="K24" i="90"/>
  <c r="O22" i="90"/>
  <c r="N22" i="90"/>
  <c r="M22" i="90"/>
  <c r="L22" i="90"/>
  <c r="K22" i="90"/>
  <c r="L21" i="90"/>
  <c r="K21" i="90"/>
  <c r="K20" i="90"/>
  <c r="K19" i="90"/>
  <c r="M18" i="90"/>
  <c r="K18" i="90"/>
  <c r="M16" i="90"/>
  <c r="K16" i="90"/>
  <c r="M15" i="90"/>
  <c r="K15" i="90"/>
  <c r="M14" i="90"/>
  <c r="K14" i="90"/>
  <c r="M13" i="90"/>
  <c r="K13" i="90"/>
  <c r="O12" i="90"/>
  <c r="N12" i="90"/>
  <c r="M12" i="90"/>
  <c r="L12" i="90"/>
  <c r="K12" i="90"/>
  <c r="O10" i="90"/>
  <c r="N10" i="90"/>
  <c r="M10" i="90"/>
  <c r="L10" i="90"/>
  <c r="K10" i="90"/>
  <c r="O51" i="79"/>
  <c r="N51" i="79"/>
  <c r="M51" i="79"/>
  <c r="L51" i="79"/>
  <c r="K51" i="79"/>
  <c r="O47" i="79"/>
  <c r="N47" i="79"/>
  <c r="M47" i="79"/>
  <c r="L47" i="79"/>
  <c r="K47" i="79"/>
  <c r="O46" i="79"/>
  <c r="N46" i="79"/>
  <c r="M46" i="79"/>
  <c r="L46" i="79"/>
  <c r="K46" i="79"/>
  <c r="O42" i="79"/>
  <c r="N42" i="79"/>
  <c r="M42" i="79"/>
  <c r="L42" i="79"/>
  <c r="K42" i="79"/>
  <c r="O40" i="79"/>
  <c r="N40" i="79"/>
  <c r="M40" i="79"/>
  <c r="L40" i="79"/>
  <c r="K40" i="79"/>
  <c r="O39" i="79"/>
  <c r="N39" i="79"/>
  <c r="M39" i="79"/>
  <c r="L39" i="79"/>
  <c r="K39" i="79"/>
  <c r="O37" i="79"/>
  <c r="N37" i="79"/>
  <c r="M37" i="79"/>
  <c r="L37" i="79"/>
  <c r="K37" i="79"/>
  <c r="O24" i="79"/>
  <c r="N24" i="79"/>
  <c r="M24" i="79"/>
  <c r="L24" i="79"/>
  <c r="K24" i="79"/>
  <c r="O22" i="79"/>
  <c r="N22" i="79"/>
  <c r="M22" i="79"/>
  <c r="L22" i="79"/>
  <c r="K22" i="79"/>
  <c r="L21" i="79"/>
  <c r="K21" i="79"/>
  <c r="K20" i="79"/>
  <c r="K19" i="79"/>
  <c r="O12" i="79"/>
  <c r="N12" i="79"/>
  <c r="M12" i="79"/>
  <c r="L12" i="79"/>
  <c r="K12" i="79"/>
  <c r="O10" i="79"/>
  <c r="N10" i="79"/>
  <c r="M10" i="79"/>
  <c r="L10" i="79"/>
  <c r="K10" i="79"/>
  <c r="B14" i="74" l="1"/>
  <c r="H71" i="90" s="1"/>
  <c r="U88" i="89"/>
  <c r="T88" i="89"/>
  <c r="S88" i="89"/>
  <c r="R88" i="89"/>
  <c r="Q88" i="89"/>
  <c r="I88" i="89"/>
  <c r="H88" i="89"/>
  <c r="U88" i="90"/>
  <c r="T88" i="90"/>
  <c r="S88" i="90"/>
  <c r="R88" i="90"/>
  <c r="Q88" i="90"/>
  <c r="I88" i="90"/>
  <c r="H88" i="90"/>
  <c r="U87" i="79"/>
  <c r="T87" i="79"/>
  <c r="S87" i="79"/>
  <c r="R87" i="79"/>
  <c r="Q87" i="79"/>
  <c r="I87" i="79"/>
  <c r="H87" i="79"/>
  <c r="U77" i="79"/>
  <c r="T77" i="79"/>
  <c r="S77" i="79"/>
  <c r="R77" i="79"/>
  <c r="Q77" i="79"/>
  <c r="I77" i="79"/>
  <c r="H77" i="79"/>
  <c r="U76" i="79"/>
  <c r="T76" i="79"/>
  <c r="S76" i="79"/>
  <c r="R76" i="79"/>
  <c r="Q76" i="79"/>
  <c r="I76" i="79"/>
  <c r="H76" i="79"/>
  <c r="U75" i="79"/>
  <c r="T75" i="79"/>
  <c r="S75" i="79"/>
  <c r="R75" i="79"/>
  <c r="Q75" i="79"/>
  <c r="I75" i="79"/>
  <c r="H75" i="79"/>
  <c r="U74" i="79"/>
  <c r="T74" i="79"/>
  <c r="S74" i="79"/>
  <c r="R74" i="79"/>
  <c r="Q74" i="79"/>
  <c r="I74" i="79"/>
  <c r="H74" i="79"/>
  <c r="U73" i="79"/>
  <c r="T73" i="79"/>
  <c r="S73" i="79"/>
  <c r="R73" i="79"/>
  <c r="Q73" i="79"/>
  <c r="I73" i="79"/>
  <c r="H73" i="79"/>
  <c r="U72" i="79"/>
  <c r="T72" i="79"/>
  <c r="S72" i="79"/>
  <c r="R72" i="79"/>
  <c r="Q72" i="79"/>
  <c r="I72" i="79"/>
  <c r="H72" i="79"/>
  <c r="U71" i="79"/>
  <c r="T71" i="79"/>
  <c r="S71" i="79"/>
  <c r="R71" i="79"/>
  <c r="Q71" i="79"/>
  <c r="I71" i="79"/>
  <c r="H71" i="79"/>
  <c r="U70" i="79"/>
  <c r="T70" i="79"/>
  <c r="S70" i="79"/>
  <c r="R70" i="79"/>
  <c r="Q70" i="79"/>
  <c r="I70" i="79"/>
  <c r="H70" i="79"/>
  <c r="U69" i="79"/>
  <c r="T69" i="79"/>
  <c r="S69" i="79"/>
  <c r="R69" i="79"/>
  <c r="Q69" i="79"/>
  <c r="I69" i="79"/>
  <c r="H69" i="79"/>
  <c r="U68" i="79"/>
  <c r="T68" i="79"/>
  <c r="S68" i="79"/>
  <c r="R68" i="79"/>
  <c r="Q68" i="79"/>
  <c r="I68" i="79"/>
  <c r="H68" i="79"/>
  <c r="U67" i="79"/>
  <c r="T67" i="79"/>
  <c r="S67" i="79"/>
  <c r="R67" i="79"/>
  <c r="Q67" i="79"/>
  <c r="I67" i="79"/>
  <c r="H67" i="79"/>
  <c r="I77" i="90"/>
  <c r="U76" i="90"/>
  <c r="T76" i="90"/>
  <c r="I76" i="90"/>
  <c r="H76" i="90"/>
  <c r="I75" i="90"/>
  <c r="H75" i="90"/>
  <c r="U74" i="90"/>
  <c r="S74" i="90"/>
  <c r="R74" i="90"/>
  <c r="I74" i="90"/>
  <c r="H74" i="90"/>
  <c r="T74" i="90" s="1"/>
  <c r="I73" i="90"/>
  <c r="H73" i="90"/>
  <c r="T73" i="90" s="1"/>
  <c r="S72" i="90"/>
  <c r="Q72" i="90"/>
  <c r="I72" i="90"/>
  <c r="H72" i="90"/>
  <c r="U72" i="90" s="1"/>
  <c r="I71" i="90"/>
  <c r="I70" i="90"/>
  <c r="H70" i="90"/>
  <c r="I69" i="90"/>
  <c r="U68" i="90"/>
  <c r="T68" i="90"/>
  <c r="I68" i="90"/>
  <c r="H68" i="90"/>
  <c r="I67" i="90"/>
  <c r="H67" i="90"/>
  <c r="I77" i="89"/>
  <c r="H77" i="89"/>
  <c r="I76" i="89"/>
  <c r="I75" i="89"/>
  <c r="H75" i="89"/>
  <c r="U74" i="89"/>
  <c r="T74" i="89"/>
  <c r="S74" i="89"/>
  <c r="R74" i="89"/>
  <c r="Q74" i="89"/>
  <c r="I74" i="89"/>
  <c r="H74" i="89"/>
  <c r="I73" i="89"/>
  <c r="I72" i="89"/>
  <c r="I71" i="89"/>
  <c r="I70" i="89"/>
  <c r="I69" i="89"/>
  <c r="H69" i="89"/>
  <c r="I68" i="89"/>
  <c r="H68" i="89"/>
  <c r="I67" i="89"/>
  <c r="U39" i="79"/>
  <c r="T39" i="79"/>
  <c r="S39" i="79"/>
  <c r="R39" i="79"/>
  <c r="Q39" i="79"/>
  <c r="I39" i="79"/>
  <c r="H39" i="79"/>
  <c r="U38" i="79"/>
  <c r="T38" i="79"/>
  <c r="S38" i="79"/>
  <c r="R38" i="79"/>
  <c r="Q38" i="79"/>
  <c r="I38" i="79"/>
  <c r="H38" i="79"/>
  <c r="I37" i="79"/>
  <c r="U36" i="79"/>
  <c r="T36" i="79"/>
  <c r="S36" i="79"/>
  <c r="R36" i="79"/>
  <c r="Q36" i="79"/>
  <c r="I36" i="79"/>
  <c r="H36" i="79"/>
  <c r="U35" i="79"/>
  <c r="T35" i="79"/>
  <c r="S35" i="79"/>
  <c r="R35" i="79"/>
  <c r="Q35" i="79"/>
  <c r="I35" i="79"/>
  <c r="H35" i="79"/>
  <c r="I34" i="79"/>
  <c r="U33" i="79"/>
  <c r="T33" i="79"/>
  <c r="S33" i="79"/>
  <c r="R33" i="79"/>
  <c r="Q33" i="79"/>
  <c r="I33" i="79"/>
  <c r="H33" i="79"/>
  <c r="U32" i="79"/>
  <c r="T32" i="79"/>
  <c r="S32" i="79"/>
  <c r="R32" i="79"/>
  <c r="Q32" i="79"/>
  <c r="I32" i="79"/>
  <c r="H32" i="79"/>
  <c r="I31" i="79"/>
  <c r="U30" i="79"/>
  <c r="T30" i="79"/>
  <c r="S30" i="79"/>
  <c r="R30" i="79"/>
  <c r="Q30" i="79"/>
  <c r="I30" i="79"/>
  <c r="H30" i="79"/>
  <c r="U29" i="79"/>
  <c r="T29" i="79"/>
  <c r="S29" i="79"/>
  <c r="R29" i="79"/>
  <c r="Q29" i="79"/>
  <c r="I29" i="79"/>
  <c r="H29" i="79"/>
  <c r="I28" i="79"/>
  <c r="H28" i="79"/>
  <c r="S28" i="79" s="1"/>
  <c r="U27" i="79"/>
  <c r="T27" i="79"/>
  <c r="S27" i="79"/>
  <c r="R27" i="79"/>
  <c r="Q27" i="79"/>
  <c r="I27" i="79"/>
  <c r="H27" i="79"/>
  <c r="U26" i="79"/>
  <c r="T26" i="79"/>
  <c r="S26" i="79"/>
  <c r="R26" i="79"/>
  <c r="Q26" i="79"/>
  <c r="I26" i="79"/>
  <c r="H26" i="79"/>
  <c r="I25" i="79"/>
  <c r="U24" i="79"/>
  <c r="T24" i="79"/>
  <c r="S24" i="79"/>
  <c r="R24" i="79"/>
  <c r="Q24" i="79"/>
  <c r="I24" i="79"/>
  <c r="H24" i="79"/>
  <c r="U23" i="79"/>
  <c r="T23" i="79"/>
  <c r="S23" i="79"/>
  <c r="R23" i="79"/>
  <c r="Q23" i="79"/>
  <c r="I23" i="79"/>
  <c r="H23" i="79"/>
  <c r="I22" i="79"/>
  <c r="U21" i="79"/>
  <c r="T21" i="79"/>
  <c r="S21" i="79"/>
  <c r="R21" i="79"/>
  <c r="Q21" i="79"/>
  <c r="I21" i="79"/>
  <c r="H21" i="79"/>
  <c r="U20" i="79"/>
  <c r="T20" i="79"/>
  <c r="S20" i="79"/>
  <c r="R20" i="79"/>
  <c r="Q20" i="79"/>
  <c r="I20" i="79"/>
  <c r="H20" i="79"/>
  <c r="I19" i="79"/>
  <c r="H19" i="79"/>
  <c r="Q19" i="79" s="1"/>
  <c r="U18" i="79"/>
  <c r="T18" i="79"/>
  <c r="S18" i="79"/>
  <c r="R18" i="79"/>
  <c r="Q18" i="79"/>
  <c r="I18" i="79"/>
  <c r="H18" i="79"/>
  <c r="U17" i="79"/>
  <c r="T17" i="79"/>
  <c r="S17" i="79"/>
  <c r="R17" i="79"/>
  <c r="Q17" i="79"/>
  <c r="I17" i="79"/>
  <c r="H17" i="79"/>
  <c r="I16" i="79"/>
  <c r="U39" i="90"/>
  <c r="T39" i="90"/>
  <c r="S39" i="90"/>
  <c r="R39" i="90"/>
  <c r="Q39" i="90"/>
  <c r="I39" i="90"/>
  <c r="H39" i="90"/>
  <c r="U38" i="90"/>
  <c r="T38" i="90"/>
  <c r="S38" i="90"/>
  <c r="R38" i="90"/>
  <c r="Q38" i="90"/>
  <c r="I38" i="90"/>
  <c r="H38" i="90"/>
  <c r="I37" i="90"/>
  <c r="U36" i="90"/>
  <c r="T36" i="90"/>
  <c r="S36" i="90"/>
  <c r="R36" i="90"/>
  <c r="Q36" i="90"/>
  <c r="I36" i="90"/>
  <c r="H36" i="90"/>
  <c r="U35" i="90"/>
  <c r="T35" i="90"/>
  <c r="S35" i="90"/>
  <c r="R35" i="90"/>
  <c r="Q35" i="90"/>
  <c r="I35" i="90"/>
  <c r="H35" i="90"/>
  <c r="I34" i="90"/>
  <c r="U33" i="90"/>
  <c r="T33" i="90"/>
  <c r="S33" i="90"/>
  <c r="R33" i="90"/>
  <c r="Q33" i="90"/>
  <c r="I33" i="90"/>
  <c r="H33" i="90"/>
  <c r="U32" i="90"/>
  <c r="T32" i="90"/>
  <c r="S32" i="90"/>
  <c r="R32" i="90"/>
  <c r="Q32" i="90"/>
  <c r="I32" i="90"/>
  <c r="H32" i="90"/>
  <c r="I31" i="90"/>
  <c r="U30" i="90"/>
  <c r="T30" i="90"/>
  <c r="S30" i="90"/>
  <c r="R30" i="90"/>
  <c r="Q30" i="90"/>
  <c r="I30" i="90"/>
  <c r="H30" i="90"/>
  <c r="U29" i="90"/>
  <c r="T29" i="90"/>
  <c r="S29" i="90"/>
  <c r="R29" i="90"/>
  <c r="Q29" i="90"/>
  <c r="I29" i="90"/>
  <c r="H29" i="90"/>
  <c r="I28" i="90"/>
  <c r="H28" i="90"/>
  <c r="U28" i="90" s="1"/>
  <c r="U27" i="90"/>
  <c r="T27" i="90"/>
  <c r="S27" i="90"/>
  <c r="R27" i="90"/>
  <c r="Q27" i="90"/>
  <c r="I27" i="90"/>
  <c r="H27" i="90"/>
  <c r="U26" i="90"/>
  <c r="T26" i="90"/>
  <c r="S26" i="90"/>
  <c r="R26" i="90"/>
  <c r="Q26" i="90"/>
  <c r="I26" i="90"/>
  <c r="H26" i="90"/>
  <c r="I25" i="90"/>
  <c r="H25" i="90"/>
  <c r="U25" i="90" s="1"/>
  <c r="U24" i="90"/>
  <c r="T24" i="90"/>
  <c r="S24" i="90"/>
  <c r="R24" i="90"/>
  <c r="Q24" i="90"/>
  <c r="I24" i="90"/>
  <c r="H24" i="90"/>
  <c r="U23" i="90"/>
  <c r="T23" i="90"/>
  <c r="S23" i="90"/>
  <c r="R23" i="90"/>
  <c r="Q23" i="90"/>
  <c r="I23" i="90"/>
  <c r="H23" i="90"/>
  <c r="I22" i="90"/>
  <c r="U21" i="90"/>
  <c r="T21" i="90"/>
  <c r="S21" i="90"/>
  <c r="R21" i="90"/>
  <c r="Q21" i="90"/>
  <c r="I21" i="90"/>
  <c r="H21" i="90"/>
  <c r="U20" i="90"/>
  <c r="T20" i="90"/>
  <c r="S20" i="90"/>
  <c r="R20" i="90"/>
  <c r="Q20" i="90"/>
  <c r="I20" i="90"/>
  <c r="H20" i="90"/>
  <c r="I19" i="90"/>
  <c r="H19" i="90"/>
  <c r="U19" i="90" s="1"/>
  <c r="U18" i="90"/>
  <c r="T18" i="90"/>
  <c r="S18" i="90"/>
  <c r="R18" i="90"/>
  <c r="Q18" i="90"/>
  <c r="I18" i="90"/>
  <c r="H18" i="90"/>
  <c r="U17" i="90"/>
  <c r="T17" i="90"/>
  <c r="S17" i="90"/>
  <c r="R17" i="90"/>
  <c r="Q17" i="90"/>
  <c r="I17" i="90"/>
  <c r="H17" i="90"/>
  <c r="I16" i="90"/>
  <c r="U39" i="89"/>
  <c r="T39" i="89"/>
  <c r="S39" i="89"/>
  <c r="R39" i="89"/>
  <c r="Q39" i="89"/>
  <c r="I39" i="89"/>
  <c r="H39" i="89"/>
  <c r="U38" i="89"/>
  <c r="T38" i="89"/>
  <c r="S38" i="89"/>
  <c r="R38" i="89"/>
  <c r="Q38" i="89"/>
  <c r="I38" i="89"/>
  <c r="H38" i="89"/>
  <c r="I37" i="89"/>
  <c r="U36" i="89"/>
  <c r="T36" i="89"/>
  <c r="S36" i="89"/>
  <c r="R36" i="89"/>
  <c r="Q36" i="89"/>
  <c r="I36" i="89"/>
  <c r="H36" i="89"/>
  <c r="U35" i="89"/>
  <c r="T35" i="89"/>
  <c r="S35" i="89"/>
  <c r="R35" i="89"/>
  <c r="Q35" i="89"/>
  <c r="I35" i="89"/>
  <c r="H35" i="89"/>
  <c r="I34" i="89"/>
  <c r="H34" i="89"/>
  <c r="U33" i="89"/>
  <c r="T33" i="89"/>
  <c r="S33" i="89"/>
  <c r="R33" i="89"/>
  <c r="Q33" i="89"/>
  <c r="I33" i="89"/>
  <c r="H33" i="89"/>
  <c r="U32" i="89"/>
  <c r="T32" i="89"/>
  <c r="S32" i="89"/>
  <c r="R32" i="89"/>
  <c r="Q32" i="89"/>
  <c r="I32" i="89"/>
  <c r="H32" i="89"/>
  <c r="I31" i="89"/>
  <c r="U30" i="89"/>
  <c r="T30" i="89"/>
  <c r="S30" i="89"/>
  <c r="R30" i="89"/>
  <c r="Q30" i="89"/>
  <c r="I30" i="89"/>
  <c r="H30" i="89"/>
  <c r="U29" i="89"/>
  <c r="T29" i="89"/>
  <c r="S29" i="89"/>
  <c r="R29" i="89"/>
  <c r="Q29" i="89"/>
  <c r="I29" i="89"/>
  <c r="H29" i="89"/>
  <c r="I28" i="89"/>
  <c r="U27" i="89"/>
  <c r="T27" i="89"/>
  <c r="S27" i="89"/>
  <c r="R27" i="89"/>
  <c r="Q27" i="89"/>
  <c r="I27" i="89"/>
  <c r="H27" i="89"/>
  <c r="U26" i="89"/>
  <c r="T26" i="89"/>
  <c r="S26" i="89"/>
  <c r="R26" i="89"/>
  <c r="Q26" i="89"/>
  <c r="I26" i="89"/>
  <c r="H26" i="89"/>
  <c r="I25" i="89"/>
  <c r="H25" i="89"/>
  <c r="U25" i="89" s="1"/>
  <c r="U24" i="89"/>
  <c r="T24" i="89"/>
  <c r="S24" i="89"/>
  <c r="R24" i="89"/>
  <c r="Q24" i="89"/>
  <c r="I24" i="89"/>
  <c r="H24" i="89"/>
  <c r="U23" i="89"/>
  <c r="T23" i="89"/>
  <c r="S23" i="89"/>
  <c r="R23" i="89"/>
  <c r="Q23" i="89"/>
  <c r="I23" i="89"/>
  <c r="H23" i="89"/>
  <c r="I22" i="89"/>
  <c r="U21" i="89"/>
  <c r="T21" i="89"/>
  <c r="S21" i="89"/>
  <c r="R21" i="89"/>
  <c r="Q21" i="89"/>
  <c r="I21" i="89"/>
  <c r="H21" i="89"/>
  <c r="U20" i="89"/>
  <c r="T20" i="89"/>
  <c r="S20" i="89"/>
  <c r="R20" i="89"/>
  <c r="Q20" i="89"/>
  <c r="I20" i="89"/>
  <c r="H20" i="89"/>
  <c r="I19" i="89"/>
  <c r="U18" i="89"/>
  <c r="T18" i="89"/>
  <c r="S18" i="89"/>
  <c r="R18" i="89"/>
  <c r="Q18" i="89"/>
  <c r="I18" i="89"/>
  <c r="H18" i="89"/>
  <c r="U17" i="89"/>
  <c r="T17" i="89"/>
  <c r="S17" i="89"/>
  <c r="R17" i="89"/>
  <c r="Q17" i="89"/>
  <c r="I17" i="89"/>
  <c r="H17" i="89"/>
  <c r="I16" i="89"/>
  <c r="C146" i="90"/>
  <c r="C144" i="90"/>
  <c r="C123" i="90"/>
  <c r="C112" i="90"/>
  <c r="C109" i="90"/>
  <c r="U97" i="90"/>
  <c r="T97" i="90"/>
  <c r="S97" i="90"/>
  <c r="R97" i="90"/>
  <c r="Q97" i="90"/>
  <c r="U90" i="90"/>
  <c r="T90" i="90"/>
  <c r="S90" i="90"/>
  <c r="R90" i="90"/>
  <c r="Q90" i="90"/>
  <c r="I90" i="90"/>
  <c r="H90" i="90"/>
  <c r="U89" i="90"/>
  <c r="T89" i="90"/>
  <c r="S89" i="90"/>
  <c r="R89" i="90"/>
  <c r="Q89" i="90"/>
  <c r="I89" i="90"/>
  <c r="H89" i="90"/>
  <c r="U87" i="90"/>
  <c r="T87" i="90"/>
  <c r="S87" i="90"/>
  <c r="R87" i="90"/>
  <c r="Q87" i="90"/>
  <c r="I87" i="90"/>
  <c r="H87" i="90"/>
  <c r="U86" i="90"/>
  <c r="T86" i="90"/>
  <c r="S86" i="90"/>
  <c r="R86" i="90"/>
  <c r="Q86" i="90"/>
  <c r="I86" i="90"/>
  <c r="H86" i="90"/>
  <c r="U85" i="90"/>
  <c r="T85" i="90"/>
  <c r="S85" i="90"/>
  <c r="R85" i="90"/>
  <c r="Q85" i="90"/>
  <c r="I85" i="90"/>
  <c r="H85" i="90"/>
  <c r="U84" i="90"/>
  <c r="T84" i="90"/>
  <c r="S84" i="90"/>
  <c r="R84" i="90"/>
  <c r="Q84" i="90"/>
  <c r="I84" i="90"/>
  <c r="H84" i="90"/>
  <c r="U83" i="90"/>
  <c r="T83" i="90"/>
  <c r="S83" i="90"/>
  <c r="R83" i="90"/>
  <c r="Q83" i="90"/>
  <c r="I83" i="90"/>
  <c r="H83" i="90"/>
  <c r="U82" i="90"/>
  <c r="T82" i="90"/>
  <c r="S82" i="90"/>
  <c r="R82" i="90"/>
  <c r="Q82" i="90"/>
  <c r="I82" i="90"/>
  <c r="H82" i="90"/>
  <c r="U81" i="90"/>
  <c r="T81" i="90"/>
  <c r="S81" i="90"/>
  <c r="R81" i="90"/>
  <c r="Q81" i="90"/>
  <c r="I81" i="90"/>
  <c r="H81" i="90"/>
  <c r="I80" i="90"/>
  <c r="H80" i="90"/>
  <c r="Q80" i="90" s="1"/>
  <c r="U79" i="90"/>
  <c r="T79" i="90"/>
  <c r="S79" i="90"/>
  <c r="R79" i="90"/>
  <c r="Q79" i="90"/>
  <c r="I79" i="90"/>
  <c r="H79" i="90"/>
  <c r="I78" i="90"/>
  <c r="H78" i="90"/>
  <c r="I66" i="90"/>
  <c r="I65" i="90"/>
  <c r="H65" i="90"/>
  <c r="K65" i="90" s="1"/>
  <c r="I64" i="90"/>
  <c r="U63" i="90"/>
  <c r="T63" i="90"/>
  <c r="S63" i="90"/>
  <c r="R63" i="90"/>
  <c r="Q63" i="90"/>
  <c r="I63" i="90"/>
  <c r="H63" i="90"/>
  <c r="U62" i="90"/>
  <c r="T62" i="90"/>
  <c r="S62" i="90"/>
  <c r="R62" i="90"/>
  <c r="Q62" i="90"/>
  <c r="I62" i="90"/>
  <c r="H62" i="90"/>
  <c r="I61" i="90"/>
  <c r="U60" i="90"/>
  <c r="T60" i="90"/>
  <c r="S60" i="90"/>
  <c r="R60" i="90"/>
  <c r="Q60" i="90"/>
  <c r="I60" i="90"/>
  <c r="H60" i="90"/>
  <c r="U59" i="90"/>
  <c r="T59" i="90"/>
  <c r="S59" i="90"/>
  <c r="R59" i="90"/>
  <c r="Q59" i="90"/>
  <c r="I59" i="90"/>
  <c r="H59" i="90"/>
  <c r="I58" i="90"/>
  <c r="H58" i="90"/>
  <c r="Q58" i="90" s="1"/>
  <c r="I57" i="90"/>
  <c r="I56" i="90"/>
  <c r="H56" i="90"/>
  <c r="K56" i="90" s="1"/>
  <c r="I55" i="90"/>
  <c r="I54" i="90"/>
  <c r="H54" i="90"/>
  <c r="R54" i="90" s="1"/>
  <c r="I53" i="90"/>
  <c r="I52" i="90"/>
  <c r="I51" i="90"/>
  <c r="H51" i="90"/>
  <c r="Q51" i="90" s="1"/>
  <c r="Q106" i="90" s="1"/>
  <c r="I50" i="90"/>
  <c r="H50" i="90"/>
  <c r="I49" i="90"/>
  <c r="H49" i="90"/>
  <c r="I48" i="90"/>
  <c r="I47" i="90"/>
  <c r="I46" i="90"/>
  <c r="H46" i="90"/>
  <c r="U46" i="90" s="1"/>
  <c r="I45" i="90"/>
  <c r="H45" i="90"/>
  <c r="Q45" i="90" s="1"/>
  <c r="I44" i="90"/>
  <c r="I43" i="90"/>
  <c r="U42" i="90"/>
  <c r="T42" i="90"/>
  <c r="S42" i="90"/>
  <c r="R42" i="90"/>
  <c r="Q42" i="90"/>
  <c r="I42" i="90"/>
  <c r="H42" i="90"/>
  <c r="U41" i="90"/>
  <c r="T41" i="90"/>
  <c r="S41" i="90"/>
  <c r="R41" i="90"/>
  <c r="Q41" i="90"/>
  <c r="I41" i="90"/>
  <c r="H41" i="90"/>
  <c r="I40" i="90"/>
  <c r="U15" i="90"/>
  <c r="T15" i="90"/>
  <c r="S15" i="90"/>
  <c r="R15" i="90"/>
  <c r="Q15" i="90"/>
  <c r="I15" i="90"/>
  <c r="H15" i="90"/>
  <c r="U14" i="90"/>
  <c r="T14" i="90"/>
  <c r="S14" i="90"/>
  <c r="R14" i="90"/>
  <c r="Q14" i="90"/>
  <c r="I14" i="90"/>
  <c r="H14" i="90"/>
  <c r="I13" i="90"/>
  <c r="I12" i="90"/>
  <c r="I11" i="90"/>
  <c r="I10" i="90"/>
  <c r="A5" i="90"/>
  <c r="A2" i="90"/>
  <c r="A1" i="90"/>
  <c r="C156" i="89"/>
  <c r="C154" i="89"/>
  <c r="C133" i="89"/>
  <c r="C122" i="89"/>
  <c r="C119" i="89"/>
  <c r="I100" i="89"/>
  <c r="H100" i="89"/>
  <c r="I89" i="89"/>
  <c r="I87" i="89"/>
  <c r="U86" i="89"/>
  <c r="T86" i="89"/>
  <c r="S86" i="89"/>
  <c r="R86" i="89"/>
  <c r="Q86" i="89"/>
  <c r="I86" i="89"/>
  <c r="H86" i="89"/>
  <c r="I85" i="89"/>
  <c r="I84" i="89"/>
  <c r="H84" i="89"/>
  <c r="I83" i="89"/>
  <c r="H83" i="89"/>
  <c r="I82" i="89"/>
  <c r="H82" i="89"/>
  <c r="K82" i="89" s="1"/>
  <c r="I81" i="89"/>
  <c r="H81" i="89"/>
  <c r="K81" i="89" s="1"/>
  <c r="I80" i="89"/>
  <c r="I79" i="89"/>
  <c r="I78" i="89"/>
  <c r="H78" i="89"/>
  <c r="I66" i="89"/>
  <c r="H66" i="89"/>
  <c r="U66" i="89" s="1"/>
  <c r="I65" i="89"/>
  <c r="H65" i="89"/>
  <c r="L65" i="89" s="1"/>
  <c r="I64" i="89"/>
  <c r="H64" i="89"/>
  <c r="L64" i="89" s="1"/>
  <c r="I63" i="89"/>
  <c r="H63" i="89"/>
  <c r="I62" i="89"/>
  <c r="I61" i="89"/>
  <c r="I60" i="89"/>
  <c r="H60" i="89"/>
  <c r="I59" i="89"/>
  <c r="H59" i="89"/>
  <c r="I58" i="89"/>
  <c r="H58" i="89"/>
  <c r="U58" i="89" s="1"/>
  <c r="I57" i="89"/>
  <c r="H57" i="89"/>
  <c r="K57" i="89" s="1"/>
  <c r="I56" i="89"/>
  <c r="I55" i="89"/>
  <c r="I54" i="89"/>
  <c r="I53" i="89"/>
  <c r="I52" i="89"/>
  <c r="H52" i="89"/>
  <c r="Q52" i="89" s="1"/>
  <c r="I51" i="89"/>
  <c r="H51" i="89"/>
  <c r="U51" i="89" s="1"/>
  <c r="U116" i="89" s="1"/>
  <c r="I50" i="89"/>
  <c r="I49" i="89"/>
  <c r="I48" i="89"/>
  <c r="I47" i="89"/>
  <c r="H47" i="89"/>
  <c r="U47" i="89" s="1"/>
  <c r="I46" i="89"/>
  <c r="I45" i="89"/>
  <c r="I44" i="89"/>
  <c r="I43" i="89"/>
  <c r="U42" i="89"/>
  <c r="T42" i="89"/>
  <c r="S42" i="89"/>
  <c r="R42" i="89"/>
  <c r="Q42" i="89"/>
  <c r="I42" i="89"/>
  <c r="H42" i="89"/>
  <c r="U41" i="89"/>
  <c r="T41" i="89"/>
  <c r="S41" i="89"/>
  <c r="R41" i="89"/>
  <c r="Q41" i="89"/>
  <c r="I41" i="89"/>
  <c r="H41" i="89"/>
  <c r="I40" i="89"/>
  <c r="H40" i="89"/>
  <c r="U40" i="89" s="1"/>
  <c r="U15" i="89"/>
  <c r="T15" i="89"/>
  <c r="S15" i="89"/>
  <c r="R15" i="89"/>
  <c r="Q15" i="89"/>
  <c r="I15" i="89"/>
  <c r="H15" i="89"/>
  <c r="U14" i="89"/>
  <c r="T14" i="89"/>
  <c r="S14" i="89"/>
  <c r="R14" i="89"/>
  <c r="Q14" i="89"/>
  <c r="I14" i="89"/>
  <c r="H14" i="89"/>
  <c r="I13" i="89"/>
  <c r="I12" i="89"/>
  <c r="I11" i="89"/>
  <c r="I10" i="89"/>
  <c r="A5" i="89"/>
  <c r="W3" i="89"/>
  <c r="A2" i="89"/>
  <c r="A1" i="89"/>
  <c r="C123" i="79"/>
  <c r="H45" i="89" l="1"/>
  <c r="Q45" i="89" s="1"/>
  <c r="H16" i="89"/>
  <c r="U16" i="89" s="1"/>
  <c r="H46" i="89"/>
  <c r="U46" i="89" s="1"/>
  <c r="H54" i="89"/>
  <c r="U54" i="89" s="1"/>
  <c r="H48" i="90"/>
  <c r="U48" i="90" s="1"/>
  <c r="U98" i="90" s="1"/>
  <c r="H34" i="79"/>
  <c r="Q34" i="79" s="1"/>
  <c r="H70" i="89"/>
  <c r="Q70" i="89" s="1"/>
  <c r="H80" i="89"/>
  <c r="U80" i="89" s="1"/>
  <c r="H40" i="90"/>
  <c r="U40" i="90" s="1"/>
  <c r="H55" i="90"/>
  <c r="T55" i="90" s="1"/>
  <c r="H64" i="90"/>
  <c r="S64" i="90" s="1"/>
  <c r="H34" i="90"/>
  <c r="S34" i="90" s="1"/>
  <c r="R45" i="90"/>
  <c r="R58" i="90"/>
  <c r="S58" i="90"/>
  <c r="T58" i="90"/>
  <c r="U58" i="90"/>
  <c r="S45" i="90"/>
  <c r="U28" i="79"/>
  <c r="H37" i="79"/>
  <c r="T37" i="79" s="1"/>
  <c r="H71" i="89"/>
  <c r="N71" i="89" s="1"/>
  <c r="T71" i="89" s="1"/>
  <c r="H48" i="89"/>
  <c r="Q48" i="89" s="1"/>
  <c r="Q108" i="89" s="1"/>
  <c r="H87" i="89"/>
  <c r="T87" i="89" s="1"/>
  <c r="H47" i="90"/>
  <c r="S56" i="90"/>
  <c r="H66" i="90"/>
  <c r="H19" i="89"/>
  <c r="R19" i="89" s="1"/>
  <c r="H28" i="89"/>
  <c r="S28" i="89" s="1"/>
  <c r="H37" i="89"/>
  <c r="T37" i="89" s="1"/>
  <c r="R28" i="90"/>
  <c r="H37" i="90"/>
  <c r="Q37" i="90" s="1"/>
  <c r="H22" i="79"/>
  <c r="U22" i="79" s="1"/>
  <c r="H69" i="90"/>
  <c r="R69" i="90" s="1"/>
  <c r="S73" i="90"/>
  <c r="H55" i="89"/>
  <c r="R55" i="89" s="1"/>
  <c r="H61" i="89"/>
  <c r="S61" i="89" s="1"/>
  <c r="H44" i="90"/>
  <c r="T44" i="90" s="1"/>
  <c r="T102" i="90" s="1"/>
  <c r="H52" i="90"/>
  <c r="R52" i="90" s="1"/>
  <c r="H57" i="90"/>
  <c r="S57" i="90" s="1"/>
  <c r="H61" i="90"/>
  <c r="R61" i="90" s="1"/>
  <c r="S28" i="90"/>
  <c r="H72" i="89"/>
  <c r="S72" i="89" s="1"/>
  <c r="H77" i="90"/>
  <c r="U77" i="90" s="1"/>
  <c r="T28" i="79"/>
  <c r="H49" i="89"/>
  <c r="M49" i="89" s="1"/>
  <c r="S49" i="89" s="1"/>
  <c r="H89" i="89"/>
  <c r="K89" i="89" s="1"/>
  <c r="H22" i="90"/>
  <c r="R22" i="90" s="1"/>
  <c r="H31" i="79"/>
  <c r="U31" i="79" s="1"/>
  <c r="H76" i="89"/>
  <c r="S76" i="89" s="1"/>
  <c r="R19" i="90"/>
  <c r="H56" i="89"/>
  <c r="K56" i="89" s="1"/>
  <c r="H62" i="89"/>
  <c r="Q62" i="89" s="1"/>
  <c r="H79" i="89"/>
  <c r="K79" i="89" s="1"/>
  <c r="H85" i="89"/>
  <c r="U85" i="89" s="1"/>
  <c r="H67" i="89"/>
  <c r="N67" i="89" s="1"/>
  <c r="T67" i="89" s="1"/>
  <c r="H73" i="89"/>
  <c r="U73" i="89" s="1"/>
  <c r="Q19" i="90"/>
  <c r="U65" i="90"/>
  <c r="H44" i="89"/>
  <c r="U44" i="89" s="1"/>
  <c r="U112" i="89" s="1"/>
  <c r="H50" i="89"/>
  <c r="N50" i="89" s="1"/>
  <c r="T50" i="89" s="1"/>
  <c r="T109" i="89" s="1"/>
  <c r="H22" i="89"/>
  <c r="U22" i="89" s="1"/>
  <c r="H31" i="89"/>
  <c r="U31" i="89" s="1"/>
  <c r="H16" i="90"/>
  <c r="T16" i="90" s="1"/>
  <c r="H31" i="90"/>
  <c r="S31" i="90" s="1"/>
  <c r="H16" i="79"/>
  <c r="U16" i="79" s="1"/>
  <c r="H25" i="79"/>
  <c r="U25" i="79" s="1"/>
  <c r="R71" i="90"/>
  <c r="S71" i="90"/>
  <c r="N68" i="89"/>
  <c r="T68" i="89" s="1"/>
  <c r="Q56" i="90"/>
  <c r="O67" i="90"/>
  <c r="U67" i="90" s="1"/>
  <c r="N67" i="90"/>
  <c r="T67" i="90" s="1"/>
  <c r="M67" i="90"/>
  <c r="S67" i="90" s="1"/>
  <c r="L67" i="90"/>
  <c r="K67" i="90"/>
  <c r="Q67" i="90" s="1"/>
  <c r="U49" i="90"/>
  <c r="N49" i="90"/>
  <c r="T49" i="90" s="1"/>
  <c r="M49" i="90"/>
  <c r="S49" i="90" s="1"/>
  <c r="U54" i="90"/>
  <c r="K54" i="90"/>
  <c r="Q54" i="90" s="1"/>
  <c r="R56" i="90"/>
  <c r="U69" i="89"/>
  <c r="N69" i="89"/>
  <c r="T69" i="89" s="1"/>
  <c r="U56" i="90"/>
  <c r="N46" i="90"/>
  <c r="T46" i="90" s="1"/>
  <c r="M46" i="90"/>
  <c r="S46" i="90" s="1"/>
  <c r="Q65" i="90"/>
  <c r="R19" i="79"/>
  <c r="S75" i="90"/>
  <c r="K75" i="90"/>
  <c r="Q75" i="90" s="1"/>
  <c r="O83" i="89"/>
  <c r="U83" i="89" s="1"/>
  <c r="N83" i="89"/>
  <c r="T83" i="89" s="1"/>
  <c r="M83" i="89"/>
  <c r="S83" i="89" s="1"/>
  <c r="L83" i="89"/>
  <c r="R83" i="89" s="1"/>
  <c r="K83" i="89"/>
  <c r="Q83" i="89" s="1"/>
  <c r="Q46" i="90"/>
  <c r="R65" i="90"/>
  <c r="S19" i="79"/>
  <c r="R46" i="90"/>
  <c r="S65" i="90"/>
  <c r="T19" i="79"/>
  <c r="U73" i="90"/>
  <c r="K73" i="90"/>
  <c r="Q73" i="90" s="1"/>
  <c r="T75" i="90"/>
  <c r="U50" i="90"/>
  <c r="U99" i="90" s="1"/>
  <c r="N50" i="90"/>
  <c r="T50" i="90" s="1"/>
  <c r="T99" i="90" s="1"/>
  <c r="M50" i="90"/>
  <c r="S50" i="90" s="1"/>
  <c r="S99" i="90" s="1"/>
  <c r="T56" i="90"/>
  <c r="U51" i="90"/>
  <c r="U106" i="90" s="1"/>
  <c r="N51" i="90"/>
  <c r="T51" i="90" s="1"/>
  <c r="T106" i="90" s="1"/>
  <c r="M51" i="90"/>
  <c r="S51" i="90" s="1"/>
  <c r="S106" i="90" s="1"/>
  <c r="Q25" i="79"/>
  <c r="R48" i="90"/>
  <c r="R98" i="90" s="1"/>
  <c r="S55" i="90"/>
  <c r="T65" i="90"/>
  <c r="U75" i="90"/>
  <c r="H93" i="89"/>
  <c r="H91" i="89"/>
  <c r="U81" i="89"/>
  <c r="U82" i="89"/>
  <c r="Q82" i="89"/>
  <c r="U84" i="89"/>
  <c r="Q84" i="89"/>
  <c r="U80" i="90"/>
  <c r="T70" i="90"/>
  <c r="Q70" i="90"/>
  <c r="S70" i="90"/>
  <c r="U71" i="90"/>
  <c r="R73" i="90"/>
  <c r="R76" i="90"/>
  <c r="Q76" i="90"/>
  <c r="U78" i="90"/>
  <c r="R68" i="90"/>
  <c r="T71" i="90"/>
  <c r="R67" i="90"/>
  <c r="Q71" i="90"/>
  <c r="R75" i="90"/>
  <c r="R84" i="89"/>
  <c r="R82" i="89"/>
  <c r="S82" i="89"/>
  <c r="U68" i="89"/>
  <c r="T82" i="89"/>
  <c r="S84" i="89"/>
  <c r="T84" i="89"/>
  <c r="Q69" i="89"/>
  <c r="Q68" i="89"/>
  <c r="R69" i="89"/>
  <c r="R68" i="89"/>
  <c r="S69" i="89"/>
  <c r="S68" i="89"/>
  <c r="R52" i="89"/>
  <c r="U70" i="89"/>
  <c r="R81" i="89"/>
  <c r="Q81" i="89"/>
  <c r="T66" i="89"/>
  <c r="S66" i="89"/>
  <c r="Q64" i="89"/>
  <c r="Q65" i="89"/>
  <c r="R65" i="89"/>
  <c r="R25" i="89"/>
  <c r="T25" i="89"/>
  <c r="T65" i="89"/>
  <c r="S65" i="89"/>
  <c r="R45" i="89"/>
  <c r="T57" i="89"/>
  <c r="U65" i="89"/>
  <c r="U57" i="89"/>
  <c r="Q47" i="89"/>
  <c r="U78" i="89"/>
  <c r="Q78" i="89"/>
  <c r="Q77" i="89"/>
  <c r="U60" i="89"/>
  <c r="K60" i="89"/>
  <c r="Q60" i="89" s="1"/>
  <c r="R58" i="89"/>
  <c r="Q63" i="89"/>
  <c r="L63" i="89"/>
  <c r="R63" i="89" s="1"/>
  <c r="S64" i="89"/>
  <c r="R47" i="89"/>
  <c r="Q51" i="89"/>
  <c r="Q116" i="89" s="1"/>
  <c r="Q57" i="89"/>
  <c r="S58" i="89"/>
  <c r="T64" i="89"/>
  <c r="U75" i="89"/>
  <c r="Q75" i="89"/>
  <c r="Q46" i="89"/>
  <c r="S47" i="89"/>
  <c r="R57" i="89"/>
  <c r="T58" i="89"/>
  <c r="U64" i="89"/>
  <c r="Q66" i="89"/>
  <c r="L66" i="89"/>
  <c r="R66" i="89" s="1"/>
  <c r="K34" i="89"/>
  <c r="Q34" i="89" s="1"/>
  <c r="O34" i="89"/>
  <c r="U34" i="89" s="1"/>
  <c r="M34" i="89"/>
  <c r="S34" i="89" s="1"/>
  <c r="R77" i="89"/>
  <c r="R46" i="89"/>
  <c r="T47" i="89"/>
  <c r="U52" i="89"/>
  <c r="N52" i="89"/>
  <c r="T52" i="89" s="1"/>
  <c r="M52" i="89"/>
  <c r="S52" i="89" s="1"/>
  <c r="S57" i="89"/>
  <c r="S63" i="89"/>
  <c r="S77" i="89"/>
  <c r="U59" i="89"/>
  <c r="K59" i="89"/>
  <c r="Q59" i="89" s="1"/>
  <c r="S16" i="89"/>
  <c r="R34" i="89"/>
  <c r="K58" i="89"/>
  <c r="Q58" i="89" s="1"/>
  <c r="S45" i="89"/>
  <c r="N51" i="89"/>
  <c r="T51" i="89" s="1"/>
  <c r="T116" i="89" s="1"/>
  <c r="M51" i="89"/>
  <c r="S51" i="89" s="1"/>
  <c r="S116" i="89" s="1"/>
  <c r="R64" i="89"/>
  <c r="Q25" i="89"/>
  <c r="Q40" i="89"/>
  <c r="T45" i="89"/>
  <c r="R51" i="89"/>
  <c r="R116" i="89" s="1"/>
  <c r="T63" i="89"/>
  <c r="S81" i="89"/>
  <c r="R16" i="89"/>
  <c r="S25" i="89"/>
  <c r="T34" i="89"/>
  <c r="R75" i="89"/>
  <c r="T77" i="89"/>
  <c r="U45" i="89"/>
  <c r="R60" i="89"/>
  <c r="U63" i="89"/>
  <c r="T81" i="89"/>
  <c r="S75" i="89"/>
  <c r="U77" i="89"/>
  <c r="R40" i="89"/>
  <c r="S40" i="89"/>
  <c r="R59" i="89"/>
  <c r="S60" i="89"/>
  <c r="R78" i="89"/>
  <c r="T75" i="89"/>
  <c r="S59" i="89"/>
  <c r="T60" i="89"/>
  <c r="S78" i="89"/>
  <c r="S113" i="89" s="1"/>
  <c r="T40" i="89"/>
  <c r="T59" i="89"/>
  <c r="T78" i="89"/>
  <c r="T113" i="89" s="1"/>
  <c r="Q103" i="90"/>
  <c r="R103" i="90"/>
  <c r="Q28" i="90"/>
  <c r="S68" i="90"/>
  <c r="U70" i="90"/>
  <c r="Q74" i="90"/>
  <c r="S76" i="90"/>
  <c r="S103" i="90"/>
  <c r="T45" i="90"/>
  <c r="Q50" i="90"/>
  <c r="Q99" i="90" s="1"/>
  <c r="R51" i="90"/>
  <c r="R106" i="90" s="1"/>
  <c r="S54" i="90"/>
  <c r="R80" i="90"/>
  <c r="T103" i="90"/>
  <c r="U45" i="90"/>
  <c r="Q49" i="90"/>
  <c r="R50" i="90"/>
  <c r="R99" i="90" s="1"/>
  <c r="T54" i="90"/>
  <c r="Q78" i="90"/>
  <c r="S80" i="90"/>
  <c r="S19" i="90"/>
  <c r="Q25" i="90"/>
  <c r="T28" i="90"/>
  <c r="R72" i="90"/>
  <c r="U103" i="90"/>
  <c r="R49" i="90"/>
  <c r="R78" i="90"/>
  <c r="T80" i="90"/>
  <c r="T19" i="90"/>
  <c r="R25" i="90"/>
  <c r="S78" i="90"/>
  <c r="S25" i="90"/>
  <c r="R70" i="90"/>
  <c r="T72" i="90"/>
  <c r="T78" i="90"/>
  <c r="T25" i="90"/>
  <c r="R31" i="90"/>
  <c r="Q68" i="90"/>
  <c r="U19" i="79"/>
  <c r="Q28" i="79"/>
  <c r="R28" i="79"/>
  <c r="Q115" i="89"/>
  <c r="T119" i="90"/>
  <c r="R115" i="89"/>
  <c r="Q105" i="90"/>
  <c r="U119" i="90"/>
  <c r="S119" i="90"/>
  <c r="T98" i="90"/>
  <c r="R105" i="90"/>
  <c r="S105" i="90"/>
  <c r="T105" i="90"/>
  <c r="U105" i="90"/>
  <c r="Q119" i="90"/>
  <c r="V97" i="90"/>
  <c r="R119" i="90"/>
  <c r="S115" i="89"/>
  <c r="T115" i="89"/>
  <c r="U115" i="89"/>
  <c r="R64" i="90" l="1"/>
  <c r="T80" i="89"/>
  <c r="M48" i="90"/>
  <c r="S48" i="90" s="1"/>
  <c r="S98" i="90" s="1"/>
  <c r="K55" i="90"/>
  <c r="Q55" i="90" s="1"/>
  <c r="Q48" i="90"/>
  <c r="Q98" i="90" s="1"/>
  <c r="T16" i="89"/>
  <c r="T77" i="90"/>
  <c r="U55" i="90"/>
  <c r="S40" i="90"/>
  <c r="R40" i="90"/>
  <c r="S80" i="89"/>
  <c r="S70" i="89"/>
  <c r="Q77" i="90"/>
  <c r="K80" i="89"/>
  <c r="Q80" i="89" s="1"/>
  <c r="T85" i="89"/>
  <c r="R80" i="89"/>
  <c r="N70" i="89"/>
  <c r="T70" i="89" s="1"/>
  <c r="R71" i="89"/>
  <c r="N72" i="89"/>
  <c r="S25" i="79"/>
  <c r="S34" i="79"/>
  <c r="T16" i="79"/>
  <c r="Q37" i="79"/>
  <c r="Q40" i="90"/>
  <c r="Q16" i="89"/>
  <c r="R72" i="89"/>
  <c r="R34" i="79"/>
  <c r="U34" i="79"/>
  <c r="Q85" i="89"/>
  <c r="R70" i="89"/>
  <c r="L77" i="90"/>
  <c r="R77" i="90" s="1"/>
  <c r="N48" i="90"/>
  <c r="T48" i="90" s="1"/>
  <c r="K34" i="90"/>
  <c r="Q34" i="90" s="1"/>
  <c r="S22" i="79"/>
  <c r="R34" i="90"/>
  <c r="T40" i="90"/>
  <c r="R55" i="90"/>
  <c r="O34" i="90"/>
  <c r="U34" i="90" s="1"/>
  <c r="T34" i="90"/>
  <c r="S44" i="90"/>
  <c r="S102" i="90" s="1"/>
  <c r="K55" i="89"/>
  <c r="Q55" i="89" s="1"/>
  <c r="T46" i="89"/>
  <c r="U72" i="89"/>
  <c r="S85" i="89"/>
  <c r="U67" i="89"/>
  <c r="T31" i="89"/>
  <c r="T19" i="89"/>
  <c r="R54" i="89"/>
  <c r="U64" i="90"/>
  <c r="S22" i="89"/>
  <c r="S31" i="79"/>
  <c r="T76" i="89"/>
  <c r="R31" i="79"/>
  <c r="Q22" i="89"/>
  <c r="U50" i="89"/>
  <c r="U109" i="89" s="1"/>
  <c r="S56" i="89"/>
  <c r="L61" i="89"/>
  <c r="R61" i="89" s="1"/>
  <c r="U16" i="90"/>
  <c r="R22" i="89"/>
  <c r="Q76" i="89"/>
  <c r="T61" i="89"/>
  <c r="T64" i="90"/>
  <c r="N54" i="89"/>
  <c r="T54" i="89" s="1"/>
  <c r="R73" i="89"/>
  <c r="T34" i="79"/>
  <c r="S46" i="89"/>
  <c r="U19" i="89"/>
  <c r="R50" i="89"/>
  <c r="R109" i="89" s="1"/>
  <c r="M54" i="89"/>
  <c r="S54" i="89" s="1"/>
  <c r="Q22" i="90"/>
  <c r="R76" i="89"/>
  <c r="U49" i="89"/>
  <c r="Q54" i="89"/>
  <c r="K64" i="90"/>
  <c r="Q64" i="90" s="1"/>
  <c r="S22" i="90"/>
  <c r="T55" i="89"/>
  <c r="R44" i="89"/>
  <c r="R112" i="89" s="1"/>
  <c r="U87" i="89"/>
  <c r="R22" i="79"/>
  <c r="Q71" i="89"/>
  <c r="Q89" i="89"/>
  <c r="Q69" i="90"/>
  <c r="S67" i="89"/>
  <c r="T44" i="89"/>
  <c r="T112" i="89" s="1"/>
  <c r="S69" i="90"/>
  <c r="T22" i="90"/>
  <c r="S37" i="90"/>
  <c r="Q22" i="79"/>
  <c r="T89" i="89"/>
  <c r="R31" i="89"/>
  <c r="Q44" i="89"/>
  <c r="Q112" i="89" s="1"/>
  <c r="R25" i="79"/>
  <c r="S37" i="79"/>
  <c r="U37" i="90"/>
  <c r="S87" i="89"/>
  <c r="Q72" i="89"/>
  <c r="U71" i="89"/>
  <c r="T25" i="79"/>
  <c r="U37" i="79"/>
  <c r="R37" i="89"/>
  <c r="S89" i="89"/>
  <c r="R67" i="89"/>
  <c r="Q67" i="89"/>
  <c r="U89" i="89"/>
  <c r="T72" i="89"/>
  <c r="U55" i="89"/>
  <c r="R48" i="89"/>
  <c r="R108" i="89" s="1"/>
  <c r="Q87" i="89"/>
  <c r="T22" i="79"/>
  <c r="S48" i="89"/>
  <c r="S108" i="89" s="1"/>
  <c r="S71" i="89"/>
  <c r="R37" i="79"/>
  <c r="N49" i="89"/>
  <c r="T49" i="89" s="1"/>
  <c r="T73" i="89"/>
  <c r="S77" i="90"/>
  <c r="R85" i="89"/>
  <c r="Q49" i="89"/>
  <c r="R87" i="89"/>
  <c r="Q73" i="89"/>
  <c r="T37" i="90"/>
  <c r="R37" i="90"/>
  <c r="R49" i="89"/>
  <c r="S55" i="89"/>
  <c r="S73" i="89"/>
  <c r="U37" i="89"/>
  <c r="S16" i="90"/>
  <c r="K66" i="90"/>
  <c r="Q66" i="90" s="1"/>
  <c r="T66" i="90"/>
  <c r="S66" i="90"/>
  <c r="R66" i="90"/>
  <c r="S79" i="89"/>
  <c r="S37" i="89"/>
  <c r="S62" i="89"/>
  <c r="U76" i="89"/>
  <c r="U47" i="90"/>
  <c r="R47" i="90"/>
  <c r="Q47" i="90"/>
  <c r="R57" i="90"/>
  <c r="M47" i="90"/>
  <c r="S47" i="90" s="1"/>
  <c r="R16" i="79"/>
  <c r="T22" i="89"/>
  <c r="U56" i="89"/>
  <c r="U79" i="89"/>
  <c r="U113" i="89" s="1"/>
  <c r="N47" i="90"/>
  <c r="T47" i="90" s="1"/>
  <c r="Q31" i="79"/>
  <c r="Q19" i="89"/>
  <c r="R79" i="89"/>
  <c r="Q50" i="89"/>
  <c r="Q109" i="89" s="1"/>
  <c r="L62" i="89"/>
  <c r="R62" i="89" s="1"/>
  <c r="R56" i="89"/>
  <c r="T56" i="89"/>
  <c r="T79" i="89"/>
  <c r="K52" i="90"/>
  <c r="Q52" i="90" s="1"/>
  <c r="U22" i="90"/>
  <c r="T69" i="90"/>
  <c r="U69" i="90"/>
  <c r="U28" i="89"/>
  <c r="T28" i="89"/>
  <c r="S19" i="89"/>
  <c r="U44" i="90"/>
  <c r="U102" i="90" s="1"/>
  <c r="R44" i="90"/>
  <c r="R102" i="90" s="1"/>
  <c r="Q44" i="90"/>
  <c r="Q102" i="90" s="1"/>
  <c r="U62" i="89"/>
  <c r="Q56" i="89"/>
  <c r="U52" i="90"/>
  <c r="S16" i="79"/>
  <c r="U61" i="90"/>
  <c r="Q61" i="90"/>
  <c r="K57" i="90"/>
  <c r="Q57" i="90" s="1"/>
  <c r="U57" i="90"/>
  <c r="T57" i="90"/>
  <c r="Q16" i="90"/>
  <c r="R28" i="89"/>
  <c r="U61" i="89"/>
  <c r="U31" i="90"/>
  <c r="T31" i="79"/>
  <c r="Q16" i="79"/>
  <c r="Q31" i="90"/>
  <c r="T61" i="90"/>
  <c r="S61" i="90"/>
  <c r="Q37" i="89"/>
  <c r="T62" i="89"/>
  <c r="S44" i="89"/>
  <c r="S112" i="89" s="1"/>
  <c r="M50" i="89"/>
  <c r="S50" i="89" s="1"/>
  <c r="S109" i="89" s="1"/>
  <c r="T48" i="89"/>
  <c r="T108" i="89" s="1"/>
  <c r="Q28" i="89"/>
  <c r="Q79" i="89"/>
  <c r="Q61" i="89"/>
  <c r="R16" i="90"/>
  <c r="T52" i="90"/>
  <c r="S52" i="90"/>
  <c r="T31" i="90"/>
  <c r="S31" i="89"/>
  <c r="Q31" i="89"/>
  <c r="R89" i="89"/>
  <c r="U48" i="89"/>
  <c r="U108" i="89" s="1"/>
  <c r="U66" i="90"/>
  <c r="K91" i="89"/>
  <c r="Q91" i="89" s="1"/>
  <c r="R91" i="89"/>
  <c r="S91" i="89"/>
  <c r="T91" i="89"/>
  <c r="U91" i="89"/>
  <c r="L93" i="89"/>
  <c r="R93" i="89" s="1"/>
  <c r="T93" i="89"/>
  <c r="U93" i="89"/>
  <c r="Q93" i="89"/>
  <c r="S93" i="89"/>
  <c r="R113" i="89"/>
  <c r="Q113" i="89"/>
  <c r="V116" i="89"/>
  <c r="V103" i="90"/>
  <c r="V99" i="90"/>
  <c r="V106" i="90"/>
  <c r="V115" i="89"/>
  <c r="V105" i="90"/>
  <c r="V119" i="90"/>
  <c r="V98" i="90"/>
  <c r="V102" i="90" l="1"/>
  <c r="V109" i="89"/>
  <c r="V108" i="89"/>
  <c r="V112" i="89"/>
  <c r="V113" i="89"/>
  <c r="H53" i="90"/>
  <c r="K53" i="90" s="1"/>
  <c r="H11" i="90"/>
  <c r="H43" i="90"/>
  <c r="H10" i="90"/>
  <c r="H13" i="89"/>
  <c r="H11" i="89"/>
  <c r="H53" i="89"/>
  <c r="H12" i="89"/>
  <c r="H10" i="89"/>
  <c r="H12" i="90"/>
  <c r="H43" i="89"/>
  <c r="H13" i="90"/>
  <c r="C50" i="82"/>
  <c r="C35" i="82"/>
  <c r="C20" i="82"/>
  <c r="A3" i="82"/>
  <c r="M53" i="89" l="1"/>
  <c r="S53" i="89" s="1"/>
  <c r="N53" i="89"/>
  <c r="T53" i="89" s="1"/>
  <c r="U53" i="89"/>
  <c r="R53" i="89"/>
  <c r="Q53" i="89"/>
  <c r="T11" i="89"/>
  <c r="T105" i="89" s="1"/>
  <c r="U11" i="89"/>
  <c r="U105" i="89" s="1"/>
  <c r="Q11" i="89"/>
  <c r="Q105" i="89" s="1"/>
  <c r="R11" i="89"/>
  <c r="R105" i="89" s="1"/>
  <c r="S11" i="89"/>
  <c r="S105" i="89" s="1"/>
  <c r="U13" i="89"/>
  <c r="R13" i="89"/>
  <c r="Q13" i="89"/>
  <c r="S13" i="89"/>
  <c r="T13" i="89"/>
  <c r="U12" i="89"/>
  <c r="U106" i="89" s="1"/>
  <c r="Q12" i="89"/>
  <c r="Q106" i="89" s="1"/>
  <c r="R12" i="89"/>
  <c r="R106" i="89" s="1"/>
  <c r="S12" i="89"/>
  <c r="S106" i="89" s="1"/>
  <c r="T12" i="89"/>
  <c r="T106" i="89" s="1"/>
  <c r="T43" i="89"/>
  <c r="U43" i="89"/>
  <c r="R43" i="89"/>
  <c r="S43" i="89"/>
  <c r="Q43" i="89"/>
  <c r="T43" i="90"/>
  <c r="U43" i="90"/>
  <c r="S43" i="90"/>
  <c r="Q43" i="90"/>
  <c r="R43" i="90"/>
  <c r="S10" i="90"/>
  <c r="T10" i="90"/>
  <c r="R10" i="90"/>
  <c r="Q10" i="90"/>
  <c r="U10" i="90"/>
  <c r="S12" i="90"/>
  <c r="S96" i="90" s="1"/>
  <c r="U12" i="90"/>
  <c r="U96" i="90" s="1"/>
  <c r="T12" i="90"/>
  <c r="T96" i="90" s="1"/>
  <c r="R12" i="90"/>
  <c r="R96" i="90" s="1"/>
  <c r="Q12" i="90"/>
  <c r="Q96" i="90" s="1"/>
  <c r="T11" i="90"/>
  <c r="T95" i="90" s="1"/>
  <c r="U11" i="90"/>
  <c r="U95" i="90" s="1"/>
  <c r="S11" i="90"/>
  <c r="S95" i="90" s="1"/>
  <c r="Q11" i="90"/>
  <c r="Q95" i="90" s="1"/>
  <c r="R11" i="90"/>
  <c r="R95" i="90" s="1"/>
  <c r="U13" i="90"/>
  <c r="Q13" i="90"/>
  <c r="S13" i="90"/>
  <c r="T13" i="90"/>
  <c r="R13" i="90"/>
  <c r="S10" i="89"/>
  <c r="U10" i="89"/>
  <c r="T10" i="89"/>
  <c r="R10" i="89"/>
  <c r="Q10" i="89"/>
  <c r="U53" i="90"/>
  <c r="Q53" i="90"/>
  <c r="R53" i="90"/>
  <c r="S53" i="90"/>
  <c r="T53" i="90"/>
  <c r="B21" i="74"/>
  <c r="V105" i="89" l="1"/>
  <c r="U107" i="89"/>
  <c r="U129" i="89"/>
  <c r="T107" i="89"/>
  <c r="T129" i="89"/>
  <c r="R107" i="89"/>
  <c r="R129" i="89"/>
  <c r="S107" i="89"/>
  <c r="S129" i="89"/>
  <c r="Q107" i="89"/>
  <c r="Q129" i="89"/>
  <c r="V106" i="89"/>
  <c r="V95" i="90"/>
  <c r="V96" i="90"/>
  <c r="T116" i="90"/>
  <c r="T126" i="89"/>
  <c r="S126" i="89"/>
  <c r="S111" i="89"/>
  <c r="S127" i="89"/>
  <c r="Q104" i="89"/>
  <c r="Q126" i="89"/>
  <c r="T104" i="89"/>
  <c r="U104" i="90"/>
  <c r="U120" i="90"/>
  <c r="S94" i="90"/>
  <c r="R111" i="89"/>
  <c r="R127" i="89"/>
  <c r="R101" i="90"/>
  <c r="R117" i="90"/>
  <c r="U111" i="89"/>
  <c r="U127" i="89"/>
  <c r="Q117" i="90"/>
  <c r="Q101" i="90"/>
  <c r="T111" i="89"/>
  <c r="T127" i="89"/>
  <c r="Q114" i="89"/>
  <c r="Q130" i="89"/>
  <c r="T104" i="90"/>
  <c r="T120" i="90"/>
  <c r="S116" i="90"/>
  <c r="U116" i="90"/>
  <c r="U94" i="90"/>
  <c r="U101" i="90"/>
  <c r="U117" i="90"/>
  <c r="T114" i="89"/>
  <c r="T130" i="89"/>
  <c r="R104" i="90"/>
  <c r="R120" i="90"/>
  <c r="Q94" i="90"/>
  <c r="Q116" i="90"/>
  <c r="T101" i="90"/>
  <c r="T117" i="90"/>
  <c r="R126" i="89"/>
  <c r="S104" i="89"/>
  <c r="S114" i="89"/>
  <c r="S130" i="89"/>
  <c r="U126" i="89"/>
  <c r="U104" i="89"/>
  <c r="S101" i="90"/>
  <c r="S117" i="90"/>
  <c r="R114" i="89"/>
  <c r="R130" i="89"/>
  <c r="S104" i="90"/>
  <c r="S120" i="90"/>
  <c r="Q104" i="90"/>
  <c r="Q120" i="90"/>
  <c r="T94" i="90"/>
  <c r="R94" i="90"/>
  <c r="R116" i="90"/>
  <c r="Q111" i="89"/>
  <c r="Q127" i="89"/>
  <c r="R104" i="89"/>
  <c r="U114" i="89"/>
  <c r="U130" i="89"/>
  <c r="J40" i="82"/>
  <c r="I40" i="82"/>
  <c r="H40" i="82"/>
  <c r="G40" i="82"/>
  <c r="F40" i="82"/>
  <c r="J25" i="82"/>
  <c r="I25" i="82"/>
  <c r="H25" i="82"/>
  <c r="G25" i="82"/>
  <c r="F25" i="82"/>
  <c r="A2" i="82"/>
  <c r="A1" i="82"/>
  <c r="C146" i="79"/>
  <c r="C144" i="79"/>
  <c r="C36" i="74"/>
  <c r="C37" i="74" s="1"/>
  <c r="W3" i="90" l="1"/>
  <c r="S160" i="89"/>
  <c r="V129" i="89"/>
  <c r="V107" i="89"/>
  <c r="T118" i="90"/>
  <c r="S128" i="89"/>
  <c r="U136" i="90"/>
  <c r="U107" i="90"/>
  <c r="Q154" i="90"/>
  <c r="Q121" i="90"/>
  <c r="V120" i="90"/>
  <c r="V121" i="90" s="1"/>
  <c r="Q150" i="90"/>
  <c r="V116" i="90"/>
  <c r="Q118" i="90"/>
  <c r="U129" i="90"/>
  <c r="U100" i="90"/>
  <c r="V114" i="89"/>
  <c r="Q149" i="89"/>
  <c r="U146" i="89"/>
  <c r="U117" i="89"/>
  <c r="T139" i="89"/>
  <c r="T110" i="89"/>
  <c r="T136" i="90"/>
  <c r="T107" i="90"/>
  <c r="U164" i="89"/>
  <c r="U131" i="89"/>
  <c r="U128" i="89"/>
  <c r="U160" i="89"/>
  <c r="Q129" i="90"/>
  <c r="V94" i="90"/>
  <c r="V100" i="90" s="1"/>
  <c r="Q100" i="90"/>
  <c r="U150" i="90"/>
  <c r="U118" i="90"/>
  <c r="T161" i="89"/>
  <c r="R151" i="90"/>
  <c r="Q160" i="89"/>
  <c r="V126" i="89"/>
  <c r="Q128" i="89"/>
  <c r="Q164" i="89"/>
  <c r="V130" i="89"/>
  <c r="Q131" i="89"/>
  <c r="U110" i="89"/>
  <c r="U139" i="89"/>
  <c r="R139" i="89"/>
  <c r="R110" i="89"/>
  <c r="S164" i="89"/>
  <c r="S131" i="89"/>
  <c r="R121" i="90"/>
  <c r="R154" i="90"/>
  <c r="S150" i="90"/>
  <c r="S118" i="90"/>
  <c r="T146" i="89"/>
  <c r="T117" i="89"/>
  <c r="R136" i="90"/>
  <c r="R107" i="90"/>
  <c r="Q139" i="89"/>
  <c r="V104" i="89"/>
  <c r="V110" i="89" s="1"/>
  <c r="Q110" i="89"/>
  <c r="Q161" i="89"/>
  <c r="V127" i="89"/>
  <c r="S139" i="90"/>
  <c r="S149" i="89"/>
  <c r="R139" i="90"/>
  <c r="Q136" i="90"/>
  <c r="V101" i="90"/>
  <c r="Q107" i="90"/>
  <c r="R161" i="89"/>
  <c r="S161" i="89"/>
  <c r="S107" i="90"/>
  <c r="S136" i="90"/>
  <c r="U161" i="89"/>
  <c r="U149" i="89"/>
  <c r="S121" i="90"/>
  <c r="S154" i="90"/>
  <c r="V111" i="89"/>
  <c r="Q117" i="89"/>
  <c r="Q146" i="89"/>
  <c r="R164" i="89"/>
  <c r="R131" i="89"/>
  <c r="S110" i="89"/>
  <c r="S139" i="89"/>
  <c r="T164" i="89"/>
  <c r="T131" i="89"/>
  <c r="V117" i="90"/>
  <c r="Q151" i="90"/>
  <c r="R146" i="89"/>
  <c r="R117" i="89"/>
  <c r="S146" i="89"/>
  <c r="S117" i="89"/>
  <c r="S133" i="90"/>
  <c r="S148" i="89"/>
  <c r="S144" i="89"/>
  <c r="T141" i="89"/>
  <c r="S131" i="90"/>
  <c r="Q132" i="90"/>
  <c r="Q131" i="90"/>
  <c r="Q147" i="89"/>
  <c r="Q144" i="89"/>
  <c r="S143" i="89"/>
  <c r="R143" i="89"/>
  <c r="U137" i="90"/>
  <c r="U138" i="90"/>
  <c r="S147" i="89"/>
  <c r="Q130" i="90"/>
  <c r="R133" i="90"/>
  <c r="T151" i="89"/>
  <c r="T144" i="89"/>
  <c r="U144" i="89"/>
  <c r="T137" i="90"/>
  <c r="S134" i="90"/>
  <c r="U148" i="89"/>
  <c r="Q134" i="90"/>
  <c r="Q143" i="89"/>
  <c r="Q138" i="90"/>
  <c r="S138" i="90"/>
  <c r="U151" i="89"/>
  <c r="R141" i="90"/>
  <c r="Q142" i="89"/>
  <c r="T141" i="90"/>
  <c r="U130" i="90"/>
  <c r="Q141" i="90"/>
  <c r="R151" i="89"/>
  <c r="R144" i="89"/>
  <c r="U133" i="90"/>
  <c r="T138" i="90"/>
  <c r="U132" i="90"/>
  <c r="R134" i="90"/>
  <c r="T142" i="89"/>
  <c r="T147" i="89"/>
  <c r="Q151" i="89"/>
  <c r="U134" i="90"/>
  <c r="S151" i="89"/>
  <c r="S142" i="89"/>
  <c r="Q140" i="90"/>
  <c r="U142" i="89"/>
  <c r="R138" i="90"/>
  <c r="S132" i="90"/>
  <c r="R137" i="90"/>
  <c r="T148" i="89"/>
  <c r="R148" i="89"/>
  <c r="S141" i="90"/>
  <c r="T134" i="90"/>
  <c r="Q133" i="90"/>
  <c r="Q137" i="90"/>
  <c r="Q148" i="89"/>
  <c r="R142" i="89"/>
  <c r="R147" i="89"/>
  <c r="T132" i="90"/>
  <c r="U147" i="89"/>
  <c r="T143" i="89"/>
  <c r="U143" i="89"/>
  <c r="U141" i="90"/>
  <c r="S137" i="90"/>
  <c r="R132" i="90"/>
  <c r="Q141" i="89"/>
  <c r="R150" i="89"/>
  <c r="U150" i="89"/>
  <c r="T131" i="90"/>
  <c r="T153" i="90"/>
  <c r="R130" i="90"/>
  <c r="U153" i="90"/>
  <c r="T140" i="90"/>
  <c r="S140" i="90"/>
  <c r="T130" i="90"/>
  <c r="U163" i="89"/>
  <c r="R153" i="90"/>
  <c r="S163" i="89"/>
  <c r="T133" i="90"/>
  <c r="U131" i="90"/>
  <c r="U140" i="90"/>
  <c r="R163" i="89"/>
  <c r="S140" i="89"/>
  <c r="R131" i="90"/>
  <c r="U141" i="89"/>
  <c r="U140" i="89"/>
  <c r="T140" i="89"/>
  <c r="Q140" i="89"/>
  <c r="T163" i="89"/>
  <c r="T150" i="89"/>
  <c r="R140" i="90"/>
  <c r="Q163" i="89"/>
  <c r="S150" i="89"/>
  <c r="Q150" i="89"/>
  <c r="S130" i="90"/>
  <c r="S153" i="90"/>
  <c r="Q153" i="90"/>
  <c r="S141" i="89"/>
  <c r="R140" i="89"/>
  <c r="R141" i="89"/>
  <c r="R149" i="89"/>
  <c r="R160" i="89"/>
  <c r="R128" i="89"/>
  <c r="T149" i="89"/>
  <c r="T121" i="90"/>
  <c r="T154" i="90"/>
  <c r="T128" i="89"/>
  <c r="S100" i="90"/>
  <c r="S129" i="90"/>
  <c r="T129" i="90"/>
  <c r="T100" i="90"/>
  <c r="U139" i="90"/>
  <c r="V104" i="90"/>
  <c r="Q139" i="90"/>
  <c r="R150" i="90"/>
  <c r="R118" i="90"/>
  <c r="R123" i="90" s="1"/>
  <c r="R124" i="90" s="1"/>
  <c r="R129" i="90"/>
  <c r="R100" i="90"/>
  <c r="S151" i="90"/>
  <c r="T151" i="90"/>
  <c r="U151" i="90"/>
  <c r="T139" i="90"/>
  <c r="T160" i="89"/>
  <c r="U154" i="90"/>
  <c r="U121" i="90"/>
  <c r="T150" i="90"/>
  <c r="R109" i="90" l="1"/>
  <c r="R110" i="90" s="1"/>
  <c r="U119" i="89"/>
  <c r="U120" i="89" s="1"/>
  <c r="S162" i="89"/>
  <c r="V131" i="89"/>
  <c r="H27" i="82"/>
  <c r="I32" i="82"/>
  <c r="J46" i="82"/>
  <c r="H46" i="82"/>
  <c r="Q123" i="90"/>
  <c r="Q124" i="90" s="1"/>
  <c r="T123" i="90"/>
  <c r="T124" i="90" s="1"/>
  <c r="J42" i="82"/>
  <c r="T155" i="90"/>
  <c r="S133" i="89"/>
  <c r="S134" i="89" s="1"/>
  <c r="R133" i="89"/>
  <c r="R134" i="89" s="1"/>
  <c r="G42" i="82"/>
  <c r="I46" i="82"/>
  <c r="U109" i="90"/>
  <c r="U110" i="90" s="1"/>
  <c r="S119" i="89"/>
  <c r="S120" i="89" s="1"/>
  <c r="G47" i="82"/>
  <c r="V153" i="90"/>
  <c r="I31" i="82"/>
  <c r="I42" i="82"/>
  <c r="V117" i="89"/>
  <c r="I43" i="82"/>
  <c r="T119" i="89"/>
  <c r="T120" i="89" s="1"/>
  <c r="R152" i="90"/>
  <c r="J47" i="82"/>
  <c r="G31" i="82"/>
  <c r="H32" i="82"/>
  <c r="G28" i="82"/>
  <c r="S155" i="90"/>
  <c r="G27" i="82"/>
  <c r="G32" i="82"/>
  <c r="V140" i="90"/>
  <c r="T109" i="90"/>
  <c r="T110" i="90" s="1"/>
  <c r="T165" i="89"/>
  <c r="R165" i="89"/>
  <c r="Q133" i="89"/>
  <c r="Q134" i="89" s="1"/>
  <c r="Q109" i="90"/>
  <c r="T152" i="90"/>
  <c r="J31" i="82"/>
  <c r="V139" i="90"/>
  <c r="V163" i="89"/>
  <c r="T162" i="89"/>
  <c r="G43" i="82"/>
  <c r="U165" i="89"/>
  <c r="V142" i="89"/>
  <c r="R119" i="89"/>
  <c r="R120" i="89" s="1"/>
  <c r="F28" i="82"/>
  <c r="V131" i="90"/>
  <c r="I45" i="82"/>
  <c r="T152" i="89"/>
  <c r="R145" i="89"/>
  <c r="G41" i="82"/>
  <c r="Q152" i="90"/>
  <c r="V150" i="90"/>
  <c r="H42" i="82"/>
  <c r="I27" i="82"/>
  <c r="J32" i="82"/>
  <c r="V132" i="90"/>
  <c r="F45" i="82"/>
  <c r="Q152" i="89"/>
  <c r="V146" i="89"/>
  <c r="F41" i="82"/>
  <c r="V139" i="89"/>
  <c r="Q145" i="89"/>
  <c r="V149" i="89"/>
  <c r="F30" i="82"/>
  <c r="V136" i="90"/>
  <c r="Q142" i="90"/>
  <c r="H43" i="82"/>
  <c r="V150" i="89"/>
  <c r="V141" i="89"/>
  <c r="F43" i="82"/>
  <c r="G46" i="82"/>
  <c r="H28" i="82"/>
  <c r="T133" i="89"/>
  <c r="T134" i="89" s="1"/>
  <c r="S142" i="90"/>
  <c r="H30" i="82"/>
  <c r="S152" i="90"/>
  <c r="U145" i="89"/>
  <c r="J41" i="82"/>
  <c r="V128" i="89"/>
  <c r="F26" i="82"/>
  <c r="Q135" i="90"/>
  <c r="V129" i="90"/>
  <c r="T142" i="90"/>
  <c r="I30" i="82"/>
  <c r="Q155" i="90"/>
  <c r="V154" i="90"/>
  <c r="S152" i="89"/>
  <c r="H45" i="82"/>
  <c r="Q162" i="89"/>
  <c r="V160" i="89"/>
  <c r="G26" i="82"/>
  <c r="R135" i="90"/>
  <c r="T135" i="90"/>
  <c r="I26" i="82"/>
  <c r="F42" i="82"/>
  <c r="V140" i="89"/>
  <c r="J28" i="82"/>
  <c r="U155" i="90"/>
  <c r="H31" i="82"/>
  <c r="V151" i="89"/>
  <c r="S145" i="89"/>
  <c r="H41" i="82"/>
  <c r="U162" i="89"/>
  <c r="T145" i="89"/>
  <c r="I41" i="82"/>
  <c r="U135" i="90"/>
  <c r="J26" i="82"/>
  <c r="U133" i="89"/>
  <c r="U134" i="89" s="1"/>
  <c r="J30" i="82"/>
  <c r="U142" i="90"/>
  <c r="V148" i="89"/>
  <c r="F47" i="82"/>
  <c r="V141" i="90"/>
  <c r="I47" i="82"/>
  <c r="R152" i="89"/>
  <c r="G45" i="82"/>
  <c r="S135" i="90"/>
  <c r="H26" i="82"/>
  <c r="R162" i="89"/>
  <c r="F31" i="82"/>
  <c r="V137" i="90"/>
  <c r="J27" i="82"/>
  <c r="V143" i="89"/>
  <c r="V144" i="89"/>
  <c r="H47" i="82"/>
  <c r="S123" i="90"/>
  <c r="S124" i="90" s="1"/>
  <c r="V161" i="89"/>
  <c r="S165" i="89"/>
  <c r="U123" i="90"/>
  <c r="U124" i="90" s="1"/>
  <c r="V138" i="90"/>
  <c r="F32" i="82"/>
  <c r="G30" i="82"/>
  <c r="R142" i="90"/>
  <c r="S109" i="90"/>
  <c r="S110" i="90" s="1"/>
  <c r="J43" i="82"/>
  <c r="R155" i="90"/>
  <c r="I28" i="82"/>
  <c r="V133" i="90"/>
  <c r="V134" i="90"/>
  <c r="V130" i="90"/>
  <c r="F27" i="82"/>
  <c r="V147" i="89"/>
  <c r="F46" i="82"/>
  <c r="V151" i="90"/>
  <c r="V107" i="90"/>
  <c r="Q119" i="89"/>
  <c r="Q165" i="89"/>
  <c r="V164" i="89"/>
  <c r="U152" i="90"/>
  <c r="J45" i="82"/>
  <c r="U152" i="89"/>
  <c r="V118" i="90"/>
  <c r="C112" i="79"/>
  <c r="Q110" i="90" l="1"/>
  <c r="D112" i="90"/>
  <c r="D122" i="89"/>
  <c r="S167" i="89"/>
  <c r="S168" i="89" s="1"/>
  <c r="T157" i="90"/>
  <c r="T158" i="90" s="1"/>
  <c r="V155" i="90"/>
  <c r="V123" i="90"/>
  <c r="V124" i="90" s="1"/>
  <c r="W124" i="90" s="1"/>
  <c r="Q154" i="89"/>
  <c r="T154" i="89"/>
  <c r="T155" i="89" s="1"/>
  <c r="T167" i="89"/>
  <c r="T168" i="89" s="1"/>
  <c r="S157" i="90"/>
  <c r="S158" i="90" s="1"/>
  <c r="K47" i="82"/>
  <c r="R167" i="89"/>
  <c r="R168" i="89" s="1"/>
  <c r="S144" i="90"/>
  <c r="S145" i="90" s="1"/>
  <c r="Q144" i="90"/>
  <c r="U167" i="89"/>
  <c r="U168" i="89" s="1"/>
  <c r="U157" i="90"/>
  <c r="U158" i="90" s="1"/>
  <c r="R154" i="89"/>
  <c r="R155" i="89" s="1"/>
  <c r="V165" i="89"/>
  <c r="R157" i="90"/>
  <c r="R158" i="90" s="1"/>
  <c r="U144" i="90"/>
  <c r="U145" i="90" s="1"/>
  <c r="R144" i="90"/>
  <c r="R145" i="90" s="1"/>
  <c r="V162" i="89"/>
  <c r="V135" i="90"/>
  <c r="V133" i="89"/>
  <c r="V134" i="89" s="1"/>
  <c r="W134" i="89" s="1"/>
  <c r="Q167" i="89"/>
  <c r="V109" i="90"/>
  <c r="V145" i="89"/>
  <c r="V119" i="89"/>
  <c r="Q120" i="89"/>
  <c r="S154" i="89"/>
  <c r="S155" i="89" s="1"/>
  <c r="V152" i="90"/>
  <c r="T144" i="90"/>
  <c r="T145" i="90" s="1"/>
  <c r="U154" i="89"/>
  <c r="U155" i="89" s="1"/>
  <c r="V142" i="90"/>
  <c r="V152" i="89"/>
  <c r="Q157" i="90"/>
  <c r="K32" i="82"/>
  <c r="G48" i="82"/>
  <c r="G34" i="95" s="1"/>
  <c r="J33" i="82"/>
  <c r="J23" i="95" s="1"/>
  <c r="J48" i="82"/>
  <c r="J34" i="95" s="1"/>
  <c r="I33" i="82"/>
  <c r="I23" i="95" s="1"/>
  <c r="H33" i="82"/>
  <c r="H23" i="95" s="1"/>
  <c r="K45" i="82"/>
  <c r="F48" i="82"/>
  <c r="F34" i="95" s="1"/>
  <c r="G33" i="82"/>
  <c r="G23" i="95" s="1"/>
  <c r="F33" i="82"/>
  <c r="F23" i="95" s="1"/>
  <c r="K30" i="82"/>
  <c r="I48" i="82"/>
  <c r="I34" i="95" s="1"/>
  <c r="H48" i="82"/>
  <c r="H34" i="95" s="1"/>
  <c r="A2" i="79"/>
  <c r="A1" i="79"/>
  <c r="A2" i="74"/>
  <c r="A1" i="74"/>
  <c r="C109" i="79"/>
  <c r="U90" i="79"/>
  <c r="T90" i="79"/>
  <c r="S90" i="79"/>
  <c r="R90" i="79"/>
  <c r="Q90" i="79"/>
  <c r="I90" i="79"/>
  <c r="H90" i="79"/>
  <c r="U89" i="79"/>
  <c r="T89" i="79"/>
  <c r="S89" i="79"/>
  <c r="R89" i="79"/>
  <c r="Q89" i="79"/>
  <c r="I89" i="79"/>
  <c r="H89" i="79"/>
  <c r="U88" i="79"/>
  <c r="T88" i="79"/>
  <c r="S88" i="79"/>
  <c r="R88" i="79"/>
  <c r="Q88" i="79"/>
  <c r="I88" i="79"/>
  <c r="H88" i="79"/>
  <c r="U86" i="79"/>
  <c r="T86" i="79"/>
  <c r="S86" i="79"/>
  <c r="R86" i="79"/>
  <c r="Q86" i="79"/>
  <c r="I86" i="79"/>
  <c r="H86" i="79"/>
  <c r="U85" i="79"/>
  <c r="T85" i="79"/>
  <c r="S85" i="79"/>
  <c r="R85" i="79"/>
  <c r="Q85" i="79"/>
  <c r="I85" i="79"/>
  <c r="H85" i="79"/>
  <c r="U84" i="79"/>
  <c r="T84" i="79"/>
  <c r="S84" i="79"/>
  <c r="R84" i="79"/>
  <c r="Q84" i="79"/>
  <c r="I84" i="79"/>
  <c r="H84" i="79"/>
  <c r="U83" i="79"/>
  <c r="T83" i="79"/>
  <c r="S83" i="79"/>
  <c r="R83" i="79"/>
  <c r="Q83" i="79"/>
  <c r="I83" i="79"/>
  <c r="H83" i="79"/>
  <c r="U82" i="79"/>
  <c r="T82" i="79"/>
  <c r="S82" i="79"/>
  <c r="R82" i="79"/>
  <c r="Q82" i="79"/>
  <c r="I82" i="79"/>
  <c r="H82" i="79"/>
  <c r="U81" i="79"/>
  <c r="T81" i="79"/>
  <c r="S81" i="79"/>
  <c r="R81" i="79"/>
  <c r="Q81" i="79"/>
  <c r="I81" i="79"/>
  <c r="H81" i="79"/>
  <c r="U80" i="79"/>
  <c r="T80" i="79"/>
  <c r="S80" i="79"/>
  <c r="R80" i="79"/>
  <c r="Q80" i="79"/>
  <c r="I80" i="79"/>
  <c r="H80" i="79"/>
  <c r="U79" i="79"/>
  <c r="T79" i="79"/>
  <c r="S79" i="79"/>
  <c r="R79" i="79"/>
  <c r="Q79" i="79"/>
  <c r="I79" i="79"/>
  <c r="H79" i="79"/>
  <c r="U78" i="79"/>
  <c r="T78" i="79"/>
  <c r="S78" i="79"/>
  <c r="R78" i="79"/>
  <c r="Q78" i="79"/>
  <c r="I78" i="79"/>
  <c r="H78" i="79"/>
  <c r="U66" i="79"/>
  <c r="T66" i="79"/>
  <c r="S66" i="79"/>
  <c r="R66" i="79"/>
  <c r="Q66" i="79"/>
  <c r="I66" i="79"/>
  <c r="H66" i="79"/>
  <c r="U65" i="79"/>
  <c r="T65" i="79"/>
  <c r="S65" i="79"/>
  <c r="R65" i="79"/>
  <c r="Q65" i="79"/>
  <c r="I65" i="79"/>
  <c r="H65" i="79"/>
  <c r="U64" i="79"/>
  <c r="T64" i="79"/>
  <c r="S64" i="79"/>
  <c r="R64" i="79"/>
  <c r="Q64" i="79"/>
  <c r="I64" i="79"/>
  <c r="H64" i="79"/>
  <c r="U63" i="79"/>
  <c r="T63" i="79"/>
  <c r="S63" i="79"/>
  <c r="R63" i="79"/>
  <c r="Q63" i="79"/>
  <c r="I63" i="79"/>
  <c r="H63" i="79"/>
  <c r="U62" i="79"/>
  <c r="T62" i="79"/>
  <c r="S62" i="79"/>
  <c r="R62" i="79"/>
  <c r="Q62" i="79"/>
  <c r="I62" i="79"/>
  <c r="H62" i="79"/>
  <c r="U61" i="79"/>
  <c r="T61" i="79"/>
  <c r="S61" i="79"/>
  <c r="R61" i="79"/>
  <c r="Q61" i="79"/>
  <c r="I61" i="79"/>
  <c r="H61" i="79"/>
  <c r="U60" i="79"/>
  <c r="T60" i="79"/>
  <c r="S60" i="79"/>
  <c r="R60" i="79"/>
  <c r="Q60" i="79"/>
  <c r="I60" i="79"/>
  <c r="H60" i="79"/>
  <c r="U59" i="79"/>
  <c r="T59" i="79"/>
  <c r="S59" i="79"/>
  <c r="R59" i="79"/>
  <c r="Q59" i="79"/>
  <c r="I59" i="79"/>
  <c r="H59" i="79"/>
  <c r="U58" i="79"/>
  <c r="T58" i="79"/>
  <c r="S58" i="79"/>
  <c r="R58" i="79"/>
  <c r="Q58" i="79"/>
  <c r="I58" i="79"/>
  <c r="H58" i="79"/>
  <c r="U57" i="79"/>
  <c r="T57" i="79"/>
  <c r="S57" i="79"/>
  <c r="R57" i="79"/>
  <c r="Q57" i="79"/>
  <c r="I57" i="79"/>
  <c r="H57" i="79"/>
  <c r="U56" i="79"/>
  <c r="T56" i="79"/>
  <c r="S56" i="79"/>
  <c r="R56" i="79"/>
  <c r="Q56" i="79"/>
  <c r="I56" i="79"/>
  <c r="H56" i="79"/>
  <c r="U55" i="79"/>
  <c r="T55" i="79"/>
  <c r="S55" i="79"/>
  <c r="R55" i="79"/>
  <c r="Q55" i="79"/>
  <c r="I55" i="79"/>
  <c r="H55" i="79"/>
  <c r="I54" i="79"/>
  <c r="H54" i="79"/>
  <c r="S54" i="79" s="1"/>
  <c r="S97" i="79" s="1"/>
  <c r="S132" i="79" s="1"/>
  <c r="I53" i="79"/>
  <c r="H53" i="79"/>
  <c r="Q53" i="79" s="1"/>
  <c r="U52" i="79"/>
  <c r="T52" i="79"/>
  <c r="S52" i="79"/>
  <c r="R52" i="79"/>
  <c r="Q52" i="79"/>
  <c r="I52" i="79"/>
  <c r="H52" i="79"/>
  <c r="U51" i="79"/>
  <c r="U106" i="79" s="1"/>
  <c r="U141" i="79" s="1"/>
  <c r="T51" i="79"/>
  <c r="T106" i="79" s="1"/>
  <c r="T141" i="79" s="1"/>
  <c r="S51" i="79"/>
  <c r="S106" i="79" s="1"/>
  <c r="S141" i="79" s="1"/>
  <c r="R51" i="79"/>
  <c r="R106" i="79" s="1"/>
  <c r="R141" i="79" s="1"/>
  <c r="Q51" i="79"/>
  <c r="Q106" i="79" s="1"/>
  <c r="Q141" i="79" s="1"/>
  <c r="I51" i="79"/>
  <c r="H51" i="79"/>
  <c r="U50" i="79"/>
  <c r="U99" i="79" s="1"/>
  <c r="U134" i="79" s="1"/>
  <c r="T50" i="79"/>
  <c r="T99" i="79" s="1"/>
  <c r="T134" i="79" s="1"/>
  <c r="S50" i="79"/>
  <c r="S99" i="79" s="1"/>
  <c r="S134" i="79" s="1"/>
  <c r="R50" i="79"/>
  <c r="R99" i="79" s="1"/>
  <c r="R134" i="79" s="1"/>
  <c r="Q50" i="79"/>
  <c r="Q99" i="79" s="1"/>
  <c r="Q134" i="79" s="1"/>
  <c r="I50" i="79"/>
  <c r="H50" i="79"/>
  <c r="U49" i="79"/>
  <c r="T49" i="79"/>
  <c r="S49" i="79"/>
  <c r="R49" i="79"/>
  <c r="Q49" i="79"/>
  <c r="I49" i="79"/>
  <c r="H49" i="79"/>
  <c r="I48" i="79"/>
  <c r="H48" i="79"/>
  <c r="Q48" i="79" s="1"/>
  <c r="I47" i="79"/>
  <c r="H47" i="79"/>
  <c r="U47" i="79" s="1"/>
  <c r="U46" i="79"/>
  <c r="T46" i="79"/>
  <c r="S46" i="79"/>
  <c r="R46" i="79"/>
  <c r="Q46" i="79"/>
  <c r="I46" i="79"/>
  <c r="H46" i="79"/>
  <c r="I45" i="79"/>
  <c r="H45" i="79"/>
  <c r="U45" i="79" s="1"/>
  <c r="I44" i="79"/>
  <c r="H44" i="79"/>
  <c r="U44" i="79" s="1"/>
  <c r="I43" i="79"/>
  <c r="H43" i="79"/>
  <c r="U43" i="79" s="1"/>
  <c r="U101" i="79" s="1"/>
  <c r="U42" i="79"/>
  <c r="T42" i="79"/>
  <c r="S42" i="79"/>
  <c r="R42" i="79"/>
  <c r="Q42" i="79"/>
  <c r="I42" i="79"/>
  <c r="H42" i="79"/>
  <c r="U41" i="79"/>
  <c r="T41" i="79"/>
  <c r="S41" i="79"/>
  <c r="R41" i="79"/>
  <c r="Q41" i="79"/>
  <c r="I41" i="79"/>
  <c r="H41" i="79"/>
  <c r="I40" i="79"/>
  <c r="H40" i="79"/>
  <c r="U40" i="79" s="1"/>
  <c r="U15" i="79"/>
  <c r="T15" i="79"/>
  <c r="S15" i="79"/>
  <c r="R15" i="79"/>
  <c r="Q15" i="79"/>
  <c r="I15" i="79"/>
  <c r="H15" i="79"/>
  <c r="U14" i="79"/>
  <c r="T14" i="79"/>
  <c r="S14" i="79"/>
  <c r="R14" i="79"/>
  <c r="Q14" i="79"/>
  <c r="I14" i="79"/>
  <c r="H14" i="79"/>
  <c r="I13" i="79"/>
  <c r="H13" i="79"/>
  <c r="U13" i="79" s="1"/>
  <c r="I12" i="79"/>
  <c r="H12" i="79"/>
  <c r="Q12" i="79" s="1"/>
  <c r="I11" i="79"/>
  <c r="H11" i="79"/>
  <c r="T11" i="79" s="1"/>
  <c r="I10" i="79"/>
  <c r="H10" i="79"/>
  <c r="U10" i="79" s="1"/>
  <c r="A5" i="79"/>
  <c r="W3" i="79"/>
  <c r="K34" i="95" l="1"/>
  <c r="K23" i="95"/>
  <c r="Q145" i="90"/>
  <c r="D146" i="90"/>
  <c r="Q155" i="89"/>
  <c r="D156" i="89"/>
  <c r="Q40" i="79"/>
  <c r="S44" i="79"/>
  <c r="R40" i="79"/>
  <c r="T44" i="79"/>
  <c r="T40" i="79"/>
  <c r="R47" i="79"/>
  <c r="S47" i="79"/>
  <c r="T47" i="79"/>
  <c r="R54" i="79"/>
  <c r="R97" i="79" s="1"/>
  <c r="R132" i="79" s="1"/>
  <c r="R44" i="79"/>
  <c r="Q47" i="79"/>
  <c r="T54" i="79"/>
  <c r="T97" i="79" s="1"/>
  <c r="T132" i="79" s="1"/>
  <c r="Q44" i="79"/>
  <c r="S40" i="79"/>
  <c r="U54" i="79"/>
  <c r="U97" i="79" s="1"/>
  <c r="U132" i="79" s="1"/>
  <c r="Q54" i="79"/>
  <c r="Q97" i="79" s="1"/>
  <c r="Q132" i="79" s="1"/>
  <c r="V154" i="89"/>
  <c r="Q158" i="90"/>
  <c r="V157" i="90"/>
  <c r="V158" i="90" s="1"/>
  <c r="V144" i="90"/>
  <c r="V120" i="89"/>
  <c r="W120" i="89" s="1"/>
  <c r="Q168" i="89"/>
  <c r="V167" i="89"/>
  <c r="V168" i="89" s="1"/>
  <c r="V110" i="90"/>
  <c r="W110" i="90" s="1"/>
  <c r="V141" i="79"/>
  <c r="V134" i="79"/>
  <c r="S53" i="79"/>
  <c r="S104" i="79" s="1"/>
  <c r="S139" i="79" s="1"/>
  <c r="V106" i="79"/>
  <c r="Q105" i="79"/>
  <c r="Q140" i="79" s="1"/>
  <c r="Q120" i="79"/>
  <c r="Q154" i="79" s="1"/>
  <c r="R105" i="79"/>
  <c r="R140" i="79" s="1"/>
  <c r="Q103" i="79"/>
  <c r="Q104" i="79"/>
  <c r="Q139" i="79" s="1"/>
  <c r="S120" i="79"/>
  <c r="S154" i="79" s="1"/>
  <c r="S105" i="79"/>
  <c r="S140" i="79" s="1"/>
  <c r="T105" i="79"/>
  <c r="T140" i="79" s="1"/>
  <c r="Q98" i="79"/>
  <c r="Q133" i="79" s="1"/>
  <c r="Q119" i="79"/>
  <c r="Q153" i="79" s="1"/>
  <c r="U105" i="79"/>
  <c r="U140" i="79" s="1"/>
  <c r="R53" i="79"/>
  <c r="T53" i="79"/>
  <c r="T120" i="79" s="1"/>
  <c r="T154" i="79" s="1"/>
  <c r="U53" i="79"/>
  <c r="U120" i="79" s="1"/>
  <c r="U154" i="79" s="1"/>
  <c r="U136" i="79"/>
  <c r="Q43" i="79"/>
  <c r="Q101" i="79" s="1"/>
  <c r="R43" i="79"/>
  <c r="R101" i="79" s="1"/>
  <c r="S43" i="79"/>
  <c r="S101" i="79" s="1"/>
  <c r="T43" i="79"/>
  <c r="T101" i="79" s="1"/>
  <c r="T102" i="79"/>
  <c r="T137" i="79" s="1"/>
  <c r="S102" i="79"/>
  <c r="S137" i="79" s="1"/>
  <c r="Q96" i="79"/>
  <c r="Q102" i="79"/>
  <c r="U102" i="79"/>
  <c r="U137" i="79" s="1"/>
  <c r="R102" i="79"/>
  <c r="R137" i="79" s="1"/>
  <c r="K31" i="82"/>
  <c r="K33" i="82" s="1"/>
  <c r="K46" i="82"/>
  <c r="K48" i="82" s="1"/>
  <c r="T12" i="79"/>
  <c r="T96" i="79" s="1"/>
  <c r="U12" i="79"/>
  <c r="U96" i="79" s="1"/>
  <c r="U48" i="79"/>
  <c r="T48" i="79"/>
  <c r="R48" i="79"/>
  <c r="S48" i="79"/>
  <c r="R12" i="79"/>
  <c r="R96" i="79" s="1"/>
  <c r="S12" i="79"/>
  <c r="S96" i="79" s="1"/>
  <c r="R45" i="79"/>
  <c r="Q45" i="79"/>
  <c r="T45" i="79"/>
  <c r="S45" i="79"/>
  <c r="Q10" i="79"/>
  <c r="U11" i="79"/>
  <c r="T10" i="79"/>
  <c r="S11" i="79"/>
  <c r="R10" i="79"/>
  <c r="S10" i="79"/>
  <c r="R11" i="79"/>
  <c r="Q13" i="79"/>
  <c r="R13" i="79"/>
  <c r="Q11" i="79"/>
  <c r="S13" i="79"/>
  <c r="T13" i="79"/>
  <c r="S103" i="79" l="1"/>
  <c r="V132" i="79"/>
  <c r="V155" i="89"/>
  <c r="W155" i="89" s="1"/>
  <c r="Q95" i="79"/>
  <c r="Q130" i="79" s="1"/>
  <c r="F12" i="82" s="1"/>
  <c r="U117" i="79"/>
  <c r="U151" i="79" s="1"/>
  <c r="J16" i="82"/>
  <c r="W168" i="89"/>
  <c r="V145" i="90"/>
  <c r="W145" i="90" s="1"/>
  <c r="W158" i="90"/>
  <c r="Q131" i="79"/>
  <c r="F13" i="82" s="1"/>
  <c r="Q155" i="79"/>
  <c r="Q137" i="79"/>
  <c r="V140" i="79"/>
  <c r="H16" i="82"/>
  <c r="T131" i="79"/>
  <c r="I13" i="82" s="1"/>
  <c r="I16" i="82"/>
  <c r="R131" i="79"/>
  <c r="G13" i="82" s="1"/>
  <c r="S131" i="79"/>
  <c r="H13" i="82" s="1"/>
  <c r="U131" i="79"/>
  <c r="J13" i="82" s="1"/>
  <c r="Q138" i="79"/>
  <c r="G16" i="82"/>
  <c r="S117" i="79"/>
  <c r="S151" i="79" s="1"/>
  <c r="R103" i="79"/>
  <c r="R104" i="79"/>
  <c r="R139" i="79" s="1"/>
  <c r="T119" i="79"/>
  <c r="T98" i="79"/>
  <c r="T133" i="79" s="1"/>
  <c r="S119" i="79"/>
  <c r="S98" i="79"/>
  <c r="S133" i="79" s="1"/>
  <c r="Q121" i="79"/>
  <c r="R98" i="79"/>
  <c r="R133" i="79" s="1"/>
  <c r="R119" i="79"/>
  <c r="R153" i="79" s="1"/>
  <c r="R120" i="79"/>
  <c r="U103" i="79"/>
  <c r="U138" i="79" s="1"/>
  <c r="J17" i="82" s="1"/>
  <c r="U104" i="79"/>
  <c r="U95" i="79"/>
  <c r="U130" i="79" s="1"/>
  <c r="U119" i="79"/>
  <c r="U98" i="79"/>
  <c r="U133" i="79" s="1"/>
  <c r="T103" i="79"/>
  <c r="T104" i="79"/>
  <c r="Q117" i="79"/>
  <c r="Q151" i="79" s="1"/>
  <c r="T117" i="79"/>
  <c r="T151" i="79" s="1"/>
  <c r="T136" i="79"/>
  <c r="R117" i="79"/>
  <c r="R151" i="79" s="1"/>
  <c r="S136" i="79"/>
  <c r="R136" i="79"/>
  <c r="V101" i="79"/>
  <c r="Q136" i="79"/>
  <c r="T95" i="79"/>
  <c r="T130" i="79" s="1"/>
  <c r="R95" i="79"/>
  <c r="R130" i="79" s="1"/>
  <c r="U94" i="79"/>
  <c r="S95" i="79"/>
  <c r="S130" i="79" s="1"/>
  <c r="T116" i="79"/>
  <c r="T150" i="79" s="1"/>
  <c r="T94" i="79"/>
  <c r="U116" i="79"/>
  <c r="Q94" i="79"/>
  <c r="Q116" i="79"/>
  <c r="Q150" i="79" s="1"/>
  <c r="S116" i="79"/>
  <c r="S150" i="79" s="1"/>
  <c r="S94" i="79"/>
  <c r="R94" i="79"/>
  <c r="R116" i="79"/>
  <c r="R150" i="79" s="1"/>
  <c r="V105" i="79"/>
  <c r="Q107" i="79"/>
  <c r="S107" i="79"/>
  <c r="V99" i="79"/>
  <c r="V102" i="79"/>
  <c r="V96" i="79"/>
  <c r="S138" i="79" l="1"/>
  <c r="H17" i="82" s="1"/>
  <c r="S152" i="79"/>
  <c r="I12" i="82"/>
  <c r="G12" i="82"/>
  <c r="V133" i="79"/>
  <c r="V151" i="79"/>
  <c r="U118" i="79"/>
  <c r="U150" i="79"/>
  <c r="U152" i="79" s="1"/>
  <c r="T139" i="79"/>
  <c r="I15" i="82" s="1"/>
  <c r="V120" i="79"/>
  <c r="R154" i="79"/>
  <c r="V154" i="79" s="1"/>
  <c r="T121" i="79"/>
  <c r="T153" i="79"/>
  <c r="T155" i="79" s="1"/>
  <c r="T138" i="79"/>
  <c r="I17" i="82" s="1"/>
  <c r="S121" i="79"/>
  <c r="S153" i="79"/>
  <c r="S155" i="79" s="1"/>
  <c r="V137" i="79"/>
  <c r="F16" i="82"/>
  <c r="R152" i="79"/>
  <c r="T152" i="79"/>
  <c r="R138" i="79"/>
  <c r="G17" i="82" s="1"/>
  <c r="Q152" i="79"/>
  <c r="Q157" i="79" s="1"/>
  <c r="U121" i="79"/>
  <c r="U153" i="79"/>
  <c r="U155" i="79" s="1"/>
  <c r="F17" i="82"/>
  <c r="J12" i="82"/>
  <c r="H12" i="82"/>
  <c r="U139" i="79"/>
  <c r="J15" i="82" s="1"/>
  <c r="Q142" i="79"/>
  <c r="F15" i="82"/>
  <c r="G15" i="82"/>
  <c r="S142" i="79"/>
  <c r="H15" i="82"/>
  <c r="H18" i="82" s="1"/>
  <c r="H12" i="95" s="1"/>
  <c r="R107" i="79"/>
  <c r="U107" i="79"/>
  <c r="S118" i="79"/>
  <c r="V104" i="79"/>
  <c r="R118" i="79"/>
  <c r="R121" i="79"/>
  <c r="U100" i="79"/>
  <c r="V103" i="79"/>
  <c r="V119" i="79"/>
  <c r="T107" i="79"/>
  <c r="T118" i="79"/>
  <c r="V117" i="79"/>
  <c r="V136" i="79"/>
  <c r="V116" i="79"/>
  <c r="Q118" i="79"/>
  <c r="Q123" i="79" s="1"/>
  <c r="V98" i="79"/>
  <c r="Q100" i="79"/>
  <c r="Q109" i="79" s="1"/>
  <c r="V97" i="79"/>
  <c r="T100" i="79"/>
  <c r="R100" i="79"/>
  <c r="S100" i="79"/>
  <c r="S109" i="79" s="1"/>
  <c r="S110" i="79" s="1"/>
  <c r="V95" i="79"/>
  <c r="V94" i="79"/>
  <c r="S157" i="79" l="1"/>
  <c r="S158" i="79" s="1"/>
  <c r="U142" i="79"/>
  <c r="R142" i="79"/>
  <c r="S123" i="79"/>
  <c r="S124" i="79" s="1"/>
  <c r="U123" i="79"/>
  <c r="U124" i="79" s="1"/>
  <c r="R109" i="79"/>
  <c r="R110" i="79" s="1"/>
  <c r="V153" i="79"/>
  <c r="V155" i="79" s="1"/>
  <c r="T123" i="79"/>
  <c r="T124" i="79" s="1"/>
  <c r="V139" i="79"/>
  <c r="T157" i="79"/>
  <c r="T158" i="79" s="1"/>
  <c r="V150" i="79"/>
  <c r="V152" i="79" s="1"/>
  <c r="V138" i="79"/>
  <c r="U157" i="79"/>
  <c r="U158" i="79" s="1"/>
  <c r="Q158" i="79"/>
  <c r="V121" i="79"/>
  <c r="T142" i="79"/>
  <c r="R155" i="79"/>
  <c r="R157" i="79" s="1"/>
  <c r="K15" i="82"/>
  <c r="G18" i="82"/>
  <c r="G12" i="95" s="1"/>
  <c r="U109" i="79"/>
  <c r="U110" i="79" s="1"/>
  <c r="V107" i="79"/>
  <c r="K17" i="82"/>
  <c r="T109" i="79"/>
  <c r="T110" i="79" s="1"/>
  <c r="J18" i="82"/>
  <c r="J12" i="95" s="1"/>
  <c r="I18" i="82"/>
  <c r="I12" i="95" s="1"/>
  <c r="R123" i="79"/>
  <c r="R124" i="79" s="1"/>
  <c r="V118" i="79"/>
  <c r="Q124" i="79"/>
  <c r="V100" i="79"/>
  <c r="K16" i="82"/>
  <c r="F18" i="82"/>
  <c r="F12" i="95" s="1"/>
  <c r="Q110" i="79"/>
  <c r="K12" i="95" l="1"/>
  <c r="D112" i="79"/>
  <c r="V142" i="79"/>
  <c r="R158" i="79"/>
  <c r="V157" i="79"/>
  <c r="K18" i="82"/>
  <c r="V123" i="79"/>
  <c r="V124" i="79" s="1"/>
  <c r="W124" i="79" s="1"/>
  <c r="V109" i="79"/>
  <c r="V158" i="79" l="1"/>
  <c r="W158" i="79" s="1"/>
  <c r="V110" i="79"/>
  <c r="W110" i="79" s="1"/>
  <c r="U129" i="79" l="1"/>
  <c r="T129" i="79"/>
  <c r="R129" i="79"/>
  <c r="S129" i="79"/>
  <c r="Q129" i="79"/>
  <c r="T135" i="79" l="1"/>
  <c r="T144" i="79" s="1"/>
  <c r="T145" i="79" s="1"/>
  <c r="I11" i="82"/>
  <c r="I14" i="82" s="1"/>
  <c r="I11" i="95" s="1"/>
  <c r="I14" i="95" s="1"/>
  <c r="Q135" i="79"/>
  <c r="Q144" i="79" s="1"/>
  <c r="F11" i="82"/>
  <c r="F14" i="82" s="1"/>
  <c r="F11" i="95" s="1"/>
  <c r="U135" i="79"/>
  <c r="U144" i="79" s="1"/>
  <c r="U145" i="79" s="1"/>
  <c r="J11" i="82"/>
  <c r="J14" i="82" s="1"/>
  <c r="J11" i="95" s="1"/>
  <c r="J14" i="95" s="1"/>
  <c r="S135" i="79"/>
  <c r="S144" i="79" s="1"/>
  <c r="S145" i="79" s="1"/>
  <c r="H11" i="82"/>
  <c r="H14" i="82" s="1"/>
  <c r="H11" i="95" s="1"/>
  <c r="H14" i="95" s="1"/>
  <c r="R135" i="79"/>
  <c r="R144" i="79" s="1"/>
  <c r="R145" i="79" s="1"/>
  <c r="G11" i="82"/>
  <c r="G14" i="82" s="1"/>
  <c r="G11" i="95" s="1"/>
  <c r="G14" i="95" s="1"/>
  <c r="F44" i="82"/>
  <c r="F29" i="82"/>
  <c r="F22" i="95" s="1"/>
  <c r="V131" i="79"/>
  <c r="V130" i="79"/>
  <c r="V129" i="79"/>
  <c r="K11" i="95" l="1"/>
  <c r="K14" i="95" s="1"/>
  <c r="F14" i="95"/>
  <c r="F16" i="95" s="1"/>
  <c r="F50" i="82"/>
  <c r="F33" i="95"/>
  <c r="F25" i="95"/>
  <c r="Q145" i="79"/>
  <c r="D146" i="79"/>
  <c r="F35" i="82"/>
  <c r="V135" i="79"/>
  <c r="F20" i="82"/>
  <c r="J20" i="82"/>
  <c r="G20" i="82"/>
  <c r="H20" i="82"/>
  <c r="I20" i="82"/>
  <c r="H29" i="82"/>
  <c r="H22" i="95" s="1"/>
  <c r="H25" i="95" s="1"/>
  <c r="I44" i="82"/>
  <c r="J44" i="82"/>
  <c r="G44" i="82"/>
  <c r="J29" i="82"/>
  <c r="J22" i="95" s="1"/>
  <c r="J25" i="95" s="1"/>
  <c r="H44" i="82"/>
  <c r="I29" i="82"/>
  <c r="I22" i="95" s="1"/>
  <c r="I25" i="95" s="1"/>
  <c r="G29" i="82"/>
  <c r="G22" i="95" s="1"/>
  <c r="G25" i="95" s="1"/>
  <c r="K11" i="82"/>
  <c r="K12" i="82"/>
  <c r="K13" i="82"/>
  <c r="K42" i="82"/>
  <c r="K41" i="82"/>
  <c r="K43" i="82"/>
  <c r="V144" i="79"/>
  <c r="G50" i="82" l="1"/>
  <c r="G33" i="95"/>
  <c r="G36" i="95" s="1"/>
  <c r="F27" i="95"/>
  <c r="F36" i="95"/>
  <c r="K22" i="95"/>
  <c r="K25" i="95" s="1"/>
  <c r="J50" i="82"/>
  <c r="J33" i="95"/>
  <c r="J36" i="95" s="1"/>
  <c r="I50" i="82"/>
  <c r="I33" i="95"/>
  <c r="I36" i="95" s="1"/>
  <c r="H50" i="82"/>
  <c r="F52" i="82" s="1"/>
  <c r="H33" i="95"/>
  <c r="H36" i="95" s="1"/>
  <c r="F22" i="82"/>
  <c r="G35" i="82"/>
  <c r="I35" i="82"/>
  <c r="H35" i="82"/>
  <c r="J35" i="82"/>
  <c r="V145" i="79"/>
  <c r="W145" i="79" s="1"/>
  <c r="K44" i="82"/>
  <c r="K50" i="82" s="1"/>
  <c r="K14" i="82"/>
  <c r="K20" i="82" s="1"/>
  <c r="L20" i="82" s="1"/>
  <c r="K33" i="95" l="1"/>
  <c r="K36" i="95" s="1"/>
  <c r="F38" i="95"/>
  <c r="F37" i="82"/>
  <c r="L50" i="82"/>
  <c r="K26" i="82" l="1"/>
  <c r="K27" i="82" l="1"/>
  <c r="K28" i="82" l="1"/>
  <c r="K29" i="82" l="1"/>
  <c r="K35" i="82" l="1"/>
  <c r="L35" i="8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<sst xmlns="http://schemas.openxmlformats.org/spreadsheetml/2006/main" count="1415" uniqueCount="152">
  <si>
    <t>Total</t>
  </si>
  <si>
    <t>Powercor</t>
  </si>
  <si>
    <t>Preferred option:</t>
  </si>
  <si>
    <t>Option 2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</si>
  <si>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</si>
  <si>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</si>
  <si>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</si>
  <si>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</si>
  <si>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</si>
  <si>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</si>
  <si>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</si>
  <si>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</si>
  <si>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</si>
  <si>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</si>
  <si>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</si>
  <si>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</si>
  <si>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</si>
  <si>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</si>
  <si>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</si>
  <si>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3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</si>
  <si>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</si>
  <si>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</si>
  <si>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</si>
  <si>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</si>
  <si>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</si>
  <si>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</si>
  <si>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</si>
  <si>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</si>
  <si>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</si>
  <si>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</si>
  <si>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</si>
  <si>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</si>
  <si>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Options</t>
  </si>
  <si>
    <t>Do Nothing</t>
  </si>
  <si>
    <t>Minimum to maintain/prudent currency</t>
  </si>
  <si>
    <t>Maintain and enhance</t>
  </si>
  <si>
    <t>Costs for business case</t>
  </si>
  <si>
    <t>To convert from SME input:</t>
  </si>
  <si>
    <t>Multiply by:</t>
  </si>
  <si>
    <t>Labour rate ($/hr)</t>
  </si>
  <si>
    <t>$122.20</t>
  </si>
  <si>
    <t>$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</si>
  <si>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</si>
  <si>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</si>
  <si>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</si>
  <si>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</si>
  <si>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</si>
  <si>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</si>
  <si>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</si>
  <si>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</si>
  <si>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</si>
  <si>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</si>
  <si>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>Corporate services management - iManage</t>
  </si>
  <si>
    <t>Capex</t>
  </si>
  <si>
    <t>Recurrent</t>
  </si>
  <si>
    <t>Corporate services management - ReadSoft</t>
  </si>
  <si>
    <t>Corporate services management - Recwise</t>
  </si>
  <si>
    <t>Corporate services management - SuccessFactors</t>
  </si>
  <si>
    <t>Corporate services management - Cintellate (ROAM)</t>
  </si>
  <si>
    <t xml:space="preserve">Field Services Management - Before You Dig Australia (Ticket Access) </t>
  </si>
  <si>
    <t>Design and Drawing - Drawing Management System (Vault)</t>
  </si>
  <si>
    <t xml:space="preserve">Field Service Management - Salesforce Field Services </t>
  </si>
  <si>
    <t>Design and Drawing - Design Apps - Neara</t>
  </si>
  <si>
    <t>Globalscape - not applicable</t>
  </si>
  <si>
    <t>Windows - Major patching of existing Windows SOE.</t>
  </si>
  <si>
    <t>Corporate website - not applicable</t>
  </si>
  <si>
    <t>Service Now - VPN Backup Tapes (including growth)</t>
  </si>
  <si>
    <t>Service Now - VPN Service Now Currency Upgrade</t>
  </si>
  <si>
    <t>AIP - Copperleaf - Licence Fee - no additional opex cost</t>
  </si>
  <si>
    <t>AIP - Copperleaf - SaaS modules &amp; Predictive analytics - no additional opex cost</t>
  </si>
  <si>
    <t>AIP - Copperleaf - Accelerate package - annual consultancy, training, updates</t>
  </si>
  <si>
    <t>Reporting - BW AMS Support cost uplift due to increased volume of incidents ( 1 FTE)</t>
  </si>
  <si>
    <t>Reporting - Support and Maintenance Extended Support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</si>
  <si>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</si>
  <si>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</si>
  <si>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</si>
  <si>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</si>
  <si>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</si>
  <si>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</si>
  <si>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-</t>
  </si>
  <si>
    <t>Globalscape - Upgrade Internal Labour</t>
  </si>
  <si>
    <t>Windows - Version 12+  Upgrade Internal Labour</t>
  </si>
  <si>
    <t>Windows - Version 12+ Upgrade External Labour (vendor)</t>
  </si>
  <si>
    <t>Corporate website - rebuild - project management</t>
  </si>
  <si>
    <t>Corporate website - rebuild - analysis and architecture</t>
  </si>
  <si>
    <t>Corporate website - rebuild - development</t>
  </si>
  <si>
    <t>Corporate website - rebuild - testing</t>
  </si>
  <si>
    <t>Corporate website - rebuild - deployment</t>
  </si>
  <si>
    <t>Corporate website - rebuild - release and environment management</t>
  </si>
  <si>
    <t>Corporate website - enhancements - project management</t>
  </si>
  <si>
    <t>Corporate website - enhancements- analysis and architecture</t>
  </si>
  <si>
    <t>Corporate website - enhancements - development</t>
  </si>
  <si>
    <t>Corporate website - enhancements - testing</t>
  </si>
  <si>
    <t>Corporate website - enhancements - deployment</t>
  </si>
  <si>
    <t>Corporate website - enhancements - release and environment management</t>
  </si>
  <si>
    <t>Service Now - VPN Service Now Currency</t>
  </si>
  <si>
    <t>Service Now - VPN Service Now Currency Relevance</t>
  </si>
  <si>
    <t>AIP - Copperleaf - Upfront costs (50% VPN share)</t>
  </si>
  <si>
    <t>AIP - Copperleaf - IT Project management costs (internal)</t>
  </si>
  <si>
    <t>AIP - Copperleaf - IT Data transfer &amp; setup in new system</t>
  </si>
  <si>
    <t>AIP - Copperleaf - IT Testing and fault finding</t>
  </si>
  <si>
    <t>Reporting - Currency refresh of SAP BW on Exadata</t>
  </si>
  <si>
    <t>Reporting - Currency refresh of SAP BW on Hana</t>
  </si>
  <si>
    <t>Reporting - Currency refresh of SAP Business Objects</t>
  </si>
  <si>
    <t>Reporting - Currency refresh of SAP BI portal</t>
  </si>
  <si>
    <t>Reporting - Currency refresh of SAP Data Services</t>
  </si>
  <si>
    <t>Reporting - Currency refresh of SAP IQ Near line storage</t>
  </si>
  <si>
    <t>Globalscape FTP - Replacement Research &amp; Investigation</t>
  </si>
  <si>
    <t>Globalscape FTP - Architecture &amp; Design</t>
  </si>
  <si>
    <t>Globalscape FTP - Replacement Implementation</t>
  </si>
  <si>
    <t>Globalscape FTP - Maintenance</t>
  </si>
  <si>
    <t>Corporate website - release and environment management</t>
  </si>
  <si>
    <t>AIP Copperleaf - Upfront costs (50% VPN share)</t>
  </si>
  <si>
    <t>AIP Copperleaf - Service Package - as per Copperleaf Accelerate</t>
  </si>
  <si>
    <t>AIP Copperleaf - IT Project management costs (internal)</t>
  </si>
  <si>
    <t>AIP Copperleaf - IT Data transfer, system integration &amp; setup of new system</t>
  </si>
  <si>
    <t>AIP Copperleaf - IT Testing and fault finding</t>
  </si>
  <si>
    <t>AIP Copperleaf - Change management and user training</t>
  </si>
  <si>
    <t>Corporate website - VPN historical outages - project management</t>
  </si>
  <si>
    <t>Corporate website - VPN historical outages - Analysis &amp; Architecture</t>
  </si>
  <si>
    <t>Corporate website - VPN historical outages - Development</t>
  </si>
  <si>
    <t>Corporate website - VPN historical outages - Testing</t>
  </si>
  <si>
    <t>Corporate website - VPN historical outages - Deployment</t>
  </si>
  <si>
    <t>Corporate website - VPN historical outages - Release &amp; Deployment management</t>
  </si>
  <si>
    <t>Field Services Management - Vegetation Management (Xugo)</t>
  </si>
  <si>
    <t>Field Services Management - Asset Inspection - BlueWorx</t>
  </si>
  <si>
    <t>Lagged conversion to Jun 26</t>
  </si>
  <si>
    <t>Regulatory proposal 2026-31</t>
  </si>
  <si>
    <t>Model number:</t>
  </si>
  <si>
    <t>June 2023</t>
  </si>
  <si>
    <t>June 2024</t>
  </si>
  <si>
    <t>June 2025</t>
  </si>
  <si>
    <t>June 2026</t>
  </si>
  <si>
    <t>$ June 2018 (2021-26 reset)</t>
  </si>
  <si>
    <t>Enterprise management systems</t>
  </si>
  <si>
    <t>Totex</t>
  </si>
  <si>
    <t>Corporate website - Multilanguage &amp; accessibility uplift - project management</t>
  </si>
  <si>
    <t>Corporate website - Multilanguage &amp; accessibility uplift - analysis and architecture</t>
  </si>
  <si>
    <t>Corporate website - Multilanguage &amp; accessibility uplift - development</t>
  </si>
  <si>
    <t>Corporate website - Multilanguage &amp; accessibility uplift - testing</t>
  </si>
  <si>
    <t>Corporate website - Multilanguage &amp; accessibility uplift - deployment</t>
  </si>
  <si>
    <t>Corporate website - Multilanguage &amp; accessibility uplift - release and environment management</t>
  </si>
  <si>
    <t>AIP - Copperleaf - Maintenance requirements - no additional opex cost</t>
  </si>
  <si>
    <t>Reporting - Emergency Security Patching and Deployment</t>
  </si>
  <si>
    <t>CP &amp; PAL</t>
  </si>
  <si>
    <t>Opex (excl real price escalation)</t>
  </si>
  <si>
    <t xml:space="preserve">Opex (incl real price escalation) * </t>
  </si>
  <si>
    <t>($ June 2026)</t>
  </si>
  <si>
    <t>Opex (incl real price escalation) **</t>
  </si>
  <si>
    <t xml:space="preserve">Escalation: </t>
  </si>
  <si>
    <t>* refer to PAL MOD 9.03 - Opex step changes - Jan 2025 - Public for the Real price escalation</t>
  </si>
  <si>
    <t>** refer to PAL MOD 9.03 - Opex step changes -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</si>
</sst>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  <numFmt numFmtId="174" formatCode="0.00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 tint="0.499984740745262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172" fontId="40" fillId="0" borderId="0">
      <alignment horizontal="center" vertical="center"/>
    </xf>
    <xf numFmtId="9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3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5" fillId="0" borderId="0" xfId="13" applyFont="1" applyAlignment="1">
      <alignment horizontal="left" vertical="center"/>
    </xf>
    <xf numFmtId="1" fontId="26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7" fillId="6" borderId="0" xfId="0" applyFont="1" applyFill="1"/>
    <xf numFmtId="167" fontId="28" fillId="6" borderId="0" xfId="0" applyNumberFormat="1" applyFont="1" applyFill="1"/>
    <xf numFmtId="0" fontId="32" fillId="5" borderId="0" xfId="14" applyFont="1" applyFill="1"/>
    <xf numFmtId="0" fontId="33" fillId="0" borderId="0" xfId="0" applyFont="1"/>
    <xf numFmtId="0" fontId="34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30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5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0" fontId="24" fillId="0" borderId="0" xfId="0" applyFont="1" applyAlignment="1">
      <alignment horizontal="right"/>
    </xf>
    <xf numFmtId="171" fontId="31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5" fillId="0" borderId="2" xfId="0" applyFont="1" applyBorder="1"/>
    <xf numFmtId="0" fontId="12" fillId="0" borderId="2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>
      <alignment horizontal="center"/>
    </xf>
    <xf numFmtId="10" fontId="29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6" fillId="0" borderId="3" xfId="0" applyFont="1" applyBorder="1"/>
    <xf numFmtId="10" fontId="29" fillId="2" borderId="1" xfId="26" applyNumberFormat="1" applyFont="1" applyFill="1" applyBorder="1" applyProtection="1">
      <protection locked="0"/>
    </xf>
    <xf numFmtId="10" fontId="29" fillId="2" borderId="1" xfId="26" applyNumberFormat="1" applyFont="1" applyFill="1" applyBorder="1" applyAlignment="1" applyProtection="1">
      <alignment horizontal="right"/>
      <protection locked="0"/>
    </xf>
    <xf numFmtId="1" fontId="29" fillId="2" borderId="1" xfId="26" applyNumberFormat="1" applyFont="1" applyFill="1" applyBorder="1" applyAlignment="1" applyProtection="1">
      <alignment horizontal="right"/>
      <protection locked="0"/>
    </xf>
    <xf numFmtId="0" fontId="31" fillId="2" borderId="7" xfId="0" applyFont="1" applyFill="1" applyBorder="1" applyAlignment="1" applyProtection="1">
      <alignment vertical="center"/>
      <protection locked="0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5" xfId="0" applyFont="1" applyFill="1" applyBorder="1" applyAlignment="1" applyProtection="1">
      <alignment vertical="center"/>
      <protection locked="0"/>
    </xf>
    <xf numFmtId="168" fontId="31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8" fillId="0" borderId="0" xfId="0" applyFont="1" applyAlignment="1">
      <alignment horizontal="left"/>
    </xf>
    <xf numFmtId="10" fontId="29" fillId="2" borderId="13" xfId="26" applyNumberFormat="1" applyFont="1" applyFill="1" applyBorder="1" applyProtection="1">
      <protection locked="0"/>
    </xf>
    <xf numFmtId="10" fontId="29" fillId="2" borderId="2" xfId="26" applyNumberFormat="1" applyFont="1" applyFill="1" applyBorder="1" applyProtection="1">
      <protection locked="0"/>
    </xf>
    <xf numFmtId="10" fontId="29" fillId="2" borderId="12" xfId="26" applyNumberFormat="1" applyFont="1" applyFill="1" applyBorder="1" applyProtection="1">
      <protection locked="0"/>
    </xf>
    <xf numFmtId="10" fontId="29" fillId="2" borderId="6" xfId="26" applyNumberFormat="1" applyFont="1" applyFill="1" applyBorder="1" applyProtection="1">
      <protection locked="0"/>
    </xf>
    <xf numFmtId="10" fontId="29" fillId="2" borderId="5" xfId="26" applyNumberFormat="1" applyFont="1" applyFill="1" applyBorder="1" applyProtection="1">
      <protection locked="0"/>
    </xf>
    <xf numFmtId="10" fontId="29" fillId="2" borderId="7" xfId="26" applyNumberFormat="1" applyFont="1" applyFill="1" applyBorder="1" applyProtection="1">
      <protection locked="0"/>
    </xf>
    <xf numFmtId="10" fontId="29" fillId="0" borderId="0" xfId="26" applyNumberFormat="1" applyFont="1" applyFill="1" applyBorder="1" applyProtection="1">
      <protection locked="0"/>
    </xf>
    <xf numFmtId="9" fontId="29" fillId="2" borderId="1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7" fontId="26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5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1" fillId="0" borderId="0" xfId="0" applyFont="1"/>
    <xf numFmtId="0" fontId="34" fillId="0" borderId="5" xfId="0" applyFont="1" applyBorder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4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42" fillId="0" borderId="5" xfId="0" applyFont="1" applyBorder="1"/>
    <xf numFmtId="0" fontId="27" fillId="0" borderId="0" xfId="0" applyFont="1"/>
    <xf numFmtId="167" fontId="28" fillId="0" borderId="0" xfId="0" applyNumberFormat="1" applyFont="1"/>
    <xf numFmtId="6" fontId="12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26" fillId="0" borderId="2" xfId="0" applyFont="1" applyBorder="1" applyAlignment="1">
      <alignment horizontal="left"/>
    </xf>
    <xf numFmtId="0" fontId="37" fillId="0" borderId="2" xfId="0" applyFont="1" applyBorder="1"/>
    <xf numFmtId="0" fontId="43" fillId="0" borderId="2" xfId="0" applyFont="1" applyBorder="1"/>
    <xf numFmtId="0" fontId="26" fillId="0" borderId="2" xfId="0" applyFont="1" applyBorder="1" applyAlignment="1">
      <alignment horizontal="right"/>
    </xf>
    <xf numFmtId="169" fontId="26" fillId="0" borderId="2" xfId="0" applyNumberFormat="1" applyFont="1" applyBorder="1" applyAlignment="1">
      <alignment horizontal="right"/>
    </xf>
    <xf numFmtId="10" fontId="26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4" fillId="0" borderId="0" xfId="33" applyFont="1"/>
    <xf numFmtId="0" fontId="45" fillId="0" borderId="0" xfId="33" applyFont="1"/>
    <xf numFmtId="0" fontId="46" fillId="0" borderId="0" xfId="33" applyFont="1"/>
    <xf numFmtId="0" fontId="47" fillId="0" borderId="0" xfId="33" applyFont="1"/>
    <xf numFmtId="0" fontId="48" fillId="0" borderId="0" xfId="33" applyFont="1"/>
    <xf numFmtId="0" fontId="49" fillId="0" borderId="0" xfId="33" applyFont="1"/>
    <xf numFmtId="173" fontId="50" fillId="0" borderId="0" xfId="33" applyNumberFormat="1" applyFont="1" applyAlignment="1">
      <alignment horizontal="left"/>
    </xf>
    <xf numFmtId="0" fontId="51" fillId="0" borderId="0" xfId="33" applyFont="1"/>
    <xf numFmtId="49" fontId="23" fillId="0" borderId="0" xfId="0" applyNumberFormat="1" applyFont="1" applyAlignment="1">
      <alignment horizontal="right"/>
    </xf>
    <xf numFmtId="0" fontId="52" fillId="0" borderId="5" xfId="0" applyFont="1" applyBorder="1"/>
    <xf numFmtId="10" fontId="29" fillId="2" borderId="1" xfId="26" applyNumberFormat="1" applyFont="1" applyFill="1" applyBorder="1" applyAlignment="1">
      <alignment horizontal="right"/>
    </xf>
    <xf numFmtId="8" fontId="31" fillId="2" borderId="1" xfId="0" applyNumberFormat="1" applyFont="1" applyFill="1" applyBorder="1" applyAlignment="1">
      <alignment horizontal="right"/>
    </xf>
    <xf numFmtId="49" fontId="29" fillId="2" borderId="1" xfId="26" applyNumberFormat="1" applyFont="1" applyFill="1" applyBorder="1" applyAlignment="1">
      <alignment horizontal="right"/>
    </xf>
    <xf numFmtId="7" fontId="29" fillId="2" borderId="1" xfId="26" applyNumberFormat="1" applyFont="1" applyFill="1" applyBorder="1" applyAlignment="1">
      <alignment horizontal="right"/>
    </xf>
    <xf numFmtId="6" fontId="52" fillId="0" borderId="5" xfId="0" applyNumberFormat="1" applyFont="1" applyBorder="1"/>
    <xf numFmtId="174" fontId="48" fillId="0" borderId="0" xfId="33" applyNumberFormat="1" applyFont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EC66FB26-A8A3-4D08-915A-73B2017410CC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C2D2513E-35A7-413A-B357-31A49B1EDAA2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35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D6E5F2"/>
      <color rgb="FFFFCCFF"/>
      <color rgb="FF0000FF"/>
      <color rgb="FF487B79"/>
      <color rgb="FFFFFFCC"/>
      <color rgb="FF40566A"/>
      <color rgb="FFFFCCCC"/>
      <color rgb="FFFF6600"/>
      <color rgb="FFEBF2F9"/>
      <color rgb="FFE5E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2131F1C6-4431-4340-B19D-B013626B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82669-76C3-455D-8C1B-5819C41E4AFC}">
  <dimension ref="A1:K43"/>
  <sheetViews>
    <sheetView showGridLines="0" tabSelected="1" workbookViewId="0">
      <selection activeCell="E19" sqref="E19"/>
    </sheetView>
  </sheetViews>
  <sheetFormatPr defaultColWidth="0" defaultRowHeight="12.95" customHeight="1" zeroHeight="1" x14ac:dyDescent="0.2"/>
  <cols>
    <col min="1" max="1" width="12.85546875" style="126" customWidth="1"/>
    <col min="2" max="2" width="2.5703125" style="126" customWidth="1"/>
    <col min="3" max="3" width="16.85546875" style="126" customWidth="1"/>
    <col min="4" max="11" width="10.5703125" style="126" customWidth="1"/>
    <col min="12" max="16384" width="10.5703125" style="126" hidden="1"/>
  </cols>
  <sheetData>
    <row r="1" spans="1:11" ht="15" x14ac:dyDescent="0.25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23.25" x14ac:dyDescent="0.35">
      <c r="A2" s="124"/>
      <c r="B2" s="125"/>
      <c r="C2" s="127" t="s">
        <v>1</v>
      </c>
      <c r="D2" s="128"/>
      <c r="E2" s="128"/>
      <c r="F2" s="125"/>
      <c r="G2" s="125"/>
      <c r="H2" s="125"/>
      <c r="I2" s="125"/>
      <c r="J2" s="125"/>
      <c r="K2" s="125"/>
    </row>
    <row r="3" spans="1:11" ht="15.75" x14ac:dyDescent="0.25">
      <c r="A3" s="124"/>
      <c r="B3" s="125"/>
      <c r="C3" s="129" t="s">
        <v>127</v>
      </c>
      <c r="D3" s="128"/>
      <c r="E3" s="128"/>
      <c r="F3" s="125"/>
      <c r="G3" s="125"/>
      <c r="H3" s="125"/>
      <c r="I3" s="125"/>
      <c r="J3" s="125"/>
      <c r="K3" s="125"/>
    </row>
    <row r="4" spans="1:11" ht="15" x14ac:dyDescent="0.25">
      <c r="A4" s="124"/>
      <c r="B4" s="125"/>
      <c r="C4" s="125"/>
      <c r="D4" s="128"/>
      <c r="E4" s="128"/>
      <c r="F4" s="125"/>
      <c r="G4" s="125"/>
      <c r="H4" s="125"/>
      <c r="I4" s="125"/>
      <c r="J4" s="125"/>
      <c r="K4" s="125"/>
    </row>
    <row r="5" spans="1:11" ht="15" x14ac:dyDescent="0.25">
      <c r="A5" s="124"/>
      <c r="B5" s="125"/>
      <c r="C5" s="130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Enterprise management systems cost</v>
      </c>
      <c r="D5" s="125"/>
      <c r="E5" s="125"/>
      <c r="F5" s="125"/>
      <c r="G5" s="125"/>
      <c r="H5" s="125"/>
      <c r="I5" s="125"/>
      <c r="J5" s="125"/>
      <c r="K5" s="125"/>
    </row>
    <row r="6" spans="1:11" ht="15" x14ac:dyDescent="0.25">
      <c r="A6" s="124"/>
      <c r="B6" s="125"/>
      <c r="C6" s="131" t="s">
        <v>128</v>
      </c>
      <c r="D6" s="142" t="str" cm="1">
        <f t="array" aca="1" ref="D6" ca="1">LEFT(_xlfn.TEXTAFTER(CELL("filename")," MOD "),FIND(" - ",_xlfn.TEXTAFTER(CELL("filename")," MOD "),1)-1)</f>
        <v>7.13</v>
      </c>
      <c r="E6" s="131"/>
      <c r="F6" s="125"/>
      <c r="G6" s="125"/>
      <c r="H6" s="125"/>
      <c r="I6" s="125"/>
      <c r="J6" s="125"/>
      <c r="K6" s="125"/>
    </row>
    <row r="7" spans="1:11" ht="15" x14ac:dyDescent="0.25">
      <c r="A7" s="124"/>
      <c r="B7" s="125"/>
      <c r="C7" s="125"/>
      <c r="D7" s="125"/>
      <c r="E7" s="125"/>
      <c r="F7" s="132"/>
      <c r="G7" s="132"/>
      <c r="H7" s="132"/>
      <c r="I7" s="125"/>
      <c r="J7" s="132"/>
      <c r="K7" s="132"/>
    </row>
    <row r="8" spans="1:11" ht="15" x14ac:dyDescent="0.25">
      <c r="A8" s="124"/>
      <c r="B8" s="125"/>
      <c r="C8" s="133">
        <v>45688</v>
      </c>
      <c r="D8" s="125"/>
      <c r="E8" s="125"/>
      <c r="F8" s="132"/>
      <c r="G8" s="132"/>
      <c r="H8" s="132"/>
      <c r="I8" s="125"/>
      <c r="J8" s="132"/>
      <c r="K8" s="132"/>
    </row>
    <row r="9" spans="1:11" ht="15" x14ac:dyDescent="0.25">
      <c r="A9" s="124"/>
      <c r="B9" s="125"/>
      <c r="C9" s="134"/>
      <c r="D9" s="134"/>
      <c r="E9" s="125"/>
      <c r="F9" s="132"/>
      <c r="G9" s="132"/>
      <c r="H9" s="132"/>
      <c r="I9" s="132"/>
      <c r="J9" s="132"/>
      <c r="K9" s="132"/>
    </row>
    <row r="10" spans="1:11" ht="15" x14ac:dyDescent="0.25">
      <c r="A10" s="124"/>
      <c r="B10" s="125"/>
      <c r="C10" s="134"/>
      <c r="D10" s="134"/>
      <c r="E10" s="125"/>
      <c r="F10" s="132"/>
      <c r="G10" s="132"/>
      <c r="H10" s="132"/>
      <c r="I10" s="132"/>
      <c r="J10" s="132"/>
      <c r="K10" s="132"/>
    </row>
    <row r="11" spans="1:11" ht="15" x14ac:dyDescent="0.25">
      <c r="A11" s="124"/>
      <c r="B11" s="125"/>
      <c r="C11" s="134"/>
      <c r="D11" s="134"/>
      <c r="E11" s="125"/>
      <c r="F11" s="132"/>
      <c r="G11" s="132"/>
      <c r="H11" s="132"/>
      <c r="I11" s="132"/>
      <c r="J11" s="132"/>
      <c r="K11" s="132"/>
    </row>
    <row r="12" spans="1:11" ht="15" x14ac:dyDescent="0.25">
      <c r="A12" s="124"/>
      <c r="B12" s="125"/>
      <c r="C12" s="134"/>
      <c r="D12" s="134"/>
      <c r="E12" s="125"/>
      <c r="F12" s="132"/>
      <c r="G12" s="132"/>
      <c r="H12" s="132"/>
      <c r="I12" s="132"/>
      <c r="J12" s="132"/>
      <c r="K12" s="132"/>
    </row>
    <row r="13" spans="1:11" ht="15" x14ac:dyDescent="0.25">
      <c r="A13" s="124"/>
      <c r="B13" s="125"/>
      <c r="C13" s="134"/>
      <c r="D13" s="134"/>
      <c r="E13" s="125"/>
      <c r="F13" s="132"/>
      <c r="G13" s="132"/>
      <c r="H13" s="132"/>
      <c r="I13" s="132"/>
      <c r="J13" s="132"/>
      <c r="K13" s="132"/>
    </row>
    <row r="14" spans="1:11" ht="15" x14ac:dyDescent="0.25">
      <c r="A14" s="124"/>
      <c r="B14" s="125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1" ht="15" x14ac:dyDescent="0.25">
      <c r="A15" s="124"/>
      <c r="B15" s="125"/>
      <c r="C15" s="130"/>
      <c r="D15" s="132"/>
      <c r="E15" s="132"/>
      <c r="F15" s="132"/>
      <c r="G15" s="132"/>
      <c r="H15" s="132"/>
      <c r="I15" s="132"/>
      <c r="J15" s="132"/>
      <c r="K15" s="132"/>
    </row>
    <row r="16" spans="1:11" ht="15" x14ac:dyDescent="0.25">
      <c r="A16" s="124"/>
      <c r="B16" s="125"/>
      <c r="C16" s="130"/>
      <c r="D16" s="132"/>
      <c r="E16" s="132"/>
      <c r="F16" s="132"/>
      <c r="G16" s="132"/>
      <c r="H16" s="132"/>
      <c r="I16" s="132"/>
      <c r="J16" s="132"/>
      <c r="K16" s="132"/>
    </row>
    <row r="17" spans="1:11" ht="15" x14ac:dyDescent="0.25">
      <c r="A17" s="124"/>
      <c r="B17" s="125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1" ht="15" x14ac:dyDescent="0.25">
      <c r="A18" s="124"/>
      <c r="B18" s="125"/>
      <c r="C18" s="132"/>
      <c r="D18" s="132"/>
      <c r="E18" s="132"/>
      <c r="F18" s="132"/>
      <c r="G18" s="132"/>
      <c r="H18" s="132"/>
      <c r="I18" s="132"/>
      <c r="J18" s="132"/>
      <c r="K18" s="132"/>
    </row>
    <row r="19" spans="1:11" ht="15" x14ac:dyDescent="0.25">
      <c r="A19" s="124"/>
      <c r="B19" s="125"/>
      <c r="C19" s="132"/>
      <c r="D19" s="132"/>
      <c r="E19" s="132"/>
      <c r="F19" s="132"/>
      <c r="H19" s="132"/>
      <c r="I19" s="132"/>
      <c r="J19" s="132"/>
      <c r="K19" s="132"/>
    </row>
    <row r="20" spans="1:11" ht="15" x14ac:dyDescent="0.25">
      <c r="A20" s="124"/>
      <c r="B20" s="125"/>
      <c r="C20" s="132"/>
      <c r="D20" s="132"/>
      <c r="E20" s="132"/>
      <c r="F20" s="132"/>
      <c r="G20" s="132"/>
      <c r="H20" s="132"/>
      <c r="I20" s="132"/>
      <c r="J20" s="132"/>
      <c r="K20" s="132"/>
    </row>
    <row r="21" spans="1:11" ht="15" x14ac:dyDescent="0.25">
      <c r="A21" s="124"/>
      <c r="B21" s="125"/>
      <c r="C21" s="132"/>
      <c r="D21" s="132"/>
      <c r="E21" s="132"/>
      <c r="F21" s="132"/>
      <c r="G21" s="132"/>
      <c r="H21" s="132"/>
      <c r="I21" s="132"/>
      <c r="J21" s="132"/>
      <c r="K21" s="132"/>
    </row>
    <row r="22" spans="1:11" ht="15" x14ac:dyDescent="0.25">
      <c r="A22" s="124"/>
      <c r="B22" s="125"/>
      <c r="C22" s="132"/>
      <c r="D22" s="132"/>
      <c r="E22" s="132"/>
      <c r="F22" s="132"/>
      <c r="G22" s="132"/>
      <c r="H22" s="132"/>
      <c r="I22" s="132"/>
      <c r="J22" s="132"/>
      <c r="K22" s="132"/>
    </row>
    <row r="23" spans="1:11" ht="15" x14ac:dyDescent="0.25">
      <c r="A23" s="124"/>
      <c r="B23" s="125"/>
      <c r="C23" s="132"/>
      <c r="D23" s="132"/>
      <c r="E23" s="132"/>
      <c r="F23" s="132"/>
      <c r="G23" s="132"/>
      <c r="H23" s="132"/>
      <c r="I23" s="132"/>
      <c r="J23" s="132"/>
      <c r="K23" s="132"/>
    </row>
    <row r="24" spans="1:11" ht="15" x14ac:dyDescent="0.25">
      <c r="A24" s="124"/>
      <c r="B24" s="125"/>
      <c r="C24" s="132"/>
      <c r="D24" s="132"/>
      <c r="E24" s="132"/>
      <c r="F24" s="132"/>
      <c r="G24" s="132"/>
      <c r="H24" s="132"/>
      <c r="I24" s="132"/>
      <c r="J24" s="132"/>
      <c r="K24" s="132"/>
    </row>
    <row r="25" spans="1:11" ht="15" x14ac:dyDescent="0.25">
      <c r="A25" s="124"/>
      <c r="B25" s="125"/>
      <c r="C25" s="132"/>
      <c r="D25" s="132"/>
      <c r="E25" s="132"/>
      <c r="F25" s="132"/>
      <c r="G25" s="132"/>
      <c r="H25" s="132"/>
      <c r="I25" s="132"/>
      <c r="J25" s="132"/>
      <c r="K25" s="132"/>
    </row>
    <row r="26" spans="1:11" ht="15" x14ac:dyDescent="0.25">
      <c r="A26" s="124"/>
      <c r="B26" s="125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 ht="15" x14ac:dyDescent="0.25">
      <c r="A27" s="124"/>
      <c r="B27" s="125"/>
      <c r="C27" s="132"/>
      <c r="D27" s="132"/>
      <c r="E27" s="132"/>
      <c r="F27" s="132"/>
      <c r="G27" s="132"/>
      <c r="H27" s="132"/>
      <c r="I27" s="132"/>
      <c r="J27" s="132"/>
      <c r="K27" s="132"/>
    </row>
    <row r="28" spans="1:11" ht="15" x14ac:dyDescent="0.25">
      <c r="A28" s="124"/>
      <c r="B28" s="125"/>
      <c r="C28" s="132"/>
      <c r="D28" s="132"/>
      <c r="E28" s="132"/>
      <c r="F28" s="132"/>
      <c r="G28" s="132"/>
      <c r="H28" s="132"/>
      <c r="I28" s="132"/>
      <c r="J28" s="132"/>
      <c r="K28" s="132"/>
    </row>
    <row r="29" spans="1:11" ht="15" x14ac:dyDescent="0.25">
      <c r="A29" s="124"/>
      <c r="B29" s="125"/>
      <c r="C29" s="132"/>
      <c r="D29" s="132"/>
      <c r="E29" s="132"/>
      <c r="F29" s="132"/>
      <c r="G29" s="132"/>
      <c r="H29" s="132"/>
      <c r="I29" s="132"/>
      <c r="J29" s="132"/>
      <c r="K29" s="132"/>
    </row>
    <row r="30" spans="1:11" ht="15" x14ac:dyDescent="0.25">
      <c r="A30" s="124"/>
      <c r="B30" s="125"/>
      <c r="C30" s="132"/>
      <c r="D30" s="125"/>
      <c r="E30" s="132"/>
      <c r="F30" s="132"/>
      <c r="G30" s="132"/>
      <c r="H30" s="132"/>
      <c r="I30" s="132"/>
      <c r="J30" s="132"/>
      <c r="K30" s="132"/>
    </row>
    <row r="31" spans="1:11" ht="15" x14ac:dyDescent="0.25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25"/>
    </row>
    <row r="32" spans="1:11" ht="15" x14ac:dyDescent="0.25">
      <c r="A32" s="124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ht="15" x14ac:dyDescent="0.25">
      <c r="A33" s="124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 ht="15" x14ac:dyDescent="0.25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ht="15" x14ac:dyDescent="0.25">
      <c r="A35" s="124"/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ht="15" x14ac:dyDescent="0.25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ht="15" x14ac:dyDescent="0.25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ht="15" x14ac:dyDescent="0.25">
      <c r="A38" s="124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ht="15" x14ac:dyDescent="0.25">
      <c r="A39" s="124"/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1" ht="15" x14ac:dyDescent="0.25">
      <c r="A40" s="124"/>
      <c r="B40" s="125"/>
      <c r="C40" s="125"/>
      <c r="D40" s="125"/>
      <c r="E40" s="125"/>
      <c r="F40" s="125"/>
      <c r="G40" s="125"/>
      <c r="H40" s="125"/>
      <c r="I40" s="125"/>
      <c r="J40" s="125"/>
      <c r="K40" s="125"/>
    </row>
    <row r="41" spans="1:11" ht="15" x14ac:dyDescent="0.25">
      <c r="A41" s="124"/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spans="1:11" ht="15" x14ac:dyDescent="0.25">
      <c r="A42" s="124"/>
      <c r="B42" s="125"/>
      <c r="C42" s="125"/>
      <c r="D42" s="125"/>
      <c r="E42" s="125"/>
      <c r="F42" s="125"/>
      <c r="G42" s="125"/>
      <c r="H42" s="125"/>
      <c r="I42" s="125"/>
      <c r="J42" s="125"/>
      <c r="K42" s="125"/>
    </row>
    <row r="43" spans="1:11" ht="15" x14ac:dyDescent="0.25">
      <c r="A43" s="124"/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</sheetData>
  <conditionalFormatting sqref="C5">
    <cfRule type="expression" dxfId="34" priority="1">
      <formula>LEFT(C5,1)="&lt;"</formula>
    </cfRule>
  </conditionalFormatting>
  <conditionalFormatting sqref="D6">
    <cfRule type="expression" dxfId="33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6D5E2-AF0A-4707-9DD8-27520B74ED7A}">
  <dimension ref="A1:P40"/>
  <sheetViews>
    <sheetView showGridLines="0" workbookViewId="0">
      <selection activeCell="I18" sqref="I18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61" t="str">
        <f>Project_name</f>
        <v>Enterprise management systems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1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95" t="str">
        <f>'Project summary'!D6</f>
        <v>Option 2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/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3" t="s">
        <v>0</v>
      </c>
      <c r="P10"/>
    </row>
    <row r="11" spans="1:16" ht="12.75" customHeight="1" x14ac:dyDescent="0.25">
      <c r="C11" s="1" t="s">
        <v>53</v>
      </c>
      <c r="D11" s="107"/>
      <c r="E11" s="2"/>
      <c r="F11" s="6">
        <f>'Project summary'!F14*Assumptions!$B$18</f>
        <v>1683120.6086031403</v>
      </c>
      <c r="G11" s="6">
        <f>'Project summary'!G14*Assumptions!$B$18</f>
        <v>1196755.8882315971</v>
      </c>
      <c r="H11" s="6">
        <f>'Project summary'!H14*Assumptions!$B$18</f>
        <v>1313224.2571771608</v>
      </c>
      <c r="I11" s="6">
        <f>'Project summary'!I14*Assumptions!$B$18</f>
        <v>1177061.786040609</v>
      </c>
      <c r="J11" s="6">
        <f>'Project summary'!J14*Assumptions!$B$18</f>
        <v>1184447.0743622298</v>
      </c>
      <c r="K11" s="6">
        <f>SUM(F11:J11)</f>
        <v>6554609.6144147366</v>
      </c>
      <c r="M11" s="98"/>
      <c r="P11"/>
    </row>
    <row r="12" spans="1:16" ht="12.75" customHeight="1" x14ac:dyDescent="0.25">
      <c r="C12" s="1" t="s">
        <v>145</v>
      </c>
      <c r="D12" s="107"/>
      <c r="E12" s="2"/>
      <c r="F12" s="6">
        <f>'Project summary'!F18*Assumptions!$B$18</f>
        <v>0</v>
      </c>
      <c r="G12" s="6">
        <f>'Project summary'!G18*Assumptions!$B$18</f>
        <v>74008.690986703674</v>
      </c>
      <c r="H12" s="6">
        <f>'Project summary'!H18*Assumptions!$B$18</f>
        <v>74008.690986703674</v>
      </c>
      <c r="I12" s="6">
        <f>'Project summary'!I18*Assumptions!$B$18</f>
        <v>74008.690986703674</v>
      </c>
      <c r="J12" s="6">
        <f>'Project summary'!J18*Assumptions!$B$18</f>
        <v>74008.690986703674</v>
      </c>
      <c r="K12" s="6">
        <f>SUM(F12:J12)</f>
        <v>296034.7639468147</v>
      </c>
      <c r="M12" s="98"/>
      <c r="P12"/>
    </row>
    <row r="13" spans="1:16" x14ac:dyDescent="0.2">
      <c r="C13" s="1" t="s">
        <v>146</v>
      </c>
      <c r="D13" s="107"/>
      <c r="F13" s="6">
        <v>0</v>
      </c>
      <c r="G13" s="6">
        <v>77571.383797657079</v>
      </c>
      <c r="H13" s="6">
        <v>78283.084258897827</v>
      </c>
      <c r="I13" s="6">
        <v>79076.374635071305</v>
      </c>
      <c r="J13" s="6">
        <v>79842.227214095823</v>
      </c>
      <c r="K13" s="6">
        <f>SUM(F13:J13)</f>
        <v>314773.06990572205</v>
      </c>
      <c r="M13" s="98"/>
    </row>
    <row r="14" spans="1:16" x14ac:dyDescent="0.2">
      <c r="C14" s="101" t="s">
        <v>135</v>
      </c>
      <c r="D14" s="136" t="s">
        <v>147</v>
      </c>
      <c r="E14" s="101"/>
      <c r="F14" s="105">
        <f>F11+F13</f>
        <v>1683120.6086031403</v>
      </c>
      <c r="G14" s="105">
        <f t="shared" ref="G14:K14" si="0">G11+G13</f>
        <v>1274327.2720292541</v>
      </c>
      <c r="H14" s="105">
        <f t="shared" si="0"/>
        <v>1391507.3414360587</v>
      </c>
      <c r="I14" s="105">
        <f t="shared" si="0"/>
        <v>1256138.1606756803</v>
      </c>
      <c r="J14" s="105">
        <f t="shared" si="0"/>
        <v>1264289.3015763257</v>
      </c>
      <c r="K14" s="105">
        <f t="shared" si="0"/>
        <v>6869382.6843204591</v>
      </c>
      <c r="M14" s="98"/>
    </row>
    <row r="15" spans="1:16" x14ac:dyDescent="0.2">
      <c r="D15" s="107"/>
      <c r="F15" s="6"/>
      <c r="G15" s="6"/>
      <c r="H15" s="6"/>
      <c r="I15" s="6"/>
      <c r="J15" s="6"/>
      <c r="K15" s="6"/>
      <c r="M15" s="98"/>
    </row>
    <row r="16" spans="1:16" x14ac:dyDescent="0.2">
      <c r="C16" s="101" t="s">
        <v>18</v>
      </c>
      <c r="D16" s="136"/>
      <c r="E16" s="136"/>
      <c r="F16" s="141">
        <f>NPV(Real_Discount_rate,F14:J14)</f>
        <v>6230011.0313828485</v>
      </c>
      <c r="G16" s="6"/>
      <c r="H16" s="6"/>
      <c r="I16" s="6"/>
      <c r="J16" s="6"/>
      <c r="K16" s="6"/>
    </row>
    <row r="17" spans="2:11" x14ac:dyDescent="0.2">
      <c r="D17" s="107"/>
      <c r="F17" s="6"/>
      <c r="G17" s="6"/>
      <c r="H17" s="6"/>
      <c r="I17" s="6"/>
      <c r="J17" s="6"/>
      <c r="K17" s="6"/>
    </row>
    <row r="18" spans="2:11" x14ac:dyDescent="0.2">
      <c r="C18" s="1" t="s">
        <v>150</v>
      </c>
    </row>
    <row r="21" spans="2:11" x14ac:dyDescent="0.2">
      <c r="B21" s="36" t="s">
        <v>3</v>
      </c>
      <c r="C21" s="36"/>
      <c r="D21" s="36"/>
      <c r="E21" s="37"/>
      <c r="F21" s="38" t="s">
        <v>6</v>
      </c>
      <c r="G21" s="38" t="s">
        <v>7</v>
      </c>
      <c r="H21" s="38" t="s">
        <v>8</v>
      </c>
      <c r="I21" s="38" t="s">
        <v>9</v>
      </c>
      <c r="J21" s="38" t="s">
        <v>10</v>
      </c>
      <c r="K21" s="73" t="s">
        <v>0</v>
      </c>
    </row>
    <row r="22" spans="2:11" x14ac:dyDescent="0.2">
      <c r="C22" s="1" t="s">
        <v>53</v>
      </c>
      <c r="D22" s="107"/>
      <c r="E22" s="2"/>
      <c r="F22" s="6">
        <f>'Project summary'!F29*Assumptions!$B$18</f>
        <v>6481573.9137197137</v>
      </c>
      <c r="G22" s="6">
        <f>'Project summary'!G29*Assumptions!$B$18</f>
        <v>3233448.0047558509</v>
      </c>
      <c r="H22" s="6">
        <f>'Project summary'!H29*Assumptions!$B$18</f>
        <v>3934324.6900012763</v>
      </c>
      <c r="I22" s="6">
        <f>'Project summary'!I29*Assumptions!$B$18</f>
        <v>3059373.3689085809</v>
      </c>
      <c r="J22" s="6">
        <f>'Project summary'!J29*Assumptions!$B$18</f>
        <v>2575058.1610842953</v>
      </c>
      <c r="K22" s="6">
        <f>SUM(F22:J22)</f>
        <v>19283778.138469715</v>
      </c>
    </row>
    <row r="23" spans="2:11" x14ac:dyDescent="0.2">
      <c r="C23" s="1" t="s">
        <v>145</v>
      </c>
      <c r="D23" s="107"/>
      <c r="E23" s="2"/>
      <c r="F23" s="6">
        <f>'Project summary'!F33*Assumptions!$B$18</f>
        <v>0</v>
      </c>
      <c r="G23" s="6">
        <f>'Project summary'!G33*Assumptions!$B$18</f>
        <v>0</v>
      </c>
      <c r="H23" s="6">
        <f>'Project summary'!H33*Assumptions!$B$18</f>
        <v>0</v>
      </c>
      <c r="I23" s="6">
        <f>'Project summary'!I33*Assumptions!$B$18</f>
        <v>0</v>
      </c>
      <c r="J23" s="6">
        <f>'Project summary'!J33*Assumptions!$B$18</f>
        <v>0</v>
      </c>
      <c r="K23" s="6">
        <f>SUM(F23:J23)</f>
        <v>0</v>
      </c>
    </row>
    <row r="24" spans="2:11" x14ac:dyDescent="0.2">
      <c r="C24" s="1" t="s">
        <v>148</v>
      </c>
      <c r="D24" s="107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>SUM(F24:J24)</f>
        <v>0</v>
      </c>
    </row>
    <row r="25" spans="2:11" x14ac:dyDescent="0.2">
      <c r="C25" s="101" t="s">
        <v>135</v>
      </c>
      <c r="D25" s="136" t="s">
        <v>147</v>
      </c>
      <c r="E25" s="101"/>
      <c r="F25" s="105">
        <f>F22+F24</f>
        <v>6481573.9137197137</v>
      </c>
      <c r="G25" s="105">
        <f t="shared" ref="G25:K25" si="1">G22+G24</f>
        <v>3233448.0047558509</v>
      </c>
      <c r="H25" s="105">
        <f t="shared" si="1"/>
        <v>3934324.6900012763</v>
      </c>
      <c r="I25" s="105">
        <f t="shared" si="1"/>
        <v>3059373.3689085809</v>
      </c>
      <c r="J25" s="105">
        <f t="shared" si="1"/>
        <v>2575058.1610842953</v>
      </c>
      <c r="K25" s="105">
        <f t="shared" si="1"/>
        <v>19283778.138469715</v>
      </c>
    </row>
    <row r="27" spans="2:11" x14ac:dyDescent="0.2">
      <c r="C27" s="101" t="s">
        <v>18</v>
      </c>
      <c r="D27" s="136"/>
      <c r="E27" s="136"/>
      <c r="F27" s="141">
        <f>NPV(Real_Discount_rate,F25:J25)</f>
        <v>17663581.040892307</v>
      </c>
    </row>
    <row r="29" spans="2:11" x14ac:dyDescent="0.2">
      <c r="C29" s="1" t="s">
        <v>151</v>
      </c>
    </row>
    <row r="32" spans="2:11" x14ac:dyDescent="0.2">
      <c r="B32" s="36" t="s">
        <v>19</v>
      </c>
      <c r="C32" s="36"/>
      <c r="D32" s="36"/>
      <c r="E32" s="37"/>
      <c r="F32" s="38" t="s">
        <v>6</v>
      </c>
      <c r="G32" s="38" t="s">
        <v>7</v>
      </c>
      <c r="H32" s="38" t="s">
        <v>8</v>
      </c>
      <c r="I32" s="38" t="s">
        <v>9</v>
      </c>
      <c r="J32" s="38" t="s">
        <v>10</v>
      </c>
      <c r="K32" s="73" t="s">
        <v>0</v>
      </c>
    </row>
    <row r="33" spans="3:11" x14ac:dyDescent="0.2">
      <c r="C33" s="1" t="s">
        <v>53</v>
      </c>
      <c r="D33" s="107"/>
      <c r="E33" s="2"/>
      <c r="F33" s="6">
        <f>'Project summary'!F44*Assumptions!$B$18</f>
        <v>8007560.3673575204</v>
      </c>
      <c r="G33" s="6">
        <f>'Project summary'!G44*Assumptions!$B$18</f>
        <v>4181924.1403026865</v>
      </c>
      <c r="H33" s="6">
        <f>'Project summary'!H44*Assumptions!$B$18</f>
        <v>4587858.5120367724</v>
      </c>
      <c r="I33" s="6">
        <f>'Project summary'!I44*Assumptions!$B$18</f>
        <v>3848597.3213977157</v>
      </c>
      <c r="J33" s="6">
        <f>'Project summary'!J44*Assumptions!$B$18</f>
        <v>3031203.8679159982</v>
      </c>
      <c r="K33" s="6">
        <f>SUM(F33:J33)</f>
        <v>23657144.209010694</v>
      </c>
    </row>
    <row r="34" spans="3:11" x14ac:dyDescent="0.2">
      <c r="C34" s="1" t="s">
        <v>145</v>
      </c>
      <c r="D34" s="107"/>
      <c r="E34" s="2"/>
      <c r="F34" s="6">
        <f>'Project summary'!F48*Assumptions!$B$18</f>
        <v>0</v>
      </c>
      <c r="G34" s="6">
        <f>'Project summary'!G48*Assumptions!$B$18</f>
        <v>0</v>
      </c>
      <c r="H34" s="6">
        <f>'Project summary'!H48*Assumptions!$B$18</f>
        <v>0</v>
      </c>
      <c r="I34" s="6">
        <f>'Project summary'!I48*Assumptions!$B$18</f>
        <v>0</v>
      </c>
      <c r="J34" s="6">
        <f>'Project summary'!J48*Assumptions!$B$18</f>
        <v>0</v>
      </c>
      <c r="K34" s="6">
        <f>SUM(F34:J34)</f>
        <v>0</v>
      </c>
    </row>
    <row r="35" spans="3:11" x14ac:dyDescent="0.2">
      <c r="C35" s="1" t="s">
        <v>146</v>
      </c>
      <c r="D35" s="107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f>SUM(F35:J35)</f>
        <v>0</v>
      </c>
    </row>
    <row r="36" spans="3:11" x14ac:dyDescent="0.2">
      <c r="C36" s="101" t="s">
        <v>135</v>
      </c>
      <c r="D36" s="136" t="s">
        <v>147</v>
      </c>
      <c r="E36" s="101"/>
      <c r="F36" s="105">
        <f>F33+F35</f>
        <v>8007560.3673575204</v>
      </c>
      <c r="G36" s="105">
        <f t="shared" ref="G36:K36" si="2">G33+G35</f>
        <v>4181924.1403026865</v>
      </c>
      <c r="H36" s="105">
        <f t="shared" si="2"/>
        <v>4587858.5120367724</v>
      </c>
      <c r="I36" s="105">
        <f t="shared" si="2"/>
        <v>3848597.3213977157</v>
      </c>
      <c r="J36" s="105">
        <f t="shared" si="2"/>
        <v>3031203.8679159982</v>
      </c>
      <c r="K36" s="105">
        <f t="shared" si="2"/>
        <v>23657144.209010694</v>
      </c>
    </row>
    <row r="38" spans="3:11" x14ac:dyDescent="0.2">
      <c r="C38" s="101" t="s">
        <v>18</v>
      </c>
      <c r="D38" s="136"/>
      <c r="E38" s="136"/>
      <c r="F38" s="141">
        <f>NPV(Real_Discount_rate,F36:J36)</f>
        <v>21684652.297792975</v>
      </c>
    </row>
    <row r="40" spans="3:11" x14ac:dyDescent="0.2">
      <c r="C40" s="1" t="s">
        <v>150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52"/>
  <sheetViews>
    <sheetView showGridLines="0" zoomScale="85" zoomScaleNormal="85" workbookViewId="0">
      <selection activeCell="K34" sqref="K34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Enterprise management systems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 &amp; PAL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83" t="s">
        <v>3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3" t="s">
        <v>0</v>
      </c>
      <c r="P10"/>
    </row>
    <row r="11" spans="1:16" ht="12.75" customHeight="1" x14ac:dyDescent="0.25">
      <c r="C11" s="1" t="s">
        <v>11</v>
      </c>
      <c r="D11" s="107" t="s">
        <v>12</v>
      </c>
      <c r="E11" s="2"/>
      <c r="F11" s="6">
        <f>'Option 1'!Q129+'Option 1'!Q132</f>
        <v>852896.41085173446</v>
      </c>
      <c r="G11" s="6">
        <f>'Option 1'!R129+'Option 1'!R132</f>
        <v>632858.20242513577</v>
      </c>
      <c r="H11" s="6">
        <f>'Option 1'!S129+'Option 1'!S132</f>
        <v>837926.43022252491</v>
      </c>
      <c r="I11" s="6">
        <f>'Option 1'!T129+'Option 1'!T132</f>
        <v>632858.20242513577</v>
      </c>
      <c r="J11" s="6">
        <f>'Option 1'!U129+'Option 1'!U132</f>
        <v>632858.20242513577</v>
      </c>
      <c r="K11" s="6">
        <f>SUM(F11:J11)</f>
        <v>3589397.4483496668</v>
      </c>
      <c r="M11" s="98"/>
      <c r="P11"/>
    </row>
    <row r="12" spans="1:16" ht="12.75" customHeight="1" x14ac:dyDescent="0.25">
      <c r="C12" s="1" t="s">
        <v>13</v>
      </c>
      <c r="D12" s="107" t="s">
        <v>12</v>
      </c>
      <c r="E12" s="2"/>
      <c r="F12" s="6">
        <f>'Option 1'!Q130+'Option 1'!Q133</f>
        <v>358714.00419299741</v>
      </c>
      <c r="G12" s="6">
        <f>'Option 1'!R130+'Option 1'!R133</f>
        <v>137155.35454438138</v>
      </c>
      <c r="H12" s="6">
        <f>'Option 1'!S130+'Option 1'!S133</f>
        <v>147705.76643241069</v>
      </c>
      <c r="I12" s="6">
        <f>'Option 1'!T130+'Option 1'!T133</f>
        <v>158256.17832044003</v>
      </c>
      <c r="J12" s="6">
        <f>'Option 1'!U130+'Option 1'!U133</f>
        <v>168806.59020846937</v>
      </c>
      <c r="K12" s="6">
        <f t="shared" ref="K12:K13" si="0">SUM(F12:J12)</f>
        <v>970637.89369869884</v>
      </c>
      <c r="M12" s="98"/>
      <c r="P12"/>
    </row>
    <row r="13" spans="1:16" ht="12.75" customHeight="1" x14ac:dyDescent="0.2">
      <c r="C13" s="1" t="s">
        <v>14</v>
      </c>
      <c r="D13" s="107" t="s">
        <v>12</v>
      </c>
      <c r="F13" s="6">
        <f>'Option 1'!Q131+'Option 1'!Q134</f>
        <v>1192847.5972454688</v>
      </c>
      <c r="G13" s="6">
        <f>'Option 1'!R131+'Option 1'!R134</f>
        <v>939637.71193276462</v>
      </c>
      <c r="H13" s="6">
        <f>'Option 1'!S131+'Option 1'!S134</f>
        <v>890402.45645529439</v>
      </c>
      <c r="I13" s="6">
        <f>'Option 1'!T131+'Option 1'!T134</f>
        <v>890402.45645529439</v>
      </c>
      <c r="J13" s="6">
        <f>'Option 1'!U131+'Option 1'!U134</f>
        <v>890402.45645529439</v>
      </c>
      <c r="K13" s="6">
        <f t="shared" si="0"/>
        <v>4803692.6785441162</v>
      </c>
      <c r="M13" s="98"/>
    </row>
    <row r="14" spans="1:16" ht="12.75" customHeight="1" x14ac:dyDescent="0.2">
      <c r="C14" s="101" t="s">
        <v>15</v>
      </c>
      <c r="D14" s="108"/>
      <c r="E14" s="101"/>
      <c r="F14" s="105">
        <f>SUM(F11:F13)</f>
        <v>2404458.0122902007</v>
      </c>
      <c r="G14" s="105">
        <f t="shared" ref="G14:K14" si="1">SUM(G11:G13)</f>
        <v>1709651.2689022818</v>
      </c>
      <c r="H14" s="105">
        <f t="shared" si="1"/>
        <v>1876034.6531102299</v>
      </c>
      <c r="I14" s="105">
        <f t="shared" si="1"/>
        <v>1681516.8372008703</v>
      </c>
      <c r="J14" s="105">
        <f t="shared" si="1"/>
        <v>1692067.2490888997</v>
      </c>
      <c r="K14" s="105">
        <f t="shared" si="1"/>
        <v>9363728.0205924809</v>
      </c>
      <c r="M14" s="98"/>
    </row>
    <row r="15" spans="1:16" ht="12.75" customHeight="1" x14ac:dyDescent="0.2">
      <c r="C15" s="1" t="s">
        <v>11</v>
      </c>
      <c r="D15" s="107" t="s">
        <v>16</v>
      </c>
      <c r="F15" s="6">
        <f>'Option 1'!Q136+'Option 1'!Q139</f>
        <v>0</v>
      </c>
      <c r="G15" s="6">
        <f>'Option 1'!R136+'Option 1'!R139</f>
        <v>0</v>
      </c>
      <c r="H15" s="6">
        <f>'Option 1'!S136+'Option 1'!S139</f>
        <v>0</v>
      </c>
      <c r="I15" s="6">
        <f>'Option 1'!T136+'Option 1'!T139</f>
        <v>0</v>
      </c>
      <c r="J15" s="6">
        <f>'Option 1'!U136+'Option 1'!U139</f>
        <v>0</v>
      </c>
      <c r="K15" s="6">
        <f>SUM(F15:J15)</f>
        <v>0</v>
      </c>
      <c r="M15" s="98"/>
    </row>
    <row r="16" spans="1:16" ht="12.75" customHeight="1" x14ac:dyDescent="0.2">
      <c r="C16" s="1" t="s">
        <v>13</v>
      </c>
      <c r="D16" s="107" t="s">
        <v>16</v>
      </c>
      <c r="F16" s="6">
        <f>'Option 1'!Q137+'Option 1'!Q140</f>
        <v>0</v>
      </c>
      <c r="G16" s="6">
        <f>'Option 1'!R137+'Option 1'!R140</f>
        <v>0</v>
      </c>
      <c r="H16" s="6">
        <f>'Option 1'!S137+'Option 1'!S140</f>
        <v>0</v>
      </c>
      <c r="I16" s="6">
        <f>'Option 1'!T137+'Option 1'!T140</f>
        <v>0</v>
      </c>
      <c r="J16" s="6">
        <f>'Option 1'!U137+'Option 1'!U140</f>
        <v>0</v>
      </c>
      <c r="K16" s="6">
        <f t="shared" ref="K16:K17" si="2">SUM(F16:J16)</f>
        <v>0</v>
      </c>
      <c r="M16" s="98"/>
    </row>
    <row r="17" spans="2:13" ht="12.75" customHeight="1" x14ac:dyDescent="0.2">
      <c r="C17" s="1" t="s">
        <v>14</v>
      </c>
      <c r="D17" s="107" t="s">
        <v>16</v>
      </c>
      <c r="F17" s="6">
        <f>'Option 1'!Q138+'Option 1'!Q141</f>
        <v>0</v>
      </c>
      <c r="G17" s="6">
        <f>'Option 1'!R138+'Option 1'!R141</f>
        <v>105726.70140957668</v>
      </c>
      <c r="H17" s="6">
        <f>'Option 1'!S138+'Option 1'!S141</f>
        <v>105726.70140957668</v>
      </c>
      <c r="I17" s="6">
        <f>'Option 1'!T138+'Option 1'!T141</f>
        <v>105726.70140957668</v>
      </c>
      <c r="J17" s="6">
        <f>'Option 1'!U138+'Option 1'!U141</f>
        <v>105726.70140957668</v>
      </c>
      <c r="K17" s="6">
        <f t="shared" si="2"/>
        <v>422906.80563830672</v>
      </c>
      <c r="M17" s="98"/>
    </row>
    <row r="18" spans="2:13" ht="12.75" customHeight="1" x14ac:dyDescent="0.2">
      <c r="C18" s="101" t="s">
        <v>17</v>
      </c>
      <c r="D18" s="108"/>
      <c r="E18" s="101"/>
      <c r="F18" s="105">
        <f>SUM(F15:F17)</f>
        <v>0</v>
      </c>
      <c r="G18" s="105">
        <f t="shared" ref="G18:K18" si="3">SUM(G15:G17)</f>
        <v>105726.70140957668</v>
      </c>
      <c r="H18" s="105">
        <f t="shared" si="3"/>
        <v>105726.70140957668</v>
      </c>
      <c r="I18" s="105">
        <f t="shared" si="3"/>
        <v>105726.70140957668</v>
      </c>
      <c r="J18" s="105">
        <f t="shared" si="3"/>
        <v>105726.70140957668</v>
      </c>
      <c r="K18" s="105">
        <f t="shared" si="3"/>
        <v>422906.80563830672</v>
      </c>
      <c r="M18" s="98"/>
    </row>
    <row r="19" spans="2:13" ht="12.75" customHeight="1" x14ac:dyDescent="0.2">
      <c r="D19" s="48"/>
      <c r="F19" s="6"/>
      <c r="G19" s="6"/>
      <c r="H19" s="6"/>
      <c r="I19" s="6"/>
      <c r="J19" s="6"/>
      <c r="K19" s="6"/>
      <c r="M19" s="98"/>
    </row>
    <row r="20" spans="2:13" ht="12.75" customHeight="1" x14ac:dyDescent="0.2">
      <c r="C20" s="113" t="str">
        <f>"Total Cost ($ "&amp;Assumptions!$C35&amp;")"</f>
        <v>Total Cost ($ June 2026)</v>
      </c>
      <c r="D20" s="21"/>
      <c r="E20" s="21"/>
      <c r="F20" s="22">
        <f t="shared" ref="F20:K20" si="4">F14+F18</f>
        <v>2404458.0122902007</v>
      </c>
      <c r="G20" s="22">
        <f t="shared" si="4"/>
        <v>1815377.9703118585</v>
      </c>
      <c r="H20" s="22">
        <f t="shared" si="4"/>
        <v>1981761.3545198066</v>
      </c>
      <c r="I20" s="22">
        <f t="shared" si="4"/>
        <v>1787243.538610447</v>
      </c>
      <c r="J20" s="22">
        <f t="shared" si="4"/>
        <v>1797793.9504984764</v>
      </c>
      <c r="K20" s="22">
        <f t="shared" si="4"/>
        <v>9786634.8262307867</v>
      </c>
      <c r="L20" s="57">
        <f>K20-'Option 1'!$V$144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3" t="s">
        <v>18</v>
      </c>
      <c r="D22" s="22"/>
      <c r="E22" s="22"/>
      <c r="F22" s="22">
        <f>NPV(Assumptions!$B$10,F20:J20)</f>
        <v>8876431.5531278942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3</v>
      </c>
      <c r="C25" s="36" t="s">
        <v>5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3" t="s">
        <v>0</v>
      </c>
    </row>
    <row r="26" spans="2:13" ht="12.75" customHeight="1" x14ac:dyDescent="0.2">
      <c r="C26" s="1" t="s">
        <v>11</v>
      </c>
      <c r="D26" s="107" t="s">
        <v>12</v>
      </c>
      <c r="E26" s="2"/>
      <c r="F26" s="6">
        <f>'Option 2'!Q129+'Option 2'!Q132</f>
        <v>3822482.4925128175</v>
      </c>
      <c r="G26" s="6">
        <f>'Option 2'!R129+'Option 2'!R132</f>
        <v>2485151.3547925889</v>
      </c>
      <c r="H26" s="6">
        <f>'Option 2'!S129+'Option 2'!S132</f>
        <v>4059820.8742257403</v>
      </c>
      <c r="I26" s="6">
        <f>'Option 2'!T129+'Option 2'!T132</f>
        <v>2691253.9274138818</v>
      </c>
      <c r="J26" s="6">
        <f>'Option 2'!U129+'Option 2'!U132</f>
        <v>2210458.9749140162</v>
      </c>
      <c r="K26" s="6">
        <f>SUM(F26:J26)</f>
        <v>15269167.623859042</v>
      </c>
      <c r="M26" s="98"/>
    </row>
    <row r="27" spans="2:13" x14ac:dyDescent="0.2">
      <c r="C27" s="1" t="s">
        <v>13</v>
      </c>
      <c r="D27" s="107" t="s">
        <v>12</v>
      </c>
      <c r="E27" s="2"/>
      <c r="F27" s="6">
        <f>'Option 2'!Q130+'Option 2'!Q133</f>
        <v>2805964.3971572365</v>
      </c>
      <c r="G27" s="6">
        <f>'Option 2'!R130+'Option 2'!R133</f>
        <v>1194422.3686401481</v>
      </c>
      <c r="H27" s="6">
        <f>'Option 2'!S130+'Option 2'!S133</f>
        <v>203351.39875324053</v>
      </c>
      <c r="I27" s="6">
        <f>'Option 2'!T130+'Option 2'!T133</f>
        <v>268390.01380982646</v>
      </c>
      <c r="J27" s="6">
        <f>'Option 2'!U130+'Option 2'!U133</f>
        <v>168806.59020846937</v>
      </c>
      <c r="K27" s="6">
        <f t="shared" ref="K27:K28" si="6">SUM(F27:J27)</f>
        <v>4640934.76856892</v>
      </c>
      <c r="M27" s="98"/>
    </row>
    <row r="28" spans="2:13" x14ac:dyDescent="0.2">
      <c r="C28" s="1" t="s">
        <v>14</v>
      </c>
      <c r="D28" s="107" t="s">
        <v>12</v>
      </c>
      <c r="F28" s="6">
        <f>'Option 2'!Q131+'Option 2'!Q134</f>
        <v>2630944.4156438233</v>
      </c>
      <c r="G28" s="6">
        <f>'Option 2'!R131+'Option 2'!R134</f>
        <v>939637.71193276462</v>
      </c>
      <c r="H28" s="6">
        <f>'Option 2'!S131+'Option 2'!S134</f>
        <v>1357291.5698799849</v>
      </c>
      <c r="I28" s="6">
        <f>'Option 2'!T131+'Option 2'!T134</f>
        <v>1410889.4429314083</v>
      </c>
      <c r="J28" s="6">
        <f>'Option 2'!U131+'Option 2'!U134</f>
        <v>1299388.9507122224</v>
      </c>
      <c r="K28" s="6">
        <f t="shared" si="6"/>
        <v>7638152.0911002029</v>
      </c>
      <c r="M28" s="98"/>
    </row>
    <row r="29" spans="2:13" x14ac:dyDescent="0.2">
      <c r="C29" s="101" t="s">
        <v>15</v>
      </c>
      <c r="D29" s="108"/>
      <c r="E29" s="101"/>
      <c r="F29" s="105">
        <f>SUM(F26:F28)</f>
        <v>9259391.3053138778</v>
      </c>
      <c r="G29" s="105">
        <f t="shared" ref="G29" si="7">SUM(G26:G28)</f>
        <v>4619211.4353655018</v>
      </c>
      <c r="H29" s="105">
        <f t="shared" ref="H29" si="8">SUM(H26:H28)</f>
        <v>5620463.8428589664</v>
      </c>
      <c r="I29" s="105">
        <f t="shared" ref="I29" si="9">SUM(I26:I28)</f>
        <v>4370533.384155116</v>
      </c>
      <c r="J29" s="105">
        <f t="shared" ref="J29" si="10">SUM(J26:J28)</f>
        <v>3678654.5158347078</v>
      </c>
      <c r="K29" s="105">
        <f t="shared" ref="K29" si="11">SUM(K26:K28)</f>
        <v>27548254.483528167</v>
      </c>
      <c r="M29" s="98"/>
    </row>
    <row r="30" spans="2:13" x14ac:dyDescent="0.2">
      <c r="C30" s="1" t="s">
        <v>11</v>
      </c>
      <c r="D30" s="107" t="s">
        <v>16</v>
      </c>
      <c r="F30" s="6">
        <f>'Option 2'!Q136+'Option 2'!Q139</f>
        <v>0</v>
      </c>
      <c r="G30" s="6">
        <f>'Option 2'!R136+'Option 2'!R139</f>
        <v>0</v>
      </c>
      <c r="H30" s="6">
        <f>'Option 2'!S136+'Option 2'!S139</f>
        <v>0</v>
      </c>
      <c r="I30" s="6">
        <f>'Option 2'!T136+'Option 2'!T139</f>
        <v>0</v>
      </c>
      <c r="J30" s="6">
        <f>'Option 2'!U136+'Option 2'!U139</f>
        <v>0</v>
      </c>
      <c r="K30" s="6">
        <f>SUM(F30:J30)</f>
        <v>0</v>
      </c>
      <c r="M30" s="98"/>
    </row>
    <row r="31" spans="2:13" x14ac:dyDescent="0.2">
      <c r="C31" s="1" t="s">
        <v>13</v>
      </c>
      <c r="D31" s="107" t="s">
        <v>16</v>
      </c>
      <c r="F31" s="6">
        <f>'Option 2'!Q137+'Option 2'!Q140</f>
        <v>0</v>
      </c>
      <c r="G31" s="6">
        <f>'Option 2'!R137+'Option 2'!R140</f>
        <v>0</v>
      </c>
      <c r="H31" s="6">
        <f>'Option 2'!S137+'Option 2'!S140</f>
        <v>0</v>
      </c>
      <c r="I31" s="6">
        <f>'Option 2'!T137+'Option 2'!T140</f>
        <v>0</v>
      </c>
      <c r="J31" s="6">
        <f>'Option 2'!U137+'Option 2'!U140</f>
        <v>0</v>
      </c>
      <c r="K31" s="6">
        <f t="shared" ref="K31:K32" si="12">SUM(F31:J31)</f>
        <v>0</v>
      </c>
      <c r="M31" s="98"/>
    </row>
    <row r="32" spans="2:13" x14ac:dyDescent="0.2">
      <c r="C32" s="1" t="s">
        <v>14</v>
      </c>
      <c r="D32" s="107" t="s">
        <v>16</v>
      </c>
      <c r="F32" s="6">
        <f>'Option 2'!Q138+'Option 2'!Q141</f>
        <v>0</v>
      </c>
      <c r="G32" s="6">
        <f>'Option 2'!R138+'Option 2'!R141</f>
        <v>0</v>
      </c>
      <c r="H32" s="6">
        <f>'Option 2'!S138+'Option 2'!S141</f>
        <v>0</v>
      </c>
      <c r="I32" s="6">
        <f>'Option 2'!T138+'Option 2'!T141</f>
        <v>0</v>
      </c>
      <c r="J32" s="6">
        <f>'Option 2'!U138+'Option 2'!U141</f>
        <v>0</v>
      </c>
      <c r="K32" s="6">
        <f t="shared" si="12"/>
        <v>0</v>
      </c>
      <c r="M32" s="98"/>
    </row>
    <row r="33" spans="2:13" x14ac:dyDescent="0.2">
      <c r="C33" s="101" t="s">
        <v>17</v>
      </c>
      <c r="D33" s="108"/>
      <c r="E33" s="101"/>
      <c r="F33" s="105">
        <f>SUM(F30:F32)</f>
        <v>0</v>
      </c>
      <c r="G33" s="105">
        <f t="shared" ref="G33" si="13">SUM(G30:G32)</f>
        <v>0</v>
      </c>
      <c r="H33" s="105">
        <f t="shared" ref="H33" si="14">SUM(H30:H32)</f>
        <v>0</v>
      </c>
      <c r="I33" s="105">
        <f t="shared" ref="I33" si="15">SUM(I30:I32)</f>
        <v>0</v>
      </c>
      <c r="J33" s="105">
        <f t="shared" ref="J33" si="16">SUM(J30:J32)</f>
        <v>0</v>
      </c>
      <c r="K33" s="105">
        <f t="shared" ref="K33" si="17">SUM(K30:K32)</f>
        <v>0</v>
      </c>
      <c r="M33" s="98"/>
    </row>
    <row r="34" spans="2:13" x14ac:dyDescent="0.2">
      <c r="D34" s="48"/>
      <c r="F34" s="6"/>
      <c r="G34" s="6"/>
      <c r="H34" s="6"/>
      <c r="I34" s="6"/>
      <c r="J34" s="6"/>
      <c r="K34" s="6"/>
      <c r="M34" s="98"/>
    </row>
    <row r="35" spans="2:13" x14ac:dyDescent="0.2">
      <c r="C35" s="113" t="str">
        <f>"Total Cost ($ "&amp;Assumptions!$C$35&amp;")"</f>
        <v>Total Cost ($ June 2026)</v>
      </c>
      <c r="D35" s="21"/>
      <c r="E35" s="21"/>
      <c r="F35" s="22">
        <f t="shared" ref="F35:K35" si="18">F29+F33</f>
        <v>9259391.3053138778</v>
      </c>
      <c r="G35" s="22">
        <f t="shared" si="18"/>
        <v>4619211.4353655018</v>
      </c>
      <c r="H35" s="22">
        <f t="shared" si="18"/>
        <v>5620463.8428589664</v>
      </c>
      <c r="I35" s="22">
        <f t="shared" si="18"/>
        <v>4370533.384155116</v>
      </c>
      <c r="J35" s="22">
        <f t="shared" si="18"/>
        <v>3678654.5158347078</v>
      </c>
      <c r="K35" s="22">
        <f t="shared" si="18"/>
        <v>27548254.483528167</v>
      </c>
      <c r="L35" s="57">
        <f>K35-'Option 2'!$V$144</f>
        <v>0</v>
      </c>
    </row>
    <row r="37" spans="2:13" x14ac:dyDescent="0.2">
      <c r="C37" s="53" t="s">
        <v>18</v>
      </c>
      <c r="D37" s="22"/>
      <c r="E37" s="22"/>
      <c r="F37" s="22">
        <f>NPV(Assumptions!$B$10,F35:J35)</f>
        <v>25233687.201274727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  <row r="40" spans="2:13" x14ac:dyDescent="0.2">
      <c r="B40" s="36" t="s">
        <v>19</v>
      </c>
      <c r="C40" s="36" t="s">
        <v>5</v>
      </c>
      <c r="D40" s="36"/>
      <c r="E40" s="37"/>
      <c r="F40" s="38" t="str">
        <f>F$10</f>
        <v>2026/27</v>
      </c>
      <c r="G40" s="38" t="str">
        <f t="shared" ref="G40:J40" si="19">G$10</f>
        <v>2027/28</v>
      </c>
      <c r="H40" s="38" t="str">
        <f t="shared" si="19"/>
        <v>2028/29</v>
      </c>
      <c r="I40" s="38" t="str">
        <f t="shared" si="19"/>
        <v>2029/30</v>
      </c>
      <c r="J40" s="38" t="str">
        <f t="shared" si="19"/>
        <v>2030/31</v>
      </c>
      <c r="K40" s="73" t="s">
        <v>0</v>
      </c>
    </row>
    <row r="41" spans="2:13" x14ac:dyDescent="0.2">
      <c r="C41" s="1" t="s">
        <v>11</v>
      </c>
      <c r="D41" s="107" t="s">
        <v>12</v>
      </c>
      <c r="E41" s="2"/>
      <c r="F41" s="6">
        <f>'Option 3'!Q139+'Option 3'!Q142</f>
        <v>4798958.2918192726</v>
      </c>
      <c r="G41" s="6">
        <f>'Option 3'!R139+'Option 3'!R142</f>
        <v>3678789.4454920897</v>
      </c>
      <c r="H41" s="6">
        <f>'Option 3'!S139+'Option 3'!S142</f>
        <v>4634128.9817066118</v>
      </c>
      <c r="I41" s="6">
        <f>'Option 3'!T139+'Option 3'!T142</f>
        <v>3553291.5021643015</v>
      </c>
      <c r="J41" s="6">
        <f>'Option 3'!U139+'Option 3'!U142</f>
        <v>2671274.5836920701</v>
      </c>
      <c r="K41" s="6">
        <f>SUM(F41:J41)</f>
        <v>19336442.804874346</v>
      </c>
      <c r="M41" s="98"/>
    </row>
    <row r="42" spans="2:13" x14ac:dyDescent="0.2">
      <c r="C42" s="1" t="s">
        <v>13</v>
      </c>
      <c r="D42" s="107" t="s">
        <v>12</v>
      </c>
      <c r="E42" s="2"/>
      <c r="F42" s="6">
        <f>'Option 3'!Q140+'Option 3'!Q143</f>
        <v>2805964.3971572365</v>
      </c>
      <c r="G42" s="6">
        <f>'Option 3'!R140+'Option 3'!R143</f>
        <v>1194422.3686401481</v>
      </c>
      <c r="H42" s="6">
        <f>'Option 3'!S140+'Option 3'!S143</f>
        <v>203351.39875324053</v>
      </c>
      <c r="I42" s="6">
        <f>'Option 3'!T140+'Option 3'!T143</f>
        <v>268390.01380982646</v>
      </c>
      <c r="J42" s="6">
        <f>'Option 3'!U140+'Option 3'!U143</f>
        <v>168806.59020846937</v>
      </c>
      <c r="K42" s="6">
        <f t="shared" ref="K42:K43" si="20">SUM(F42:J42)</f>
        <v>4640934.76856892</v>
      </c>
      <c r="M42" s="98"/>
    </row>
    <row r="43" spans="2:13" x14ac:dyDescent="0.2">
      <c r="C43" s="1" t="s">
        <v>14</v>
      </c>
      <c r="D43" s="107" t="s">
        <v>12</v>
      </c>
      <c r="F43" s="6">
        <f>'Option 3'!Q141+'Option 3'!Q144</f>
        <v>3834449.2643913776</v>
      </c>
      <c r="G43" s="6">
        <f>'Option 3'!R141+'Option 3'!R144</f>
        <v>1100965.5291573144</v>
      </c>
      <c r="H43" s="6">
        <f>'Option 3'!S141+'Option 3'!S144</f>
        <v>1716603.208164108</v>
      </c>
      <c r="I43" s="6">
        <f>'Option 3'!T141+'Option 3'!T144</f>
        <v>1676314.657451181</v>
      </c>
      <c r="J43" s="6">
        <f>'Option 3'!U141+'Option 3'!U144</f>
        <v>1490210.0659794584</v>
      </c>
      <c r="K43" s="6">
        <f t="shared" si="20"/>
        <v>9818542.7251434401</v>
      </c>
      <c r="M43" s="98"/>
    </row>
    <row r="44" spans="2:13" x14ac:dyDescent="0.2">
      <c r="C44" s="101" t="s">
        <v>15</v>
      </c>
      <c r="D44" s="108"/>
      <c r="E44" s="101"/>
      <c r="F44" s="105">
        <f>SUM(F41:F43)</f>
        <v>11439371.953367887</v>
      </c>
      <c r="G44" s="105">
        <f t="shared" ref="G44" si="21">SUM(G41:G43)</f>
        <v>5974177.3432895523</v>
      </c>
      <c r="H44" s="105">
        <f t="shared" ref="H44" si="22">SUM(H41:H43)</f>
        <v>6554083.5886239605</v>
      </c>
      <c r="I44" s="105">
        <f t="shared" ref="I44" si="23">SUM(I41:I43)</f>
        <v>5497996.1734253084</v>
      </c>
      <c r="J44" s="105">
        <f t="shared" ref="J44" si="24">SUM(J41:J43)</f>
        <v>4330291.2398799974</v>
      </c>
      <c r="K44" s="105">
        <f t="shared" ref="K44" si="25">SUM(K41:K43)</f>
        <v>33795920.298586704</v>
      </c>
      <c r="M44" s="98"/>
    </row>
    <row r="45" spans="2:13" x14ac:dyDescent="0.2">
      <c r="C45" s="1" t="s">
        <v>11</v>
      </c>
      <c r="D45" s="107" t="s">
        <v>16</v>
      </c>
      <c r="F45" s="6">
        <f>'Option 3'!Q146+'Option 3'!Q149</f>
        <v>0</v>
      </c>
      <c r="G45" s="6">
        <f>'Option 3'!R146+'Option 3'!R149</f>
        <v>0</v>
      </c>
      <c r="H45" s="6">
        <f>'Option 3'!S146+'Option 3'!S149</f>
        <v>0</v>
      </c>
      <c r="I45" s="6">
        <f>'Option 3'!T146+'Option 3'!T149</f>
        <v>0</v>
      </c>
      <c r="J45" s="6">
        <f>'Option 3'!U146+'Option 3'!U149</f>
        <v>0</v>
      </c>
      <c r="K45" s="6">
        <f>SUM(F45:J45)</f>
        <v>0</v>
      </c>
      <c r="M45" s="98"/>
    </row>
    <row r="46" spans="2:13" x14ac:dyDescent="0.2">
      <c r="C46" s="1" t="s">
        <v>13</v>
      </c>
      <c r="D46" s="107" t="s">
        <v>16</v>
      </c>
      <c r="F46" s="6">
        <f>'Option 3'!Q147+'Option 3'!Q150</f>
        <v>0</v>
      </c>
      <c r="G46" s="6">
        <f>'Option 3'!R147+'Option 3'!R150</f>
        <v>0</v>
      </c>
      <c r="H46" s="6">
        <f>'Option 3'!S147+'Option 3'!S150</f>
        <v>0</v>
      </c>
      <c r="I46" s="6">
        <f>'Option 3'!T147+'Option 3'!T150</f>
        <v>0</v>
      </c>
      <c r="J46" s="6">
        <f>'Option 3'!U147+'Option 3'!U150</f>
        <v>0</v>
      </c>
      <c r="K46" s="6">
        <f t="shared" ref="K46:K47" si="26">SUM(F46:J46)</f>
        <v>0</v>
      </c>
      <c r="M46" s="98"/>
    </row>
    <row r="47" spans="2:13" x14ac:dyDescent="0.2">
      <c r="C47" s="1" t="s">
        <v>14</v>
      </c>
      <c r="D47" s="107" t="s">
        <v>16</v>
      </c>
      <c r="F47" s="6">
        <f>'Option 3'!Q148+'Option 3'!Q151</f>
        <v>0</v>
      </c>
      <c r="G47" s="6">
        <f>'Option 3'!R148+'Option 3'!R151</f>
        <v>0</v>
      </c>
      <c r="H47" s="6">
        <f>'Option 3'!S148+'Option 3'!S151</f>
        <v>0</v>
      </c>
      <c r="I47" s="6">
        <f>'Option 3'!T148+'Option 3'!T151</f>
        <v>0</v>
      </c>
      <c r="J47" s="6">
        <f>'Option 3'!U148+'Option 3'!U151</f>
        <v>0</v>
      </c>
      <c r="K47" s="6">
        <f t="shared" si="26"/>
        <v>0</v>
      </c>
      <c r="M47" s="98"/>
    </row>
    <row r="48" spans="2:13" x14ac:dyDescent="0.2">
      <c r="C48" s="101" t="s">
        <v>17</v>
      </c>
      <c r="D48" s="108"/>
      <c r="E48" s="101"/>
      <c r="F48" s="105">
        <f>SUM(F45:F47)</f>
        <v>0</v>
      </c>
      <c r="G48" s="105">
        <f t="shared" ref="G48" si="27">SUM(G45:G47)</f>
        <v>0</v>
      </c>
      <c r="H48" s="105">
        <f t="shared" ref="H48" si="28">SUM(H45:H47)</f>
        <v>0</v>
      </c>
      <c r="I48" s="105">
        <f t="shared" ref="I48" si="29">SUM(I45:I47)</f>
        <v>0</v>
      </c>
      <c r="J48" s="105">
        <f t="shared" ref="J48" si="30">SUM(J45:J47)</f>
        <v>0</v>
      </c>
      <c r="K48" s="105">
        <f t="shared" ref="K48" si="31">SUM(K45:K47)</f>
        <v>0</v>
      </c>
      <c r="M48" s="98"/>
    </row>
    <row r="49" spans="2:13" x14ac:dyDescent="0.2">
      <c r="D49" s="48"/>
      <c r="F49" s="6"/>
      <c r="G49" s="6"/>
      <c r="H49" s="6"/>
      <c r="I49" s="6"/>
      <c r="J49" s="6"/>
      <c r="K49" s="6"/>
      <c r="M49" s="98"/>
    </row>
    <row r="50" spans="2:13" x14ac:dyDescent="0.2">
      <c r="C50" s="113" t="str">
        <f>"Total Cost ($ "&amp;Assumptions!$C35&amp;")"</f>
        <v>Total Cost ($ June 2026)</v>
      </c>
      <c r="D50" s="21"/>
      <c r="E50" s="21"/>
      <c r="F50" s="22">
        <f t="shared" ref="F50:K50" si="32">F44+F48</f>
        <v>11439371.953367887</v>
      </c>
      <c r="G50" s="22">
        <f t="shared" si="32"/>
        <v>5974177.3432895523</v>
      </c>
      <c r="H50" s="22">
        <f t="shared" si="32"/>
        <v>6554083.5886239605</v>
      </c>
      <c r="I50" s="22">
        <f t="shared" si="32"/>
        <v>5497996.1734253084</v>
      </c>
      <c r="J50" s="22">
        <f t="shared" si="32"/>
        <v>4330291.2398799974</v>
      </c>
      <c r="K50" s="22">
        <f t="shared" si="32"/>
        <v>33795920.298586704</v>
      </c>
      <c r="L50" s="57">
        <f>K50-'Option 3'!$V$154</f>
        <v>0</v>
      </c>
    </row>
    <row r="52" spans="2:13" x14ac:dyDescent="0.2">
      <c r="B52" s="26"/>
      <c r="C52" s="53" t="s">
        <v>18</v>
      </c>
      <c r="D52" s="22"/>
      <c r="E52" s="22"/>
      <c r="F52" s="22">
        <f>NPV(Assumptions!$B$10,F50:J50)</f>
        <v>30978074.711132817</v>
      </c>
      <c r="G52" s="26"/>
      <c r="H52" s="26"/>
      <c r="I52" s="26"/>
      <c r="J52" s="26"/>
      <c r="K52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64CE43-2DF1-429D-97C5-998929ADC2B1}">
          <x14:formula1>
            <xm:f>Assumptions!$A$24:$A$26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2"/>
  <sheetViews>
    <sheetView showGridLines="0" zoomScale="90" zoomScaleNormal="90" workbookViewId="0">
      <selection activeCell="K34" sqref="K34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1" t="str">
        <f>Project_name</f>
        <v>Enterprise management systems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58" t="str">
        <f>Business</f>
        <v>CP &amp; PAL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1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1"/>
      <c r="C5" s="27"/>
      <c r="D5" s="27"/>
    </row>
    <row r="6" spans="1:35" ht="12.75" customHeight="1" x14ac:dyDescent="0.25">
      <c r="A6" s="1" t="s">
        <v>24</v>
      </c>
      <c r="B6" s="76" t="s">
        <v>134</v>
      </c>
      <c r="C6" s="76"/>
      <c r="D6" s="27"/>
    </row>
    <row r="7" spans="1:35" ht="12.75" customHeight="1" x14ac:dyDescent="0.25">
      <c r="A7" s="27"/>
      <c r="B7" s="41"/>
      <c r="C7" s="27"/>
      <c r="D7" s="27"/>
    </row>
    <row r="8" spans="1:35" ht="12.75" customHeight="1" x14ac:dyDescent="0.25">
      <c r="A8" s="1" t="s">
        <v>25</v>
      </c>
      <c r="B8" s="77" t="s">
        <v>144</v>
      </c>
      <c r="C8" s="27"/>
      <c r="D8" s="27"/>
    </row>
    <row r="9" spans="1:35" ht="12.75" customHeight="1" x14ac:dyDescent="0.25">
      <c r="A9" s="27"/>
      <c r="B9" s="59"/>
      <c r="C9" s="27"/>
      <c r="D9" s="27"/>
    </row>
    <row r="10" spans="1:35" ht="12.75" customHeight="1" x14ac:dyDescent="0.25">
      <c r="A10" s="1" t="s">
        <v>26</v>
      </c>
      <c r="B10" s="137">
        <v>3.5000000000000003E-2</v>
      </c>
      <c r="C10" s="43"/>
      <c r="D10" s="27"/>
    </row>
    <row r="11" spans="1:35" ht="12.75" customHeight="1" x14ac:dyDescent="0.25">
      <c r="A11" s="27"/>
      <c r="B11" s="59"/>
      <c r="C11" s="27"/>
      <c r="D11" s="27"/>
    </row>
    <row r="12" spans="1:35" ht="12.75" customHeight="1" x14ac:dyDescent="0.25">
      <c r="A12" s="43" t="s">
        <v>27</v>
      </c>
      <c r="B12" s="78" t="s">
        <v>130</v>
      </c>
      <c r="C12" s="43" t="s">
        <v>28</v>
      </c>
      <c r="D12" s="27"/>
    </row>
    <row r="13" spans="1:35" ht="12.75" customHeight="1" x14ac:dyDescent="0.25">
      <c r="A13" s="43"/>
      <c r="B13" s="60"/>
      <c r="C13" s="43"/>
      <c r="D13" s="43"/>
      <c r="E13" s="43"/>
    </row>
    <row r="14" spans="1:35" ht="12.75" customHeight="1" x14ac:dyDescent="0.25">
      <c r="A14" s="43" t="s">
        <v>29</v>
      </c>
      <c r="B14" s="138">
        <f>INDEX($C$42:$C$44,MATCH($B$12,$E$42:$E$44,0))</f>
        <v>145.77740895836223</v>
      </c>
      <c r="C14" s="43"/>
      <c r="D14" s="43"/>
      <c r="E14" s="43"/>
    </row>
    <row r="15" spans="1:35" ht="12.75" customHeight="1" x14ac:dyDescent="0.25">
      <c r="A15" s="84"/>
      <c r="B15" s="43"/>
      <c r="C15" s="43"/>
      <c r="D15" s="43"/>
      <c r="E15" s="43"/>
    </row>
    <row r="16" spans="1:35" ht="12.75" customHeight="1" x14ac:dyDescent="0.25">
      <c r="A16" s="43"/>
      <c r="B16" s="43"/>
      <c r="C16" s="43"/>
      <c r="D16" s="43"/>
      <c r="E16" s="43"/>
    </row>
    <row r="17" spans="1:12" ht="12.75" customHeight="1" x14ac:dyDescent="0.25">
      <c r="A17" s="52" t="s">
        <v>30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1:12" ht="12.75" customHeight="1" x14ac:dyDescent="0.25">
      <c r="A18" s="43" t="s">
        <v>1</v>
      </c>
      <c r="B18" s="92">
        <v>0.7</v>
      </c>
    </row>
    <row r="19" spans="1:12" ht="12.75" customHeight="1" x14ac:dyDescent="0.25">
      <c r="A19" s="43" t="s">
        <v>31</v>
      </c>
      <c r="B19" s="92">
        <v>0.3</v>
      </c>
      <c r="D19" s="43"/>
      <c r="E19" s="43"/>
    </row>
    <row r="20" spans="1:12" ht="12.75" customHeight="1" x14ac:dyDescent="0.25">
      <c r="A20" s="43"/>
      <c r="B20" s="43"/>
      <c r="D20" s="43"/>
      <c r="E20" s="43"/>
    </row>
    <row r="21" spans="1:12" ht="12.75" customHeight="1" x14ac:dyDescent="0.25">
      <c r="A21" s="43"/>
      <c r="B21" s="93">
        <f>SUM(B18:B20)</f>
        <v>1</v>
      </c>
      <c r="D21" s="43"/>
      <c r="E21" s="43"/>
    </row>
    <row r="22" spans="1:12" ht="12.75" customHeight="1" x14ac:dyDescent="0.25">
      <c r="A22" s="43"/>
      <c r="B22" s="43"/>
      <c r="C22" s="43"/>
      <c r="D22" s="43"/>
      <c r="E22" s="43"/>
    </row>
    <row r="23" spans="1:12" ht="12.75" customHeight="1" x14ac:dyDescent="0.25">
      <c r="A23" s="52" t="s">
        <v>32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1:12" ht="12.75" customHeight="1" x14ac:dyDescent="0.25">
      <c r="A24" s="43" t="s">
        <v>4</v>
      </c>
      <c r="B24" s="85" t="s">
        <v>33</v>
      </c>
      <c r="C24" s="86"/>
      <c r="D24" s="86"/>
      <c r="E24" s="86"/>
      <c r="F24" s="86"/>
      <c r="G24" s="87"/>
    </row>
    <row r="25" spans="1:12" ht="12.75" customHeight="1" x14ac:dyDescent="0.25">
      <c r="A25" s="43" t="s">
        <v>3</v>
      </c>
      <c r="B25" s="88" t="s">
        <v>34</v>
      </c>
      <c r="C25" s="89"/>
      <c r="D25" s="89"/>
      <c r="E25" s="89"/>
      <c r="F25" s="89"/>
      <c r="G25" s="90"/>
    </row>
    <row r="26" spans="1:12" ht="12.75" customHeight="1" x14ac:dyDescent="0.25">
      <c r="A26" s="43" t="s">
        <v>19</v>
      </c>
      <c r="B26" s="88" t="s">
        <v>35</v>
      </c>
      <c r="C26" s="89"/>
      <c r="D26" s="89"/>
      <c r="E26" s="89"/>
      <c r="F26" s="89"/>
      <c r="G26" s="90"/>
    </row>
    <row r="27" spans="1:12" ht="12.75" customHeight="1" x14ac:dyDescent="0.25">
      <c r="A27" s="43"/>
      <c r="B27" s="91"/>
      <c r="C27" s="91"/>
      <c r="D27" s="91"/>
      <c r="E27" s="91"/>
      <c r="F27" s="91"/>
      <c r="G27" s="91"/>
    </row>
    <row r="28" spans="1:12" ht="12.75" customHeight="1" x14ac:dyDescent="0.25">
      <c r="A28" s="43"/>
      <c r="B28" s="91"/>
      <c r="C28" s="91"/>
      <c r="D28" s="91"/>
      <c r="E28" s="91"/>
      <c r="F28" s="91"/>
      <c r="G28" s="91"/>
    </row>
    <row r="29" spans="1:12" ht="12.75" customHeight="1" x14ac:dyDescent="0.25">
      <c r="A29" s="39" t="s">
        <v>149</v>
      </c>
      <c r="B29" s="39"/>
      <c r="C29" s="39"/>
      <c r="D29" s="40"/>
      <c r="E29" s="135" t="s">
        <v>129</v>
      </c>
      <c r="F29" s="135" t="s">
        <v>130</v>
      </c>
      <c r="G29" s="135" t="s">
        <v>131</v>
      </c>
      <c r="H29" s="135" t="s">
        <v>132</v>
      </c>
      <c r="I29" s="100"/>
      <c r="J29" s="40"/>
      <c r="K29" s="40"/>
    </row>
    <row r="30" spans="1:12" ht="12.75" customHeight="1" x14ac:dyDescent="0.25">
      <c r="A30" s="118" t="s">
        <v>126</v>
      </c>
      <c r="B30" s="119"/>
      <c r="C30" s="120"/>
      <c r="D30" s="121"/>
      <c r="E30" s="122">
        <v>1.1757125218136175</v>
      </c>
      <c r="F30" s="122">
        <v>1.1129126464165966</v>
      </c>
      <c r="G30" s="122">
        <v>1.050660524730181</v>
      </c>
      <c r="H30" s="122">
        <v>1.014889156509222</v>
      </c>
      <c r="I30" s="123"/>
      <c r="J30" s="121"/>
      <c r="K30" s="121"/>
      <c r="L30" s="62"/>
    </row>
    <row r="31" spans="1:12" ht="12.75" customHeight="1" x14ac:dyDescent="0.25">
      <c r="J31" s="56"/>
      <c r="K31" s="56"/>
    </row>
    <row r="32" spans="1:12" ht="12.75" customHeight="1" x14ac:dyDescent="0.25">
      <c r="J32" s="69"/>
      <c r="K32" s="69"/>
    </row>
    <row r="33" spans="1:11" ht="12.75" customHeight="1" x14ac:dyDescent="0.2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1:11" ht="12.75" customHeight="1" x14ac:dyDescent="0.25"/>
    <row r="35" spans="1:11" ht="12.75" customHeight="1" x14ac:dyDescent="0.25">
      <c r="A35" s="43" t="s">
        <v>36</v>
      </c>
      <c r="C35" s="139" t="s">
        <v>132</v>
      </c>
      <c r="D35" t="s">
        <v>28</v>
      </c>
    </row>
    <row r="36" spans="1:11" ht="12.75" customHeight="1" x14ac:dyDescent="0.25">
      <c r="A36" s="43" t="s">
        <v>37</v>
      </c>
      <c r="C36" s="42" t="str">
        <f>$B$12</f>
        <v>June 2024</v>
      </c>
    </row>
    <row r="37" spans="1:11" ht="12.75" customHeight="1" x14ac:dyDescent="0.25">
      <c r="A37" s="43" t="s">
        <v>38</v>
      </c>
      <c r="C37" s="94">
        <f>INDEX($E$30:$H$30,MATCH($C$36,E29:H29))</f>
        <v>1.1129126464165966</v>
      </c>
    </row>
    <row r="38" spans="1:11" ht="12.75" customHeight="1" x14ac:dyDescent="0.25"/>
    <row r="39" spans="1:11" ht="12.75" customHeight="1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1:11" ht="12.75" customHeight="1" x14ac:dyDescent="0.25"/>
    <row r="41" spans="1:11" ht="12.75" customHeight="1" x14ac:dyDescent="0.25">
      <c r="A41" s="43" t="s">
        <v>39</v>
      </c>
      <c r="C41" s="140" t="s">
        <v>40</v>
      </c>
      <c r="D41" t="s">
        <v>133</v>
      </c>
    </row>
    <row r="42" spans="1:11" ht="12.75" customHeight="1" x14ac:dyDescent="0.25">
      <c r="A42" s="43"/>
      <c r="C42" s="96">
        <v>135.18960020374115</v>
      </c>
      <c r="D42" s="117" t="s">
        <v>41</v>
      </c>
      <c r="E42" t="s">
        <v>129</v>
      </c>
    </row>
    <row r="43" spans="1:11" ht="12.75" customHeight="1" x14ac:dyDescent="0.25">
      <c r="A43" s="43"/>
      <c r="C43" s="97">
        <v>145.77740895836223</v>
      </c>
      <c r="D43" s="117" t="s">
        <v>41</v>
      </c>
      <c r="E43" t="s">
        <v>130</v>
      </c>
    </row>
    <row r="44" spans="1:11" ht="12.75" customHeight="1" x14ac:dyDescent="0.25">
      <c r="C44" s="97">
        <v>151.6842917372561</v>
      </c>
      <c r="D44" s="117" t="s">
        <v>41</v>
      </c>
      <c r="E44" t="s">
        <v>131</v>
      </c>
    </row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$E$29:$G$29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58"/>
  <sheetViews>
    <sheetView showGridLines="0" zoomScale="80" zoomScaleNormal="80" workbookViewId="0">
      <pane ySplit="9" topLeftCell="A10" activePane="bottomLeft" state="frozen"/>
      <selection activeCell="K34" sqref="K34"/>
      <selection pane="bottomLeft" activeCell="K34" sqref="K34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0.85546875" style="1" bestFit="1" customWidth="1"/>
    <col min="23" max="23" width="5.85546875" style="1" bestFit="1" customWidth="1"/>
    <col min="24" max="16384" width="9.140625" style="1"/>
  </cols>
  <sheetData>
    <row r="1" spans="1:26" ht="21" x14ac:dyDescent="0.35">
      <c r="A1" s="61" t="str">
        <f>Project_name</f>
        <v>Enterprise management systems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4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7" t="b">
        <f>SUM(W7:W91)=0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42</v>
      </c>
      <c r="D7" s="64" t="s">
        <v>43</v>
      </c>
      <c r="E7" s="64" t="s">
        <v>44</v>
      </c>
      <c r="F7" s="110" t="s">
        <v>45</v>
      </c>
      <c r="G7" s="16"/>
      <c r="H7" s="19" t="s">
        <v>11</v>
      </c>
      <c r="I7" s="19" t="s">
        <v>46</v>
      </c>
      <c r="K7" s="19" t="s">
        <v>47</v>
      </c>
      <c r="L7" s="20"/>
      <c r="M7" s="20"/>
      <c r="N7" s="20"/>
      <c r="O7" s="20"/>
      <c r="Q7" s="19" t="s">
        <v>48</v>
      </c>
      <c r="R7" s="20"/>
      <c r="S7" s="20"/>
      <c r="T7" s="20"/>
      <c r="U7" s="20"/>
    </row>
    <row r="8" spans="1:26" ht="12.75" customHeight="1" x14ac:dyDescent="0.2">
      <c r="A8" s="4"/>
      <c r="B8" s="4"/>
      <c r="C8" s="99"/>
      <c r="D8" s="99" t="s">
        <v>49</v>
      </c>
      <c r="E8" s="99"/>
      <c r="F8" s="99" t="s">
        <v>50</v>
      </c>
      <c r="G8" s="16"/>
      <c r="H8" s="109" t="s">
        <v>51</v>
      </c>
      <c r="I8" s="99"/>
      <c r="K8" s="50" t="s">
        <v>6</v>
      </c>
      <c r="L8" s="50" t="s">
        <v>7</v>
      </c>
      <c r="M8" s="50" t="s">
        <v>8</v>
      </c>
      <c r="N8" s="50" t="s">
        <v>9</v>
      </c>
      <c r="O8" s="50" t="s">
        <v>10</v>
      </c>
      <c r="Q8" s="50" t="s">
        <v>6</v>
      </c>
      <c r="R8" s="50" t="s">
        <v>7</v>
      </c>
      <c r="S8" s="50" t="s">
        <v>8</v>
      </c>
      <c r="T8" s="50" t="s">
        <v>9</v>
      </c>
      <c r="U8" s="50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0" t="s">
        <v>52</v>
      </c>
      <c r="D10" s="81" t="s">
        <v>53</v>
      </c>
      <c r="E10" s="81" t="s">
        <v>11</v>
      </c>
      <c r="F10" s="79" t="s">
        <v>54</v>
      </c>
      <c r="G10" s="2"/>
      <c r="H10" s="63">
        <f>IF($E10="Labour",Assumptions!$B$14,)</f>
        <v>145.77740895836223</v>
      </c>
      <c r="I10" s="9" t="str">
        <f>IF($E10="Labour","Hours","$")</f>
        <v>Hours</v>
      </c>
      <c r="J10" s="2"/>
      <c r="K10" s="82">
        <f>50*63.2/100</f>
        <v>31.6</v>
      </c>
      <c r="L10" s="82">
        <f>50*63.2/100</f>
        <v>31.6</v>
      </c>
      <c r="M10" s="82">
        <f>50*63.2/100</f>
        <v>31.6</v>
      </c>
      <c r="N10" s="82">
        <f>50*63.2/100</f>
        <v>31.6</v>
      </c>
      <c r="O10" s="82">
        <f>50*63.2/100</f>
        <v>31.6</v>
      </c>
      <c r="P10" s="2"/>
      <c r="Q10" s="5">
        <f t="shared" ref="Q10:Q41" si="0">IF($E10="Labour",$H10*K10,K10)</f>
        <v>4606.566123084247</v>
      </c>
      <c r="R10" s="5">
        <f t="shared" ref="R10:R41" si="1">IF($E10="Labour",$H10*L10,L10)</f>
        <v>4606.566123084247</v>
      </c>
      <c r="S10" s="5">
        <f t="shared" ref="S10:S41" si="2">IF($E10="Labour",$H10*M10,M10)</f>
        <v>4606.566123084247</v>
      </c>
      <c r="T10" s="5">
        <f t="shared" ref="T10:T41" si="3">IF($E10="Labour",$H10*N10,N10)</f>
        <v>4606.566123084247</v>
      </c>
      <c r="U10" s="5">
        <f t="shared" ref="U10:U41" si="4">IF($E10="Labour",$H10*O10,O10)</f>
        <v>4606.566123084247</v>
      </c>
    </row>
    <row r="11" spans="1:26" ht="12.75" customHeight="1" x14ac:dyDescent="0.2">
      <c r="A11" s="4"/>
      <c r="C11" s="80" t="s">
        <v>52</v>
      </c>
      <c r="D11" s="81" t="s">
        <v>53</v>
      </c>
      <c r="E11" s="81" t="s">
        <v>13</v>
      </c>
      <c r="F11" s="79" t="s">
        <v>54</v>
      </c>
      <c r="G11" s="2"/>
      <c r="H11" s="63">
        <f>IF($E11="Labour",Assumptions!$B$14,)</f>
        <v>0</v>
      </c>
      <c r="I11" s="9" t="str">
        <f t="shared" ref="I11:I90" si="5">IF($E11="Labour","Hours","$")</f>
        <v>$</v>
      </c>
      <c r="J11" s="2"/>
      <c r="K11" s="82"/>
      <c r="L11" s="82"/>
      <c r="M11" s="82"/>
      <c r="N11" s="82"/>
      <c r="O11" s="82"/>
      <c r="P11" s="2"/>
      <c r="Q11" s="5">
        <f t="shared" si="0"/>
        <v>0</v>
      </c>
      <c r="R11" s="5">
        <f t="shared" si="1"/>
        <v>0</v>
      </c>
      <c r="S11" s="5">
        <f t="shared" si="2"/>
        <v>0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0" t="s">
        <v>52</v>
      </c>
      <c r="D12" s="81" t="s">
        <v>53</v>
      </c>
      <c r="E12" s="81" t="s">
        <v>14</v>
      </c>
      <c r="F12" s="79" t="s">
        <v>54</v>
      </c>
      <c r="G12" s="2"/>
      <c r="H12" s="63">
        <f>IF($E12="Labour",Assumptions!$B$14,)</f>
        <v>0</v>
      </c>
      <c r="I12" s="9" t="str">
        <f t="shared" si="5"/>
        <v>$</v>
      </c>
      <c r="J12" s="2"/>
      <c r="K12" s="82">
        <f>5000*63.2/100</f>
        <v>3160</v>
      </c>
      <c r="L12" s="82">
        <f>5000*63.2/100</f>
        <v>3160</v>
      </c>
      <c r="M12" s="82">
        <f>5000*63.2/100</f>
        <v>3160</v>
      </c>
      <c r="N12" s="82">
        <f>5000*63.2/100</f>
        <v>3160</v>
      </c>
      <c r="O12" s="82">
        <f>5000*63.2/100</f>
        <v>3160</v>
      </c>
      <c r="P12" s="2"/>
      <c r="Q12" s="5">
        <f t="shared" si="0"/>
        <v>3160</v>
      </c>
      <c r="R12" s="5">
        <f t="shared" si="1"/>
        <v>3160</v>
      </c>
      <c r="S12" s="5">
        <f t="shared" si="2"/>
        <v>3160</v>
      </c>
      <c r="T12" s="5">
        <f t="shared" si="3"/>
        <v>3160</v>
      </c>
      <c r="U12" s="5">
        <f t="shared" si="4"/>
        <v>3160</v>
      </c>
    </row>
    <row r="13" spans="1:26" ht="12.75" customHeight="1" x14ac:dyDescent="0.25">
      <c r="A13" s="4"/>
      <c r="C13" s="80" t="s">
        <v>55</v>
      </c>
      <c r="D13" s="81" t="s">
        <v>53</v>
      </c>
      <c r="E13" s="81" t="s">
        <v>11</v>
      </c>
      <c r="F13" s="79" t="s">
        <v>54</v>
      </c>
      <c r="G13" s="2"/>
      <c r="H13" s="63">
        <f>IF($E13="Labour",Assumptions!$B$14,)</f>
        <v>145.77740895836223</v>
      </c>
      <c r="I13" s="9" t="str">
        <f t="shared" si="5"/>
        <v>Hours</v>
      </c>
      <c r="J13" s="2"/>
      <c r="K13" s="82"/>
      <c r="L13" s="82"/>
      <c r="M13" s="82"/>
      <c r="N13" s="82"/>
      <c r="O13" s="82"/>
      <c r="P13" s="2"/>
      <c r="Q13" s="5">
        <f t="shared" si="0"/>
        <v>0</v>
      </c>
      <c r="R13" s="5">
        <f t="shared" si="1"/>
        <v>0</v>
      </c>
      <c r="S13" s="5">
        <f t="shared" si="2"/>
        <v>0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0" t="s">
        <v>55</v>
      </c>
      <c r="D14" s="81" t="s">
        <v>53</v>
      </c>
      <c r="E14" s="81" t="s">
        <v>13</v>
      </c>
      <c r="F14" s="79" t="s">
        <v>54</v>
      </c>
      <c r="G14" s="2"/>
      <c r="H14" s="63">
        <f>IF($E14="Labour",Assumptions!$B$14,)</f>
        <v>0</v>
      </c>
      <c r="I14" s="9" t="str">
        <f t="shared" si="5"/>
        <v>$</v>
      </c>
      <c r="J14" s="2"/>
      <c r="K14" s="82"/>
      <c r="L14" s="82"/>
      <c r="M14" s="82"/>
      <c r="N14" s="82"/>
      <c r="O14" s="82"/>
      <c r="P14" s="2"/>
      <c r="Q14" s="5">
        <f t="shared" si="0"/>
        <v>0</v>
      </c>
      <c r="R14" s="5">
        <f t="shared" si="1"/>
        <v>0</v>
      </c>
      <c r="S14" s="5">
        <f t="shared" si="2"/>
        <v>0</v>
      </c>
      <c r="T14" s="5">
        <f t="shared" si="3"/>
        <v>0</v>
      </c>
      <c r="U14" s="5">
        <f t="shared" si="4"/>
        <v>0</v>
      </c>
      <c r="Z14"/>
    </row>
    <row r="15" spans="1:26" ht="12.75" customHeight="1" x14ac:dyDescent="0.25">
      <c r="A15" s="4"/>
      <c r="C15" s="80" t="s">
        <v>55</v>
      </c>
      <c r="D15" s="81" t="s">
        <v>53</v>
      </c>
      <c r="E15" s="81" t="s">
        <v>14</v>
      </c>
      <c r="F15" s="79" t="s">
        <v>54</v>
      </c>
      <c r="G15" s="2"/>
      <c r="H15" s="63">
        <f>IF($E15="Labour",Assumptions!$B$14,)</f>
        <v>0</v>
      </c>
      <c r="I15" s="9" t="str">
        <f t="shared" si="5"/>
        <v>$</v>
      </c>
      <c r="J15" s="2"/>
      <c r="K15" s="82"/>
      <c r="L15" s="82"/>
      <c r="M15" s="82"/>
      <c r="N15" s="82"/>
      <c r="O15" s="82"/>
      <c r="P15" s="2"/>
      <c r="Q15" s="5">
        <f t="shared" si="0"/>
        <v>0</v>
      </c>
      <c r="R15" s="5">
        <f t="shared" si="1"/>
        <v>0</v>
      </c>
      <c r="S15" s="5">
        <f t="shared" si="2"/>
        <v>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0" t="s">
        <v>56</v>
      </c>
      <c r="D16" s="81" t="s">
        <v>53</v>
      </c>
      <c r="E16" s="81" t="s">
        <v>11</v>
      </c>
      <c r="F16" s="79" t="s">
        <v>54</v>
      </c>
      <c r="G16" s="2"/>
      <c r="H16" s="63">
        <f>IF($E16="Labour",Assumptions!$B$14,)</f>
        <v>145.77740895836223</v>
      </c>
      <c r="I16" s="9" t="str">
        <f t="shared" si="5"/>
        <v>Hours</v>
      </c>
      <c r="J16" s="2"/>
      <c r="K16" s="82"/>
      <c r="L16" s="82"/>
      <c r="M16" s="82"/>
      <c r="N16" s="82"/>
      <c r="O16" s="82"/>
      <c r="P16" s="2"/>
      <c r="Q16" s="5">
        <f t="shared" si="0"/>
        <v>0</v>
      </c>
      <c r="R16" s="5">
        <f t="shared" si="1"/>
        <v>0</v>
      </c>
      <c r="S16" s="5">
        <f t="shared" si="2"/>
        <v>0</v>
      </c>
      <c r="T16" s="5">
        <f t="shared" si="3"/>
        <v>0</v>
      </c>
      <c r="U16" s="5">
        <f t="shared" si="4"/>
        <v>0</v>
      </c>
      <c r="Z16"/>
    </row>
    <row r="17" spans="1:26" ht="12.75" customHeight="1" x14ac:dyDescent="0.25">
      <c r="A17" s="4"/>
      <c r="C17" s="80" t="s">
        <v>56</v>
      </c>
      <c r="D17" s="81" t="s">
        <v>53</v>
      </c>
      <c r="E17" s="81" t="s">
        <v>13</v>
      </c>
      <c r="F17" s="79" t="s">
        <v>54</v>
      </c>
      <c r="G17" s="2"/>
      <c r="H17" s="63">
        <f>IF($E17="Labour",Assumptions!$B$14,)</f>
        <v>0</v>
      </c>
      <c r="I17" s="9" t="str">
        <f t="shared" si="5"/>
        <v>$</v>
      </c>
      <c r="J17" s="2"/>
      <c r="K17" s="82"/>
      <c r="L17" s="82"/>
      <c r="M17" s="82"/>
      <c r="N17" s="82"/>
      <c r="O17" s="82"/>
      <c r="P17" s="2"/>
      <c r="Q17" s="5">
        <f t="shared" si="0"/>
        <v>0</v>
      </c>
      <c r="R17" s="5">
        <f t="shared" si="1"/>
        <v>0</v>
      </c>
      <c r="S17" s="5">
        <f t="shared" si="2"/>
        <v>0</v>
      </c>
      <c r="T17" s="5">
        <f t="shared" si="3"/>
        <v>0</v>
      </c>
      <c r="U17" s="5">
        <f t="shared" si="4"/>
        <v>0</v>
      </c>
      <c r="Z17"/>
    </row>
    <row r="18" spans="1:26" ht="12.75" customHeight="1" x14ac:dyDescent="0.25">
      <c r="A18" s="4"/>
      <c r="C18" s="80" t="s">
        <v>56</v>
      </c>
      <c r="D18" s="81" t="s">
        <v>53</v>
      </c>
      <c r="E18" s="81" t="s">
        <v>14</v>
      </c>
      <c r="F18" s="79" t="s">
        <v>54</v>
      </c>
      <c r="G18" s="2"/>
      <c r="H18" s="63">
        <f>IF($E18="Labour",Assumptions!$B$14,)</f>
        <v>0</v>
      </c>
      <c r="I18" s="9" t="str">
        <f t="shared" si="5"/>
        <v>$</v>
      </c>
      <c r="J18" s="2"/>
      <c r="K18" s="82"/>
      <c r="L18" s="82"/>
      <c r="M18" s="82"/>
      <c r="N18" s="82"/>
      <c r="O18" s="82"/>
      <c r="P18" s="2"/>
      <c r="Q18" s="5">
        <f t="shared" si="0"/>
        <v>0</v>
      </c>
      <c r="R18" s="5">
        <f t="shared" si="1"/>
        <v>0</v>
      </c>
      <c r="S18" s="5">
        <f t="shared" si="2"/>
        <v>0</v>
      </c>
      <c r="T18" s="5">
        <f t="shared" si="3"/>
        <v>0</v>
      </c>
      <c r="U18" s="5">
        <f t="shared" si="4"/>
        <v>0</v>
      </c>
      <c r="Z18"/>
    </row>
    <row r="19" spans="1:26" ht="12.75" customHeight="1" x14ac:dyDescent="0.25">
      <c r="A19" s="4"/>
      <c r="C19" s="80" t="s">
        <v>57</v>
      </c>
      <c r="D19" s="81" t="s">
        <v>53</v>
      </c>
      <c r="E19" s="81" t="s">
        <v>11</v>
      </c>
      <c r="F19" s="79" t="s">
        <v>54</v>
      </c>
      <c r="G19" s="2"/>
      <c r="H19" s="63">
        <f>IF($E19="Labour",Assumptions!$B$14,)</f>
        <v>145.77740895836223</v>
      </c>
      <c r="I19" s="9" t="str">
        <f t="shared" si="5"/>
        <v>Hours</v>
      </c>
      <c r="J19" s="2"/>
      <c r="K19" s="82">
        <f>2146*63.2/100</f>
        <v>1356.2720000000002</v>
      </c>
      <c r="L19" s="82"/>
      <c r="M19" s="82"/>
      <c r="N19" s="82"/>
      <c r="O19" s="82"/>
      <c r="P19" s="2"/>
      <c r="Q19" s="5">
        <f t="shared" si="0"/>
        <v>197713.81800277589</v>
      </c>
      <c r="R19" s="5">
        <f t="shared" si="1"/>
        <v>0</v>
      </c>
      <c r="S19" s="5">
        <f t="shared" si="2"/>
        <v>0</v>
      </c>
      <c r="T19" s="5">
        <f t="shared" si="3"/>
        <v>0</v>
      </c>
      <c r="U19" s="5">
        <f t="shared" si="4"/>
        <v>0</v>
      </c>
      <c r="Z19"/>
    </row>
    <row r="20" spans="1:26" ht="12.75" customHeight="1" x14ac:dyDescent="0.25">
      <c r="A20" s="4"/>
      <c r="C20" s="80" t="s">
        <v>57</v>
      </c>
      <c r="D20" s="81" t="s">
        <v>53</v>
      </c>
      <c r="E20" s="81" t="s">
        <v>13</v>
      </c>
      <c r="F20" s="79" t="s">
        <v>54</v>
      </c>
      <c r="G20" s="2"/>
      <c r="H20" s="63">
        <f>IF($E20="Labour",Assumptions!$B$14,)</f>
        <v>0</v>
      </c>
      <c r="I20" s="9" t="str">
        <f t="shared" si="5"/>
        <v>$</v>
      </c>
      <c r="J20" s="2"/>
      <c r="K20" s="82">
        <f>330000*63.2/100</f>
        <v>208560</v>
      </c>
      <c r="L20" s="82"/>
      <c r="M20" s="82"/>
      <c r="N20" s="82"/>
      <c r="O20" s="82"/>
      <c r="P20" s="2"/>
      <c r="Q20" s="5">
        <f t="shared" si="0"/>
        <v>208560</v>
      </c>
      <c r="R20" s="5">
        <f t="shared" si="1"/>
        <v>0</v>
      </c>
      <c r="S20" s="5">
        <f t="shared" si="2"/>
        <v>0</v>
      </c>
      <c r="T20" s="5">
        <f t="shared" si="3"/>
        <v>0</v>
      </c>
      <c r="U20" s="5">
        <f t="shared" si="4"/>
        <v>0</v>
      </c>
      <c r="Z20"/>
    </row>
    <row r="21" spans="1:26" ht="12.75" customHeight="1" x14ac:dyDescent="0.25">
      <c r="A21" s="4"/>
      <c r="C21" s="80" t="s">
        <v>57</v>
      </c>
      <c r="D21" s="81" t="s">
        <v>53</v>
      </c>
      <c r="E21" s="81" t="s">
        <v>14</v>
      </c>
      <c r="F21" s="79" t="s">
        <v>54</v>
      </c>
      <c r="G21" s="2"/>
      <c r="H21" s="63">
        <f>IF($E21="Labour",Assumptions!$B$14,)</f>
        <v>0</v>
      </c>
      <c r="I21" s="9" t="str">
        <f t="shared" si="5"/>
        <v>$</v>
      </c>
      <c r="J21" s="2"/>
      <c r="K21" s="82">
        <f>430000*63.2/100</f>
        <v>271760</v>
      </c>
      <c r="L21" s="82">
        <f>70000*63.2/100</f>
        <v>44240</v>
      </c>
      <c r="M21" s="82"/>
      <c r="N21" s="82"/>
      <c r="O21" s="82"/>
      <c r="P21" s="2"/>
      <c r="Q21" s="5">
        <f t="shared" si="0"/>
        <v>271760</v>
      </c>
      <c r="R21" s="5">
        <f t="shared" si="1"/>
        <v>44240</v>
      </c>
      <c r="S21" s="5">
        <f t="shared" si="2"/>
        <v>0</v>
      </c>
      <c r="T21" s="5">
        <f t="shared" si="3"/>
        <v>0</v>
      </c>
      <c r="U21" s="5">
        <f t="shared" si="4"/>
        <v>0</v>
      </c>
      <c r="Z21"/>
    </row>
    <row r="22" spans="1:26" ht="12.75" customHeight="1" x14ac:dyDescent="0.25">
      <c r="A22" s="4"/>
      <c r="C22" s="80" t="s">
        <v>58</v>
      </c>
      <c r="D22" s="81" t="s">
        <v>53</v>
      </c>
      <c r="E22" s="81" t="s">
        <v>11</v>
      </c>
      <c r="F22" s="79" t="s">
        <v>54</v>
      </c>
      <c r="G22" s="2"/>
      <c r="H22" s="63">
        <f>IF($E22="Labour",Assumptions!$B$14,)</f>
        <v>145.77740895836223</v>
      </c>
      <c r="I22" s="9" t="str">
        <f t="shared" si="5"/>
        <v>Hours</v>
      </c>
      <c r="J22" s="2"/>
      <c r="K22" s="82">
        <f>500*63.2/100</f>
        <v>316</v>
      </c>
      <c r="L22" s="82">
        <f>500*63.2/100</f>
        <v>316</v>
      </c>
      <c r="M22" s="82">
        <f>500*63.2/100</f>
        <v>316</v>
      </c>
      <c r="N22" s="82">
        <f>500*63.2/100</f>
        <v>316</v>
      </c>
      <c r="O22" s="82">
        <f>500*63.2/100</f>
        <v>316</v>
      </c>
      <c r="P22" s="2"/>
      <c r="Q22" s="5">
        <f t="shared" si="0"/>
        <v>46065.661230842466</v>
      </c>
      <c r="R22" s="5">
        <f t="shared" si="1"/>
        <v>46065.661230842466</v>
      </c>
      <c r="S22" s="5">
        <f t="shared" si="2"/>
        <v>46065.661230842466</v>
      </c>
      <c r="T22" s="5">
        <f t="shared" si="3"/>
        <v>46065.661230842466</v>
      </c>
      <c r="U22" s="5">
        <f t="shared" si="4"/>
        <v>46065.661230842466</v>
      </c>
      <c r="Z22"/>
    </row>
    <row r="23" spans="1:26" ht="12.75" customHeight="1" x14ac:dyDescent="0.25">
      <c r="A23" s="4"/>
      <c r="C23" s="80" t="s">
        <v>58</v>
      </c>
      <c r="D23" s="81" t="s">
        <v>53</v>
      </c>
      <c r="E23" s="81" t="s">
        <v>13</v>
      </c>
      <c r="F23" s="79" t="s">
        <v>54</v>
      </c>
      <c r="G23" s="2"/>
      <c r="H23" s="63">
        <f>IF($E23="Labour",Assumptions!$B$14,)</f>
        <v>0</v>
      </c>
      <c r="I23" s="9" t="str">
        <f t="shared" si="5"/>
        <v>$</v>
      </c>
      <c r="J23" s="2"/>
      <c r="K23" s="82"/>
      <c r="L23" s="82"/>
      <c r="M23" s="82"/>
      <c r="N23" s="82"/>
      <c r="O23" s="82"/>
      <c r="P23" s="2"/>
      <c r="Q23" s="5">
        <f t="shared" si="0"/>
        <v>0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0" t="s">
        <v>58</v>
      </c>
      <c r="D24" s="81" t="s">
        <v>53</v>
      </c>
      <c r="E24" s="81" t="s">
        <v>14</v>
      </c>
      <c r="F24" s="79" t="s">
        <v>54</v>
      </c>
      <c r="G24" s="2"/>
      <c r="H24" s="63">
        <f>IF($E24="Labour",Assumptions!$B$14,)</f>
        <v>0</v>
      </c>
      <c r="I24" s="9" t="str">
        <f t="shared" si="5"/>
        <v>$</v>
      </c>
      <c r="J24" s="2"/>
      <c r="K24" s="82">
        <f>125000*63.2/100</f>
        <v>79000</v>
      </c>
      <c r="L24" s="82">
        <f>125000*63.2/100</f>
        <v>79000</v>
      </c>
      <c r="M24" s="82">
        <f>125000*63.2/100</f>
        <v>79000</v>
      </c>
      <c r="N24" s="82">
        <f>125000*63.2/100</f>
        <v>79000</v>
      </c>
      <c r="O24" s="82">
        <f>125000*63.2/100</f>
        <v>79000</v>
      </c>
      <c r="P24" s="2"/>
      <c r="Q24" s="5">
        <f t="shared" si="0"/>
        <v>79000</v>
      </c>
      <c r="R24" s="5">
        <f t="shared" si="1"/>
        <v>79000</v>
      </c>
      <c r="S24" s="5">
        <f t="shared" si="2"/>
        <v>79000</v>
      </c>
      <c r="T24" s="5">
        <f t="shared" si="3"/>
        <v>79000</v>
      </c>
      <c r="U24" s="5">
        <f t="shared" si="4"/>
        <v>79000</v>
      </c>
      <c r="Z24"/>
    </row>
    <row r="25" spans="1:26" ht="12.75" customHeight="1" x14ac:dyDescent="0.25">
      <c r="A25" s="4"/>
      <c r="C25" s="80" t="s">
        <v>125</v>
      </c>
      <c r="D25" s="81" t="s">
        <v>53</v>
      </c>
      <c r="E25" s="81" t="s">
        <v>11</v>
      </c>
      <c r="F25" s="79" t="s">
        <v>54</v>
      </c>
      <c r="G25" s="2"/>
      <c r="H25" s="63">
        <f>IF($E25="Labour",Assumptions!$B$14,)</f>
        <v>145.77740895836223</v>
      </c>
      <c r="I25" s="9" t="str">
        <f t="shared" si="5"/>
        <v>Hours</v>
      </c>
      <c r="J25" s="2"/>
      <c r="K25" s="82"/>
      <c r="L25" s="82"/>
      <c r="M25" s="82"/>
      <c r="N25" s="82"/>
      <c r="O25" s="82"/>
      <c r="P25" s="2"/>
      <c r="Q25" s="5">
        <f t="shared" si="0"/>
        <v>0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0" t="s">
        <v>125</v>
      </c>
      <c r="D26" s="81" t="s">
        <v>53</v>
      </c>
      <c r="E26" s="81" t="s">
        <v>13</v>
      </c>
      <c r="F26" s="79" t="s">
        <v>54</v>
      </c>
      <c r="G26" s="2"/>
      <c r="H26" s="63">
        <f>IF($E26="Labour",Assumptions!$B$14,)</f>
        <v>0</v>
      </c>
      <c r="I26" s="9" t="str">
        <f t="shared" si="5"/>
        <v>$</v>
      </c>
      <c r="J26" s="2"/>
      <c r="K26" s="82"/>
      <c r="L26" s="82"/>
      <c r="M26" s="82"/>
      <c r="N26" s="82"/>
      <c r="O26" s="82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0" t="s">
        <v>125</v>
      </c>
      <c r="D27" s="81" t="s">
        <v>53</v>
      </c>
      <c r="E27" s="81" t="s">
        <v>14</v>
      </c>
      <c r="F27" s="79" t="s">
        <v>54</v>
      </c>
      <c r="G27" s="2"/>
      <c r="H27" s="63">
        <f>IF($E27="Labour",Assumptions!$B$14,)</f>
        <v>0</v>
      </c>
      <c r="I27" s="9" t="str">
        <f t="shared" si="5"/>
        <v>$</v>
      </c>
      <c r="J27" s="2"/>
      <c r="K27" s="82"/>
      <c r="L27" s="82"/>
      <c r="M27" s="82"/>
      <c r="N27" s="82"/>
      <c r="O27" s="82"/>
      <c r="P27" s="2"/>
      <c r="Q27" s="5">
        <f t="shared" si="0"/>
        <v>0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  <c r="Z27"/>
    </row>
    <row r="28" spans="1:26" ht="12.75" customHeight="1" x14ac:dyDescent="0.25">
      <c r="A28" s="4"/>
      <c r="C28" s="80" t="s">
        <v>59</v>
      </c>
      <c r="D28" s="81" t="s">
        <v>53</v>
      </c>
      <c r="E28" s="81" t="s">
        <v>11</v>
      </c>
      <c r="F28" s="79" t="s">
        <v>54</v>
      </c>
      <c r="G28" s="2"/>
      <c r="H28" s="63">
        <f>IF($E28="Labour",Assumptions!$B$14,)</f>
        <v>145.77740895836223</v>
      </c>
      <c r="I28" s="9" t="str">
        <f t="shared" si="5"/>
        <v>Hours</v>
      </c>
      <c r="J28" s="2"/>
      <c r="K28" s="82"/>
      <c r="L28" s="82"/>
      <c r="M28" s="82"/>
      <c r="N28" s="82"/>
      <c r="O28" s="82"/>
      <c r="P28" s="2"/>
      <c r="Q28" s="5">
        <f t="shared" si="0"/>
        <v>0</v>
      </c>
      <c r="R28" s="5">
        <f t="shared" si="1"/>
        <v>0</v>
      </c>
      <c r="S28" s="5">
        <f t="shared" si="2"/>
        <v>0</v>
      </c>
      <c r="T28" s="5">
        <f t="shared" si="3"/>
        <v>0</v>
      </c>
      <c r="U28" s="5">
        <f t="shared" si="4"/>
        <v>0</v>
      </c>
      <c r="Z28"/>
    </row>
    <row r="29" spans="1:26" ht="12.75" customHeight="1" x14ac:dyDescent="0.25">
      <c r="A29" s="4"/>
      <c r="C29" s="80" t="s">
        <v>59</v>
      </c>
      <c r="D29" s="81" t="s">
        <v>53</v>
      </c>
      <c r="E29" s="81" t="s">
        <v>13</v>
      </c>
      <c r="F29" s="79" t="s">
        <v>54</v>
      </c>
      <c r="G29" s="2"/>
      <c r="H29" s="63">
        <f>IF($E29="Labour",Assumptions!$B$14,)</f>
        <v>0</v>
      </c>
      <c r="I29" s="9" t="str">
        <f t="shared" si="5"/>
        <v>$</v>
      </c>
      <c r="J29" s="2"/>
      <c r="K29" s="82"/>
      <c r="L29" s="82"/>
      <c r="M29" s="82"/>
      <c r="N29" s="82"/>
      <c r="O29" s="82"/>
      <c r="P29" s="2"/>
      <c r="Q29" s="5">
        <f t="shared" si="0"/>
        <v>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0" t="s">
        <v>59</v>
      </c>
      <c r="D30" s="81" t="s">
        <v>53</v>
      </c>
      <c r="E30" s="81" t="s">
        <v>14</v>
      </c>
      <c r="F30" s="79" t="s">
        <v>54</v>
      </c>
      <c r="G30" s="2"/>
      <c r="H30" s="63">
        <f>IF($E30="Labour",Assumptions!$B$14,)</f>
        <v>0</v>
      </c>
      <c r="I30" s="9" t="str">
        <f t="shared" si="5"/>
        <v>$</v>
      </c>
      <c r="J30" s="2"/>
      <c r="K30" s="82"/>
      <c r="L30" s="82"/>
      <c r="M30" s="82"/>
      <c r="N30" s="82"/>
      <c r="O30" s="82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0" t="s">
        <v>60</v>
      </c>
      <c r="D31" s="81" t="s">
        <v>53</v>
      </c>
      <c r="E31" s="81" t="s">
        <v>11</v>
      </c>
      <c r="F31" s="79" t="s">
        <v>54</v>
      </c>
      <c r="G31" s="2"/>
      <c r="H31" s="63">
        <f>IF($E31="Labour",Assumptions!$B$14,)</f>
        <v>145.77740895836223</v>
      </c>
      <c r="I31" s="9" t="str">
        <f t="shared" si="5"/>
        <v>Hours</v>
      </c>
      <c r="J31" s="2"/>
      <c r="K31" s="82"/>
      <c r="L31" s="82"/>
      <c r="M31" s="82"/>
      <c r="N31" s="82"/>
      <c r="O31" s="82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0" t="s">
        <v>60</v>
      </c>
      <c r="D32" s="81" t="s">
        <v>53</v>
      </c>
      <c r="E32" s="81" t="s">
        <v>13</v>
      </c>
      <c r="F32" s="79" t="s">
        <v>54</v>
      </c>
      <c r="G32" s="2"/>
      <c r="H32" s="63">
        <f>IF($E32="Labour",Assumptions!$B$14,)</f>
        <v>0</v>
      </c>
      <c r="I32" s="9" t="str">
        <f t="shared" si="5"/>
        <v>$</v>
      </c>
      <c r="J32" s="2"/>
      <c r="K32" s="82"/>
      <c r="L32" s="82"/>
      <c r="M32" s="82"/>
      <c r="N32" s="82"/>
      <c r="O32" s="82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0" t="s">
        <v>60</v>
      </c>
      <c r="D33" s="81" t="s">
        <v>53</v>
      </c>
      <c r="E33" s="81" t="s">
        <v>14</v>
      </c>
      <c r="F33" s="79" t="s">
        <v>54</v>
      </c>
      <c r="G33" s="2"/>
      <c r="H33" s="63">
        <f>IF($E33="Labour",Assumptions!$B$14,)</f>
        <v>0</v>
      </c>
      <c r="I33" s="9" t="str">
        <f t="shared" si="5"/>
        <v>$</v>
      </c>
      <c r="J33" s="2"/>
      <c r="K33" s="82"/>
      <c r="L33" s="82"/>
      <c r="M33" s="82"/>
      <c r="N33" s="82"/>
      <c r="O33" s="82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0" t="s">
        <v>124</v>
      </c>
      <c r="D34" s="81" t="s">
        <v>53</v>
      </c>
      <c r="E34" s="81" t="s">
        <v>11</v>
      </c>
      <c r="F34" s="79" t="s">
        <v>54</v>
      </c>
      <c r="G34" s="2"/>
      <c r="H34" s="63">
        <f>IF($E34="Labour",Assumptions!$B$14,)</f>
        <v>145.77740895836223</v>
      </c>
      <c r="I34" s="9" t="str">
        <f t="shared" si="5"/>
        <v>Hours</v>
      </c>
      <c r="J34" s="2"/>
      <c r="K34" s="82"/>
      <c r="L34" s="82"/>
      <c r="M34" s="82"/>
      <c r="N34" s="82"/>
      <c r="O34" s="82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0" t="s">
        <v>124</v>
      </c>
      <c r="D35" s="81" t="s">
        <v>53</v>
      </c>
      <c r="E35" s="81" t="s">
        <v>13</v>
      </c>
      <c r="F35" s="79" t="s">
        <v>54</v>
      </c>
      <c r="G35" s="2"/>
      <c r="H35" s="63">
        <f>IF($E35="Labour",Assumptions!$B$14,)</f>
        <v>0</v>
      </c>
      <c r="I35" s="9" t="str">
        <f t="shared" si="5"/>
        <v>$</v>
      </c>
      <c r="J35" s="2"/>
      <c r="K35" s="82"/>
      <c r="L35" s="82"/>
      <c r="M35" s="82"/>
      <c r="N35" s="82"/>
      <c r="O35" s="82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0" t="s">
        <v>124</v>
      </c>
      <c r="D36" s="81" t="s">
        <v>53</v>
      </c>
      <c r="E36" s="81" t="s">
        <v>14</v>
      </c>
      <c r="F36" s="79" t="s">
        <v>54</v>
      </c>
      <c r="G36" s="2"/>
      <c r="H36" s="63">
        <f>IF($E36="Labour",Assumptions!$B$14,)</f>
        <v>0</v>
      </c>
      <c r="I36" s="9" t="str">
        <f t="shared" si="5"/>
        <v>$</v>
      </c>
      <c r="J36" s="2"/>
      <c r="K36" s="82"/>
      <c r="L36" s="82"/>
      <c r="M36" s="82"/>
      <c r="N36" s="82"/>
      <c r="O36" s="82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0" t="s">
        <v>61</v>
      </c>
      <c r="D37" s="81" t="s">
        <v>53</v>
      </c>
      <c r="E37" s="81" t="s">
        <v>11</v>
      </c>
      <c r="F37" s="79" t="s">
        <v>54</v>
      </c>
      <c r="G37" s="2"/>
      <c r="H37" s="63">
        <f>IF($E37="Labour",Assumptions!$B$14,)</f>
        <v>145.77740895836223</v>
      </c>
      <c r="I37" s="9" t="str">
        <f t="shared" si="5"/>
        <v>Hours</v>
      </c>
      <c r="J37" s="2"/>
      <c r="K37" s="82">
        <f>2500*100/100</f>
        <v>2500</v>
      </c>
      <c r="L37" s="82">
        <f>2500*100/100</f>
        <v>2500</v>
      </c>
      <c r="M37" s="82">
        <f>2500*100/100</f>
        <v>2500</v>
      </c>
      <c r="N37" s="82">
        <f>2500*100/100</f>
        <v>2500</v>
      </c>
      <c r="O37" s="82">
        <f>2500*100/100</f>
        <v>2500</v>
      </c>
      <c r="P37" s="2"/>
      <c r="Q37" s="5">
        <f t="shared" si="0"/>
        <v>364443.52239590557</v>
      </c>
      <c r="R37" s="5">
        <f t="shared" si="1"/>
        <v>364443.52239590557</v>
      </c>
      <c r="S37" s="5">
        <f t="shared" si="2"/>
        <v>364443.52239590557</v>
      </c>
      <c r="T37" s="5">
        <f t="shared" si="3"/>
        <v>364443.52239590557</v>
      </c>
      <c r="U37" s="5">
        <f t="shared" si="4"/>
        <v>364443.52239590557</v>
      </c>
      <c r="Z37"/>
    </row>
    <row r="38" spans="1:26" ht="12.75" customHeight="1" x14ac:dyDescent="0.25">
      <c r="A38" s="4"/>
      <c r="C38" s="80" t="s">
        <v>61</v>
      </c>
      <c r="D38" s="81" t="s">
        <v>53</v>
      </c>
      <c r="E38" s="81" t="s">
        <v>13</v>
      </c>
      <c r="F38" s="79" t="s">
        <v>54</v>
      </c>
      <c r="G38" s="2"/>
      <c r="H38" s="63">
        <f>IF($E38="Labour",Assumptions!$B$14,)</f>
        <v>0</v>
      </c>
      <c r="I38" s="9" t="str">
        <f t="shared" si="5"/>
        <v>$</v>
      </c>
      <c r="J38" s="2"/>
      <c r="K38" s="82"/>
      <c r="L38" s="82"/>
      <c r="M38" s="82"/>
      <c r="N38" s="82"/>
      <c r="O38" s="82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0" t="s">
        <v>61</v>
      </c>
      <c r="D39" s="81" t="s">
        <v>53</v>
      </c>
      <c r="E39" s="81" t="s">
        <v>14</v>
      </c>
      <c r="F39" s="79" t="s">
        <v>54</v>
      </c>
      <c r="G39" s="2"/>
      <c r="H39" s="63">
        <f>IF($E39="Labour",Assumptions!$B$14,)</f>
        <v>0</v>
      </c>
      <c r="I39" s="9" t="str">
        <f t="shared" si="5"/>
        <v>$</v>
      </c>
      <c r="J39" s="2"/>
      <c r="K39" s="82">
        <f>630000*100/100</f>
        <v>630000</v>
      </c>
      <c r="L39" s="82">
        <f>630000*100/100</f>
        <v>630000</v>
      </c>
      <c r="M39" s="82">
        <f>630000*100/100</f>
        <v>630000</v>
      </c>
      <c r="N39" s="82">
        <f>630000*100/100</f>
        <v>630000</v>
      </c>
      <c r="O39" s="82">
        <f>630000*100/100</f>
        <v>630000</v>
      </c>
      <c r="P39" s="2"/>
      <c r="Q39" s="5">
        <f t="shared" si="0"/>
        <v>630000</v>
      </c>
      <c r="R39" s="5">
        <f t="shared" si="1"/>
        <v>630000</v>
      </c>
      <c r="S39" s="5">
        <f t="shared" si="2"/>
        <v>630000</v>
      </c>
      <c r="T39" s="5">
        <f t="shared" si="3"/>
        <v>630000</v>
      </c>
      <c r="U39" s="5">
        <f t="shared" si="4"/>
        <v>630000</v>
      </c>
      <c r="Z39"/>
    </row>
    <row r="40" spans="1:26" ht="12.75" customHeight="1" x14ac:dyDescent="0.25">
      <c r="A40" s="4"/>
      <c r="C40" s="80" t="s">
        <v>62</v>
      </c>
      <c r="D40" s="81" t="s">
        <v>53</v>
      </c>
      <c r="E40" s="81" t="s">
        <v>11</v>
      </c>
      <c r="F40" s="79" t="s">
        <v>54</v>
      </c>
      <c r="G40" s="2"/>
      <c r="H40" s="63">
        <f>IF($E40="Labour",Assumptions!$B$14,)</f>
        <v>145.77740895836223</v>
      </c>
      <c r="I40" s="9" t="str">
        <f t="shared" si="5"/>
        <v>Hours</v>
      </c>
      <c r="J40" s="2"/>
      <c r="K40" s="82">
        <f>550*63.2/100</f>
        <v>347.6</v>
      </c>
      <c r="L40" s="82">
        <f>550*63.2/100</f>
        <v>347.6</v>
      </c>
      <c r="M40" s="82">
        <f>550*63.2/100</f>
        <v>347.6</v>
      </c>
      <c r="N40" s="82">
        <f>550*63.2/100</f>
        <v>347.6</v>
      </c>
      <c r="O40" s="82">
        <f>550*63.2/100</f>
        <v>347.6</v>
      </c>
      <c r="P40" s="2"/>
      <c r="Q40" s="5">
        <f t="shared" si="0"/>
        <v>50672.227353926712</v>
      </c>
      <c r="R40" s="5">
        <f t="shared" si="1"/>
        <v>50672.227353926712</v>
      </c>
      <c r="S40" s="5">
        <f t="shared" si="2"/>
        <v>50672.227353926712</v>
      </c>
      <c r="T40" s="5">
        <f t="shared" si="3"/>
        <v>50672.227353926712</v>
      </c>
      <c r="U40" s="5">
        <f t="shared" si="4"/>
        <v>50672.227353926712</v>
      </c>
      <c r="Z40"/>
    </row>
    <row r="41" spans="1:26" ht="12.75" customHeight="1" x14ac:dyDescent="0.25">
      <c r="A41" s="4"/>
      <c r="C41" s="80" t="s">
        <v>62</v>
      </c>
      <c r="D41" s="81" t="s">
        <v>53</v>
      </c>
      <c r="E41" s="81" t="s">
        <v>13</v>
      </c>
      <c r="F41" s="79" t="s">
        <v>54</v>
      </c>
      <c r="G41" s="2"/>
      <c r="H41" s="63">
        <f>IF($E41="Labour",Assumptions!$B$14,)</f>
        <v>0</v>
      </c>
      <c r="I41" s="9" t="str">
        <f t="shared" si="5"/>
        <v>$</v>
      </c>
      <c r="J41" s="2"/>
      <c r="K41" s="82"/>
      <c r="L41" s="82"/>
      <c r="M41" s="82"/>
      <c r="N41" s="82"/>
      <c r="O41" s="82"/>
      <c r="P41" s="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  <c r="Z41"/>
    </row>
    <row r="42" spans="1:26" ht="12.75" customHeight="1" x14ac:dyDescent="0.25">
      <c r="A42" s="4"/>
      <c r="C42" s="80" t="s">
        <v>62</v>
      </c>
      <c r="D42" s="81" t="s">
        <v>53</v>
      </c>
      <c r="E42" s="81" t="s">
        <v>14</v>
      </c>
      <c r="F42" s="79" t="s">
        <v>54</v>
      </c>
      <c r="G42" s="2"/>
      <c r="H42" s="63">
        <f>IF($E42="Labour",Assumptions!$B$14,)</f>
        <v>0</v>
      </c>
      <c r="I42" s="9" t="str">
        <f t="shared" si="5"/>
        <v>$</v>
      </c>
      <c r="J42" s="2"/>
      <c r="K42" s="82">
        <f>20000*63.2/100</f>
        <v>12640</v>
      </c>
      <c r="L42" s="82">
        <f>20000*63.2/100</f>
        <v>12640</v>
      </c>
      <c r="M42" s="82">
        <f>20000*63.2/100</f>
        <v>12640</v>
      </c>
      <c r="N42" s="82">
        <f>20000*63.2/100</f>
        <v>12640</v>
      </c>
      <c r="O42" s="82">
        <f>20000*63.2/100</f>
        <v>12640</v>
      </c>
      <c r="P42" s="2"/>
      <c r="Q42" s="5">
        <f t="shared" ref="Q42:Q73" si="6">IF($E42="Labour",$H42*K42,K42)</f>
        <v>12640</v>
      </c>
      <c r="R42" s="5">
        <f t="shared" ref="R42:R73" si="7">IF($E42="Labour",$H42*L42,L42)</f>
        <v>12640</v>
      </c>
      <c r="S42" s="5">
        <f t="shared" ref="S42:S73" si="8">IF($E42="Labour",$H42*M42,M42)</f>
        <v>12640</v>
      </c>
      <c r="T42" s="5">
        <f t="shared" ref="T42:T73" si="9">IF($E42="Labour",$H42*N42,N42)</f>
        <v>12640</v>
      </c>
      <c r="U42" s="5">
        <f t="shared" ref="U42:U73" si="10">IF($E42="Labour",$H42*O42,O42)</f>
        <v>12640</v>
      </c>
      <c r="Z42"/>
    </row>
    <row r="43" spans="1:26" ht="12.75" customHeight="1" x14ac:dyDescent="0.25">
      <c r="A43" s="4"/>
      <c r="C43" s="80" t="s">
        <v>63</v>
      </c>
      <c r="D43" s="81" t="s">
        <v>49</v>
      </c>
      <c r="E43" s="81" t="s">
        <v>11</v>
      </c>
      <c r="F43" s="79" t="s">
        <v>54</v>
      </c>
      <c r="G43" s="2"/>
      <c r="H43" s="63">
        <f>IF($E43="Labour",Assumptions!$B$14,)</f>
        <v>145.77740895836223</v>
      </c>
      <c r="I43" s="9" t="str">
        <f t="shared" si="5"/>
        <v>Hours</v>
      </c>
      <c r="J43" s="2"/>
      <c r="K43" s="82"/>
      <c r="L43" s="82"/>
      <c r="M43" s="82"/>
      <c r="N43" s="82"/>
      <c r="O43" s="82"/>
      <c r="P43" s="2"/>
      <c r="Q43" s="5">
        <f t="shared" si="6"/>
        <v>0</v>
      </c>
      <c r="R43" s="5">
        <f t="shared" si="7"/>
        <v>0</v>
      </c>
      <c r="S43" s="5">
        <f t="shared" si="8"/>
        <v>0</v>
      </c>
      <c r="T43" s="5">
        <f t="shared" si="9"/>
        <v>0</v>
      </c>
      <c r="U43" s="5">
        <f t="shared" si="10"/>
        <v>0</v>
      </c>
      <c r="Z43"/>
    </row>
    <row r="44" spans="1:26" ht="12.75" customHeight="1" x14ac:dyDescent="0.25">
      <c r="A44" s="4"/>
      <c r="C44" s="80" t="s">
        <v>64</v>
      </c>
      <c r="D44" s="81" t="s">
        <v>53</v>
      </c>
      <c r="E44" s="81" t="s">
        <v>11</v>
      </c>
      <c r="F44" s="79" t="s">
        <v>54</v>
      </c>
      <c r="G44" s="2"/>
      <c r="H44" s="63">
        <f>IF($E44="Labour",Assumptions!$B$14,)</f>
        <v>145.77740895836223</v>
      </c>
      <c r="I44" s="9" t="str">
        <f t="shared" si="5"/>
        <v>Hours</v>
      </c>
      <c r="J44" s="2"/>
      <c r="K44" s="82"/>
      <c r="L44" s="82"/>
      <c r="M44" s="82">
        <v>1264</v>
      </c>
      <c r="N44" s="82"/>
      <c r="O44" s="82"/>
      <c r="P44" s="2"/>
      <c r="Q44" s="5">
        <f t="shared" si="6"/>
        <v>0</v>
      </c>
      <c r="R44" s="5">
        <f t="shared" si="7"/>
        <v>0</v>
      </c>
      <c r="S44" s="5">
        <f t="shared" si="8"/>
        <v>184262.64492336987</v>
      </c>
      <c r="T44" s="5">
        <f t="shared" si="9"/>
        <v>0</v>
      </c>
      <c r="U44" s="5">
        <f t="shared" si="10"/>
        <v>0</v>
      </c>
      <c r="Z44"/>
    </row>
    <row r="45" spans="1:26" ht="12.75" customHeight="1" x14ac:dyDescent="0.25">
      <c r="A45" s="4"/>
      <c r="C45" s="80" t="s">
        <v>65</v>
      </c>
      <c r="D45" s="81" t="s">
        <v>53</v>
      </c>
      <c r="E45" s="81" t="s">
        <v>13</v>
      </c>
      <c r="F45" s="79" t="s">
        <v>54</v>
      </c>
      <c r="G45" s="2"/>
      <c r="H45" s="63">
        <f>IF($E45="Labour",Assumptions!$B$14,)</f>
        <v>0</v>
      </c>
      <c r="I45" s="9" t="str">
        <f t="shared" si="5"/>
        <v>$</v>
      </c>
      <c r="J45" s="2"/>
      <c r="K45" s="82"/>
      <c r="L45" s="82"/>
      <c r="M45" s="82"/>
      <c r="N45" s="82"/>
      <c r="O45" s="82"/>
      <c r="P45" s="2"/>
      <c r="Q45" s="5">
        <f t="shared" si="6"/>
        <v>0</v>
      </c>
      <c r="R45" s="5">
        <f t="shared" si="7"/>
        <v>0</v>
      </c>
      <c r="S45" s="5">
        <f t="shared" si="8"/>
        <v>0</v>
      </c>
      <c r="T45" s="5">
        <f t="shared" si="9"/>
        <v>0</v>
      </c>
      <c r="U45" s="5">
        <f t="shared" si="10"/>
        <v>0</v>
      </c>
      <c r="Z45"/>
    </row>
    <row r="46" spans="1:26" ht="12.75" customHeight="1" x14ac:dyDescent="0.25">
      <c r="A46" s="4"/>
      <c r="C46" s="80" t="s">
        <v>66</v>
      </c>
      <c r="D46" s="81" t="s">
        <v>53</v>
      </c>
      <c r="E46" s="81" t="s">
        <v>13</v>
      </c>
      <c r="F46" s="79" t="s">
        <v>54</v>
      </c>
      <c r="G46" s="2"/>
      <c r="H46" s="63">
        <f>IF($E46="Labour",Assumptions!$B$14,)</f>
        <v>0</v>
      </c>
      <c r="I46" s="9" t="str">
        <f t="shared" si="5"/>
        <v>$</v>
      </c>
      <c r="J46" s="2"/>
      <c r="K46" s="82">
        <f>3600*50*63.2%</f>
        <v>113760</v>
      </c>
      <c r="L46" s="82">
        <f>3900*50*63.2%</f>
        <v>123240</v>
      </c>
      <c r="M46" s="82">
        <f>4200*50*63.2%</f>
        <v>132720</v>
      </c>
      <c r="N46" s="82">
        <f>4500*50*63.2%</f>
        <v>142200</v>
      </c>
      <c r="O46" s="82">
        <f>4800*50*63.2%</f>
        <v>151680</v>
      </c>
      <c r="P46" s="2"/>
      <c r="Q46" s="5">
        <f t="shared" si="6"/>
        <v>113760</v>
      </c>
      <c r="R46" s="5">
        <f t="shared" si="7"/>
        <v>123240</v>
      </c>
      <c r="S46" s="5">
        <f t="shared" si="8"/>
        <v>132720</v>
      </c>
      <c r="T46" s="5">
        <f t="shared" si="9"/>
        <v>142200</v>
      </c>
      <c r="U46" s="5">
        <f t="shared" si="10"/>
        <v>151680</v>
      </c>
      <c r="Z46"/>
    </row>
    <row r="47" spans="1:26" ht="12.75" customHeight="1" x14ac:dyDescent="0.25">
      <c r="A47" s="4"/>
      <c r="C47" s="80" t="s">
        <v>67</v>
      </c>
      <c r="D47" s="81" t="s">
        <v>53</v>
      </c>
      <c r="E47" s="81" t="s">
        <v>11</v>
      </c>
      <c r="F47" s="79" t="s">
        <v>54</v>
      </c>
      <c r="G47" s="2"/>
      <c r="H47" s="63">
        <f>IF($E47="Labour",Assumptions!$B$14,)</f>
        <v>145.77740895836223</v>
      </c>
      <c r="I47" s="9" t="str">
        <f t="shared" si="5"/>
        <v>Hours</v>
      </c>
      <c r="J47" s="2"/>
      <c r="K47" s="82">
        <f>28.8*8*63.2%</f>
        <v>145.61279999999999</v>
      </c>
      <c r="L47" s="82">
        <f>28.8*8*63.2%</f>
        <v>145.61279999999999</v>
      </c>
      <c r="M47" s="82">
        <f>28.8*8*63.2%</f>
        <v>145.61279999999999</v>
      </c>
      <c r="N47" s="82">
        <f>28.8*8*63.2%</f>
        <v>145.61279999999999</v>
      </c>
      <c r="O47" s="82">
        <f>28.8*8*63.2%</f>
        <v>145.61279999999999</v>
      </c>
      <c r="P47" s="2"/>
      <c r="Q47" s="5">
        <f t="shared" si="6"/>
        <v>21227.056695172207</v>
      </c>
      <c r="R47" s="5">
        <f t="shared" si="7"/>
        <v>21227.056695172207</v>
      </c>
      <c r="S47" s="5">
        <f t="shared" si="8"/>
        <v>21227.056695172207</v>
      </c>
      <c r="T47" s="5">
        <f t="shared" si="9"/>
        <v>21227.056695172207</v>
      </c>
      <c r="U47" s="5">
        <f t="shared" si="10"/>
        <v>21227.056695172207</v>
      </c>
      <c r="Z47"/>
    </row>
    <row r="48" spans="1:26" ht="12.75" customHeight="1" x14ac:dyDescent="0.25">
      <c r="A48" s="4"/>
      <c r="C48" s="80" t="s">
        <v>68</v>
      </c>
      <c r="D48" s="81" t="s">
        <v>49</v>
      </c>
      <c r="E48" s="81" t="s">
        <v>14</v>
      </c>
      <c r="F48" s="79" t="s">
        <v>54</v>
      </c>
      <c r="G48" s="2"/>
      <c r="H48" s="63">
        <f>IF($E48="Labour",Assumptions!$B$14,)</f>
        <v>0</v>
      </c>
      <c r="I48" s="9" t="str">
        <f t="shared" si="5"/>
        <v>$</v>
      </c>
      <c r="J48" s="2"/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2"/>
      <c r="Q48" s="5">
        <f t="shared" si="6"/>
        <v>0</v>
      </c>
      <c r="R48" s="5">
        <f t="shared" si="7"/>
        <v>0</v>
      </c>
      <c r="S48" s="5">
        <f t="shared" si="8"/>
        <v>0</v>
      </c>
      <c r="T48" s="5">
        <f t="shared" si="9"/>
        <v>0</v>
      </c>
      <c r="U48" s="5">
        <f t="shared" si="10"/>
        <v>0</v>
      </c>
      <c r="Z48"/>
    </row>
    <row r="49" spans="1:26" ht="12.75" customHeight="1" x14ac:dyDescent="0.25">
      <c r="A49" s="4"/>
      <c r="C49" s="80" t="s">
        <v>69</v>
      </c>
      <c r="D49" s="81" t="s">
        <v>49</v>
      </c>
      <c r="E49" s="81" t="s">
        <v>14</v>
      </c>
      <c r="F49" s="79" t="s">
        <v>54</v>
      </c>
      <c r="G49" s="2"/>
      <c r="H49" s="63">
        <f>IF($E49="Labour",Assumptions!$B$14,)</f>
        <v>0</v>
      </c>
      <c r="I49" s="9" t="str">
        <f t="shared" si="5"/>
        <v>$</v>
      </c>
      <c r="J49" s="2"/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2"/>
      <c r="Q49" s="5">
        <f t="shared" si="6"/>
        <v>0</v>
      </c>
      <c r="R49" s="5">
        <f t="shared" si="7"/>
        <v>0</v>
      </c>
      <c r="S49" s="5">
        <f t="shared" si="8"/>
        <v>0</v>
      </c>
      <c r="T49" s="5">
        <f t="shared" si="9"/>
        <v>0</v>
      </c>
      <c r="U49" s="5">
        <f t="shared" si="10"/>
        <v>0</v>
      </c>
      <c r="Z49"/>
    </row>
    <row r="50" spans="1:26" ht="12.75" customHeight="1" x14ac:dyDescent="0.25">
      <c r="A50" s="4"/>
      <c r="C50" s="80" t="s">
        <v>142</v>
      </c>
      <c r="D50" s="81" t="s">
        <v>49</v>
      </c>
      <c r="E50" s="81" t="s">
        <v>14</v>
      </c>
      <c r="F50" s="79" t="s">
        <v>54</v>
      </c>
      <c r="G50" s="2"/>
      <c r="H50" s="63">
        <f>IF($E50="Labour",Assumptions!$B$14,)</f>
        <v>0</v>
      </c>
      <c r="I50" s="9" t="str">
        <f t="shared" si="5"/>
        <v>$</v>
      </c>
      <c r="J50" s="2"/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2"/>
      <c r="Q50" s="5">
        <f t="shared" si="6"/>
        <v>0</v>
      </c>
      <c r="R50" s="5">
        <f t="shared" si="7"/>
        <v>0</v>
      </c>
      <c r="S50" s="5">
        <f t="shared" si="8"/>
        <v>0</v>
      </c>
      <c r="T50" s="5">
        <f t="shared" si="9"/>
        <v>0</v>
      </c>
      <c r="U50" s="5">
        <f t="shared" si="10"/>
        <v>0</v>
      </c>
      <c r="Z50"/>
    </row>
    <row r="51" spans="1:26" ht="12.75" customHeight="1" x14ac:dyDescent="0.25">
      <c r="A51" s="4"/>
      <c r="C51" s="80" t="s">
        <v>70</v>
      </c>
      <c r="D51" s="81" t="s">
        <v>53</v>
      </c>
      <c r="E51" s="81" t="s">
        <v>14</v>
      </c>
      <c r="F51" s="79" t="s">
        <v>54</v>
      </c>
      <c r="G51" s="2"/>
      <c r="H51" s="63">
        <f>IF($E51="Labour",Assumptions!$B$14,)</f>
        <v>0</v>
      </c>
      <c r="I51" s="9" t="str">
        <f t="shared" si="5"/>
        <v>$</v>
      </c>
      <c r="J51" s="2"/>
      <c r="K51" s="82">
        <f>150530/2</f>
        <v>75265</v>
      </c>
      <c r="L51" s="82">
        <f t="shared" ref="L51:O51" si="11">150530/2</f>
        <v>75265</v>
      </c>
      <c r="M51" s="82">
        <f t="shared" si="11"/>
        <v>75265</v>
      </c>
      <c r="N51" s="82">
        <f t="shared" si="11"/>
        <v>75265</v>
      </c>
      <c r="O51" s="82">
        <f t="shared" si="11"/>
        <v>75265</v>
      </c>
      <c r="P51" s="2"/>
      <c r="Q51" s="5">
        <f t="shared" si="6"/>
        <v>75265</v>
      </c>
      <c r="R51" s="5">
        <f t="shared" si="7"/>
        <v>75265</v>
      </c>
      <c r="S51" s="5">
        <f t="shared" si="8"/>
        <v>75265</v>
      </c>
      <c r="T51" s="5">
        <f t="shared" si="9"/>
        <v>75265</v>
      </c>
      <c r="U51" s="5">
        <f t="shared" si="10"/>
        <v>75265</v>
      </c>
      <c r="Z51"/>
    </row>
    <row r="52" spans="1:26" ht="12.75" customHeight="1" x14ac:dyDescent="0.25">
      <c r="A52" s="4"/>
      <c r="C52" s="80" t="s">
        <v>71</v>
      </c>
      <c r="D52" s="81" t="s">
        <v>49</v>
      </c>
      <c r="E52" s="81" t="s">
        <v>14</v>
      </c>
      <c r="F52" s="79" t="s">
        <v>54</v>
      </c>
      <c r="G52" s="2"/>
      <c r="H52" s="63">
        <f>IF($E52="Labour",Assumptions!$B$14,)</f>
        <v>0</v>
      </c>
      <c r="I52" s="9" t="str">
        <f t="shared" si="5"/>
        <v>$</v>
      </c>
      <c r="J52" s="2"/>
      <c r="K52" s="82">
        <v>0</v>
      </c>
      <c r="L52" s="82">
        <v>75000</v>
      </c>
      <c r="M52" s="82">
        <v>75000</v>
      </c>
      <c r="N52" s="82">
        <v>75000</v>
      </c>
      <c r="O52" s="82">
        <v>75000</v>
      </c>
      <c r="P52" s="2"/>
      <c r="Q52" s="5">
        <f t="shared" si="6"/>
        <v>0</v>
      </c>
      <c r="R52" s="5">
        <f t="shared" si="7"/>
        <v>75000</v>
      </c>
      <c r="S52" s="5">
        <f t="shared" si="8"/>
        <v>75000</v>
      </c>
      <c r="T52" s="5">
        <f t="shared" si="9"/>
        <v>75000</v>
      </c>
      <c r="U52" s="5">
        <f t="shared" si="10"/>
        <v>75000</v>
      </c>
      <c r="Z52"/>
    </row>
    <row r="53" spans="1:26" ht="12.75" customHeight="1" x14ac:dyDescent="0.25">
      <c r="A53" s="4"/>
      <c r="C53" s="80" t="s">
        <v>72</v>
      </c>
      <c r="D53" s="81" t="s">
        <v>49</v>
      </c>
      <c r="E53" s="81" t="s">
        <v>14</v>
      </c>
      <c r="F53" s="79" t="s">
        <v>54</v>
      </c>
      <c r="G53" s="2"/>
      <c r="H53" s="63">
        <f>IF($E53="Labour",Assumptions!$B$14,)</f>
        <v>0</v>
      </c>
      <c r="I53" s="9" t="str">
        <f t="shared" si="5"/>
        <v>$</v>
      </c>
      <c r="J53" s="2"/>
      <c r="K53" s="82"/>
      <c r="L53" s="82">
        <v>20000</v>
      </c>
      <c r="M53" s="82">
        <v>20000</v>
      </c>
      <c r="N53" s="82">
        <v>20000</v>
      </c>
      <c r="O53" s="82">
        <v>20000</v>
      </c>
      <c r="P53" s="2"/>
      <c r="Q53" s="5">
        <f t="shared" si="6"/>
        <v>0</v>
      </c>
      <c r="R53" s="5">
        <f t="shared" si="7"/>
        <v>20000</v>
      </c>
      <c r="S53" s="5">
        <f t="shared" si="8"/>
        <v>20000</v>
      </c>
      <c r="T53" s="5">
        <f t="shared" si="9"/>
        <v>20000</v>
      </c>
      <c r="U53" s="5">
        <f t="shared" si="10"/>
        <v>20000</v>
      </c>
      <c r="Z53"/>
    </row>
    <row r="54" spans="1:26" ht="12.75" customHeight="1" x14ac:dyDescent="0.25">
      <c r="A54" s="4"/>
      <c r="C54" s="80" t="s">
        <v>143</v>
      </c>
      <c r="D54" s="81" t="s">
        <v>53</v>
      </c>
      <c r="E54" s="81" t="s">
        <v>11</v>
      </c>
      <c r="F54" s="79" t="s">
        <v>54</v>
      </c>
      <c r="G54" s="2"/>
      <c r="H54" s="63">
        <f>IF($E54="Labour",Assumptions!$B$14,)</f>
        <v>145.77740895836223</v>
      </c>
      <c r="I54" s="9" t="str">
        <f t="shared" si="5"/>
        <v>Hours</v>
      </c>
      <c r="J54" s="2"/>
      <c r="K54" s="82">
        <v>560</v>
      </c>
      <c r="L54" s="82">
        <v>560</v>
      </c>
      <c r="M54" s="82">
        <v>560</v>
      </c>
      <c r="N54" s="82">
        <v>560</v>
      </c>
      <c r="O54" s="82">
        <v>560</v>
      </c>
      <c r="P54" s="2"/>
      <c r="Q54" s="5">
        <f t="shared" si="6"/>
        <v>81635.349016682856</v>
      </c>
      <c r="R54" s="5">
        <f t="shared" si="7"/>
        <v>81635.349016682856</v>
      </c>
      <c r="S54" s="5">
        <f t="shared" si="8"/>
        <v>81635.349016682856</v>
      </c>
      <c r="T54" s="5">
        <f t="shared" si="9"/>
        <v>81635.349016682856</v>
      </c>
      <c r="U54" s="5">
        <f t="shared" si="10"/>
        <v>81635.349016682856</v>
      </c>
      <c r="Z54"/>
    </row>
    <row r="55" spans="1:26" ht="12.75" customHeight="1" x14ac:dyDescent="0.25">
      <c r="A55" s="4"/>
      <c r="C55" s="80"/>
      <c r="D55" s="81"/>
      <c r="E55" s="81"/>
      <c r="F55" s="79"/>
      <c r="G55" s="2"/>
      <c r="H55" s="63">
        <f>IF($E55="Labour",Assumptions!$B$14,)</f>
        <v>0</v>
      </c>
      <c r="I55" s="9" t="str">
        <f t="shared" si="5"/>
        <v>$</v>
      </c>
      <c r="J55" s="2"/>
      <c r="K55" s="82"/>
      <c r="L55" s="82"/>
      <c r="M55" s="82"/>
      <c r="N55" s="82"/>
      <c r="O55" s="82"/>
      <c r="P55" s="2"/>
      <c r="Q55" s="5">
        <f t="shared" si="6"/>
        <v>0</v>
      </c>
      <c r="R55" s="5">
        <f t="shared" si="7"/>
        <v>0</v>
      </c>
      <c r="S55" s="5">
        <f t="shared" si="8"/>
        <v>0</v>
      </c>
      <c r="T55" s="5">
        <f t="shared" si="9"/>
        <v>0</v>
      </c>
      <c r="U55" s="5">
        <f t="shared" si="10"/>
        <v>0</v>
      </c>
      <c r="Z55"/>
    </row>
    <row r="56" spans="1:26" ht="12.75" customHeight="1" x14ac:dyDescent="0.25">
      <c r="A56" s="4"/>
      <c r="C56" s="80"/>
      <c r="D56" s="81"/>
      <c r="E56" s="81"/>
      <c r="F56" s="79"/>
      <c r="G56" s="2"/>
      <c r="H56" s="63">
        <f>IF($E56="Labour",Assumptions!$B$14,)</f>
        <v>0</v>
      </c>
      <c r="I56" s="9" t="str">
        <f t="shared" si="5"/>
        <v>$</v>
      </c>
      <c r="J56" s="2"/>
      <c r="K56" s="82"/>
      <c r="L56" s="82"/>
      <c r="M56" s="82"/>
      <c r="N56" s="82"/>
      <c r="O56" s="82"/>
      <c r="P56" s="2"/>
      <c r="Q56" s="5">
        <f t="shared" si="6"/>
        <v>0</v>
      </c>
      <c r="R56" s="5">
        <f t="shared" si="7"/>
        <v>0</v>
      </c>
      <c r="S56" s="5">
        <f t="shared" si="8"/>
        <v>0</v>
      </c>
      <c r="T56" s="5">
        <f t="shared" si="9"/>
        <v>0</v>
      </c>
      <c r="U56" s="5">
        <f t="shared" si="10"/>
        <v>0</v>
      </c>
      <c r="Z56"/>
    </row>
    <row r="57" spans="1:26" ht="12.75" customHeight="1" x14ac:dyDescent="0.25">
      <c r="A57" s="4"/>
      <c r="C57" s="80"/>
      <c r="D57" s="81"/>
      <c r="E57" s="81"/>
      <c r="F57" s="79"/>
      <c r="G57" s="2"/>
      <c r="H57" s="63">
        <f>IF($E57="Labour",Assumptions!$B$14,)</f>
        <v>0</v>
      </c>
      <c r="I57" s="9" t="str">
        <f t="shared" si="5"/>
        <v>$</v>
      </c>
      <c r="J57" s="2"/>
      <c r="K57" s="82"/>
      <c r="L57" s="82"/>
      <c r="M57" s="82"/>
      <c r="N57" s="82"/>
      <c r="O57" s="82"/>
      <c r="P57" s="2"/>
      <c r="Q57" s="5">
        <f t="shared" si="6"/>
        <v>0</v>
      </c>
      <c r="R57" s="5">
        <f t="shared" si="7"/>
        <v>0</v>
      </c>
      <c r="S57" s="5">
        <f t="shared" si="8"/>
        <v>0</v>
      </c>
      <c r="T57" s="5">
        <f t="shared" si="9"/>
        <v>0</v>
      </c>
      <c r="U57" s="5">
        <f t="shared" si="10"/>
        <v>0</v>
      </c>
      <c r="Z57"/>
    </row>
    <row r="58" spans="1:26" ht="12.75" customHeight="1" x14ac:dyDescent="0.25">
      <c r="A58" s="4"/>
      <c r="C58" s="80"/>
      <c r="D58" s="81"/>
      <c r="E58" s="81"/>
      <c r="F58" s="79"/>
      <c r="G58" s="2"/>
      <c r="H58" s="63">
        <f>IF($E58="Labour",Assumptions!$B$14,)</f>
        <v>0</v>
      </c>
      <c r="I58" s="9" t="str">
        <f t="shared" si="5"/>
        <v>$</v>
      </c>
      <c r="J58" s="2"/>
      <c r="K58" s="82"/>
      <c r="L58" s="82"/>
      <c r="M58" s="82"/>
      <c r="N58" s="82"/>
      <c r="O58" s="82"/>
      <c r="P58" s="2"/>
      <c r="Q58" s="5">
        <f t="shared" si="6"/>
        <v>0</v>
      </c>
      <c r="R58" s="5">
        <f t="shared" si="7"/>
        <v>0</v>
      </c>
      <c r="S58" s="5">
        <f t="shared" si="8"/>
        <v>0</v>
      </c>
      <c r="T58" s="5">
        <f t="shared" si="9"/>
        <v>0</v>
      </c>
      <c r="U58" s="5">
        <f t="shared" si="10"/>
        <v>0</v>
      </c>
      <c r="Z58"/>
    </row>
    <row r="59" spans="1:26" ht="12.75" customHeight="1" x14ac:dyDescent="0.25">
      <c r="A59" s="4"/>
      <c r="C59" s="80"/>
      <c r="D59" s="81"/>
      <c r="E59" s="81"/>
      <c r="F59" s="79"/>
      <c r="G59" s="2"/>
      <c r="H59" s="63">
        <f>IF($E59="Labour",Assumptions!$B$14,)</f>
        <v>0</v>
      </c>
      <c r="I59" s="9" t="str">
        <f t="shared" si="5"/>
        <v>$</v>
      </c>
      <c r="J59" s="2"/>
      <c r="K59" s="82"/>
      <c r="L59" s="82"/>
      <c r="M59" s="82"/>
      <c r="N59" s="82"/>
      <c r="O59" s="82"/>
      <c r="P59" s="2"/>
      <c r="Q59" s="5">
        <f t="shared" si="6"/>
        <v>0</v>
      </c>
      <c r="R59" s="5">
        <f t="shared" si="7"/>
        <v>0</v>
      </c>
      <c r="S59" s="5">
        <f t="shared" si="8"/>
        <v>0</v>
      </c>
      <c r="T59" s="5">
        <f t="shared" si="9"/>
        <v>0</v>
      </c>
      <c r="U59" s="5">
        <f t="shared" si="10"/>
        <v>0</v>
      </c>
      <c r="Z59"/>
    </row>
    <row r="60" spans="1:26" ht="12.75" customHeight="1" x14ac:dyDescent="0.25">
      <c r="A60" s="4"/>
      <c r="C60" s="80"/>
      <c r="D60" s="81"/>
      <c r="E60" s="81"/>
      <c r="F60" s="79"/>
      <c r="G60" s="2"/>
      <c r="H60" s="63">
        <f>IF($E60="Labour",Assumptions!$B$14,)</f>
        <v>0</v>
      </c>
      <c r="I60" s="9" t="str">
        <f t="shared" si="5"/>
        <v>$</v>
      </c>
      <c r="J60" s="2"/>
      <c r="K60" s="82"/>
      <c r="L60" s="82"/>
      <c r="M60" s="82"/>
      <c r="N60" s="82"/>
      <c r="O60" s="82"/>
      <c r="P60" s="2"/>
      <c r="Q60" s="5">
        <f t="shared" si="6"/>
        <v>0</v>
      </c>
      <c r="R60" s="5">
        <f t="shared" si="7"/>
        <v>0</v>
      </c>
      <c r="S60" s="5">
        <f t="shared" si="8"/>
        <v>0</v>
      </c>
      <c r="T60" s="5">
        <f t="shared" si="9"/>
        <v>0</v>
      </c>
      <c r="U60" s="5">
        <f t="shared" si="10"/>
        <v>0</v>
      </c>
      <c r="Z60"/>
    </row>
    <row r="61" spans="1:26" ht="12.75" customHeight="1" x14ac:dyDescent="0.25">
      <c r="A61" s="4"/>
      <c r="C61" s="80"/>
      <c r="D61" s="81"/>
      <c r="E61" s="81"/>
      <c r="F61" s="79"/>
      <c r="G61" s="2"/>
      <c r="H61" s="63">
        <f>IF($E61="Labour",Assumptions!$B$14,)</f>
        <v>0</v>
      </c>
      <c r="I61" s="9" t="str">
        <f t="shared" si="5"/>
        <v>$</v>
      </c>
      <c r="J61" s="2"/>
      <c r="K61" s="82"/>
      <c r="L61" s="82"/>
      <c r="M61" s="82"/>
      <c r="N61" s="82"/>
      <c r="O61" s="82"/>
      <c r="P61" s="2"/>
      <c r="Q61" s="5">
        <f t="shared" si="6"/>
        <v>0</v>
      </c>
      <c r="R61" s="5">
        <f t="shared" si="7"/>
        <v>0</v>
      </c>
      <c r="S61" s="5">
        <f t="shared" si="8"/>
        <v>0</v>
      </c>
      <c r="T61" s="5">
        <f t="shared" si="9"/>
        <v>0</v>
      </c>
      <c r="U61" s="5">
        <f t="shared" si="10"/>
        <v>0</v>
      </c>
      <c r="Z61"/>
    </row>
    <row r="62" spans="1:26" ht="12.75" customHeight="1" x14ac:dyDescent="0.25">
      <c r="A62" s="4"/>
      <c r="C62" s="80"/>
      <c r="D62" s="81"/>
      <c r="E62" s="81"/>
      <c r="F62" s="79"/>
      <c r="G62" s="2"/>
      <c r="H62" s="63">
        <f>IF($E62="Labour",Assumptions!$B$14,)</f>
        <v>0</v>
      </c>
      <c r="I62" s="9" t="str">
        <f t="shared" si="5"/>
        <v>$</v>
      </c>
      <c r="J62" s="2"/>
      <c r="K62" s="82"/>
      <c r="L62" s="82"/>
      <c r="M62" s="82"/>
      <c r="N62" s="82"/>
      <c r="O62" s="82"/>
      <c r="P62" s="2"/>
      <c r="Q62" s="5">
        <f t="shared" si="6"/>
        <v>0</v>
      </c>
      <c r="R62" s="5">
        <f t="shared" si="7"/>
        <v>0</v>
      </c>
      <c r="S62" s="5">
        <f t="shared" si="8"/>
        <v>0</v>
      </c>
      <c r="T62" s="5">
        <f t="shared" si="9"/>
        <v>0</v>
      </c>
      <c r="U62" s="5">
        <f t="shared" si="10"/>
        <v>0</v>
      </c>
      <c r="Z62"/>
    </row>
    <row r="63" spans="1:26" ht="12.75" customHeight="1" x14ac:dyDescent="0.25">
      <c r="A63" s="4"/>
      <c r="C63" s="80"/>
      <c r="D63" s="81"/>
      <c r="E63" s="81"/>
      <c r="F63" s="79"/>
      <c r="G63" s="2"/>
      <c r="H63" s="63">
        <f>IF($E63="Labour",Assumptions!$B$14,)</f>
        <v>0</v>
      </c>
      <c r="I63" s="9" t="str">
        <f t="shared" si="5"/>
        <v>$</v>
      </c>
      <c r="J63" s="2"/>
      <c r="K63" s="82"/>
      <c r="L63" s="82"/>
      <c r="M63" s="82"/>
      <c r="N63" s="82"/>
      <c r="O63" s="82"/>
      <c r="P63" s="2"/>
      <c r="Q63" s="5">
        <f t="shared" si="6"/>
        <v>0</v>
      </c>
      <c r="R63" s="5">
        <f t="shared" si="7"/>
        <v>0</v>
      </c>
      <c r="S63" s="5">
        <f t="shared" si="8"/>
        <v>0</v>
      </c>
      <c r="T63" s="5">
        <f t="shared" si="9"/>
        <v>0</v>
      </c>
      <c r="U63" s="5">
        <f t="shared" si="10"/>
        <v>0</v>
      </c>
      <c r="Z63"/>
    </row>
    <row r="64" spans="1:26" ht="12.75" customHeight="1" x14ac:dyDescent="0.2">
      <c r="A64" s="4"/>
      <c r="C64" s="80"/>
      <c r="D64" s="81"/>
      <c r="E64" s="81"/>
      <c r="F64" s="79"/>
      <c r="H64" s="63">
        <f>IF($E64="Labour",Assumptions!$B$14,)</f>
        <v>0</v>
      </c>
      <c r="I64" s="9" t="str">
        <f t="shared" si="5"/>
        <v>$</v>
      </c>
      <c r="K64" s="82"/>
      <c r="L64" s="82"/>
      <c r="M64" s="82"/>
      <c r="N64" s="82"/>
      <c r="O64" s="82"/>
      <c r="Q64" s="5">
        <f t="shared" si="6"/>
        <v>0</v>
      </c>
      <c r="R64" s="5">
        <f t="shared" si="7"/>
        <v>0</v>
      </c>
      <c r="S64" s="5">
        <f t="shared" si="8"/>
        <v>0</v>
      </c>
      <c r="T64" s="5">
        <f t="shared" si="9"/>
        <v>0</v>
      </c>
      <c r="U64" s="5">
        <f t="shared" si="10"/>
        <v>0</v>
      </c>
    </row>
    <row r="65" spans="1:21" ht="12.75" customHeight="1" x14ac:dyDescent="0.2">
      <c r="A65" s="4"/>
      <c r="C65" s="80"/>
      <c r="D65" s="81"/>
      <c r="E65" s="81"/>
      <c r="F65" s="79"/>
      <c r="H65" s="63">
        <f>IF($E65="Labour",Assumptions!$B$14,)</f>
        <v>0</v>
      </c>
      <c r="I65" s="9" t="str">
        <f t="shared" si="5"/>
        <v>$</v>
      </c>
      <c r="K65" s="82"/>
      <c r="L65" s="82"/>
      <c r="M65" s="82"/>
      <c r="N65" s="82"/>
      <c r="O65" s="82"/>
      <c r="Q65" s="5">
        <f t="shared" si="6"/>
        <v>0</v>
      </c>
      <c r="R65" s="5">
        <f t="shared" si="7"/>
        <v>0</v>
      </c>
      <c r="S65" s="5">
        <f t="shared" si="8"/>
        <v>0</v>
      </c>
      <c r="T65" s="5">
        <f t="shared" si="9"/>
        <v>0</v>
      </c>
      <c r="U65" s="5">
        <f t="shared" si="10"/>
        <v>0</v>
      </c>
    </row>
    <row r="66" spans="1:21" ht="12.75" customHeight="1" x14ac:dyDescent="0.2">
      <c r="A66" s="4"/>
      <c r="C66" s="80"/>
      <c r="D66" s="81"/>
      <c r="E66" s="81"/>
      <c r="F66" s="79"/>
      <c r="H66" s="63">
        <f>IF($E66="Labour",Assumptions!$B$14,)</f>
        <v>0</v>
      </c>
      <c r="I66" s="9" t="str">
        <f t="shared" si="5"/>
        <v>$</v>
      </c>
      <c r="K66" s="82"/>
      <c r="L66" s="82"/>
      <c r="M66" s="82"/>
      <c r="N66" s="82"/>
      <c r="O66" s="82"/>
      <c r="Q66" s="5">
        <f t="shared" si="6"/>
        <v>0</v>
      </c>
      <c r="R66" s="5">
        <f t="shared" si="7"/>
        <v>0</v>
      </c>
      <c r="S66" s="5">
        <f t="shared" si="8"/>
        <v>0</v>
      </c>
      <c r="T66" s="5">
        <f t="shared" si="9"/>
        <v>0</v>
      </c>
      <c r="U66" s="5">
        <f t="shared" si="10"/>
        <v>0</v>
      </c>
    </row>
    <row r="67" spans="1:21" ht="12.75" customHeight="1" x14ac:dyDescent="0.2">
      <c r="A67" s="4"/>
      <c r="C67" s="80"/>
      <c r="D67" s="81"/>
      <c r="E67" s="81"/>
      <c r="F67" s="79"/>
      <c r="H67" s="63">
        <f>IF($E67="Labour",Assumptions!$B$14,)</f>
        <v>0</v>
      </c>
      <c r="I67" s="9" t="str">
        <f t="shared" si="5"/>
        <v>$</v>
      </c>
      <c r="K67" s="82"/>
      <c r="L67" s="82"/>
      <c r="M67" s="82"/>
      <c r="N67" s="82"/>
      <c r="O67" s="82"/>
      <c r="Q67" s="5">
        <f t="shared" si="6"/>
        <v>0</v>
      </c>
      <c r="R67" s="5">
        <f t="shared" si="7"/>
        <v>0</v>
      </c>
      <c r="S67" s="5">
        <f t="shared" si="8"/>
        <v>0</v>
      </c>
      <c r="T67" s="5">
        <f t="shared" si="9"/>
        <v>0</v>
      </c>
      <c r="U67" s="5">
        <f t="shared" si="10"/>
        <v>0</v>
      </c>
    </row>
    <row r="68" spans="1:21" ht="12.75" customHeight="1" x14ac:dyDescent="0.2">
      <c r="A68" s="4"/>
      <c r="C68" s="80"/>
      <c r="D68" s="81"/>
      <c r="E68" s="81"/>
      <c r="F68" s="79"/>
      <c r="H68" s="63">
        <f>IF($E68="Labour",Assumptions!$B$14,)</f>
        <v>0</v>
      </c>
      <c r="I68" s="9" t="str">
        <f t="shared" si="5"/>
        <v>$</v>
      </c>
      <c r="K68" s="82"/>
      <c r="L68" s="82"/>
      <c r="M68" s="82"/>
      <c r="N68" s="82"/>
      <c r="O68" s="82"/>
      <c r="Q68" s="5">
        <f t="shared" si="6"/>
        <v>0</v>
      </c>
      <c r="R68" s="5">
        <f t="shared" si="7"/>
        <v>0</v>
      </c>
      <c r="S68" s="5">
        <f t="shared" si="8"/>
        <v>0</v>
      </c>
      <c r="T68" s="5">
        <f t="shared" si="9"/>
        <v>0</v>
      </c>
      <c r="U68" s="5">
        <f t="shared" si="10"/>
        <v>0</v>
      </c>
    </row>
    <row r="69" spans="1:21" ht="12.75" customHeight="1" x14ac:dyDescent="0.2">
      <c r="A69" s="4"/>
      <c r="C69" s="80"/>
      <c r="D69" s="81"/>
      <c r="E69" s="81"/>
      <c r="F69" s="79"/>
      <c r="H69" s="63">
        <f>IF($E69="Labour",Assumptions!$B$14,)</f>
        <v>0</v>
      </c>
      <c r="I69" s="9" t="str">
        <f t="shared" si="5"/>
        <v>$</v>
      </c>
      <c r="K69" s="82"/>
      <c r="L69" s="82"/>
      <c r="M69" s="82"/>
      <c r="N69" s="82"/>
      <c r="O69" s="82"/>
      <c r="Q69" s="5">
        <f t="shared" si="6"/>
        <v>0</v>
      </c>
      <c r="R69" s="5">
        <f t="shared" si="7"/>
        <v>0</v>
      </c>
      <c r="S69" s="5">
        <f t="shared" si="8"/>
        <v>0</v>
      </c>
      <c r="T69" s="5">
        <f t="shared" si="9"/>
        <v>0</v>
      </c>
      <c r="U69" s="5">
        <f t="shared" si="10"/>
        <v>0</v>
      </c>
    </row>
    <row r="70" spans="1:21" ht="12.75" customHeight="1" x14ac:dyDescent="0.2">
      <c r="A70" s="4"/>
      <c r="C70" s="80"/>
      <c r="D70" s="81"/>
      <c r="E70" s="81"/>
      <c r="F70" s="79"/>
      <c r="H70" s="63">
        <f>IF($E70="Labour",Assumptions!$B$14,)</f>
        <v>0</v>
      </c>
      <c r="I70" s="9" t="str">
        <f t="shared" si="5"/>
        <v>$</v>
      </c>
      <c r="K70" s="82"/>
      <c r="L70" s="82"/>
      <c r="M70" s="82"/>
      <c r="N70" s="82"/>
      <c r="O70" s="82"/>
      <c r="Q70" s="5">
        <f t="shared" si="6"/>
        <v>0</v>
      </c>
      <c r="R70" s="5">
        <f t="shared" si="7"/>
        <v>0</v>
      </c>
      <c r="S70" s="5">
        <f t="shared" si="8"/>
        <v>0</v>
      </c>
      <c r="T70" s="5">
        <f t="shared" si="9"/>
        <v>0</v>
      </c>
      <c r="U70" s="5">
        <f t="shared" si="10"/>
        <v>0</v>
      </c>
    </row>
    <row r="71" spans="1:21" ht="12.75" customHeight="1" x14ac:dyDescent="0.2">
      <c r="A71" s="4"/>
      <c r="C71" s="80"/>
      <c r="D71" s="81"/>
      <c r="E71" s="81"/>
      <c r="F71" s="79"/>
      <c r="H71" s="63">
        <f>IF($E71="Labour",Assumptions!$B$14,)</f>
        <v>0</v>
      </c>
      <c r="I71" s="9" t="str">
        <f t="shared" si="5"/>
        <v>$</v>
      </c>
      <c r="K71" s="82"/>
      <c r="L71" s="82"/>
      <c r="M71" s="82"/>
      <c r="N71" s="82"/>
      <c r="O71" s="82"/>
      <c r="Q71" s="5">
        <f t="shared" si="6"/>
        <v>0</v>
      </c>
      <c r="R71" s="5">
        <f t="shared" si="7"/>
        <v>0</v>
      </c>
      <c r="S71" s="5">
        <f t="shared" si="8"/>
        <v>0</v>
      </c>
      <c r="T71" s="5">
        <f t="shared" si="9"/>
        <v>0</v>
      </c>
      <c r="U71" s="5">
        <f t="shared" si="10"/>
        <v>0</v>
      </c>
    </row>
    <row r="72" spans="1:21" ht="12.75" customHeight="1" x14ac:dyDescent="0.2">
      <c r="A72" s="4"/>
      <c r="C72" s="80"/>
      <c r="D72" s="81"/>
      <c r="E72" s="81"/>
      <c r="F72" s="79"/>
      <c r="H72" s="63">
        <f>IF($E72="Labour",Assumptions!$B$14,)</f>
        <v>0</v>
      </c>
      <c r="I72" s="9" t="str">
        <f t="shared" si="5"/>
        <v>$</v>
      </c>
      <c r="K72" s="82"/>
      <c r="L72" s="82"/>
      <c r="M72" s="82"/>
      <c r="N72" s="82"/>
      <c r="O72" s="82"/>
      <c r="Q72" s="5">
        <f t="shared" si="6"/>
        <v>0</v>
      </c>
      <c r="R72" s="5">
        <f t="shared" si="7"/>
        <v>0</v>
      </c>
      <c r="S72" s="5">
        <f t="shared" si="8"/>
        <v>0</v>
      </c>
      <c r="T72" s="5">
        <f t="shared" si="9"/>
        <v>0</v>
      </c>
      <c r="U72" s="5">
        <f t="shared" si="10"/>
        <v>0</v>
      </c>
    </row>
    <row r="73" spans="1:21" ht="12.75" customHeight="1" x14ac:dyDescent="0.2">
      <c r="A73" s="4"/>
      <c r="C73" s="80"/>
      <c r="D73" s="81"/>
      <c r="E73" s="81"/>
      <c r="F73" s="79"/>
      <c r="H73" s="63">
        <f>IF($E73="Labour",Assumptions!$B$14,)</f>
        <v>0</v>
      </c>
      <c r="I73" s="9" t="str">
        <f t="shared" si="5"/>
        <v>$</v>
      </c>
      <c r="K73" s="82"/>
      <c r="L73" s="82"/>
      <c r="M73" s="82"/>
      <c r="N73" s="82"/>
      <c r="O73" s="82"/>
      <c r="Q73" s="5">
        <f t="shared" si="6"/>
        <v>0</v>
      </c>
      <c r="R73" s="5">
        <f t="shared" si="7"/>
        <v>0</v>
      </c>
      <c r="S73" s="5">
        <f t="shared" si="8"/>
        <v>0</v>
      </c>
      <c r="T73" s="5">
        <f t="shared" si="9"/>
        <v>0</v>
      </c>
      <c r="U73" s="5">
        <f t="shared" si="10"/>
        <v>0</v>
      </c>
    </row>
    <row r="74" spans="1:21" ht="12.75" customHeight="1" x14ac:dyDescent="0.2">
      <c r="A74" s="4"/>
      <c r="C74" s="80"/>
      <c r="D74" s="81"/>
      <c r="E74" s="81"/>
      <c r="F74" s="79"/>
      <c r="H74" s="63">
        <f>IF($E74="Labour",Assumptions!$B$14,)</f>
        <v>0</v>
      </c>
      <c r="I74" s="9" t="str">
        <f t="shared" si="5"/>
        <v>$</v>
      </c>
      <c r="K74" s="82"/>
      <c r="L74" s="82"/>
      <c r="M74" s="82"/>
      <c r="N74" s="82"/>
      <c r="O74" s="82"/>
      <c r="Q74" s="5">
        <f t="shared" ref="Q74:Q90" si="12">IF($E74="Labour",$H74*K74,K74)</f>
        <v>0</v>
      </c>
      <c r="R74" s="5">
        <f t="shared" ref="R74:R90" si="13">IF($E74="Labour",$H74*L74,L74)</f>
        <v>0</v>
      </c>
      <c r="S74" s="5">
        <f t="shared" ref="S74:S90" si="14">IF($E74="Labour",$H74*M74,M74)</f>
        <v>0</v>
      </c>
      <c r="T74" s="5">
        <f t="shared" ref="T74:T90" si="15">IF($E74="Labour",$H74*N74,N74)</f>
        <v>0</v>
      </c>
      <c r="U74" s="5">
        <f t="shared" ref="U74:U90" si="16">IF($E74="Labour",$H74*O74,O74)</f>
        <v>0</v>
      </c>
    </row>
    <row r="75" spans="1:21" ht="12.75" customHeight="1" x14ac:dyDescent="0.2">
      <c r="A75" s="4"/>
      <c r="C75" s="80"/>
      <c r="D75" s="81"/>
      <c r="E75" s="81"/>
      <c r="F75" s="79"/>
      <c r="H75" s="63">
        <f>IF($E75="Labour",Assumptions!$B$14,)</f>
        <v>0</v>
      </c>
      <c r="I75" s="9" t="str">
        <f t="shared" si="5"/>
        <v>$</v>
      </c>
      <c r="K75" s="82"/>
      <c r="L75" s="82"/>
      <c r="M75" s="82"/>
      <c r="N75" s="82"/>
      <c r="O75" s="82"/>
      <c r="Q75" s="5">
        <f t="shared" si="12"/>
        <v>0</v>
      </c>
      <c r="R75" s="5">
        <f t="shared" si="13"/>
        <v>0</v>
      </c>
      <c r="S75" s="5">
        <f t="shared" si="14"/>
        <v>0</v>
      </c>
      <c r="T75" s="5">
        <f t="shared" si="15"/>
        <v>0</v>
      </c>
      <c r="U75" s="5">
        <f t="shared" si="16"/>
        <v>0</v>
      </c>
    </row>
    <row r="76" spans="1:21" ht="12.75" customHeight="1" x14ac:dyDescent="0.2">
      <c r="A76" s="4"/>
      <c r="C76" s="80"/>
      <c r="D76" s="81"/>
      <c r="E76" s="81"/>
      <c r="F76" s="79"/>
      <c r="H76" s="63">
        <f>IF($E76="Labour",Assumptions!$B$14,)</f>
        <v>0</v>
      </c>
      <c r="I76" s="9" t="str">
        <f t="shared" si="5"/>
        <v>$</v>
      </c>
      <c r="K76" s="82"/>
      <c r="L76" s="82"/>
      <c r="M76" s="82"/>
      <c r="N76" s="82"/>
      <c r="O76" s="82"/>
      <c r="Q76" s="5">
        <f t="shared" si="12"/>
        <v>0</v>
      </c>
      <c r="R76" s="5">
        <f t="shared" si="13"/>
        <v>0</v>
      </c>
      <c r="S76" s="5">
        <f t="shared" si="14"/>
        <v>0</v>
      </c>
      <c r="T76" s="5">
        <f t="shared" si="15"/>
        <v>0</v>
      </c>
      <c r="U76" s="5">
        <f t="shared" si="16"/>
        <v>0</v>
      </c>
    </row>
    <row r="77" spans="1:21" ht="12.75" customHeight="1" x14ac:dyDescent="0.2">
      <c r="A77" s="4"/>
      <c r="C77" s="80"/>
      <c r="D77" s="81"/>
      <c r="E77" s="81"/>
      <c r="F77" s="79"/>
      <c r="H77" s="63">
        <f>IF($E77="Labour",Assumptions!$B$14,)</f>
        <v>0</v>
      </c>
      <c r="I77" s="9" t="str">
        <f t="shared" si="5"/>
        <v>$</v>
      </c>
      <c r="K77" s="82"/>
      <c r="L77" s="82"/>
      <c r="M77" s="82"/>
      <c r="N77" s="82"/>
      <c r="O77" s="82"/>
      <c r="Q77" s="5">
        <f t="shared" si="12"/>
        <v>0</v>
      </c>
      <c r="R77" s="5">
        <f t="shared" si="13"/>
        <v>0</v>
      </c>
      <c r="S77" s="5">
        <f t="shared" si="14"/>
        <v>0</v>
      </c>
      <c r="T77" s="5">
        <f t="shared" si="15"/>
        <v>0</v>
      </c>
      <c r="U77" s="5">
        <f t="shared" si="16"/>
        <v>0</v>
      </c>
    </row>
    <row r="78" spans="1:21" ht="12.75" customHeight="1" x14ac:dyDescent="0.2">
      <c r="A78" s="4"/>
      <c r="C78" s="80"/>
      <c r="D78" s="81"/>
      <c r="E78" s="81"/>
      <c r="F78" s="79"/>
      <c r="H78" s="63">
        <f>IF($E78="Labour",Assumptions!$B$14,)</f>
        <v>0</v>
      </c>
      <c r="I78" s="9" t="str">
        <f t="shared" si="5"/>
        <v>$</v>
      </c>
      <c r="K78" s="82"/>
      <c r="L78" s="82"/>
      <c r="M78" s="82"/>
      <c r="N78" s="82"/>
      <c r="O78" s="82"/>
      <c r="Q78" s="5">
        <f t="shared" si="12"/>
        <v>0</v>
      </c>
      <c r="R78" s="5">
        <f t="shared" si="13"/>
        <v>0</v>
      </c>
      <c r="S78" s="5">
        <f t="shared" si="14"/>
        <v>0</v>
      </c>
      <c r="T78" s="5">
        <f t="shared" si="15"/>
        <v>0</v>
      </c>
      <c r="U78" s="5">
        <f t="shared" si="16"/>
        <v>0</v>
      </c>
    </row>
    <row r="79" spans="1:21" ht="12.75" customHeight="1" x14ac:dyDescent="0.2">
      <c r="A79" s="4"/>
      <c r="C79" s="80"/>
      <c r="D79" s="81"/>
      <c r="E79" s="81"/>
      <c r="F79" s="79"/>
      <c r="H79" s="63">
        <f>IF($E79="Labour",Assumptions!$B$14,)</f>
        <v>0</v>
      </c>
      <c r="I79" s="9" t="str">
        <f t="shared" si="5"/>
        <v>$</v>
      </c>
      <c r="K79" s="82"/>
      <c r="L79" s="82"/>
      <c r="M79" s="82"/>
      <c r="N79" s="82"/>
      <c r="O79" s="82"/>
      <c r="Q79" s="5">
        <f t="shared" si="12"/>
        <v>0</v>
      </c>
      <c r="R79" s="5">
        <f t="shared" si="13"/>
        <v>0</v>
      </c>
      <c r="S79" s="5">
        <f t="shared" si="14"/>
        <v>0</v>
      </c>
      <c r="T79" s="5">
        <f t="shared" si="15"/>
        <v>0</v>
      </c>
      <c r="U79" s="5">
        <f t="shared" si="16"/>
        <v>0</v>
      </c>
    </row>
    <row r="80" spans="1:21" ht="12.75" customHeight="1" x14ac:dyDescent="0.2">
      <c r="A80" s="4"/>
      <c r="C80" s="80"/>
      <c r="D80" s="81"/>
      <c r="E80" s="81"/>
      <c r="F80" s="79"/>
      <c r="H80" s="63">
        <f>IF($E80="Labour",Assumptions!$B$14,)</f>
        <v>0</v>
      </c>
      <c r="I80" s="9" t="str">
        <f t="shared" si="5"/>
        <v>$</v>
      </c>
      <c r="K80" s="82"/>
      <c r="L80" s="82"/>
      <c r="M80" s="82"/>
      <c r="N80" s="82"/>
      <c r="O80" s="82"/>
      <c r="Q80" s="5">
        <f t="shared" si="12"/>
        <v>0</v>
      </c>
      <c r="R80" s="5">
        <f t="shared" si="13"/>
        <v>0</v>
      </c>
      <c r="S80" s="5">
        <f t="shared" si="14"/>
        <v>0</v>
      </c>
      <c r="T80" s="5">
        <f t="shared" si="15"/>
        <v>0</v>
      </c>
      <c r="U80" s="5">
        <f t="shared" si="16"/>
        <v>0</v>
      </c>
    </row>
    <row r="81" spans="1:26" ht="12.75" customHeight="1" x14ac:dyDescent="0.2">
      <c r="A81" s="4"/>
      <c r="C81" s="80"/>
      <c r="D81" s="81"/>
      <c r="E81" s="81"/>
      <c r="F81" s="79"/>
      <c r="H81" s="63">
        <f>IF($E81="Labour",Assumptions!$B$14,)</f>
        <v>0</v>
      </c>
      <c r="I81" s="9" t="str">
        <f t="shared" si="5"/>
        <v>$</v>
      </c>
      <c r="K81" s="82"/>
      <c r="L81" s="82"/>
      <c r="M81" s="82"/>
      <c r="N81" s="82"/>
      <c r="O81" s="82"/>
      <c r="Q81" s="5">
        <f t="shared" si="12"/>
        <v>0</v>
      </c>
      <c r="R81" s="5">
        <f t="shared" si="13"/>
        <v>0</v>
      </c>
      <c r="S81" s="5">
        <f t="shared" si="14"/>
        <v>0</v>
      </c>
      <c r="T81" s="5">
        <f t="shared" si="15"/>
        <v>0</v>
      </c>
      <c r="U81" s="5">
        <f t="shared" si="16"/>
        <v>0</v>
      </c>
    </row>
    <row r="82" spans="1:26" ht="12.75" customHeight="1" x14ac:dyDescent="0.2">
      <c r="A82" s="4"/>
      <c r="C82" s="80"/>
      <c r="D82" s="81"/>
      <c r="E82" s="81"/>
      <c r="F82" s="79"/>
      <c r="H82" s="63">
        <f>IF($E82="Labour",Assumptions!$B$14,)</f>
        <v>0</v>
      </c>
      <c r="I82" s="9" t="str">
        <f t="shared" si="5"/>
        <v>$</v>
      </c>
      <c r="K82" s="82"/>
      <c r="L82" s="82"/>
      <c r="M82" s="82"/>
      <c r="N82" s="82"/>
      <c r="O82" s="82"/>
      <c r="Q82" s="5">
        <f t="shared" si="12"/>
        <v>0</v>
      </c>
      <c r="R82" s="5">
        <f t="shared" si="13"/>
        <v>0</v>
      </c>
      <c r="S82" s="5">
        <f t="shared" si="14"/>
        <v>0</v>
      </c>
      <c r="T82" s="5">
        <f t="shared" si="15"/>
        <v>0</v>
      </c>
      <c r="U82" s="5">
        <f t="shared" si="16"/>
        <v>0</v>
      </c>
    </row>
    <row r="83" spans="1:26" ht="12.75" customHeight="1" x14ac:dyDescent="0.2">
      <c r="A83" s="4"/>
      <c r="C83" s="80"/>
      <c r="D83" s="81"/>
      <c r="E83" s="81"/>
      <c r="F83" s="79"/>
      <c r="H83" s="63">
        <f>IF($E83="Labour",Assumptions!$B$14,)</f>
        <v>0</v>
      </c>
      <c r="I83" s="9" t="str">
        <f t="shared" si="5"/>
        <v>$</v>
      </c>
      <c r="K83" s="82"/>
      <c r="L83" s="82"/>
      <c r="M83" s="82"/>
      <c r="N83" s="82"/>
      <c r="O83" s="82"/>
      <c r="Q83" s="5">
        <f t="shared" si="12"/>
        <v>0</v>
      </c>
      <c r="R83" s="5">
        <f t="shared" si="13"/>
        <v>0</v>
      </c>
      <c r="S83" s="5">
        <f t="shared" si="14"/>
        <v>0</v>
      </c>
      <c r="T83" s="5">
        <f t="shared" si="15"/>
        <v>0</v>
      </c>
      <c r="U83" s="5">
        <f t="shared" si="16"/>
        <v>0</v>
      </c>
    </row>
    <row r="84" spans="1:26" ht="12.75" customHeight="1" x14ac:dyDescent="0.2">
      <c r="A84" s="4"/>
      <c r="C84" s="80"/>
      <c r="D84" s="81"/>
      <c r="E84" s="81"/>
      <c r="F84" s="79"/>
      <c r="H84" s="63">
        <f>IF($E84="Labour",Assumptions!$B$14,)</f>
        <v>0</v>
      </c>
      <c r="I84" s="9" t="str">
        <f t="shared" si="5"/>
        <v>$</v>
      </c>
      <c r="K84" s="82"/>
      <c r="L84" s="82"/>
      <c r="M84" s="82"/>
      <c r="N84" s="82"/>
      <c r="O84" s="82"/>
      <c r="Q84" s="5">
        <f t="shared" si="12"/>
        <v>0</v>
      </c>
      <c r="R84" s="5">
        <f t="shared" si="13"/>
        <v>0</v>
      </c>
      <c r="S84" s="5">
        <f t="shared" si="14"/>
        <v>0</v>
      </c>
      <c r="T84" s="5">
        <f t="shared" si="15"/>
        <v>0</v>
      </c>
      <c r="U84" s="5">
        <f t="shared" si="16"/>
        <v>0</v>
      </c>
    </row>
    <row r="85" spans="1:26" ht="12.75" customHeight="1" x14ac:dyDescent="0.2">
      <c r="A85" s="4"/>
      <c r="C85" s="80"/>
      <c r="D85" s="81"/>
      <c r="E85" s="81"/>
      <c r="F85" s="79"/>
      <c r="H85" s="63">
        <f>IF($E85="Labour",Assumptions!$B$14,)</f>
        <v>0</v>
      </c>
      <c r="I85" s="9" t="str">
        <f t="shared" si="5"/>
        <v>$</v>
      </c>
      <c r="K85" s="82"/>
      <c r="L85" s="82"/>
      <c r="M85" s="82"/>
      <c r="N85" s="82"/>
      <c r="O85" s="82"/>
      <c r="Q85" s="5">
        <f t="shared" si="12"/>
        <v>0</v>
      </c>
      <c r="R85" s="5">
        <f t="shared" si="13"/>
        <v>0</v>
      </c>
      <c r="S85" s="5">
        <f t="shared" si="14"/>
        <v>0</v>
      </c>
      <c r="T85" s="5">
        <f t="shared" si="15"/>
        <v>0</v>
      </c>
      <c r="U85" s="5">
        <f t="shared" si="16"/>
        <v>0</v>
      </c>
    </row>
    <row r="86" spans="1:26" ht="12.75" customHeight="1" x14ac:dyDescent="0.2">
      <c r="A86" s="4"/>
      <c r="C86" s="80"/>
      <c r="D86" s="81"/>
      <c r="E86" s="81"/>
      <c r="F86" s="79"/>
      <c r="H86" s="63">
        <f>IF($E86="Labour",Assumptions!$B$14,)</f>
        <v>0</v>
      </c>
      <c r="I86" s="9" t="str">
        <f t="shared" si="5"/>
        <v>$</v>
      </c>
      <c r="K86" s="82"/>
      <c r="L86" s="82"/>
      <c r="M86" s="82"/>
      <c r="N86" s="82"/>
      <c r="O86" s="82"/>
      <c r="Q86" s="5">
        <f t="shared" si="12"/>
        <v>0</v>
      </c>
      <c r="R86" s="5">
        <f t="shared" si="13"/>
        <v>0</v>
      </c>
      <c r="S86" s="5">
        <f t="shared" si="14"/>
        <v>0</v>
      </c>
      <c r="T86" s="5">
        <f t="shared" si="15"/>
        <v>0</v>
      </c>
      <c r="U86" s="5">
        <f t="shared" si="16"/>
        <v>0</v>
      </c>
    </row>
    <row r="87" spans="1:26" ht="12.75" customHeight="1" x14ac:dyDescent="0.2">
      <c r="A87" s="4"/>
      <c r="C87" s="80"/>
      <c r="D87" s="81"/>
      <c r="E87" s="81"/>
      <c r="F87" s="79"/>
      <c r="H87" s="63">
        <f>IF($E87="Labour",Assumptions!$B$14,)</f>
        <v>0</v>
      </c>
      <c r="I87" s="9" t="str">
        <f t="shared" si="5"/>
        <v>$</v>
      </c>
      <c r="K87" s="82"/>
      <c r="L87" s="82"/>
      <c r="M87" s="82"/>
      <c r="N87" s="82"/>
      <c r="O87" s="82"/>
      <c r="Q87" s="5">
        <f t="shared" si="12"/>
        <v>0</v>
      </c>
      <c r="R87" s="5">
        <f t="shared" si="13"/>
        <v>0</v>
      </c>
      <c r="S87" s="5">
        <f t="shared" si="14"/>
        <v>0</v>
      </c>
      <c r="T87" s="5">
        <f t="shared" si="15"/>
        <v>0</v>
      </c>
      <c r="U87" s="5">
        <f t="shared" si="16"/>
        <v>0</v>
      </c>
    </row>
    <row r="88" spans="1:26" ht="12.75" customHeight="1" x14ac:dyDescent="0.2">
      <c r="A88" s="4"/>
      <c r="C88" s="80"/>
      <c r="D88" s="81"/>
      <c r="E88" s="81"/>
      <c r="F88" s="79"/>
      <c r="H88" s="63">
        <f>IF($E88="Labour",Assumptions!$B$14,)</f>
        <v>0</v>
      </c>
      <c r="I88" s="9" t="str">
        <f t="shared" si="5"/>
        <v>$</v>
      </c>
      <c r="K88" s="82"/>
      <c r="L88" s="82"/>
      <c r="M88" s="82"/>
      <c r="N88" s="82"/>
      <c r="O88" s="82"/>
      <c r="Q88" s="5">
        <f t="shared" si="12"/>
        <v>0</v>
      </c>
      <c r="R88" s="5">
        <f t="shared" si="13"/>
        <v>0</v>
      </c>
      <c r="S88" s="5">
        <f t="shared" si="14"/>
        <v>0</v>
      </c>
      <c r="T88" s="5">
        <f t="shared" si="15"/>
        <v>0</v>
      </c>
      <c r="U88" s="5">
        <f t="shared" si="16"/>
        <v>0</v>
      </c>
    </row>
    <row r="89" spans="1:26" ht="12.75" customHeight="1" x14ac:dyDescent="0.2">
      <c r="A89" s="4"/>
      <c r="C89" s="80"/>
      <c r="D89" s="81"/>
      <c r="E89" s="81"/>
      <c r="F89" s="79"/>
      <c r="H89" s="63">
        <f>IF($E89="Labour",Assumptions!$B$14,)</f>
        <v>0</v>
      </c>
      <c r="I89" s="9" t="str">
        <f t="shared" si="5"/>
        <v>$</v>
      </c>
      <c r="K89" s="82"/>
      <c r="L89" s="82"/>
      <c r="M89" s="82"/>
      <c r="N89" s="82"/>
      <c r="O89" s="82"/>
      <c r="Q89" s="5">
        <f t="shared" si="12"/>
        <v>0</v>
      </c>
      <c r="R89" s="5">
        <f t="shared" si="13"/>
        <v>0</v>
      </c>
      <c r="S89" s="5">
        <f t="shared" si="14"/>
        <v>0</v>
      </c>
      <c r="T89" s="5">
        <f t="shared" si="15"/>
        <v>0</v>
      </c>
      <c r="U89" s="5">
        <f t="shared" si="16"/>
        <v>0</v>
      </c>
    </row>
    <row r="90" spans="1:26" ht="12.75" customHeight="1" x14ac:dyDescent="0.2">
      <c r="A90" s="4"/>
      <c r="C90" s="80"/>
      <c r="D90" s="81"/>
      <c r="E90" s="81"/>
      <c r="F90" s="79"/>
      <c r="H90" s="63">
        <f>IF($E90="Labour",Assumptions!$B$14,)</f>
        <v>0</v>
      </c>
      <c r="I90" s="9" t="str">
        <f t="shared" si="5"/>
        <v>$</v>
      </c>
      <c r="K90" s="82"/>
      <c r="L90" s="82"/>
      <c r="M90" s="82"/>
      <c r="N90" s="82"/>
      <c r="O90" s="82"/>
      <c r="Q90" s="5">
        <f t="shared" si="12"/>
        <v>0</v>
      </c>
      <c r="R90" s="5">
        <f t="shared" si="13"/>
        <v>0</v>
      </c>
      <c r="S90" s="5">
        <f t="shared" si="14"/>
        <v>0</v>
      </c>
      <c r="T90" s="5">
        <f t="shared" si="15"/>
        <v>0</v>
      </c>
      <c r="U90" s="5">
        <f t="shared" si="16"/>
        <v>0</v>
      </c>
      <c r="V90" s="106"/>
    </row>
    <row r="91" spans="1:26" ht="12.75" customHeight="1" x14ac:dyDescent="0.25">
      <c r="G91" s="2"/>
      <c r="J91" s="2"/>
      <c r="P91" s="2"/>
      <c r="Z91"/>
    </row>
    <row r="92" spans="1:26" ht="12.75" customHeight="1" x14ac:dyDescent="0.25">
      <c r="G92" s="2"/>
      <c r="J92" s="2"/>
      <c r="P92" s="2"/>
      <c r="Z92"/>
    </row>
    <row r="93" spans="1:26" ht="12.75" customHeight="1" x14ac:dyDescent="0.25">
      <c r="C93" s="3" t="s">
        <v>73</v>
      </c>
      <c r="G93" s="2"/>
      <c r="J93" s="2"/>
      <c r="P93" s="2"/>
      <c r="Q93" s="68" t="s">
        <v>6</v>
      </c>
      <c r="R93" s="68" t="s">
        <v>7</v>
      </c>
      <c r="S93" s="68" t="s">
        <v>8</v>
      </c>
      <c r="T93" s="68" t="s">
        <v>9</v>
      </c>
      <c r="U93" s="68" t="s">
        <v>10</v>
      </c>
      <c r="V93" s="68" t="s">
        <v>0</v>
      </c>
      <c r="Z93"/>
    </row>
    <row r="94" spans="1:26" ht="12.75" customHeight="1" x14ac:dyDescent="0.2">
      <c r="C94" s="24" t="s">
        <v>11</v>
      </c>
      <c r="D94" s="24" t="s">
        <v>53</v>
      </c>
      <c r="E94" s="24"/>
      <c r="F94" s="24" t="s">
        <v>54</v>
      </c>
      <c r="G94" s="2"/>
      <c r="H94" s="65"/>
      <c r="I94" s="66"/>
      <c r="J94" s="2"/>
      <c r="K94" s="24"/>
      <c r="L94" s="24"/>
      <c r="M94" s="24"/>
      <c r="N94" s="24"/>
      <c r="O94" s="24"/>
      <c r="P94" s="2"/>
      <c r="Q94" s="25">
        <f t="shared" ref="Q94:U99" si="17">SUMIFS(Q$10:Q$90,$E$10:$E$90,$C94,$D$10:$D$90,$D94,$F$10:$F$90,$F94)</f>
        <v>766364.20081839</v>
      </c>
      <c r="R94" s="25">
        <f t="shared" si="17"/>
        <v>568650.38281561399</v>
      </c>
      <c r="S94" s="25">
        <f t="shared" si="17"/>
        <v>752913.02773898386</v>
      </c>
      <c r="T94" s="25">
        <f t="shared" si="17"/>
        <v>568650.38281561399</v>
      </c>
      <c r="U94" s="25">
        <f t="shared" si="17"/>
        <v>568650.38281561399</v>
      </c>
      <c r="V94" s="70">
        <f>SUM(Q94:U94)</f>
        <v>3225228.3770042155</v>
      </c>
    </row>
    <row r="95" spans="1:26" ht="12.75" customHeight="1" x14ac:dyDescent="0.2">
      <c r="C95" s="1" t="s">
        <v>13</v>
      </c>
      <c r="D95" s="1" t="s">
        <v>53</v>
      </c>
      <c r="F95" s="1" t="s">
        <v>54</v>
      </c>
      <c r="G95" s="2"/>
      <c r="H95" s="67"/>
      <c r="J95" s="2"/>
      <c r="P95" s="2"/>
      <c r="Q95" s="6">
        <f t="shared" si="17"/>
        <v>322320</v>
      </c>
      <c r="R95" s="6">
        <f t="shared" si="17"/>
        <v>123240</v>
      </c>
      <c r="S95" s="6">
        <f t="shared" si="17"/>
        <v>132720</v>
      </c>
      <c r="T95" s="6">
        <f t="shared" si="17"/>
        <v>142200</v>
      </c>
      <c r="U95" s="6">
        <f t="shared" si="17"/>
        <v>151680</v>
      </c>
      <c r="V95" s="71">
        <f t="shared" ref="V95:V109" si="18">SUM(Q95:U95)</f>
        <v>872160</v>
      </c>
    </row>
    <row r="96" spans="1:26" ht="12.75" customHeight="1" x14ac:dyDescent="0.2">
      <c r="C96" s="1" t="s">
        <v>14</v>
      </c>
      <c r="D96" s="1" t="s">
        <v>53</v>
      </c>
      <c r="F96" s="1" t="s">
        <v>54</v>
      </c>
      <c r="G96" s="2"/>
      <c r="H96" s="67"/>
      <c r="J96" s="2"/>
      <c r="P96" s="2"/>
      <c r="Q96" s="6">
        <f t="shared" si="17"/>
        <v>1071825</v>
      </c>
      <c r="R96" s="6">
        <f t="shared" si="17"/>
        <v>844305</v>
      </c>
      <c r="S96" s="6">
        <f t="shared" si="17"/>
        <v>800065</v>
      </c>
      <c r="T96" s="6">
        <f t="shared" si="17"/>
        <v>800065</v>
      </c>
      <c r="U96" s="6">
        <f t="shared" si="17"/>
        <v>800065</v>
      </c>
      <c r="V96" s="71">
        <f t="shared" si="18"/>
        <v>4316325</v>
      </c>
    </row>
    <row r="97" spans="3:23" ht="12.75" customHeight="1" x14ac:dyDescent="0.2">
      <c r="C97" s="1" t="s">
        <v>11</v>
      </c>
      <c r="D97" s="1" t="s">
        <v>53</v>
      </c>
      <c r="F97" s="1" t="s">
        <v>50</v>
      </c>
      <c r="G97" s="2"/>
      <c r="H97" s="67"/>
      <c r="J97" s="2"/>
      <c r="P97" s="2"/>
      <c r="Q97" s="6">
        <f t="shared" si="17"/>
        <v>0</v>
      </c>
      <c r="R97" s="6">
        <f t="shared" si="17"/>
        <v>0</v>
      </c>
      <c r="S97" s="6">
        <f t="shared" si="17"/>
        <v>0</v>
      </c>
      <c r="T97" s="6">
        <f t="shared" si="17"/>
        <v>0</v>
      </c>
      <c r="U97" s="6">
        <f t="shared" si="17"/>
        <v>0</v>
      </c>
      <c r="V97" s="71">
        <f t="shared" ref="V97:V99" si="19">SUM(Q97:U97)</f>
        <v>0</v>
      </c>
    </row>
    <row r="98" spans="3:23" ht="12.75" customHeight="1" x14ac:dyDescent="0.2">
      <c r="C98" s="1" t="s">
        <v>13</v>
      </c>
      <c r="D98" s="1" t="s">
        <v>53</v>
      </c>
      <c r="F98" s="1" t="s">
        <v>50</v>
      </c>
      <c r="G98" s="2"/>
      <c r="H98" s="67"/>
      <c r="J98" s="2"/>
      <c r="P98" s="2"/>
      <c r="Q98" s="6">
        <f t="shared" si="17"/>
        <v>0</v>
      </c>
      <c r="R98" s="6">
        <f t="shared" si="17"/>
        <v>0</v>
      </c>
      <c r="S98" s="6">
        <f t="shared" si="17"/>
        <v>0</v>
      </c>
      <c r="T98" s="6">
        <f t="shared" si="17"/>
        <v>0</v>
      </c>
      <c r="U98" s="6">
        <f t="shared" si="17"/>
        <v>0</v>
      </c>
      <c r="V98" s="71">
        <f t="shared" si="19"/>
        <v>0</v>
      </c>
    </row>
    <row r="99" spans="3:23" ht="12.75" customHeight="1" x14ac:dyDescent="0.2">
      <c r="C99" s="1" t="s">
        <v>14</v>
      </c>
      <c r="D99" s="1" t="s">
        <v>53</v>
      </c>
      <c r="F99" s="1" t="s">
        <v>50</v>
      </c>
      <c r="G99" s="2"/>
      <c r="H99" s="67"/>
      <c r="J99" s="2"/>
      <c r="P99" s="2"/>
      <c r="Q99" s="6">
        <f t="shared" si="17"/>
        <v>0</v>
      </c>
      <c r="R99" s="6">
        <f t="shared" si="17"/>
        <v>0</v>
      </c>
      <c r="S99" s="6">
        <f t="shared" si="17"/>
        <v>0</v>
      </c>
      <c r="T99" s="6">
        <f t="shared" si="17"/>
        <v>0</v>
      </c>
      <c r="U99" s="6">
        <f t="shared" si="17"/>
        <v>0</v>
      </c>
      <c r="V99" s="71">
        <f t="shared" si="19"/>
        <v>0</v>
      </c>
    </row>
    <row r="100" spans="3:23" ht="12.75" customHeight="1" x14ac:dyDescent="0.2">
      <c r="C100" s="21" t="s">
        <v>15</v>
      </c>
      <c r="D100" s="21" t="s">
        <v>53</v>
      </c>
      <c r="E100" s="101"/>
      <c r="F100" s="102"/>
      <c r="G100" s="2"/>
      <c r="H100" s="102"/>
      <c r="I100" s="104"/>
      <c r="J100" s="103"/>
      <c r="K100" s="101"/>
      <c r="L100" s="101"/>
      <c r="M100" s="101"/>
      <c r="N100" s="101"/>
      <c r="O100" s="101"/>
      <c r="P100" s="2"/>
      <c r="Q100" s="22">
        <f>SUM(Q94:Q99)</f>
        <v>2160509.2008183901</v>
      </c>
      <c r="R100" s="22">
        <f t="shared" ref="R100:U100" si="20">SUM(R94:R99)</f>
        <v>1536195.3828156139</v>
      </c>
      <c r="S100" s="22">
        <f t="shared" si="20"/>
        <v>1685698.0277389837</v>
      </c>
      <c r="T100" s="22">
        <f t="shared" si="20"/>
        <v>1510915.3828156139</v>
      </c>
      <c r="U100" s="22">
        <f t="shared" si="20"/>
        <v>1520395.3828156139</v>
      </c>
      <c r="V100" s="22">
        <f>SUM(V94:V99)</f>
        <v>8413713.3770042155</v>
      </c>
    </row>
    <row r="101" spans="3:23" ht="12.75" customHeight="1" x14ac:dyDescent="0.2">
      <c r="C101" s="1" t="s">
        <v>11</v>
      </c>
      <c r="D101" s="1" t="s">
        <v>49</v>
      </c>
      <c r="F101" s="1" t="s">
        <v>54</v>
      </c>
      <c r="G101" s="2"/>
      <c r="H101" s="67"/>
      <c r="J101" s="2"/>
      <c r="P101" s="2"/>
      <c r="Q101" s="6">
        <f t="shared" ref="Q101:U106" si="21">SUMIFS(Q$10:Q$90,$E$10:$E$90,$C101,$D$10:$D$90,$D101,$F$10:$F$90,$F101)</f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71">
        <f t="shared" si="18"/>
        <v>0</v>
      </c>
    </row>
    <row r="102" spans="3:23" ht="12.75" customHeight="1" x14ac:dyDescent="0.2">
      <c r="C102" s="1" t="s">
        <v>13</v>
      </c>
      <c r="D102" s="1" t="s">
        <v>49</v>
      </c>
      <c r="F102" s="1" t="s">
        <v>54</v>
      </c>
      <c r="G102" s="2"/>
      <c r="H102" s="67"/>
      <c r="J102" s="2"/>
      <c r="P102" s="2"/>
      <c r="Q102" s="6">
        <f t="shared" si="21"/>
        <v>0</v>
      </c>
      <c r="R102" s="6">
        <f t="shared" si="21"/>
        <v>0</v>
      </c>
      <c r="S102" s="6">
        <f t="shared" si="21"/>
        <v>0</v>
      </c>
      <c r="T102" s="6">
        <f t="shared" si="21"/>
        <v>0</v>
      </c>
      <c r="U102" s="6">
        <f t="shared" si="21"/>
        <v>0</v>
      </c>
      <c r="V102" s="71">
        <f t="shared" si="18"/>
        <v>0</v>
      </c>
    </row>
    <row r="103" spans="3:23" ht="12.75" customHeight="1" x14ac:dyDescent="0.2">
      <c r="C103" s="1" t="s">
        <v>14</v>
      </c>
      <c r="D103" s="1" t="s">
        <v>49</v>
      </c>
      <c r="F103" s="1" t="s">
        <v>54</v>
      </c>
      <c r="G103" s="2"/>
      <c r="H103" s="67"/>
      <c r="J103" s="2"/>
      <c r="P103" s="2"/>
      <c r="Q103" s="6">
        <f t="shared" si="21"/>
        <v>0</v>
      </c>
      <c r="R103" s="6">
        <f t="shared" si="21"/>
        <v>95000</v>
      </c>
      <c r="S103" s="6">
        <f t="shared" si="21"/>
        <v>95000</v>
      </c>
      <c r="T103" s="6">
        <f t="shared" si="21"/>
        <v>95000</v>
      </c>
      <c r="U103" s="6">
        <f t="shared" si="21"/>
        <v>95000</v>
      </c>
      <c r="V103" s="71">
        <f t="shared" si="18"/>
        <v>380000</v>
      </c>
    </row>
    <row r="104" spans="3:23" ht="12.75" customHeight="1" x14ac:dyDescent="0.2">
      <c r="C104" s="1" t="s">
        <v>11</v>
      </c>
      <c r="D104" s="1" t="s">
        <v>49</v>
      </c>
      <c r="F104" s="1" t="s">
        <v>50</v>
      </c>
      <c r="G104" s="2"/>
      <c r="H104" s="67"/>
      <c r="J104" s="2"/>
      <c r="P104" s="2"/>
      <c r="Q104" s="6">
        <f t="shared" si="21"/>
        <v>0</v>
      </c>
      <c r="R104" s="6">
        <f t="shared" si="21"/>
        <v>0</v>
      </c>
      <c r="S104" s="6">
        <f t="shared" si="21"/>
        <v>0</v>
      </c>
      <c r="T104" s="6">
        <f t="shared" si="21"/>
        <v>0</v>
      </c>
      <c r="U104" s="6">
        <f t="shared" si="21"/>
        <v>0</v>
      </c>
      <c r="V104" s="71">
        <f t="shared" ref="V104:V105" si="22">SUM(Q104:U104)</f>
        <v>0</v>
      </c>
    </row>
    <row r="105" spans="3:23" ht="12.75" customHeight="1" x14ac:dyDescent="0.2">
      <c r="C105" s="1" t="s">
        <v>13</v>
      </c>
      <c r="D105" s="1" t="s">
        <v>49</v>
      </c>
      <c r="F105" s="1" t="s">
        <v>50</v>
      </c>
      <c r="G105" s="2"/>
      <c r="H105" s="67"/>
      <c r="J105" s="2"/>
      <c r="P105" s="2"/>
      <c r="Q105" s="6">
        <f t="shared" si="21"/>
        <v>0</v>
      </c>
      <c r="R105" s="6">
        <f t="shared" si="21"/>
        <v>0</v>
      </c>
      <c r="S105" s="6">
        <f t="shared" si="21"/>
        <v>0</v>
      </c>
      <c r="T105" s="6">
        <f t="shared" si="21"/>
        <v>0</v>
      </c>
      <c r="U105" s="6">
        <f t="shared" si="21"/>
        <v>0</v>
      </c>
      <c r="V105" s="71">
        <f t="shared" si="22"/>
        <v>0</v>
      </c>
    </row>
    <row r="106" spans="3:23" ht="12.75" customHeight="1" x14ac:dyDescent="0.2">
      <c r="C106" s="1" t="s">
        <v>14</v>
      </c>
      <c r="D106" s="1" t="s">
        <v>49</v>
      </c>
      <c r="F106" s="1" t="s">
        <v>50</v>
      </c>
      <c r="G106" s="2"/>
      <c r="H106" s="67"/>
      <c r="J106" s="2"/>
      <c r="P106" s="2"/>
      <c r="Q106" s="6">
        <f t="shared" si="21"/>
        <v>0</v>
      </c>
      <c r="R106" s="6">
        <f t="shared" si="21"/>
        <v>0</v>
      </c>
      <c r="S106" s="6">
        <f t="shared" si="21"/>
        <v>0</v>
      </c>
      <c r="T106" s="6">
        <f t="shared" si="21"/>
        <v>0</v>
      </c>
      <c r="U106" s="6">
        <f t="shared" si="21"/>
        <v>0</v>
      </c>
      <c r="V106" s="71">
        <f t="shared" ref="V106" si="23">SUM(Q106:U106)</f>
        <v>0</v>
      </c>
    </row>
    <row r="107" spans="3:23" ht="12.75" customHeight="1" x14ac:dyDescent="0.2">
      <c r="C107" s="21" t="s">
        <v>17</v>
      </c>
      <c r="D107" s="21" t="s">
        <v>49</v>
      </c>
      <c r="E107" s="101"/>
      <c r="F107" s="102"/>
      <c r="G107" s="2"/>
      <c r="H107" s="102"/>
      <c r="I107" s="104"/>
      <c r="J107" s="103"/>
      <c r="K107" s="101"/>
      <c r="L107" s="101"/>
      <c r="M107" s="101"/>
      <c r="N107" s="101"/>
      <c r="O107" s="101"/>
      <c r="P107" s="2"/>
      <c r="Q107" s="22">
        <f>SUM(Q101:Q106)</f>
        <v>0</v>
      </c>
      <c r="R107" s="22">
        <f t="shared" ref="R107:U107" si="24">SUM(R101:R106)</f>
        <v>95000</v>
      </c>
      <c r="S107" s="22">
        <f t="shared" si="24"/>
        <v>95000</v>
      </c>
      <c r="T107" s="22">
        <f t="shared" si="24"/>
        <v>95000</v>
      </c>
      <c r="U107" s="22">
        <f t="shared" si="24"/>
        <v>95000</v>
      </c>
      <c r="V107" s="22">
        <f>SUM(V101:V106)</f>
        <v>380000</v>
      </c>
    </row>
    <row r="108" spans="3:23" ht="12.75" customHeight="1" x14ac:dyDescent="0.2">
      <c r="F108" s="67"/>
      <c r="G108" s="2"/>
      <c r="H108" s="67"/>
      <c r="J108" s="2"/>
      <c r="P108" s="2"/>
      <c r="Q108" s="6"/>
      <c r="R108" s="6"/>
      <c r="S108" s="6"/>
      <c r="T108" s="6"/>
      <c r="U108" s="6"/>
      <c r="V108" s="71"/>
    </row>
    <row r="109" spans="3:23" ht="12.75" customHeight="1" x14ac:dyDescent="0.2">
      <c r="C109" s="7" t="str">
        <f>"Total Expenditure ($ "&amp;Assumptions!$B$12&amp;")"</f>
        <v>Total Expenditure ($ June 2024)</v>
      </c>
      <c r="D109" s="7"/>
      <c r="E109" s="7"/>
      <c r="F109" s="7"/>
      <c r="G109" s="2"/>
      <c r="H109" s="7"/>
      <c r="I109" s="10"/>
      <c r="J109" s="2"/>
      <c r="K109" s="7"/>
      <c r="L109" s="7"/>
      <c r="M109" s="7"/>
      <c r="N109" s="7"/>
      <c r="O109" s="7"/>
      <c r="P109" s="2"/>
      <c r="Q109" s="8">
        <f>Q100+Q107</f>
        <v>2160509.2008183901</v>
      </c>
      <c r="R109" s="8">
        <f t="shared" ref="R109:U109" si="25">R100+R107</f>
        <v>1631195.3828156139</v>
      </c>
      <c r="S109" s="8">
        <f t="shared" si="25"/>
        <v>1780698.0277389837</v>
      </c>
      <c r="T109" s="8">
        <f t="shared" si="25"/>
        <v>1605915.3828156139</v>
      </c>
      <c r="U109" s="8">
        <f t="shared" si="25"/>
        <v>1615395.3828156139</v>
      </c>
      <c r="V109" s="72">
        <f t="shared" si="18"/>
        <v>8793713.3770042155</v>
      </c>
    </row>
    <row r="110" spans="3:23" ht="12.75" customHeight="1" x14ac:dyDescent="0.2">
      <c r="C110" s="44" t="s">
        <v>74</v>
      </c>
      <c r="D110" s="44"/>
      <c r="E110" s="44"/>
      <c r="F110" s="44"/>
      <c r="G110" s="2"/>
      <c r="H110" s="44"/>
      <c r="I110" s="44"/>
      <c r="J110" s="2"/>
      <c r="K110" s="44"/>
      <c r="L110" s="44"/>
      <c r="M110" s="44"/>
      <c r="N110" s="44"/>
      <c r="O110" s="44"/>
      <c r="P110" s="2"/>
      <c r="Q110" s="45">
        <f>Q109-SUM(Q$10:Q$90)</f>
        <v>0</v>
      </c>
      <c r="R110" s="45">
        <f t="shared" ref="R110:U110" si="26">R109-SUM(R$10:R$90)</f>
        <v>0</v>
      </c>
      <c r="S110" s="45">
        <f t="shared" si="26"/>
        <v>0</v>
      </c>
      <c r="T110" s="45">
        <f t="shared" si="26"/>
        <v>0</v>
      </c>
      <c r="U110" s="45">
        <f t="shared" si="26"/>
        <v>0</v>
      </c>
      <c r="V110" s="45">
        <f>V109-SUM(Q$10:U$90)</f>
        <v>0</v>
      </c>
      <c r="W110" s="45">
        <f>SUM(Q110:V110)</f>
        <v>0</v>
      </c>
    </row>
    <row r="111" spans="3:23" ht="12.75" customHeight="1" x14ac:dyDescent="0.2">
      <c r="G111" s="2"/>
      <c r="J111" s="2"/>
      <c r="P111" s="2"/>
    </row>
    <row r="112" spans="3:23" ht="12.75" customHeight="1" x14ac:dyDescent="0.2">
      <c r="C112" s="54" t="str">
        <f>"NPV ($ "&amp;Assumptions!$B$12&amp;")"</f>
        <v>NPV ($ June 2024)</v>
      </c>
      <c r="D112" s="55">
        <f>NPV(Real_Discount_rate,Q109:U109)</f>
        <v>7975856.4894635761</v>
      </c>
      <c r="G112" s="2"/>
      <c r="J112" s="2"/>
      <c r="P112" s="2"/>
    </row>
    <row r="113" spans="3:23" ht="12.75" customHeight="1" x14ac:dyDescent="0.2">
      <c r="G113" s="2"/>
      <c r="J113" s="2"/>
      <c r="P113" s="2"/>
    </row>
    <row r="114" spans="3:23" ht="12.75" customHeight="1" x14ac:dyDescent="0.2">
      <c r="G114" s="2"/>
      <c r="J114" s="2"/>
      <c r="P114" s="2"/>
    </row>
    <row r="115" spans="3:23" ht="12.75" customHeight="1" x14ac:dyDescent="0.2">
      <c r="C115" s="4" t="s">
        <v>73</v>
      </c>
      <c r="F115" s="3"/>
      <c r="G115" s="2"/>
      <c r="J115" s="2"/>
      <c r="P115" s="2"/>
      <c r="Q115" s="68" t="s">
        <v>6</v>
      </c>
      <c r="R115" s="68" t="s">
        <v>7</v>
      </c>
      <c r="S115" s="68" t="s">
        <v>8</v>
      </c>
      <c r="T115" s="68" t="s">
        <v>9</v>
      </c>
      <c r="U115" s="68" t="s">
        <v>10</v>
      </c>
      <c r="V115" s="112" t="s">
        <v>0</v>
      </c>
    </row>
    <row r="116" spans="3:23" ht="12.75" customHeight="1" x14ac:dyDescent="0.2">
      <c r="C116" s="24"/>
      <c r="D116" s="24" t="s">
        <v>53</v>
      </c>
      <c r="E116" s="24"/>
      <c r="F116" s="24" t="s">
        <v>54</v>
      </c>
      <c r="G116" s="2"/>
      <c r="H116" s="65"/>
      <c r="I116" s="66"/>
      <c r="J116" s="2"/>
      <c r="K116" s="24"/>
      <c r="L116" s="24"/>
      <c r="M116" s="24"/>
      <c r="N116" s="24"/>
      <c r="O116" s="24"/>
      <c r="P116" s="2"/>
      <c r="Q116" s="25">
        <f t="shared" ref="Q116:U117" si="27">SUMIFS(Q$10:Q$90,$D$10:$D$90,$D116,$F$10:$F$90,$F116)</f>
        <v>2160509.2008183897</v>
      </c>
      <c r="R116" s="25">
        <f t="shared" si="27"/>
        <v>1536195.3828156141</v>
      </c>
      <c r="S116" s="25">
        <f t="shared" si="27"/>
        <v>1685698.027738984</v>
      </c>
      <c r="T116" s="25">
        <f t="shared" si="27"/>
        <v>1510915.3828156141</v>
      </c>
      <c r="U116" s="25">
        <f t="shared" si="27"/>
        <v>1520395.3828156141</v>
      </c>
      <c r="V116" s="71">
        <f t="shared" ref="V116:V117" si="28">SUM(Q116:U116)</f>
        <v>8413713.3770042155</v>
      </c>
    </row>
    <row r="117" spans="3:23" ht="12.75" customHeight="1" x14ac:dyDescent="0.2">
      <c r="D117" s="1" t="s">
        <v>49</v>
      </c>
      <c r="F117" s="1" t="s">
        <v>54</v>
      </c>
      <c r="G117" s="2"/>
      <c r="J117" s="2"/>
      <c r="P117" s="2"/>
      <c r="Q117" s="111">
        <f t="shared" si="27"/>
        <v>0</v>
      </c>
      <c r="R117" s="111">
        <f t="shared" si="27"/>
        <v>95000</v>
      </c>
      <c r="S117" s="111">
        <f t="shared" si="27"/>
        <v>95000</v>
      </c>
      <c r="T117" s="111">
        <f t="shared" si="27"/>
        <v>95000</v>
      </c>
      <c r="U117" s="111">
        <f t="shared" si="27"/>
        <v>95000</v>
      </c>
      <c r="V117" s="71">
        <f t="shared" si="28"/>
        <v>380000</v>
      </c>
    </row>
    <row r="118" spans="3:23" ht="12.75" customHeight="1" x14ac:dyDescent="0.2">
      <c r="C118" s="21" t="s">
        <v>75</v>
      </c>
      <c r="D118" s="21"/>
      <c r="E118" s="101"/>
      <c r="F118" s="102"/>
      <c r="G118" s="2"/>
      <c r="H118" s="102"/>
      <c r="I118" s="104"/>
      <c r="J118" s="103"/>
      <c r="K118" s="101"/>
      <c r="L118" s="101"/>
      <c r="M118" s="101"/>
      <c r="N118" s="101"/>
      <c r="O118" s="101"/>
      <c r="P118" s="2"/>
      <c r="Q118" s="22">
        <f>SUM(Q116:Q117)</f>
        <v>2160509.2008183897</v>
      </c>
      <c r="R118" s="22">
        <f t="shared" ref="R118:V118" si="29">SUM(R116:R117)</f>
        <v>1631195.3828156141</v>
      </c>
      <c r="S118" s="22">
        <f t="shared" si="29"/>
        <v>1780698.027738984</v>
      </c>
      <c r="T118" s="22">
        <f t="shared" si="29"/>
        <v>1605915.3828156141</v>
      </c>
      <c r="U118" s="22">
        <f t="shared" si="29"/>
        <v>1615395.3828156141</v>
      </c>
      <c r="V118" s="22">
        <f t="shared" si="29"/>
        <v>8793713.3770042155</v>
      </c>
    </row>
    <row r="119" spans="3:23" ht="12.75" customHeight="1" x14ac:dyDescent="0.2">
      <c r="C119" s="4"/>
      <c r="D119" s="1" t="s">
        <v>53</v>
      </c>
      <c r="F119" s="1" t="s">
        <v>50</v>
      </c>
      <c r="G119" s="2"/>
      <c r="H119" s="67"/>
      <c r="J119" s="2"/>
      <c r="P119" s="2"/>
      <c r="Q119" s="6">
        <f t="shared" ref="Q119:U120" si="30">SUMIFS(Q$10:Q$90,$D$10:$D$90,$D119,$F$10:$F$90,$F119)</f>
        <v>0</v>
      </c>
      <c r="R119" s="6">
        <f t="shared" si="30"/>
        <v>0</v>
      </c>
      <c r="S119" s="6">
        <f t="shared" si="30"/>
        <v>0</v>
      </c>
      <c r="T119" s="6">
        <f t="shared" si="30"/>
        <v>0</v>
      </c>
      <c r="U119" s="6">
        <f t="shared" si="30"/>
        <v>0</v>
      </c>
      <c r="V119" s="71">
        <f t="shared" ref="V119:V120" si="31">SUM(Q119:U119)</f>
        <v>0</v>
      </c>
    </row>
    <row r="120" spans="3:23" ht="12.75" customHeight="1" x14ac:dyDescent="0.2">
      <c r="C120" s="4"/>
      <c r="D120" s="1" t="s">
        <v>49</v>
      </c>
      <c r="F120" s="1" t="s">
        <v>50</v>
      </c>
      <c r="G120" s="2"/>
      <c r="H120" s="67"/>
      <c r="J120" s="2"/>
      <c r="P120" s="2"/>
      <c r="Q120" s="6">
        <f t="shared" si="30"/>
        <v>0</v>
      </c>
      <c r="R120" s="6">
        <f t="shared" si="30"/>
        <v>0</v>
      </c>
      <c r="S120" s="6">
        <f t="shared" si="30"/>
        <v>0</v>
      </c>
      <c r="T120" s="6">
        <f t="shared" si="30"/>
        <v>0</v>
      </c>
      <c r="U120" s="6">
        <f t="shared" si="30"/>
        <v>0</v>
      </c>
      <c r="V120" s="71">
        <f t="shared" si="31"/>
        <v>0</v>
      </c>
    </row>
    <row r="121" spans="3:23" ht="12.75" customHeight="1" x14ac:dyDescent="0.2">
      <c r="C121" s="21" t="s">
        <v>76</v>
      </c>
      <c r="D121" s="21"/>
      <c r="E121" s="101"/>
      <c r="F121" s="102"/>
      <c r="G121" s="2"/>
      <c r="H121" s="102"/>
      <c r="I121" s="104"/>
      <c r="J121" s="103"/>
      <c r="K121" s="101"/>
      <c r="L121" s="101"/>
      <c r="M121" s="101"/>
      <c r="N121" s="101"/>
      <c r="O121" s="101"/>
      <c r="P121" s="2"/>
      <c r="Q121" s="22">
        <f>SUM(Q119:Q120)</f>
        <v>0</v>
      </c>
      <c r="R121" s="22">
        <f t="shared" ref="R121:U121" si="32">SUM(R119:R120)</f>
        <v>0</v>
      </c>
      <c r="S121" s="22">
        <f t="shared" si="32"/>
        <v>0</v>
      </c>
      <c r="T121" s="22">
        <f t="shared" si="32"/>
        <v>0</v>
      </c>
      <c r="U121" s="22">
        <f t="shared" si="32"/>
        <v>0</v>
      </c>
      <c r="V121" s="22">
        <f t="shared" ref="V121" si="33">SUM(V119:V120)</f>
        <v>0</v>
      </c>
    </row>
    <row r="122" spans="3:23" ht="12.75" customHeight="1" x14ac:dyDescent="0.2">
      <c r="C122" s="4"/>
      <c r="D122" s="4"/>
      <c r="F122" s="67"/>
      <c r="G122" s="2"/>
      <c r="H122" s="67"/>
      <c r="J122" s="2"/>
      <c r="P122" s="2"/>
      <c r="Q122" s="23"/>
      <c r="R122" s="23"/>
      <c r="S122" s="23"/>
      <c r="T122" s="23"/>
      <c r="U122" s="23"/>
      <c r="V122" s="23"/>
    </row>
    <row r="123" spans="3:23" ht="12.75" customHeight="1" x14ac:dyDescent="0.2">
      <c r="C123" s="7" t="str">
        <f>"Total Expenditure ($ "&amp;Assumptions!$B$12&amp;")"</f>
        <v>Total Expenditure ($ June 2024)</v>
      </c>
      <c r="D123" s="7"/>
      <c r="E123" s="7"/>
      <c r="F123" s="7"/>
      <c r="G123" s="2"/>
      <c r="H123" s="7"/>
      <c r="I123" s="10"/>
      <c r="J123" s="2"/>
      <c r="K123" s="7"/>
      <c r="L123" s="7"/>
      <c r="M123" s="7"/>
      <c r="N123" s="7"/>
      <c r="O123" s="7"/>
      <c r="P123" s="2"/>
      <c r="Q123" s="8">
        <f>Q118+Q121</f>
        <v>2160509.2008183897</v>
      </c>
      <c r="R123" s="8">
        <f t="shared" ref="R123:U123" si="34">R118+R121</f>
        <v>1631195.3828156141</v>
      </c>
      <c r="S123" s="8">
        <f t="shared" si="34"/>
        <v>1780698.027738984</v>
      </c>
      <c r="T123" s="8">
        <f t="shared" si="34"/>
        <v>1605915.3828156141</v>
      </c>
      <c r="U123" s="8">
        <f t="shared" si="34"/>
        <v>1615395.3828156141</v>
      </c>
      <c r="V123" s="72">
        <f t="shared" ref="V123" si="35">SUM(Q123:U123)</f>
        <v>8793713.3770042155</v>
      </c>
    </row>
    <row r="124" spans="3:23" ht="12.75" customHeight="1" x14ac:dyDescent="0.2">
      <c r="C124" s="44" t="s">
        <v>74</v>
      </c>
      <c r="D124" s="44"/>
      <c r="E124" s="44"/>
      <c r="F124" s="44"/>
      <c r="G124" s="2"/>
      <c r="H124" s="44"/>
      <c r="I124" s="44"/>
      <c r="J124" s="2"/>
      <c r="K124" s="44"/>
      <c r="L124" s="44"/>
      <c r="M124" s="44"/>
      <c r="N124" s="44"/>
      <c r="O124" s="44"/>
      <c r="P124" s="2"/>
      <c r="Q124" s="45">
        <f>Q123-SUM(Q$10:Q$90)</f>
        <v>0</v>
      </c>
      <c r="R124" s="45">
        <f t="shared" ref="R124:U124" si="36">R123-SUM(R$10:R$90)</f>
        <v>0</v>
      </c>
      <c r="S124" s="45">
        <f t="shared" si="36"/>
        <v>0</v>
      </c>
      <c r="T124" s="45">
        <f t="shared" si="36"/>
        <v>0</v>
      </c>
      <c r="U124" s="45">
        <f t="shared" si="36"/>
        <v>0</v>
      </c>
      <c r="V124" s="45">
        <f>V123-SUM(Q$10:U$90)</f>
        <v>0</v>
      </c>
      <c r="W124" s="45">
        <f>SUM(Q124:V124)</f>
        <v>0</v>
      </c>
    </row>
    <row r="125" spans="3:23" ht="12.75" customHeight="1" x14ac:dyDescent="0.2">
      <c r="C125" s="114"/>
      <c r="D125" s="114"/>
      <c r="E125" s="114"/>
      <c r="F125" s="114"/>
      <c r="G125" s="2"/>
      <c r="H125" s="114"/>
      <c r="I125" s="114"/>
      <c r="J125" s="2"/>
      <c r="K125" s="114"/>
      <c r="L125" s="114"/>
      <c r="M125" s="114"/>
      <c r="N125" s="114"/>
      <c r="O125" s="114"/>
      <c r="P125" s="2"/>
      <c r="Q125" s="115"/>
      <c r="R125" s="115"/>
      <c r="S125" s="115"/>
      <c r="T125" s="115"/>
      <c r="U125" s="115"/>
      <c r="V125" s="115"/>
      <c r="W125" s="115"/>
    </row>
    <row r="126" spans="3:23" ht="12.75" customHeight="1" x14ac:dyDescent="0.2">
      <c r="C126" s="114"/>
      <c r="D126" s="114"/>
      <c r="E126" s="114"/>
      <c r="F126" s="114"/>
      <c r="G126" s="2"/>
      <c r="H126" s="114"/>
      <c r="I126" s="114"/>
      <c r="J126" s="2"/>
      <c r="K126" s="114"/>
      <c r="L126" s="114"/>
      <c r="M126" s="114"/>
      <c r="N126" s="114"/>
      <c r="O126" s="114"/>
      <c r="P126" s="2"/>
      <c r="Q126" s="115"/>
      <c r="R126" s="115"/>
      <c r="S126" s="115"/>
      <c r="T126" s="115"/>
      <c r="U126" s="115"/>
      <c r="V126" s="115"/>
      <c r="W126" s="115"/>
    </row>
    <row r="127" spans="3:23" ht="12.75" customHeight="1" x14ac:dyDescent="0.2">
      <c r="C127" s="114"/>
      <c r="D127" s="114"/>
      <c r="E127" s="114"/>
      <c r="F127" s="114"/>
      <c r="G127" s="2"/>
      <c r="H127" s="114"/>
      <c r="I127" s="114"/>
      <c r="J127" s="2"/>
      <c r="K127" s="114"/>
      <c r="L127" s="114"/>
      <c r="M127" s="114"/>
      <c r="N127" s="114"/>
      <c r="O127" s="114"/>
      <c r="P127" s="2"/>
      <c r="Q127" s="115"/>
      <c r="R127" s="115"/>
      <c r="S127" s="115"/>
      <c r="T127" s="115"/>
      <c r="U127" s="115"/>
      <c r="V127" s="115"/>
      <c r="W127" s="115"/>
    </row>
    <row r="128" spans="3:23" ht="12.75" customHeight="1" x14ac:dyDescent="0.2">
      <c r="C128" s="75" t="s">
        <v>77</v>
      </c>
      <c r="G128" s="2"/>
      <c r="J128" s="2"/>
      <c r="P128" s="2"/>
      <c r="Q128" s="68" t="s">
        <v>6</v>
      </c>
      <c r="R128" s="68" t="s">
        <v>7</v>
      </c>
      <c r="S128" s="68" t="s">
        <v>8</v>
      </c>
      <c r="T128" s="68" t="s">
        <v>9</v>
      </c>
      <c r="U128" s="68" t="s">
        <v>10</v>
      </c>
      <c r="V128" s="68" t="s">
        <v>0</v>
      </c>
    </row>
    <row r="129" spans="3:22" ht="12.75" customHeight="1" x14ac:dyDescent="0.2">
      <c r="C129" s="24" t="s">
        <v>11</v>
      </c>
      <c r="D129" s="24" t="s">
        <v>53</v>
      </c>
      <c r="E129" s="24"/>
      <c r="F129" s="24" t="s">
        <v>54</v>
      </c>
      <c r="G129" s="2"/>
      <c r="H129" s="65"/>
      <c r="I129" s="66"/>
      <c r="J129" s="2"/>
      <c r="K129" s="24"/>
      <c r="L129" s="24"/>
      <c r="M129" s="24"/>
      <c r="N129" s="24"/>
      <c r="O129" s="24"/>
      <c r="P129" s="2"/>
      <c r="Q129" s="34">
        <f t="shared" ref="Q129:U134" si="37">Q94*business_case_dollars</f>
        <v>852896.41085173446</v>
      </c>
      <c r="R129" s="34">
        <f t="shared" si="37"/>
        <v>632858.20242513577</v>
      </c>
      <c r="S129" s="34">
        <f t="shared" si="37"/>
        <v>837926.43022252491</v>
      </c>
      <c r="T129" s="34">
        <f t="shared" si="37"/>
        <v>632858.20242513577</v>
      </c>
      <c r="U129" s="34">
        <f t="shared" si="37"/>
        <v>632858.20242513577</v>
      </c>
      <c r="V129" s="70">
        <f>SUM(Q129:U129)</f>
        <v>3589397.4483496668</v>
      </c>
    </row>
    <row r="130" spans="3:22" ht="12.75" customHeight="1" x14ac:dyDescent="0.2">
      <c r="C130" s="1" t="s">
        <v>13</v>
      </c>
      <c r="D130" s="1" t="s">
        <v>53</v>
      </c>
      <c r="F130" s="1" t="s">
        <v>54</v>
      </c>
      <c r="G130" s="2"/>
      <c r="H130" s="67"/>
      <c r="J130" s="2"/>
      <c r="P130" s="2"/>
      <c r="Q130" s="6">
        <f t="shared" si="37"/>
        <v>358714.00419299741</v>
      </c>
      <c r="R130" s="6">
        <f t="shared" si="37"/>
        <v>137155.35454438138</v>
      </c>
      <c r="S130" s="6">
        <f t="shared" si="37"/>
        <v>147705.76643241069</v>
      </c>
      <c r="T130" s="6">
        <f t="shared" si="37"/>
        <v>158256.17832044003</v>
      </c>
      <c r="U130" s="6">
        <f t="shared" si="37"/>
        <v>168806.59020846937</v>
      </c>
      <c r="V130" s="71">
        <f t="shared" ref="V130:V144" si="38">SUM(Q130:U130)</f>
        <v>970637.89369869884</v>
      </c>
    </row>
    <row r="131" spans="3:22" ht="12.75" customHeight="1" x14ac:dyDescent="0.2">
      <c r="C131" s="1" t="s">
        <v>14</v>
      </c>
      <c r="D131" s="1" t="s">
        <v>53</v>
      </c>
      <c r="F131" s="1" t="s">
        <v>54</v>
      </c>
      <c r="G131" s="2"/>
      <c r="H131" s="67"/>
      <c r="J131" s="2"/>
      <c r="P131" s="2"/>
      <c r="Q131" s="6">
        <f t="shared" si="37"/>
        <v>1192847.5972454688</v>
      </c>
      <c r="R131" s="6">
        <f t="shared" si="37"/>
        <v>939637.71193276462</v>
      </c>
      <c r="S131" s="6">
        <f t="shared" si="37"/>
        <v>890402.45645529439</v>
      </c>
      <c r="T131" s="6">
        <f t="shared" si="37"/>
        <v>890402.45645529439</v>
      </c>
      <c r="U131" s="6">
        <f t="shared" si="37"/>
        <v>890402.45645529439</v>
      </c>
      <c r="V131" s="71">
        <f t="shared" si="38"/>
        <v>4803692.6785441162</v>
      </c>
    </row>
    <row r="132" spans="3:22" ht="12.75" customHeight="1" x14ac:dyDescent="0.2">
      <c r="C132" s="1" t="s">
        <v>11</v>
      </c>
      <c r="D132" s="1" t="s">
        <v>53</v>
      </c>
      <c r="F132" s="1" t="s">
        <v>50</v>
      </c>
      <c r="G132" s="2"/>
      <c r="H132" s="67"/>
      <c r="J132" s="2"/>
      <c r="P132" s="2"/>
      <c r="Q132" s="6">
        <f t="shared" si="37"/>
        <v>0</v>
      </c>
      <c r="R132" s="6">
        <f t="shared" si="37"/>
        <v>0</v>
      </c>
      <c r="S132" s="6">
        <f t="shared" si="37"/>
        <v>0</v>
      </c>
      <c r="T132" s="6">
        <f t="shared" si="37"/>
        <v>0</v>
      </c>
      <c r="U132" s="6">
        <f t="shared" si="37"/>
        <v>0</v>
      </c>
      <c r="V132" s="6">
        <f t="shared" si="38"/>
        <v>0</v>
      </c>
    </row>
    <row r="133" spans="3:22" ht="12.75" customHeight="1" x14ac:dyDescent="0.2">
      <c r="C133" s="1" t="s">
        <v>13</v>
      </c>
      <c r="D133" s="1" t="s">
        <v>53</v>
      </c>
      <c r="F133" s="1" t="s">
        <v>50</v>
      </c>
      <c r="G133" s="2"/>
      <c r="H133" s="67"/>
      <c r="J133" s="2"/>
      <c r="P133" s="2"/>
      <c r="Q133" s="6">
        <f t="shared" si="37"/>
        <v>0</v>
      </c>
      <c r="R133" s="6">
        <f t="shared" si="37"/>
        <v>0</v>
      </c>
      <c r="S133" s="6">
        <f t="shared" si="37"/>
        <v>0</v>
      </c>
      <c r="T133" s="6">
        <f t="shared" si="37"/>
        <v>0</v>
      </c>
      <c r="U133" s="6">
        <f t="shared" si="37"/>
        <v>0</v>
      </c>
      <c r="V133" s="6">
        <f t="shared" si="38"/>
        <v>0</v>
      </c>
    </row>
    <row r="134" spans="3:22" ht="12.75" customHeight="1" x14ac:dyDescent="0.2">
      <c r="C134" s="1" t="s">
        <v>14</v>
      </c>
      <c r="D134" s="1" t="s">
        <v>53</v>
      </c>
      <c r="F134" s="1" t="s">
        <v>50</v>
      </c>
      <c r="G134" s="2"/>
      <c r="H134" s="67"/>
      <c r="J134" s="2"/>
      <c r="P134" s="2"/>
      <c r="Q134" s="6">
        <f t="shared" si="37"/>
        <v>0</v>
      </c>
      <c r="R134" s="6">
        <f t="shared" si="37"/>
        <v>0</v>
      </c>
      <c r="S134" s="6">
        <f t="shared" si="37"/>
        <v>0</v>
      </c>
      <c r="T134" s="6">
        <f t="shared" si="37"/>
        <v>0</v>
      </c>
      <c r="U134" s="6">
        <f t="shared" si="37"/>
        <v>0</v>
      </c>
      <c r="V134" s="6">
        <f t="shared" si="38"/>
        <v>0</v>
      </c>
    </row>
    <row r="135" spans="3:22" ht="12.75" customHeight="1" x14ac:dyDescent="0.2">
      <c r="C135" s="21" t="s">
        <v>15</v>
      </c>
      <c r="D135" s="21" t="s">
        <v>53</v>
      </c>
      <c r="E135" s="101"/>
      <c r="F135" s="102"/>
      <c r="G135" s="103"/>
      <c r="H135" s="102"/>
      <c r="I135" s="104"/>
      <c r="J135" s="103"/>
      <c r="K135" s="101"/>
      <c r="L135" s="101"/>
      <c r="M135" s="101"/>
      <c r="N135" s="101"/>
      <c r="O135" s="101"/>
      <c r="P135" s="103"/>
      <c r="Q135" s="22">
        <f>SUM(Q129:Q134)</f>
        <v>2404458.0122902007</v>
      </c>
      <c r="R135" s="22">
        <f t="shared" ref="R135:U135" si="39">SUM(R129:R134)</f>
        <v>1709651.2689022818</v>
      </c>
      <c r="S135" s="22">
        <f t="shared" si="39"/>
        <v>1876034.6531102299</v>
      </c>
      <c r="T135" s="22">
        <f t="shared" si="39"/>
        <v>1681516.8372008703</v>
      </c>
      <c r="U135" s="22">
        <f t="shared" si="39"/>
        <v>1692067.2490888997</v>
      </c>
      <c r="V135" s="22">
        <f>SUM(V129:V134)</f>
        <v>9363728.0205924809</v>
      </c>
    </row>
    <row r="136" spans="3:22" ht="12.75" customHeight="1" x14ac:dyDescent="0.2">
      <c r="C136" s="1" t="s">
        <v>11</v>
      </c>
      <c r="D136" s="1" t="s">
        <v>49</v>
      </c>
      <c r="F136" s="1" t="s">
        <v>54</v>
      </c>
      <c r="G136" s="2"/>
      <c r="H136" s="67"/>
      <c r="J136" s="2"/>
      <c r="P136" s="2"/>
      <c r="Q136" s="116">
        <f t="shared" ref="Q136:U141" si="40">Q101*business_case_dollars</f>
        <v>0</v>
      </c>
      <c r="R136" s="116">
        <f t="shared" si="40"/>
        <v>0</v>
      </c>
      <c r="S136" s="116">
        <f t="shared" si="40"/>
        <v>0</v>
      </c>
      <c r="T136" s="116">
        <f t="shared" si="40"/>
        <v>0</v>
      </c>
      <c r="U136" s="116">
        <f t="shared" si="40"/>
        <v>0</v>
      </c>
      <c r="V136" s="71">
        <f>SUM(Q136:U136)</f>
        <v>0</v>
      </c>
    </row>
    <row r="137" spans="3:22" ht="12.75" customHeight="1" x14ac:dyDescent="0.2">
      <c r="C137" s="1" t="s">
        <v>13</v>
      </c>
      <c r="D137" s="1" t="s">
        <v>49</v>
      </c>
      <c r="F137" s="1" t="s">
        <v>54</v>
      </c>
      <c r="G137" s="2"/>
      <c r="H137" s="67"/>
      <c r="J137" s="2"/>
      <c r="P137" s="2"/>
      <c r="Q137" s="6">
        <f t="shared" si="40"/>
        <v>0</v>
      </c>
      <c r="R137" s="6">
        <f t="shared" si="40"/>
        <v>0</v>
      </c>
      <c r="S137" s="6">
        <f t="shared" si="40"/>
        <v>0</v>
      </c>
      <c r="T137" s="6">
        <f t="shared" si="40"/>
        <v>0</v>
      </c>
      <c r="U137" s="6">
        <f t="shared" si="40"/>
        <v>0</v>
      </c>
      <c r="V137" s="71">
        <f t="shared" ref="V137:V141" si="41">SUM(Q137:U137)</f>
        <v>0</v>
      </c>
    </row>
    <row r="138" spans="3:22" ht="12.75" customHeight="1" x14ac:dyDescent="0.2">
      <c r="C138" s="1" t="s">
        <v>14</v>
      </c>
      <c r="D138" s="1" t="s">
        <v>49</v>
      </c>
      <c r="F138" s="1" t="s">
        <v>54</v>
      </c>
      <c r="G138" s="2"/>
      <c r="H138" s="67"/>
      <c r="J138" s="2"/>
      <c r="P138" s="2"/>
      <c r="Q138" s="6">
        <f t="shared" si="40"/>
        <v>0</v>
      </c>
      <c r="R138" s="6">
        <f t="shared" si="40"/>
        <v>105726.70140957668</v>
      </c>
      <c r="S138" s="6">
        <f t="shared" si="40"/>
        <v>105726.70140957668</v>
      </c>
      <c r="T138" s="6">
        <f t="shared" si="40"/>
        <v>105726.70140957668</v>
      </c>
      <c r="U138" s="6">
        <f t="shared" si="40"/>
        <v>105726.70140957668</v>
      </c>
      <c r="V138" s="71">
        <f t="shared" si="41"/>
        <v>422906.80563830672</v>
      </c>
    </row>
    <row r="139" spans="3:22" ht="12.75" customHeight="1" x14ac:dyDescent="0.2">
      <c r="C139" s="1" t="s">
        <v>11</v>
      </c>
      <c r="D139" s="1" t="s">
        <v>49</v>
      </c>
      <c r="F139" s="1" t="s">
        <v>50</v>
      </c>
      <c r="G139" s="2"/>
      <c r="H139" s="67"/>
      <c r="J139" s="2"/>
      <c r="P139" s="2"/>
      <c r="Q139" s="6">
        <f t="shared" si="40"/>
        <v>0</v>
      </c>
      <c r="R139" s="6">
        <f t="shared" si="40"/>
        <v>0</v>
      </c>
      <c r="S139" s="6">
        <f t="shared" si="40"/>
        <v>0</v>
      </c>
      <c r="T139" s="6">
        <f t="shared" si="40"/>
        <v>0</v>
      </c>
      <c r="U139" s="6">
        <f t="shared" si="40"/>
        <v>0</v>
      </c>
      <c r="V139" s="6">
        <f t="shared" si="41"/>
        <v>0</v>
      </c>
    </row>
    <row r="140" spans="3:22" ht="12.75" customHeight="1" x14ac:dyDescent="0.2">
      <c r="C140" s="1" t="s">
        <v>13</v>
      </c>
      <c r="D140" s="1" t="s">
        <v>49</v>
      </c>
      <c r="F140" s="1" t="s">
        <v>50</v>
      </c>
      <c r="G140" s="2"/>
      <c r="H140" s="67"/>
      <c r="J140" s="2"/>
      <c r="P140" s="2"/>
      <c r="Q140" s="6">
        <f t="shared" si="40"/>
        <v>0</v>
      </c>
      <c r="R140" s="6">
        <f t="shared" si="40"/>
        <v>0</v>
      </c>
      <c r="S140" s="6">
        <f t="shared" si="40"/>
        <v>0</v>
      </c>
      <c r="T140" s="6">
        <f t="shared" si="40"/>
        <v>0</v>
      </c>
      <c r="U140" s="6">
        <f t="shared" si="40"/>
        <v>0</v>
      </c>
      <c r="V140" s="6">
        <f t="shared" si="41"/>
        <v>0</v>
      </c>
    </row>
    <row r="141" spans="3:22" ht="12.75" customHeight="1" x14ac:dyDescent="0.2">
      <c r="C141" s="1" t="s">
        <v>14</v>
      </c>
      <c r="D141" s="1" t="s">
        <v>49</v>
      </c>
      <c r="F141" s="1" t="s">
        <v>50</v>
      </c>
      <c r="G141" s="2"/>
      <c r="H141" s="67"/>
      <c r="J141" s="2"/>
      <c r="P141" s="2"/>
      <c r="Q141" s="6">
        <f t="shared" si="40"/>
        <v>0</v>
      </c>
      <c r="R141" s="6">
        <f t="shared" si="40"/>
        <v>0</v>
      </c>
      <c r="S141" s="6">
        <f t="shared" si="40"/>
        <v>0</v>
      </c>
      <c r="T141" s="6">
        <f t="shared" si="40"/>
        <v>0</v>
      </c>
      <c r="U141" s="6">
        <f t="shared" si="40"/>
        <v>0</v>
      </c>
      <c r="V141" s="6">
        <f t="shared" si="41"/>
        <v>0</v>
      </c>
    </row>
    <row r="142" spans="3:22" ht="12.75" customHeight="1" x14ac:dyDescent="0.2">
      <c r="C142" s="21" t="s">
        <v>17</v>
      </c>
      <c r="D142" s="21" t="s">
        <v>49</v>
      </c>
      <c r="E142" s="101"/>
      <c r="F142" s="102"/>
      <c r="G142" s="103"/>
      <c r="H142" s="102"/>
      <c r="I142" s="104"/>
      <c r="J142" s="103"/>
      <c r="K142" s="101"/>
      <c r="L142" s="101"/>
      <c r="M142" s="101"/>
      <c r="N142" s="101"/>
      <c r="O142" s="101"/>
      <c r="P142" s="103"/>
      <c r="Q142" s="22">
        <f>SUM(Q136:Q141)</f>
        <v>0</v>
      </c>
      <c r="R142" s="22">
        <f t="shared" ref="R142:V142" si="42">SUM(R136:R141)</f>
        <v>105726.70140957668</v>
      </c>
      <c r="S142" s="22">
        <f t="shared" si="42"/>
        <v>105726.70140957668</v>
      </c>
      <c r="T142" s="22">
        <f t="shared" si="42"/>
        <v>105726.70140957668</v>
      </c>
      <c r="U142" s="22">
        <f t="shared" si="42"/>
        <v>105726.70140957668</v>
      </c>
      <c r="V142" s="22">
        <f t="shared" si="42"/>
        <v>422906.80563830672</v>
      </c>
    </row>
    <row r="143" spans="3:22" ht="12.75" customHeight="1" x14ac:dyDescent="0.2">
      <c r="G143" s="2"/>
      <c r="H143" s="67"/>
      <c r="J143" s="2"/>
      <c r="P143" s="2"/>
      <c r="Q143" s="6"/>
      <c r="R143" s="6"/>
      <c r="S143" s="6"/>
      <c r="T143" s="6"/>
      <c r="U143" s="6"/>
      <c r="V143" s="71"/>
    </row>
    <row r="144" spans="3:22" x14ac:dyDescent="0.2">
      <c r="C144" s="7" t="str">
        <f>"Total Expenditure ($ "&amp;Assumptions!$C$35&amp;")"</f>
        <v>Total Expenditure ($ June 2026)</v>
      </c>
      <c r="D144" s="7" t="s">
        <v>78</v>
      </c>
      <c r="E144" s="7"/>
      <c r="F144" s="7"/>
      <c r="G144" s="2"/>
      <c r="H144" s="7"/>
      <c r="I144" s="10"/>
      <c r="J144" s="2"/>
      <c r="K144" s="7"/>
      <c r="L144" s="7"/>
      <c r="M144" s="7"/>
      <c r="N144" s="7"/>
      <c r="O144" s="7"/>
      <c r="P144" s="2"/>
      <c r="Q144" s="8">
        <f>Q135+Q142</f>
        <v>2404458.0122902007</v>
      </c>
      <c r="R144" s="8">
        <f t="shared" ref="R144:U144" si="43">R135+R142</f>
        <v>1815377.9703118585</v>
      </c>
      <c r="S144" s="8">
        <f t="shared" si="43"/>
        <v>1981761.3545198066</v>
      </c>
      <c r="T144" s="8">
        <f t="shared" si="43"/>
        <v>1787243.538610447</v>
      </c>
      <c r="U144" s="8">
        <f t="shared" si="43"/>
        <v>1797793.9504984764</v>
      </c>
      <c r="V144" s="72">
        <f t="shared" si="38"/>
        <v>9786634.8262307886</v>
      </c>
    </row>
    <row r="145" spans="3:23" x14ac:dyDescent="0.2">
      <c r="G145" s="2"/>
      <c r="J145" s="2"/>
      <c r="P145" s="2"/>
      <c r="Q145" s="45">
        <f>SUM(Q10:Q90)*business_case_dollars-Q144</f>
        <v>0</v>
      </c>
      <c r="R145" s="45">
        <f>SUM(R10:R90)*business_case_dollars-R144</f>
        <v>0</v>
      </c>
      <c r="S145" s="45">
        <f>SUM(S10:S90)*business_case_dollars-S144</f>
        <v>0</v>
      </c>
      <c r="T145" s="45">
        <f>SUM(T10:T90)*business_case_dollars-T144</f>
        <v>0</v>
      </c>
      <c r="U145" s="45">
        <f>SUM(U10:U90)*business_case_dollars-U144</f>
        <v>0</v>
      </c>
      <c r="V145" s="45">
        <f>SUM(Q10:U90)*business_case_dollars-V144</f>
        <v>0</v>
      </c>
      <c r="W145" s="45">
        <f>SUM(Q145:V145)</f>
        <v>0</v>
      </c>
    </row>
    <row r="146" spans="3:23" x14ac:dyDescent="0.2">
      <c r="C146" s="54" t="str">
        <f>"NPV ($ "&amp;Assumptions!$C$35&amp;")"</f>
        <v>NPV ($ June 2026)</v>
      </c>
      <c r="D146" s="55">
        <f>NPV(Real_Discount_rate,Q144:U144)</f>
        <v>8876431.5531278942</v>
      </c>
      <c r="G146" s="2"/>
      <c r="J146" s="2"/>
      <c r="P146" s="2"/>
      <c r="Q146" s="51"/>
      <c r="R146" s="51"/>
      <c r="S146" s="51"/>
      <c r="T146" s="51"/>
      <c r="U146" s="51"/>
    </row>
    <row r="149" spans="3:23" x14ac:dyDescent="0.2">
      <c r="C149" s="4" t="s">
        <v>73</v>
      </c>
      <c r="F149" s="3"/>
      <c r="G149" s="2"/>
      <c r="J149" s="2"/>
      <c r="P149" s="2"/>
      <c r="Q149" s="68" t="s">
        <v>6</v>
      </c>
      <c r="R149" s="68" t="s">
        <v>7</v>
      </c>
      <c r="S149" s="68" t="s">
        <v>8</v>
      </c>
      <c r="T149" s="68" t="s">
        <v>9</v>
      </c>
      <c r="U149" s="68" t="s">
        <v>10</v>
      </c>
      <c r="V149" s="112" t="s">
        <v>0</v>
      </c>
    </row>
    <row r="150" spans="3:23" x14ac:dyDescent="0.2">
      <c r="C150" s="24"/>
      <c r="D150" s="24" t="s">
        <v>53</v>
      </c>
      <c r="E150" s="24"/>
      <c r="F150" s="24" t="s">
        <v>54</v>
      </c>
      <c r="G150" s="2"/>
      <c r="H150" s="65"/>
      <c r="I150" s="66"/>
      <c r="J150" s="2"/>
      <c r="K150" s="24"/>
      <c r="L150" s="24"/>
      <c r="M150" s="24"/>
      <c r="N150" s="24"/>
      <c r="O150" s="24"/>
      <c r="P150" s="2"/>
      <c r="Q150" s="25">
        <f t="shared" ref="Q150:U151" si="44">Q116*business_case_dollars</f>
        <v>2404458.0122902002</v>
      </c>
      <c r="R150" s="25">
        <f t="shared" si="44"/>
        <v>1709651.2689022818</v>
      </c>
      <c r="S150" s="25">
        <f t="shared" si="44"/>
        <v>1876034.6531102301</v>
      </c>
      <c r="T150" s="25">
        <f t="shared" si="44"/>
        <v>1681516.8372008703</v>
      </c>
      <c r="U150" s="25">
        <f t="shared" si="44"/>
        <v>1692067.2490888995</v>
      </c>
      <c r="V150" s="71">
        <f t="shared" ref="V150:V151" si="45">SUM(Q150:U150)</f>
        <v>9363728.0205924828</v>
      </c>
    </row>
    <row r="151" spans="3:23" x14ac:dyDescent="0.2">
      <c r="D151" s="1" t="s">
        <v>49</v>
      </c>
      <c r="F151" s="1" t="s">
        <v>54</v>
      </c>
      <c r="G151" s="2"/>
      <c r="J151" s="2"/>
      <c r="P151" s="2"/>
      <c r="Q151" s="111">
        <f t="shared" si="44"/>
        <v>0</v>
      </c>
      <c r="R151" s="111">
        <f t="shared" si="44"/>
        <v>105726.70140957668</v>
      </c>
      <c r="S151" s="111">
        <f t="shared" si="44"/>
        <v>105726.70140957668</v>
      </c>
      <c r="T151" s="111">
        <f t="shared" si="44"/>
        <v>105726.70140957668</v>
      </c>
      <c r="U151" s="111">
        <f t="shared" si="44"/>
        <v>105726.70140957668</v>
      </c>
      <c r="V151" s="71">
        <f t="shared" si="45"/>
        <v>422906.80563830672</v>
      </c>
    </row>
    <row r="152" spans="3:23" x14ac:dyDescent="0.2">
      <c r="C152" s="21" t="s">
        <v>75</v>
      </c>
      <c r="D152" s="21"/>
      <c r="E152" s="101"/>
      <c r="F152" s="102"/>
      <c r="G152" s="2"/>
      <c r="H152" s="102"/>
      <c r="I152" s="104"/>
      <c r="J152" s="103"/>
      <c r="K152" s="101"/>
      <c r="L152" s="101"/>
      <c r="M152" s="101"/>
      <c r="N152" s="101"/>
      <c r="O152" s="101"/>
      <c r="P152" s="2"/>
      <c r="Q152" s="22">
        <f>SUM(Q150:Q151)</f>
        <v>2404458.0122902002</v>
      </c>
      <c r="R152" s="22">
        <f t="shared" ref="R152:V152" si="46">SUM(R150:R151)</f>
        <v>1815377.9703118585</v>
      </c>
      <c r="S152" s="22">
        <f t="shared" si="46"/>
        <v>1981761.3545198068</v>
      </c>
      <c r="T152" s="22">
        <f t="shared" si="46"/>
        <v>1787243.538610447</v>
      </c>
      <c r="U152" s="22">
        <f t="shared" si="46"/>
        <v>1797793.9504984762</v>
      </c>
      <c r="V152" s="22">
        <f t="shared" si="46"/>
        <v>9786634.8262307886</v>
      </c>
    </row>
    <row r="153" spans="3:23" x14ac:dyDescent="0.2">
      <c r="C153" s="4"/>
      <c r="D153" s="1" t="s">
        <v>53</v>
      </c>
      <c r="F153" s="1" t="s">
        <v>50</v>
      </c>
      <c r="G153" s="2"/>
      <c r="H153" s="67"/>
      <c r="J153" s="2"/>
      <c r="P153" s="2"/>
      <c r="Q153" s="6">
        <f t="shared" ref="Q153:U154" si="47">Q119*business_case_dollars</f>
        <v>0</v>
      </c>
      <c r="R153" s="6">
        <f t="shared" si="47"/>
        <v>0</v>
      </c>
      <c r="S153" s="6">
        <f t="shared" si="47"/>
        <v>0</v>
      </c>
      <c r="T153" s="6">
        <f t="shared" si="47"/>
        <v>0</v>
      </c>
      <c r="U153" s="6">
        <f t="shared" si="47"/>
        <v>0</v>
      </c>
      <c r="V153" s="71">
        <f t="shared" ref="V153:V154" si="48">SUM(Q153:U153)</f>
        <v>0</v>
      </c>
    </row>
    <row r="154" spans="3:23" x14ac:dyDescent="0.2">
      <c r="C154" s="4"/>
      <c r="D154" s="1" t="s">
        <v>49</v>
      </c>
      <c r="F154" s="1" t="s">
        <v>50</v>
      </c>
      <c r="G154" s="2"/>
      <c r="H154" s="67"/>
      <c r="J154" s="2"/>
      <c r="P154" s="2"/>
      <c r="Q154" s="6">
        <f t="shared" si="47"/>
        <v>0</v>
      </c>
      <c r="R154" s="6">
        <f t="shared" si="47"/>
        <v>0</v>
      </c>
      <c r="S154" s="6">
        <f t="shared" si="47"/>
        <v>0</v>
      </c>
      <c r="T154" s="6">
        <f t="shared" si="47"/>
        <v>0</v>
      </c>
      <c r="U154" s="6">
        <f t="shared" si="47"/>
        <v>0</v>
      </c>
      <c r="V154" s="71">
        <f t="shared" si="48"/>
        <v>0</v>
      </c>
    </row>
    <row r="155" spans="3:23" x14ac:dyDescent="0.2">
      <c r="C155" s="21" t="s">
        <v>76</v>
      </c>
      <c r="D155" s="21"/>
      <c r="E155" s="101"/>
      <c r="F155" s="102"/>
      <c r="G155" s="2"/>
      <c r="H155" s="102"/>
      <c r="I155" s="104"/>
      <c r="J155" s="103"/>
      <c r="K155" s="101"/>
      <c r="L155" s="101"/>
      <c r="M155" s="101"/>
      <c r="N155" s="101"/>
      <c r="O155" s="101"/>
      <c r="P155" s="2"/>
      <c r="Q155" s="22">
        <f>SUM(Q153:Q154)</f>
        <v>0</v>
      </c>
      <c r="R155" s="22">
        <f t="shared" ref="R155:V155" si="49">SUM(R153:R154)</f>
        <v>0</v>
      </c>
      <c r="S155" s="22">
        <f t="shared" si="49"/>
        <v>0</v>
      </c>
      <c r="T155" s="22">
        <f t="shared" si="49"/>
        <v>0</v>
      </c>
      <c r="U155" s="22">
        <f t="shared" si="49"/>
        <v>0</v>
      </c>
      <c r="V155" s="22">
        <f t="shared" si="49"/>
        <v>0</v>
      </c>
    </row>
    <row r="156" spans="3:23" x14ac:dyDescent="0.2">
      <c r="C156" s="4"/>
      <c r="D156" s="4"/>
      <c r="F156" s="67"/>
      <c r="G156" s="2"/>
      <c r="H156" s="67"/>
      <c r="J156" s="2"/>
      <c r="P156" s="2"/>
      <c r="Q156" s="23"/>
      <c r="R156" s="23"/>
      <c r="S156" s="23"/>
      <c r="T156" s="23"/>
      <c r="U156" s="23"/>
      <c r="V156" s="23"/>
    </row>
    <row r="157" spans="3:23" x14ac:dyDescent="0.2">
      <c r="C157" s="7" t="str">
        <f>"Total Expenditure ($ "&amp;Assumptions!$C$35&amp;")"</f>
        <v>Total Expenditure ($ June 2026)</v>
      </c>
      <c r="D157" s="7"/>
      <c r="E157" s="7"/>
      <c r="F157" s="7"/>
      <c r="G157" s="2"/>
      <c r="H157" s="7"/>
      <c r="I157" s="10"/>
      <c r="J157" s="2"/>
      <c r="K157" s="7"/>
      <c r="L157" s="7"/>
      <c r="M157" s="7"/>
      <c r="N157" s="7"/>
      <c r="O157" s="7"/>
      <c r="P157" s="2"/>
      <c r="Q157" s="8">
        <f>Q152+Q155</f>
        <v>2404458.0122902002</v>
      </c>
      <c r="R157" s="8">
        <f t="shared" ref="R157:U157" si="50">R152+R155</f>
        <v>1815377.9703118585</v>
      </c>
      <c r="S157" s="8">
        <f t="shared" si="50"/>
        <v>1981761.3545198068</v>
      </c>
      <c r="T157" s="8">
        <f t="shared" si="50"/>
        <v>1787243.538610447</v>
      </c>
      <c r="U157" s="8">
        <f t="shared" si="50"/>
        <v>1797793.9504984762</v>
      </c>
      <c r="V157" s="72">
        <f t="shared" ref="V157" si="51">SUM(Q157:U157)</f>
        <v>9786634.8262307886</v>
      </c>
    </row>
    <row r="158" spans="3:23" x14ac:dyDescent="0.2">
      <c r="C158" s="44" t="s">
        <v>74</v>
      </c>
      <c r="D158" s="44"/>
      <c r="E158" s="44"/>
      <c r="F158" s="44"/>
      <c r="G158" s="2"/>
      <c r="H158" s="44"/>
      <c r="I158" s="44"/>
      <c r="J158" s="2"/>
      <c r="K158" s="44"/>
      <c r="L158" s="44"/>
      <c r="M158" s="44"/>
      <c r="N158" s="44"/>
      <c r="O158" s="44"/>
      <c r="P158" s="2"/>
      <c r="Q158" s="45">
        <f>Q157-SUM(Q$10:Q$90)*business_case_dollars</f>
        <v>0</v>
      </c>
      <c r="R158" s="45">
        <f>R157-SUM(R$10:R$90)*business_case_dollars</f>
        <v>0</v>
      </c>
      <c r="S158" s="45">
        <f>S157-SUM(S$10:S$90)*business_case_dollars</f>
        <v>0</v>
      </c>
      <c r="T158" s="45">
        <f>T157-SUM(T$10:T$90)*business_case_dollars</f>
        <v>0</v>
      </c>
      <c r="U158" s="45">
        <f>U157-SUM(U$10:U$90)*business_case_dollars</f>
        <v>0</v>
      </c>
      <c r="V158" s="45">
        <f>V157-SUM(Q$10:U$90)*business_case_dollars</f>
        <v>0</v>
      </c>
      <c r="W158" s="45">
        <f>SUM(Q158:V158)</f>
        <v>0</v>
      </c>
    </row>
  </sheetData>
  <conditionalFormatting sqref="H10:H90">
    <cfRule type="expression" dxfId="32" priority="14">
      <formula>$E10="Contracts"</formula>
    </cfRule>
    <cfRule type="expression" dxfId="31" priority="15">
      <formula>$E10="Materials"</formula>
    </cfRule>
    <cfRule type="expression" dxfId="30" priority="16">
      <formula>$E10="Labour"</formula>
    </cfRule>
  </conditionalFormatting>
  <conditionalFormatting sqref="Q110:V110">
    <cfRule type="expression" dxfId="29" priority="7">
      <formula>ABS(Q110)&gt;0.001</formula>
    </cfRule>
  </conditionalFormatting>
  <conditionalFormatting sqref="Q124:V127">
    <cfRule type="expression" dxfId="28" priority="4">
      <formula>ABS(Q124)&gt;0.001</formula>
    </cfRule>
  </conditionalFormatting>
  <conditionalFormatting sqref="Q145:V145">
    <cfRule type="expression" dxfId="27" priority="8">
      <formula>ABS(Q145)&gt;0.001</formula>
    </cfRule>
  </conditionalFormatting>
  <conditionalFormatting sqref="Q158:V158">
    <cfRule type="expression" dxfId="26" priority="1">
      <formula>ABS(Q158)&gt;0.001</formula>
    </cfRule>
  </conditionalFormatting>
  <conditionalFormatting sqref="W110">
    <cfRule type="expression" dxfId="25" priority="20">
      <formula>ABS(W110)&gt;0.001</formula>
    </cfRule>
  </conditionalFormatting>
  <conditionalFormatting sqref="W124:W127">
    <cfRule type="expression" dxfId="24" priority="5">
      <formula>ABS(W124)&gt;0.001</formula>
    </cfRule>
  </conditionalFormatting>
  <conditionalFormatting sqref="W145">
    <cfRule type="expression" dxfId="23" priority="10">
      <formula>ABS(W145)&gt;0.001</formula>
    </cfRule>
  </conditionalFormatting>
  <conditionalFormatting sqref="W158">
    <cfRule type="expression" dxfId="22" priority="2">
      <formula>ABS(W158)&gt;0.001</formula>
    </cfRule>
  </conditionalFormatting>
  <dataValidations count="3">
    <dataValidation type="list" allowBlank="1" showInputMessage="1" showErrorMessage="1" sqref="E10:E90" xr:uid="{B0E8B852-301B-4563-9163-FFDB1711704F}">
      <formula1>"Labour, Materials, Contracts"</formula1>
    </dataValidation>
    <dataValidation type="list" allowBlank="1" showInputMessage="1" showErrorMessage="1" sqref="D10:D90" xr:uid="{056126DF-837A-45EA-97BA-3AA3767E7A6C}">
      <formula1>"Capex, Opex"</formula1>
    </dataValidation>
    <dataValidation type="list" allowBlank="1" showInputMessage="1" showErrorMessage="1" sqref="F10:F90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100:V100 Q118:U118 Q135:V13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Z158"/>
  <sheetViews>
    <sheetView showGridLines="0" zoomScale="80" zoomScaleNormal="80" workbookViewId="0">
      <pane ySplit="9" topLeftCell="A10" activePane="bottomLeft" state="frozen"/>
      <selection activeCell="K34" sqref="K34"/>
      <selection pane="bottomLeft" activeCell="K34" sqref="K34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2" style="1" bestFit="1" customWidth="1"/>
    <col min="23" max="23" width="5.85546875" style="1" bestFit="1" customWidth="1"/>
    <col min="24" max="16384" width="9.140625" style="1"/>
  </cols>
  <sheetData>
    <row r="1" spans="1:26" ht="21" x14ac:dyDescent="0.35">
      <c r="A1" s="61" t="str">
        <f>Project_name</f>
        <v>Enterprise management systems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7" t="b">
        <f>SUM(W7:W91)=0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42</v>
      </c>
      <c r="D7" s="64" t="s">
        <v>43</v>
      </c>
      <c r="E7" s="64" t="s">
        <v>44</v>
      </c>
      <c r="F7" s="110" t="s">
        <v>45</v>
      </c>
      <c r="G7" s="16"/>
      <c r="H7" s="19" t="s">
        <v>11</v>
      </c>
      <c r="I7" s="19" t="s">
        <v>46</v>
      </c>
      <c r="K7" s="19" t="s">
        <v>47</v>
      </c>
      <c r="L7" s="20"/>
      <c r="M7" s="20"/>
      <c r="N7" s="20"/>
      <c r="O7" s="20"/>
      <c r="Q7" s="19" t="s">
        <v>48</v>
      </c>
      <c r="R7" s="20"/>
      <c r="S7" s="20"/>
      <c r="T7" s="20"/>
      <c r="U7" s="20"/>
    </row>
    <row r="8" spans="1:26" ht="12.75" customHeight="1" x14ac:dyDescent="0.2">
      <c r="A8" s="4"/>
      <c r="B8" s="4"/>
      <c r="C8" s="99"/>
      <c r="D8" s="99" t="s">
        <v>49</v>
      </c>
      <c r="E8" s="99"/>
      <c r="F8" s="99" t="s">
        <v>50</v>
      </c>
      <c r="G8" s="16"/>
      <c r="H8" s="109" t="s">
        <v>51</v>
      </c>
      <c r="I8" s="99"/>
      <c r="K8" s="50" t="s">
        <v>6</v>
      </c>
      <c r="L8" s="50" t="s">
        <v>7</v>
      </c>
      <c r="M8" s="50" t="s">
        <v>8</v>
      </c>
      <c r="N8" s="50" t="s">
        <v>9</v>
      </c>
      <c r="O8" s="50" t="s">
        <v>10</v>
      </c>
      <c r="Q8" s="50" t="s">
        <v>6</v>
      </c>
      <c r="R8" s="50" t="s">
        <v>7</v>
      </c>
      <c r="S8" s="50" t="s">
        <v>8</v>
      </c>
      <c r="T8" s="50" t="s">
        <v>9</v>
      </c>
      <c r="U8" s="50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0" t="s">
        <v>52</v>
      </c>
      <c r="D10" s="81" t="s">
        <v>53</v>
      </c>
      <c r="E10" s="81" t="s">
        <v>11</v>
      </c>
      <c r="F10" s="79" t="s">
        <v>54</v>
      </c>
      <c r="G10" s="2"/>
      <c r="H10" s="63">
        <f>IF($E10="Labour",Assumptions!$B$14,)</f>
        <v>145.77740895836223</v>
      </c>
      <c r="I10" s="9" t="str">
        <f>IF($E10="Labour","Hours","$")</f>
        <v>Hours</v>
      </c>
      <c r="J10" s="2"/>
      <c r="K10" s="82">
        <f>50*63.2/100</f>
        <v>31.6</v>
      </c>
      <c r="L10" s="82">
        <f>50*63.2/100</f>
        <v>31.6</v>
      </c>
      <c r="M10" s="82">
        <f>50*63.2/100</f>
        <v>31.6</v>
      </c>
      <c r="N10" s="82">
        <f>50*63.2/100</f>
        <v>31.6</v>
      </c>
      <c r="O10" s="82">
        <f>50*63.2/100</f>
        <v>31.6</v>
      </c>
      <c r="P10" s="2"/>
      <c r="Q10" s="5">
        <f t="shared" ref="Q10:Q41" si="0">IF($E10="Labour",$H10*K10,K10)</f>
        <v>4606.566123084247</v>
      </c>
      <c r="R10" s="5">
        <f t="shared" ref="R10:R41" si="1">IF($E10="Labour",$H10*L10,L10)</f>
        <v>4606.566123084247</v>
      </c>
      <c r="S10" s="5">
        <f t="shared" ref="S10:S41" si="2">IF($E10="Labour",$H10*M10,M10)</f>
        <v>4606.566123084247</v>
      </c>
      <c r="T10" s="5">
        <f t="shared" ref="T10:T41" si="3">IF($E10="Labour",$H10*N10,N10)</f>
        <v>4606.566123084247</v>
      </c>
      <c r="U10" s="5">
        <f t="shared" ref="U10:U41" si="4">IF($E10="Labour",$H10*O10,O10)</f>
        <v>4606.566123084247</v>
      </c>
    </row>
    <row r="11" spans="1:26" ht="12.75" customHeight="1" x14ac:dyDescent="0.2">
      <c r="A11" s="4"/>
      <c r="C11" s="80" t="s">
        <v>52</v>
      </c>
      <c r="D11" s="81" t="s">
        <v>53</v>
      </c>
      <c r="E11" s="81" t="s">
        <v>13</v>
      </c>
      <c r="F11" s="79" t="s">
        <v>54</v>
      </c>
      <c r="G11" s="2"/>
      <c r="H11" s="63">
        <f>IF($E11="Labour",Assumptions!$B$14,)</f>
        <v>0</v>
      </c>
      <c r="I11" s="9" t="str">
        <f t="shared" ref="I11:I90" si="5">IF($E11="Labour","Hours","$")</f>
        <v>$</v>
      </c>
      <c r="J11" s="2"/>
      <c r="K11" s="82"/>
      <c r="L11" s="82"/>
      <c r="M11" s="82"/>
      <c r="N11" s="82"/>
      <c r="O11" s="82"/>
      <c r="P11" s="2"/>
      <c r="Q11" s="5">
        <f t="shared" si="0"/>
        <v>0</v>
      </c>
      <c r="R11" s="5">
        <f t="shared" si="1"/>
        <v>0</v>
      </c>
      <c r="S11" s="5">
        <f t="shared" si="2"/>
        <v>0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0" t="s">
        <v>52</v>
      </c>
      <c r="D12" s="81" t="s">
        <v>53</v>
      </c>
      <c r="E12" s="81" t="s">
        <v>14</v>
      </c>
      <c r="F12" s="79" t="s">
        <v>54</v>
      </c>
      <c r="G12" s="2"/>
      <c r="H12" s="63">
        <f>IF($E12="Labour",Assumptions!$B$14,)</f>
        <v>0</v>
      </c>
      <c r="I12" s="9" t="str">
        <f t="shared" si="5"/>
        <v>$</v>
      </c>
      <c r="J12" s="2"/>
      <c r="K12" s="82">
        <f>5000*63.2/100</f>
        <v>3160</v>
      </c>
      <c r="L12" s="82">
        <f>5000*63.2/100</f>
        <v>3160</v>
      </c>
      <c r="M12" s="82">
        <f>5000*63.2/100</f>
        <v>3160</v>
      </c>
      <c r="N12" s="82">
        <f>5000*63.2/100</f>
        <v>3160</v>
      </c>
      <c r="O12" s="82">
        <f>5000*63.2/100</f>
        <v>3160</v>
      </c>
      <c r="P12" s="2"/>
      <c r="Q12" s="5">
        <f t="shared" si="0"/>
        <v>3160</v>
      </c>
      <c r="R12" s="5">
        <f t="shared" si="1"/>
        <v>3160</v>
      </c>
      <c r="S12" s="5">
        <f t="shared" si="2"/>
        <v>3160</v>
      </c>
      <c r="T12" s="5">
        <f t="shared" si="3"/>
        <v>3160</v>
      </c>
      <c r="U12" s="5">
        <f t="shared" si="4"/>
        <v>3160</v>
      </c>
    </row>
    <row r="13" spans="1:26" ht="12.75" customHeight="1" x14ac:dyDescent="0.25">
      <c r="A13" s="4"/>
      <c r="C13" s="80" t="s">
        <v>55</v>
      </c>
      <c r="D13" s="81" t="s">
        <v>53</v>
      </c>
      <c r="E13" s="81" t="s">
        <v>11</v>
      </c>
      <c r="F13" s="79" t="s">
        <v>54</v>
      </c>
      <c r="G13" s="2"/>
      <c r="H13" s="63">
        <f>IF($E13="Labour",Assumptions!$B$14,)</f>
        <v>145.77740895836223</v>
      </c>
      <c r="I13" s="9" t="str">
        <f t="shared" si="5"/>
        <v>Hours</v>
      </c>
      <c r="J13" s="2"/>
      <c r="K13" s="82">
        <f>750*50/100</f>
        <v>375</v>
      </c>
      <c r="L13" s="82"/>
      <c r="M13" s="82">
        <f>750*50/100</f>
        <v>375</v>
      </c>
      <c r="N13" s="82"/>
      <c r="O13" s="82"/>
      <c r="P13" s="2"/>
      <c r="Q13" s="5">
        <f t="shared" si="0"/>
        <v>54666.528359385833</v>
      </c>
      <c r="R13" s="5">
        <f t="shared" si="1"/>
        <v>0</v>
      </c>
      <c r="S13" s="5">
        <f t="shared" si="2"/>
        <v>54666.528359385833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0" t="s">
        <v>55</v>
      </c>
      <c r="D14" s="81" t="s">
        <v>53</v>
      </c>
      <c r="E14" s="81" t="s">
        <v>13</v>
      </c>
      <c r="F14" s="79" t="s">
        <v>54</v>
      </c>
      <c r="G14" s="2"/>
      <c r="H14" s="63">
        <f>IF($E14="Labour",Assumptions!$B$14,)</f>
        <v>0</v>
      </c>
      <c r="I14" s="9" t="str">
        <f t="shared" si="5"/>
        <v>$</v>
      </c>
      <c r="J14" s="2"/>
      <c r="K14" s="82">
        <f>100000*50/100</f>
        <v>50000</v>
      </c>
      <c r="L14" s="82"/>
      <c r="M14" s="82">
        <f>100000*50/100</f>
        <v>50000</v>
      </c>
      <c r="N14" s="82"/>
      <c r="O14" s="82"/>
      <c r="P14" s="2"/>
      <c r="Q14" s="5">
        <f t="shared" si="0"/>
        <v>50000</v>
      </c>
      <c r="R14" s="5">
        <f t="shared" si="1"/>
        <v>0</v>
      </c>
      <c r="S14" s="5">
        <f t="shared" si="2"/>
        <v>50000</v>
      </c>
      <c r="T14" s="5">
        <f t="shared" si="3"/>
        <v>0</v>
      </c>
      <c r="U14" s="5">
        <f t="shared" si="4"/>
        <v>0</v>
      </c>
      <c r="Z14"/>
    </row>
    <row r="15" spans="1:26" ht="12.75" customHeight="1" x14ac:dyDescent="0.25">
      <c r="A15" s="4"/>
      <c r="C15" s="80" t="s">
        <v>55</v>
      </c>
      <c r="D15" s="81" t="s">
        <v>53</v>
      </c>
      <c r="E15" s="81" t="s">
        <v>14</v>
      </c>
      <c r="F15" s="79" t="s">
        <v>54</v>
      </c>
      <c r="G15" s="2"/>
      <c r="H15" s="63">
        <f>IF($E15="Labour",Assumptions!$B$14,)</f>
        <v>0</v>
      </c>
      <c r="I15" s="9" t="str">
        <f t="shared" si="5"/>
        <v>$</v>
      </c>
      <c r="J15" s="2"/>
      <c r="K15" s="82">
        <f>400000*50/100</f>
        <v>200000</v>
      </c>
      <c r="L15" s="82"/>
      <c r="M15" s="82">
        <f>400000*50/100</f>
        <v>200000</v>
      </c>
      <c r="N15" s="82"/>
      <c r="O15" s="82"/>
      <c r="P15" s="2"/>
      <c r="Q15" s="5">
        <f t="shared" si="0"/>
        <v>200000</v>
      </c>
      <c r="R15" s="5">
        <f t="shared" si="1"/>
        <v>0</v>
      </c>
      <c r="S15" s="5">
        <f t="shared" si="2"/>
        <v>200000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0" t="s">
        <v>56</v>
      </c>
      <c r="D16" s="81" t="s">
        <v>53</v>
      </c>
      <c r="E16" s="81" t="s">
        <v>11</v>
      </c>
      <c r="F16" s="79" t="s">
        <v>54</v>
      </c>
      <c r="G16" s="2"/>
      <c r="H16" s="63">
        <f>IF($E16="Labour",Assumptions!$B$14,)</f>
        <v>145.77740895836223</v>
      </c>
      <c r="I16" s="9" t="str">
        <f t="shared" si="5"/>
        <v>Hours</v>
      </c>
      <c r="J16" s="2"/>
      <c r="K16" s="82">
        <f>326*63.2/100</f>
        <v>206.03200000000001</v>
      </c>
      <c r="L16" s="82"/>
      <c r="M16" s="82">
        <f>326*63.2/100</f>
        <v>206.03200000000001</v>
      </c>
      <c r="N16" s="82"/>
      <c r="O16" s="82"/>
      <c r="P16" s="2"/>
      <c r="Q16" s="5">
        <f t="shared" si="0"/>
        <v>30034.811122509287</v>
      </c>
      <c r="R16" s="5">
        <f t="shared" si="1"/>
        <v>0</v>
      </c>
      <c r="S16" s="5">
        <f t="shared" si="2"/>
        <v>30034.811122509287</v>
      </c>
      <c r="T16" s="5">
        <f t="shared" si="3"/>
        <v>0</v>
      </c>
      <c r="U16" s="5">
        <f t="shared" si="4"/>
        <v>0</v>
      </c>
      <c r="Z16"/>
    </row>
    <row r="17" spans="1:26" ht="12.75" customHeight="1" x14ac:dyDescent="0.25">
      <c r="A17" s="4"/>
      <c r="C17" s="80" t="s">
        <v>56</v>
      </c>
      <c r="D17" s="81" t="s">
        <v>53</v>
      </c>
      <c r="E17" s="81" t="s">
        <v>13</v>
      </c>
      <c r="F17" s="79" t="s">
        <v>54</v>
      </c>
      <c r="G17" s="2"/>
      <c r="H17" s="63">
        <f>IF($E17="Labour",Assumptions!$B$14,)</f>
        <v>0</v>
      </c>
      <c r="I17" s="9" t="str">
        <f t="shared" si="5"/>
        <v>$</v>
      </c>
      <c r="J17" s="2"/>
      <c r="K17" s="82"/>
      <c r="L17" s="82"/>
      <c r="M17" s="82"/>
      <c r="N17" s="82"/>
      <c r="O17" s="82"/>
      <c r="P17" s="2"/>
      <c r="Q17" s="5">
        <f t="shared" si="0"/>
        <v>0</v>
      </c>
      <c r="R17" s="5">
        <f t="shared" si="1"/>
        <v>0</v>
      </c>
      <c r="S17" s="5">
        <f t="shared" si="2"/>
        <v>0</v>
      </c>
      <c r="T17" s="5">
        <f t="shared" si="3"/>
        <v>0</v>
      </c>
      <c r="U17" s="5">
        <f t="shared" si="4"/>
        <v>0</v>
      </c>
      <c r="Z17"/>
    </row>
    <row r="18" spans="1:26" ht="12.75" customHeight="1" x14ac:dyDescent="0.25">
      <c r="A18" s="4"/>
      <c r="C18" s="80" t="s">
        <v>56</v>
      </c>
      <c r="D18" s="81" t="s">
        <v>53</v>
      </c>
      <c r="E18" s="81" t="s">
        <v>14</v>
      </c>
      <c r="F18" s="79" t="s">
        <v>54</v>
      </c>
      <c r="G18" s="2"/>
      <c r="H18" s="63">
        <f>IF($E18="Labour",Assumptions!$B$14,)</f>
        <v>0</v>
      </c>
      <c r="I18" s="9" t="str">
        <f t="shared" si="5"/>
        <v>$</v>
      </c>
      <c r="J18" s="2"/>
      <c r="K18" s="82">
        <f>110000*63.2/100</f>
        <v>69520</v>
      </c>
      <c r="L18" s="82"/>
      <c r="M18" s="82">
        <f>110000*63.2/100</f>
        <v>69520</v>
      </c>
      <c r="N18" s="82"/>
      <c r="O18" s="82"/>
      <c r="P18" s="2"/>
      <c r="Q18" s="5">
        <f t="shared" si="0"/>
        <v>69520</v>
      </c>
      <c r="R18" s="5">
        <f t="shared" si="1"/>
        <v>0</v>
      </c>
      <c r="S18" s="5">
        <f t="shared" si="2"/>
        <v>69520</v>
      </c>
      <c r="T18" s="5">
        <f t="shared" si="3"/>
        <v>0</v>
      </c>
      <c r="U18" s="5">
        <f t="shared" si="4"/>
        <v>0</v>
      </c>
      <c r="Z18"/>
    </row>
    <row r="19" spans="1:26" ht="12.75" customHeight="1" x14ac:dyDescent="0.25">
      <c r="A19" s="4"/>
      <c r="C19" s="80" t="s">
        <v>57</v>
      </c>
      <c r="D19" s="81" t="s">
        <v>53</v>
      </c>
      <c r="E19" s="81" t="s">
        <v>11</v>
      </c>
      <c r="F19" s="79" t="s">
        <v>54</v>
      </c>
      <c r="G19" s="2"/>
      <c r="H19" s="63">
        <f>IF($E19="Labour",Assumptions!$B$14,)</f>
        <v>145.77740895836223</v>
      </c>
      <c r="I19" s="9" t="str">
        <f t="shared" si="5"/>
        <v>Hours</v>
      </c>
      <c r="J19" s="2"/>
      <c r="K19" s="82">
        <f>2146*63.2/100</f>
        <v>1356.2720000000002</v>
      </c>
      <c r="L19" s="82"/>
      <c r="M19" s="82"/>
      <c r="N19" s="82"/>
      <c r="O19" s="82"/>
      <c r="P19" s="2"/>
      <c r="Q19" s="5">
        <f t="shared" si="0"/>
        <v>197713.81800277589</v>
      </c>
      <c r="R19" s="5">
        <f t="shared" si="1"/>
        <v>0</v>
      </c>
      <c r="S19" s="5">
        <f t="shared" si="2"/>
        <v>0</v>
      </c>
      <c r="T19" s="5">
        <f t="shared" si="3"/>
        <v>0</v>
      </c>
      <c r="U19" s="5">
        <f t="shared" si="4"/>
        <v>0</v>
      </c>
      <c r="Z19"/>
    </row>
    <row r="20" spans="1:26" ht="12.75" customHeight="1" x14ac:dyDescent="0.25">
      <c r="A20" s="4"/>
      <c r="C20" s="80" t="s">
        <v>57</v>
      </c>
      <c r="D20" s="81" t="s">
        <v>53</v>
      </c>
      <c r="E20" s="81" t="s">
        <v>13</v>
      </c>
      <c r="F20" s="79" t="s">
        <v>54</v>
      </c>
      <c r="G20" s="2"/>
      <c r="H20" s="63">
        <f>IF($E20="Labour",Assumptions!$B$14,)</f>
        <v>0</v>
      </c>
      <c r="I20" s="9" t="str">
        <f t="shared" si="5"/>
        <v>$</v>
      </c>
      <c r="J20" s="2"/>
      <c r="K20" s="82">
        <f>330000*63.2/100</f>
        <v>208560</v>
      </c>
      <c r="L20" s="82"/>
      <c r="M20" s="82"/>
      <c r="N20" s="82"/>
      <c r="O20" s="82"/>
      <c r="P20" s="2"/>
      <c r="Q20" s="5">
        <f t="shared" si="0"/>
        <v>208560</v>
      </c>
      <c r="R20" s="5">
        <f t="shared" si="1"/>
        <v>0</v>
      </c>
      <c r="S20" s="5">
        <f t="shared" si="2"/>
        <v>0</v>
      </c>
      <c r="T20" s="5">
        <f t="shared" si="3"/>
        <v>0</v>
      </c>
      <c r="U20" s="5">
        <f t="shared" si="4"/>
        <v>0</v>
      </c>
      <c r="Z20"/>
    </row>
    <row r="21" spans="1:26" ht="12.75" customHeight="1" x14ac:dyDescent="0.25">
      <c r="A21" s="4"/>
      <c r="C21" s="80" t="s">
        <v>57</v>
      </c>
      <c r="D21" s="81" t="s">
        <v>53</v>
      </c>
      <c r="E21" s="81" t="s">
        <v>14</v>
      </c>
      <c r="F21" s="79" t="s">
        <v>54</v>
      </c>
      <c r="G21" s="2"/>
      <c r="H21" s="63">
        <f>IF($E21="Labour",Assumptions!$B$14,)</f>
        <v>0</v>
      </c>
      <c r="I21" s="9" t="str">
        <f t="shared" si="5"/>
        <v>$</v>
      </c>
      <c r="J21" s="2"/>
      <c r="K21" s="82">
        <f>430000*63.2/100</f>
        <v>271760</v>
      </c>
      <c r="L21" s="82">
        <f>70000*63.2/100</f>
        <v>44240</v>
      </c>
      <c r="M21" s="82"/>
      <c r="N21" s="82"/>
      <c r="O21" s="82"/>
      <c r="P21" s="2"/>
      <c r="Q21" s="5">
        <f t="shared" si="0"/>
        <v>271760</v>
      </c>
      <c r="R21" s="5">
        <f t="shared" si="1"/>
        <v>44240</v>
      </c>
      <c r="S21" s="5">
        <f t="shared" si="2"/>
        <v>0</v>
      </c>
      <c r="T21" s="5">
        <f t="shared" si="3"/>
        <v>0</v>
      </c>
      <c r="U21" s="5">
        <f t="shared" si="4"/>
        <v>0</v>
      </c>
      <c r="Z21"/>
    </row>
    <row r="22" spans="1:26" ht="12.75" customHeight="1" x14ac:dyDescent="0.25">
      <c r="A22" s="4"/>
      <c r="C22" s="80" t="s">
        <v>58</v>
      </c>
      <c r="D22" s="81" t="s">
        <v>53</v>
      </c>
      <c r="E22" s="81" t="s">
        <v>11</v>
      </c>
      <c r="F22" s="79" t="s">
        <v>54</v>
      </c>
      <c r="G22" s="2"/>
      <c r="H22" s="63">
        <f>IF($E22="Labour",Assumptions!$B$14,)</f>
        <v>145.77740895836223</v>
      </c>
      <c r="I22" s="9" t="str">
        <f t="shared" si="5"/>
        <v>Hours</v>
      </c>
      <c r="J22" s="2"/>
      <c r="K22" s="82">
        <f>500*63.2/100</f>
        <v>316</v>
      </c>
      <c r="L22" s="82">
        <f>500*63.2/100</f>
        <v>316</v>
      </c>
      <c r="M22" s="82">
        <f>500*63.2/100</f>
        <v>316</v>
      </c>
      <c r="N22" s="82">
        <f>500*63.2/100</f>
        <v>316</v>
      </c>
      <c r="O22" s="82">
        <f>500*63.2/100</f>
        <v>316</v>
      </c>
      <c r="P22" s="2"/>
      <c r="Q22" s="5">
        <f t="shared" si="0"/>
        <v>46065.661230842466</v>
      </c>
      <c r="R22" s="5">
        <f t="shared" si="1"/>
        <v>46065.661230842466</v>
      </c>
      <c r="S22" s="5">
        <f t="shared" si="2"/>
        <v>46065.661230842466</v>
      </c>
      <c r="T22" s="5">
        <f t="shared" si="3"/>
        <v>46065.661230842466</v>
      </c>
      <c r="U22" s="5">
        <f t="shared" si="4"/>
        <v>46065.661230842466</v>
      </c>
      <c r="Z22"/>
    </row>
    <row r="23" spans="1:26" ht="12.75" customHeight="1" x14ac:dyDescent="0.25">
      <c r="A23" s="4"/>
      <c r="C23" s="80" t="s">
        <v>58</v>
      </c>
      <c r="D23" s="81" t="s">
        <v>53</v>
      </c>
      <c r="E23" s="81" t="s">
        <v>13</v>
      </c>
      <c r="F23" s="79" t="s">
        <v>54</v>
      </c>
      <c r="G23" s="2"/>
      <c r="H23" s="63">
        <f>IF($E23="Labour",Assumptions!$B$14,)</f>
        <v>0</v>
      </c>
      <c r="I23" s="9" t="str">
        <f t="shared" si="5"/>
        <v>$</v>
      </c>
      <c r="J23" s="2"/>
      <c r="K23" s="82"/>
      <c r="L23" s="82"/>
      <c r="M23" s="82"/>
      <c r="N23" s="82"/>
      <c r="O23" s="82"/>
      <c r="P23" s="2"/>
      <c r="Q23" s="5">
        <f t="shared" si="0"/>
        <v>0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0" t="s">
        <v>58</v>
      </c>
      <c r="D24" s="81" t="s">
        <v>53</v>
      </c>
      <c r="E24" s="81" t="s">
        <v>14</v>
      </c>
      <c r="F24" s="79" t="s">
        <v>54</v>
      </c>
      <c r="G24" s="2"/>
      <c r="H24" s="63">
        <f>IF($E24="Labour",Assumptions!$B$14,)</f>
        <v>0</v>
      </c>
      <c r="I24" s="9" t="str">
        <f t="shared" si="5"/>
        <v>$</v>
      </c>
      <c r="J24" s="2"/>
      <c r="K24" s="82">
        <f>125000*63.2/100</f>
        <v>79000</v>
      </c>
      <c r="L24" s="82">
        <f>125000*63.2/100</f>
        <v>79000</v>
      </c>
      <c r="M24" s="82">
        <f>125000*63.2/100</f>
        <v>79000</v>
      </c>
      <c r="N24" s="82">
        <f>125000*63.2/100</f>
        <v>79000</v>
      </c>
      <c r="O24" s="82">
        <f>125000*63.2/100</f>
        <v>79000</v>
      </c>
      <c r="P24" s="2"/>
      <c r="Q24" s="5">
        <f t="shared" si="0"/>
        <v>79000</v>
      </c>
      <c r="R24" s="5">
        <f t="shared" si="1"/>
        <v>79000</v>
      </c>
      <c r="S24" s="5">
        <f t="shared" si="2"/>
        <v>79000</v>
      </c>
      <c r="T24" s="5">
        <f t="shared" si="3"/>
        <v>79000</v>
      </c>
      <c r="U24" s="5">
        <f t="shared" si="4"/>
        <v>79000</v>
      </c>
      <c r="Z24"/>
    </row>
    <row r="25" spans="1:26" ht="12.75" customHeight="1" x14ac:dyDescent="0.25">
      <c r="A25" s="4"/>
      <c r="C25" s="80" t="s">
        <v>125</v>
      </c>
      <c r="D25" s="81" t="s">
        <v>53</v>
      </c>
      <c r="E25" s="81" t="s">
        <v>11</v>
      </c>
      <c r="F25" s="79" t="s">
        <v>54</v>
      </c>
      <c r="G25" s="2"/>
      <c r="H25" s="63">
        <f>IF($E25="Labour",Assumptions!$B$14,)</f>
        <v>145.77740895836223</v>
      </c>
      <c r="I25" s="9" t="str">
        <f t="shared" si="5"/>
        <v>Hours</v>
      </c>
      <c r="J25" s="2"/>
      <c r="K25" s="82"/>
      <c r="L25" s="82"/>
      <c r="M25" s="82">
        <f>1000*100/100</f>
        <v>1000</v>
      </c>
      <c r="N25" s="82"/>
      <c r="O25" s="82">
        <f>1750*100/100</f>
        <v>1750</v>
      </c>
      <c r="P25" s="2"/>
      <c r="Q25" s="5">
        <f t="shared" si="0"/>
        <v>0</v>
      </c>
      <c r="R25" s="5">
        <f t="shared" si="1"/>
        <v>0</v>
      </c>
      <c r="S25" s="5">
        <f t="shared" si="2"/>
        <v>145777.40895836224</v>
      </c>
      <c r="T25" s="5">
        <f t="shared" si="3"/>
        <v>0</v>
      </c>
      <c r="U25" s="5">
        <f t="shared" si="4"/>
        <v>255110.46567713391</v>
      </c>
      <c r="Z25"/>
    </row>
    <row r="26" spans="1:26" ht="12.75" customHeight="1" x14ac:dyDescent="0.25">
      <c r="A26" s="4"/>
      <c r="C26" s="80" t="s">
        <v>125</v>
      </c>
      <c r="D26" s="81" t="s">
        <v>53</v>
      </c>
      <c r="E26" s="81" t="s">
        <v>13</v>
      </c>
      <c r="F26" s="79" t="s">
        <v>54</v>
      </c>
      <c r="G26" s="2"/>
      <c r="H26" s="63">
        <f>IF($E26="Labour",Assumptions!$B$14,)</f>
        <v>0</v>
      </c>
      <c r="I26" s="9" t="str">
        <f t="shared" si="5"/>
        <v>$</v>
      </c>
      <c r="J26" s="2"/>
      <c r="K26" s="82"/>
      <c r="L26" s="82"/>
      <c r="M26" s="82"/>
      <c r="N26" s="82"/>
      <c r="O26" s="82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0" t="s">
        <v>125</v>
      </c>
      <c r="D27" s="81" t="s">
        <v>53</v>
      </c>
      <c r="E27" s="81" t="s">
        <v>14</v>
      </c>
      <c r="F27" s="79" t="s">
        <v>54</v>
      </c>
      <c r="G27" s="2"/>
      <c r="H27" s="63">
        <f>IF($E27="Labour",Assumptions!$B$14,)</f>
        <v>0</v>
      </c>
      <c r="I27" s="9" t="str">
        <f t="shared" si="5"/>
        <v>$</v>
      </c>
      <c r="J27" s="2"/>
      <c r="K27" s="82"/>
      <c r="L27" s="82"/>
      <c r="M27" s="82">
        <f>150000*100/100</f>
        <v>150000</v>
      </c>
      <c r="N27" s="82"/>
      <c r="O27" s="82">
        <f>250000*100/100</f>
        <v>250000</v>
      </c>
      <c r="P27" s="2"/>
      <c r="Q27" s="5">
        <f t="shared" si="0"/>
        <v>0</v>
      </c>
      <c r="R27" s="5">
        <f t="shared" si="1"/>
        <v>0</v>
      </c>
      <c r="S27" s="5">
        <f t="shared" si="2"/>
        <v>150000</v>
      </c>
      <c r="T27" s="5">
        <f t="shared" si="3"/>
        <v>0</v>
      </c>
      <c r="U27" s="5">
        <f t="shared" si="4"/>
        <v>250000</v>
      </c>
      <c r="Z27"/>
    </row>
    <row r="28" spans="1:26" ht="12.75" customHeight="1" x14ac:dyDescent="0.25">
      <c r="A28" s="4"/>
      <c r="C28" s="80" t="s">
        <v>59</v>
      </c>
      <c r="D28" s="81" t="s">
        <v>53</v>
      </c>
      <c r="E28" s="81" t="s">
        <v>11</v>
      </c>
      <c r="F28" s="79" t="s">
        <v>54</v>
      </c>
      <c r="G28" s="2"/>
      <c r="H28" s="63">
        <f>IF($E28="Labour",Assumptions!$B$14,)</f>
        <v>145.77740895836223</v>
      </c>
      <c r="I28" s="9" t="str">
        <f t="shared" si="5"/>
        <v>Hours</v>
      </c>
      <c r="J28" s="2"/>
      <c r="K28" s="82">
        <f>3322*50/100</f>
        <v>1661</v>
      </c>
      <c r="L28" s="82"/>
      <c r="M28" s="82"/>
      <c r="N28" s="82">
        <f>3322*50/100</f>
        <v>1661</v>
      </c>
      <c r="O28" s="82"/>
      <c r="P28" s="2"/>
      <c r="Q28" s="5">
        <f t="shared" si="0"/>
        <v>242136.27627983966</v>
      </c>
      <c r="R28" s="5">
        <f t="shared" si="1"/>
        <v>0</v>
      </c>
      <c r="S28" s="5">
        <f t="shared" si="2"/>
        <v>0</v>
      </c>
      <c r="T28" s="5">
        <f t="shared" si="3"/>
        <v>242136.27627983966</v>
      </c>
      <c r="U28" s="5">
        <f t="shared" si="4"/>
        <v>0</v>
      </c>
      <c r="Z28"/>
    </row>
    <row r="29" spans="1:26" ht="12.75" customHeight="1" x14ac:dyDescent="0.25">
      <c r="A29" s="4"/>
      <c r="C29" s="80" t="s">
        <v>59</v>
      </c>
      <c r="D29" s="81" t="s">
        <v>53</v>
      </c>
      <c r="E29" s="81" t="s">
        <v>13</v>
      </c>
      <c r="F29" s="79" t="s">
        <v>54</v>
      </c>
      <c r="G29" s="2"/>
      <c r="H29" s="63">
        <f>IF($E29="Labour",Assumptions!$B$14,)</f>
        <v>0</v>
      </c>
      <c r="I29" s="9" t="str">
        <f t="shared" si="5"/>
        <v>$</v>
      </c>
      <c r="J29" s="2"/>
      <c r="K29" s="82">
        <f>160000*50/100</f>
        <v>80000</v>
      </c>
      <c r="L29" s="82"/>
      <c r="M29" s="82"/>
      <c r="N29" s="82">
        <f>160000*50/100</f>
        <v>80000</v>
      </c>
      <c r="O29" s="82"/>
      <c r="P29" s="2"/>
      <c r="Q29" s="5">
        <f t="shared" si="0"/>
        <v>80000</v>
      </c>
      <c r="R29" s="5">
        <f t="shared" si="1"/>
        <v>0</v>
      </c>
      <c r="S29" s="5">
        <f t="shared" si="2"/>
        <v>0</v>
      </c>
      <c r="T29" s="5">
        <f t="shared" si="3"/>
        <v>80000</v>
      </c>
      <c r="U29" s="5">
        <f t="shared" si="4"/>
        <v>0</v>
      </c>
      <c r="Z29"/>
    </row>
    <row r="30" spans="1:26" ht="15" x14ac:dyDescent="0.25">
      <c r="A30" s="4"/>
      <c r="C30" s="80" t="s">
        <v>59</v>
      </c>
      <c r="D30" s="81" t="s">
        <v>53</v>
      </c>
      <c r="E30" s="81" t="s">
        <v>14</v>
      </c>
      <c r="F30" s="79" t="s">
        <v>54</v>
      </c>
      <c r="G30" s="2"/>
      <c r="H30" s="63">
        <f>IF($E30="Labour",Assumptions!$B$14,)</f>
        <v>0</v>
      </c>
      <c r="I30" s="9" t="str">
        <f t="shared" si="5"/>
        <v>$</v>
      </c>
      <c r="J30" s="2"/>
      <c r="K30" s="82"/>
      <c r="L30" s="82"/>
      <c r="M30" s="82"/>
      <c r="N30" s="82"/>
      <c r="O30" s="82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0" t="s">
        <v>60</v>
      </c>
      <c r="D31" s="81" t="s">
        <v>53</v>
      </c>
      <c r="E31" s="81" t="s">
        <v>11</v>
      </c>
      <c r="F31" s="79" t="s">
        <v>54</v>
      </c>
      <c r="G31" s="2"/>
      <c r="H31" s="63">
        <f>IF($E31="Labour",Assumptions!$B$14,)</f>
        <v>145.77740895836223</v>
      </c>
      <c r="I31" s="9" t="str">
        <f t="shared" si="5"/>
        <v>Hours</v>
      </c>
      <c r="J31" s="2"/>
      <c r="K31" s="82">
        <f>2200*63.2/100</f>
        <v>1390.4</v>
      </c>
      <c r="L31" s="82"/>
      <c r="M31" s="82"/>
      <c r="N31" s="82">
        <f>2200*63.2/100</f>
        <v>1390.4</v>
      </c>
      <c r="O31" s="82"/>
      <c r="P31" s="2"/>
      <c r="Q31" s="5">
        <f t="shared" si="0"/>
        <v>202688.90941570685</v>
      </c>
      <c r="R31" s="5">
        <f t="shared" si="1"/>
        <v>0</v>
      </c>
      <c r="S31" s="5">
        <f t="shared" si="2"/>
        <v>0</v>
      </c>
      <c r="T31" s="5">
        <f t="shared" si="3"/>
        <v>202688.90941570685</v>
      </c>
      <c r="U31" s="5">
        <f t="shared" si="4"/>
        <v>0</v>
      </c>
      <c r="Z31"/>
    </row>
    <row r="32" spans="1:26" ht="12.75" customHeight="1" x14ac:dyDescent="0.25">
      <c r="A32" s="4"/>
      <c r="C32" s="80" t="s">
        <v>60</v>
      </c>
      <c r="D32" s="81" t="s">
        <v>53</v>
      </c>
      <c r="E32" s="81" t="s">
        <v>13</v>
      </c>
      <c r="F32" s="79" t="s">
        <v>54</v>
      </c>
      <c r="G32" s="2"/>
      <c r="H32" s="63">
        <f>IF($E32="Labour",Assumptions!$B$14,)</f>
        <v>0</v>
      </c>
      <c r="I32" s="9" t="str">
        <f t="shared" si="5"/>
        <v>$</v>
      </c>
      <c r="J32" s="2"/>
      <c r="K32" s="82">
        <f>30000*63.2/100</f>
        <v>18960</v>
      </c>
      <c r="L32" s="82"/>
      <c r="M32" s="82"/>
      <c r="N32" s="82">
        <f>30000*63.2/100</f>
        <v>18960</v>
      </c>
      <c r="O32" s="82"/>
      <c r="P32" s="2"/>
      <c r="Q32" s="5">
        <f t="shared" si="0"/>
        <v>18960</v>
      </c>
      <c r="R32" s="5">
        <f t="shared" si="1"/>
        <v>0</v>
      </c>
      <c r="S32" s="5">
        <f t="shared" si="2"/>
        <v>0</v>
      </c>
      <c r="T32" s="5">
        <f t="shared" si="3"/>
        <v>18960</v>
      </c>
      <c r="U32" s="5">
        <f t="shared" si="4"/>
        <v>0</v>
      </c>
      <c r="Z32"/>
    </row>
    <row r="33" spans="1:26" ht="12.75" customHeight="1" x14ac:dyDescent="0.25">
      <c r="A33" s="4"/>
      <c r="C33" s="80" t="s">
        <v>60</v>
      </c>
      <c r="D33" s="81" t="s">
        <v>53</v>
      </c>
      <c r="E33" s="81" t="s">
        <v>14</v>
      </c>
      <c r="F33" s="79" t="s">
        <v>54</v>
      </c>
      <c r="G33" s="2"/>
      <c r="H33" s="63">
        <f>IF($E33="Labour",Assumptions!$B$14,)</f>
        <v>0</v>
      </c>
      <c r="I33" s="9" t="str">
        <f t="shared" si="5"/>
        <v>$</v>
      </c>
      <c r="J33" s="2"/>
      <c r="K33" s="82">
        <f>740000*63.2/100</f>
        <v>467680</v>
      </c>
      <c r="L33" s="82"/>
      <c r="M33" s="82"/>
      <c r="N33" s="82">
        <f>740000*63.2/100</f>
        <v>467680</v>
      </c>
      <c r="O33" s="82"/>
      <c r="P33" s="2"/>
      <c r="Q33" s="5">
        <f t="shared" si="0"/>
        <v>467680</v>
      </c>
      <c r="R33" s="5">
        <f t="shared" si="1"/>
        <v>0</v>
      </c>
      <c r="S33" s="5">
        <f t="shared" si="2"/>
        <v>0</v>
      </c>
      <c r="T33" s="5">
        <f t="shared" si="3"/>
        <v>467680</v>
      </c>
      <c r="U33" s="5">
        <f t="shared" si="4"/>
        <v>0</v>
      </c>
      <c r="Z33"/>
    </row>
    <row r="34" spans="1:26" ht="12.6" customHeight="1" x14ac:dyDescent="0.25">
      <c r="A34" s="4"/>
      <c r="C34" s="80" t="s">
        <v>124</v>
      </c>
      <c r="D34" s="81" t="s">
        <v>53</v>
      </c>
      <c r="E34" s="81" t="s">
        <v>11</v>
      </c>
      <c r="F34" s="79" t="s">
        <v>54</v>
      </c>
      <c r="G34" s="2"/>
      <c r="H34" s="63">
        <f>IF($E34="Labour",Assumptions!$B$14,)</f>
        <v>145.77740895836223</v>
      </c>
      <c r="I34" s="9" t="str">
        <f t="shared" si="5"/>
        <v>Hours</v>
      </c>
      <c r="J34" s="2"/>
      <c r="K34" s="82">
        <f>218199/H34</f>
        <v>1496.7957076416637</v>
      </c>
      <c r="L34" s="82"/>
      <c r="M34" s="82"/>
      <c r="N34" s="82"/>
      <c r="O34" s="82">
        <f>218199/H34</f>
        <v>1496.7957076416637</v>
      </c>
      <c r="P34" s="2"/>
      <c r="Q34" s="5">
        <f t="shared" si="0"/>
        <v>218199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218199</v>
      </c>
      <c r="Z34"/>
    </row>
    <row r="35" spans="1:26" ht="12.75" customHeight="1" x14ac:dyDescent="0.25">
      <c r="A35" s="4"/>
      <c r="C35" s="80" t="s">
        <v>124</v>
      </c>
      <c r="D35" s="81" t="s">
        <v>53</v>
      </c>
      <c r="E35" s="81" t="s">
        <v>13</v>
      </c>
      <c r="F35" s="79" t="s">
        <v>54</v>
      </c>
      <c r="G35" s="2"/>
      <c r="H35" s="63">
        <f>IF($E35="Labour",Assumptions!$B$14,)</f>
        <v>0</v>
      </c>
      <c r="I35" s="9" t="str">
        <f t="shared" si="5"/>
        <v>$</v>
      </c>
      <c r="J35" s="2"/>
      <c r="K35" s="82" t="s">
        <v>79</v>
      </c>
      <c r="L35" s="82"/>
      <c r="M35" s="82"/>
      <c r="N35" s="82"/>
      <c r="O35" s="82" t="s">
        <v>79</v>
      </c>
      <c r="P35" s="2"/>
      <c r="Q35" s="5" t="str">
        <f t="shared" si="0"/>
        <v>-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 t="str">
        <f t="shared" si="4"/>
        <v>-</v>
      </c>
      <c r="Z35"/>
    </row>
    <row r="36" spans="1:26" ht="12.6" customHeight="1" x14ac:dyDescent="0.25">
      <c r="A36" s="4"/>
      <c r="C36" s="80" t="s">
        <v>124</v>
      </c>
      <c r="D36" s="81" t="s">
        <v>53</v>
      </c>
      <c r="E36" s="81" t="s">
        <v>14</v>
      </c>
      <c r="F36" s="79" t="s">
        <v>54</v>
      </c>
      <c r="G36" s="2"/>
      <c r="H36" s="63">
        <f>IF($E36="Labour",Assumptions!$B$14,)</f>
        <v>0</v>
      </c>
      <c r="I36" s="9" t="str">
        <f t="shared" si="5"/>
        <v>$</v>
      </c>
      <c r="J36" s="2"/>
      <c r="K36" s="82">
        <v>117492</v>
      </c>
      <c r="L36" s="82"/>
      <c r="M36" s="82"/>
      <c r="N36" s="82"/>
      <c r="O36" s="82">
        <v>117492</v>
      </c>
      <c r="P36" s="2"/>
      <c r="Q36" s="5">
        <f t="shared" si="0"/>
        <v>117492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117492</v>
      </c>
      <c r="Z36"/>
    </row>
    <row r="37" spans="1:26" ht="12.75" customHeight="1" x14ac:dyDescent="0.25">
      <c r="A37" s="4"/>
      <c r="C37" s="80" t="s">
        <v>61</v>
      </c>
      <c r="D37" s="81" t="s">
        <v>53</v>
      </c>
      <c r="E37" s="81" t="s">
        <v>11</v>
      </c>
      <c r="F37" s="79" t="s">
        <v>54</v>
      </c>
      <c r="G37" s="2"/>
      <c r="H37" s="63">
        <f>IF($E37="Labour",Assumptions!$B$14,)</f>
        <v>145.77740895836223</v>
      </c>
      <c r="I37" s="9" t="str">
        <f t="shared" si="5"/>
        <v>Hours</v>
      </c>
      <c r="J37" s="2"/>
      <c r="K37" s="82">
        <f>2500*100/100</f>
        <v>2500</v>
      </c>
      <c r="L37" s="82">
        <f>2500*100/100</f>
        <v>2500</v>
      </c>
      <c r="M37" s="82">
        <f>2500*100/100</f>
        <v>2500</v>
      </c>
      <c r="N37" s="82">
        <f>2500*100/100</f>
        <v>2500</v>
      </c>
      <c r="O37" s="82">
        <f>2500*100/100</f>
        <v>2500</v>
      </c>
      <c r="P37" s="2"/>
      <c r="Q37" s="5">
        <f t="shared" si="0"/>
        <v>364443.52239590557</v>
      </c>
      <c r="R37" s="5">
        <f t="shared" si="1"/>
        <v>364443.52239590557</v>
      </c>
      <c r="S37" s="5">
        <f t="shared" si="2"/>
        <v>364443.52239590557</v>
      </c>
      <c r="T37" s="5">
        <f t="shared" si="3"/>
        <v>364443.52239590557</v>
      </c>
      <c r="U37" s="5">
        <f t="shared" si="4"/>
        <v>364443.52239590557</v>
      </c>
      <c r="Z37"/>
    </row>
    <row r="38" spans="1:26" ht="12.75" customHeight="1" x14ac:dyDescent="0.25">
      <c r="A38" s="4"/>
      <c r="C38" s="80" t="s">
        <v>61</v>
      </c>
      <c r="D38" s="81" t="s">
        <v>53</v>
      </c>
      <c r="E38" s="81" t="s">
        <v>13</v>
      </c>
      <c r="F38" s="79" t="s">
        <v>54</v>
      </c>
      <c r="G38" s="2"/>
      <c r="H38" s="63">
        <f>IF($E38="Labour",Assumptions!$B$14,)</f>
        <v>0</v>
      </c>
      <c r="I38" s="9" t="str">
        <f t="shared" si="5"/>
        <v>$</v>
      </c>
      <c r="J38" s="2"/>
      <c r="K38" s="82"/>
      <c r="L38" s="82"/>
      <c r="M38" s="82"/>
      <c r="N38" s="82"/>
      <c r="O38" s="82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0" t="s">
        <v>61</v>
      </c>
      <c r="D39" s="81" t="s">
        <v>53</v>
      </c>
      <c r="E39" s="81" t="s">
        <v>14</v>
      </c>
      <c r="F39" s="79" t="s">
        <v>54</v>
      </c>
      <c r="G39" s="2"/>
      <c r="H39" s="63">
        <f>IF($E39="Labour",Assumptions!$B$14,)</f>
        <v>0</v>
      </c>
      <c r="I39" s="9" t="str">
        <f t="shared" si="5"/>
        <v>$</v>
      </c>
      <c r="J39" s="2"/>
      <c r="K39" s="82">
        <f>630000*100/100</f>
        <v>630000</v>
      </c>
      <c r="L39" s="82">
        <f>630000*100/100</f>
        <v>630000</v>
      </c>
      <c r="M39" s="82">
        <f>630000*100/100</f>
        <v>630000</v>
      </c>
      <c r="N39" s="82">
        <f>630000*100/100</f>
        <v>630000</v>
      </c>
      <c r="O39" s="82">
        <f>630000*100/100</f>
        <v>630000</v>
      </c>
      <c r="P39" s="2"/>
      <c r="Q39" s="5">
        <f t="shared" si="0"/>
        <v>630000</v>
      </c>
      <c r="R39" s="5">
        <f t="shared" si="1"/>
        <v>630000</v>
      </c>
      <c r="S39" s="5">
        <f t="shared" si="2"/>
        <v>630000</v>
      </c>
      <c r="T39" s="5">
        <f t="shared" si="3"/>
        <v>630000</v>
      </c>
      <c r="U39" s="5">
        <f t="shared" si="4"/>
        <v>630000</v>
      </c>
      <c r="Z39"/>
    </row>
    <row r="40" spans="1:26" ht="12.75" customHeight="1" x14ac:dyDescent="0.25">
      <c r="A40" s="4"/>
      <c r="C40" s="80" t="s">
        <v>62</v>
      </c>
      <c r="D40" s="81" t="s">
        <v>53</v>
      </c>
      <c r="E40" s="81" t="s">
        <v>11</v>
      </c>
      <c r="F40" s="79" t="s">
        <v>54</v>
      </c>
      <c r="G40" s="2"/>
      <c r="H40" s="63">
        <f>IF($E40="Labour",Assumptions!$B$14,)</f>
        <v>145.77740895836223</v>
      </c>
      <c r="I40" s="9" t="str">
        <f t="shared" si="5"/>
        <v>Hours</v>
      </c>
      <c r="J40" s="2"/>
      <c r="K40" s="82">
        <f>550*63.2/100</f>
        <v>347.6</v>
      </c>
      <c r="L40" s="82">
        <f>550*63.2/100</f>
        <v>347.6</v>
      </c>
      <c r="M40" s="82">
        <f>550*63.2/100</f>
        <v>347.6</v>
      </c>
      <c r="N40" s="82">
        <f>550*63.2/100</f>
        <v>347.6</v>
      </c>
      <c r="O40" s="82">
        <f>550*63.2/100</f>
        <v>347.6</v>
      </c>
      <c r="P40" s="2"/>
      <c r="Q40" s="5">
        <f t="shared" si="0"/>
        <v>50672.227353926712</v>
      </c>
      <c r="R40" s="5">
        <f t="shared" si="1"/>
        <v>50672.227353926712</v>
      </c>
      <c r="S40" s="5">
        <f t="shared" si="2"/>
        <v>50672.227353926712</v>
      </c>
      <c r="T40" s="5">
        <f t="shared" si="3"/>
        <v>50672.227353926712</v>
      </c>
      <c r="U40" s="5">
        <f t="shared" si="4"/>
        <v>50672.227353926712</v>
      </c>
      <c r="Z40"/>
    </row>
    <row r="41" spans="1:26" ht="12.75" customHeight="1" x14ac:dyDescent="0.25">
      <c r="A41" s="4"/>
      <c r="C41" s="80" t="s">
        <v>62</v>
      </c>
      <c r="D41" s="81" t="s">
        <v>53</v>
      </c>
      <c r="E41" s="81" t="s">
        <v>13</v>
      </c>
      <c r="F41" s="79" t="s">
        <v>54</v>
      </c>
      <c r="G41" s="2"/>
      <c r="H41" s="63">
        <f>IF($E41="Labour",Assumptions!$B$14,)</f>
        <v>0</v>
      </c>
      <c r="I41" s="9" t="str">
        <f t="shared" si="5"/>
        <v>$</v>
      </c>
      <c r="J41" s="2"/>
      <c r="K41" s="82"/>
      <c r="L41" s="82"/>
      <c r="M41" s="82"/>
      <c r="N41" s="82"/>
      <c r="O41" s="82"/>
      <c r="P41" s="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  <c r="Z41"/>
    </row>
    <row r="42" spans="1:26" ht="12.6" customHeight="1" x14ac:dyDescent="0.25">
      <c r="A42" s="4"/>
      <c r="C42" s="80" t="s">
        <v>62</v>
      </c>
      <c r="D42" s="81" t="s">
        <v>53</v>
      </c>
      <c r="E42" s="81" t="s">
        <v>14</v>
      </c>
      <c r="F42" s="79" t="s">
        <v>54</v>
      </c>
      <c r="G42" s="2"/>
      <c r="H42" s="63">
        <f>IF($E42="Labour",Assumptions!$B$14,)</f>
        <v>0</v>
      </c>
      <c r="I42" s="9" t="str">
        <f t="shared" si="5"/>
        <v>$</v>
      </c>
      <c r="J42" s="2"/>
      <c r="K42" s="82">
        <f>20000*63.2/100</f>
        <v>12640</v>
      </c>
      <c r="L42" s="82">
        <f>20000*63.2/100</f>
        <v>12640</v>
      </c>
      <c r="M42" s="82">
        <f>20000*63.2/100</f>
        <v>12640</v>
      </c>
      <c r="N42" s="82">
        <f>20000*63.2/100</f>
        <v>12640</v>
      </c>
      <c r="O42" s="82">
        <f>20000*63.2/100</f>
        <v>12640</v>
      </c>
      <c r="P42" s="2"/>
      <c r="Q42" s="5">
        <f t="shared" ref="Q42:Q73" si="6">IF($E42="Labour",$H42*K42,K42)</f>
        <v>12640</v>
      </c>
      <c r="R42" s="5">
        <f t="shared" ref="R42:R73" si="7">IF($E42="Labour",$H42*L42,L42)</f>
        <v>12640</v>
      </c>
      <c r="S42" s="5">
        <f t="shared" ref="S42:S73" si="8">IF($E42="Labour",$H42*M42,M42)</f>
        <v>12640</v>
      </c>
      <c r="T42" s="5">
        <f t="shared" ref="T42:T73" si="9">IF($E42="Labour",$H42*N42,N42)</f>
        <v>12640</v>
      </c>
      <c r="U42" s="5">
        <f t="shared" ref="U42:U73" si="10">IF($E42="Labour",$H42*O42,O42)</f>
        <v>12640</v>
      </c>
      <c r="Z42"/>
    </row>
    <row r="43" spans="1:26" ht="12.75" customHeight="1" x14ac:dyDescent="0.25">
      <c r="A43" s="4"/>
      <c r="C43" s="80" t="s">
        <v>80</v>
      </c>
      <c r="D43" s="81" t="s">
        <v>53</v>
      </c>
      <c r="E43" s="81" t="s">
        <v>11</v>
      </c>
      <c r="F43" s="79" t="s">
        <v>54</v>
      </c>
      <c r="G43" s="2"/>
      <c r="H43" s="63">
        <f>IF($E43="Labour",Assumptions!$B$14,)</f>
        <v>145.77740895836223</v>
      </c>
      <c r="I43" s="9" t="str">
        <f t="shared" si="5"/>
        <v>Hours</v>
      </c>
      <c r="J43" s="2"/>
      <c r="K43" s="82"/>
      <c r="L43" s="82">
        <v>1264</v>
      </c>
      <c r="M43" s="82"/>
      <c r="N43" s="82">
        <v>758</v>
      </c>
      <c r="O43" s="82"/>
      <c r="P43" s="2"/>
      <c r="Q43" s="5">
        <f t="shared" si="6"/>
        <v>0</v>
      </c>
      <c r="R43" s="5">
        <f t="shared" si="7"/>
        <v>184262.64492336987</v>
      </c>
      <c r="S43" s="5">
        <f t="shared" si="8"/>
        <v>0</v>
      </c>
      <c r="T43" s="5">
        <f t="shared" si="9"/>
        <v>110499.27599043857</v>
      </c>
      <c r="U43" s="5">
        <f t="shared" si="10"/>
        <v>0</v>
      </c>
      <c r="Z43"/>
    </row>
    <row r="44" spans="1:26" ht="12.75" customHeight="1" x14ac:dyDescent="0.25">
      <c r="A44" s="4"/>
      <c r="C44" s="80" t="s">
        <v>81</v>
      </c>
      <c r="D44" s="81" t="s">
        <v>53</v>
      </c>
      <c r="E44" s="81" t="s">
        <v>11</v>
      </c>
      <c r="F44" s="79" t="s">
        <v>54</v>
      </c>
      <c r="G44" s="2"/>
      <c r="H44" s="63">
        <f>IF($E44="Labour",Assumptions!$B$14,)</f>
        <v>145.77740895836223</v>
      </c>
      <c r="I44" s="9" t="str">
        <f t="shared" si="5"/>
        <v>Hours</v>
      </c>
      <c r="J44" s="2"/>
      <c r="K44" s="82"/>
      <c r="L44" s="82">
        <v>2528</v>
      </c>
      <c r="M44" s="82">
        <v>9405</v>
      </c>
      <c r="N44" s="82"/>
      <c r="O44" s="82"/>
      <c r="P44" s="2"/>
      <c r="Q44" s="5">
        <f t="shared" si="6"/>
        <v>0</v>
      </c>
      <c r="R44" s="5">
        <f t="shared" si="7"/>
        <v>368525.28984673973</v>
      </c>
      <c r="S44" s="5">
        <f t="shared" si="8"/>
        <v>1371036.5312533968</v>
      </c>
      <c r="T44" s="5">
        <f t="shared" si="9"/>
        <v>0</v>
      </c>
      <c r="U44" s="5">
        <f t="shared" si="10"/>
        <v>0</v>
      </c>
      <c r="Z44"/>
    </row>
    <row r="45" spans="1:26" ht="12.6" customHeight="1" x14ac:dyDescent="0.25">
      <c r="A45" s="4"/>
      <c r="C45" s="80" t="s">
        <v>82</v>
      </c>
      <c r="D45" s="81" t="s">
        <v>53</v>
      </c>
      <c r="E45" s="81" t="s">
        <v>11</v>
      </c>
      <c r="F45" s="79" t="s">
        <v>54</v>
      </c>
      <c r="G45" s="2"/>
      <c r="H45" s="63">
        <f>IF($E45="Labour",Assumptions!$B$14,)</f>
        <v>145.77740895836223</v>
      </c>
      <c r="I45" s="9" t="str">
        <f t="shared" si="5"/>
        <v>Hours</v>
      </c>
      <c r="J45" s="2"/>
      <c r="K45" s="82"/>
      <c r="L45" s="82"/>
      <c r="M45" s="82">
        <v>1264</v>
      </c>
      <c r="N45" s="82"/>
      <c r="O45" s="82"/>
      <c r="P45" s="2"/>
      <c r="Q45" s="5">
        <f t="shared" si="6"/>
        <v>0</v>
      </c>
      <c r="R45" s="5">
        <f t="shared" si="7"/>
        <v>0</v>
      </c>
      <c r="S45" s="5">
        <f t="shared" si="8"/>
        <v>184262.64492336987</v>
      </c>
      <c r="T45" s="5">
        <f t="shared" si="9"/>
        <v>0</v>
      </c>
      <c r="U45" s="5">
        <f t="shared" si="10"/>
        <v>0</v>
      </c>
      <c r="Z45"/>
    </row>
    <row r="46" spans="1:26" ht="12.75" customHeight="1" x14ac:dyDescent="0.25">
      <c r="A46" s="4"/>
      <c r="C46" s="80" t="s">
        <v>83</v>
      </c>
      <c r="D46" s="81" t="s">
        <v>53</v>
      </c>
      <c r="E46" s="81" t="s">
        <v>11</v>
      </c>
      <c r="F46" s="79" t="s">
        <v>54</v>
      </c>
      <c r="G46" s="2"/>
      <c r="H46" s="63">
        <f>IF($E46="Labour",Assumptions!$B$14,)</f>
        <v>145.77740895836223</v>
      </c>
      <c r="I46" s="9" t="str">
        <f t="shared" si="5"/>
        <v>Hours</v>
      </c>
      <c r="J46" s="2"/>
      <c r="K46" s="82"/>
      <c r="L46" s="82"/>
      <c r="M46" s="82">
        <f>31500/$H46</f>
        <v>216.08286376524367</v>
      </c>
      <c r="N46" s="82">
        <f>31500/$H46</f>
        <v>216.08286376524367</v>
      </c>
      <c r="O46" s="82"/>
      <c r="P46" s="2"/>
      <c r="Q46" s="5">
        <f t="shared" si="6"/>
        <v>0</v>
      </c>
      <c r="R46" s="5">
        <f t="shared" si="7"/>
        <v>0</v>
      </c>
      <c r="S46" s="5">
        <f t="shared" si="8"/>
        <v>31500</v>
      </c>
      <c r="T46" s="5">
        <f t="shared" si="9"/>
        <v>31500</v>
      </c>
      <c r="U46" s="5">
        <f t="shared" si="10"/>
        <v>0</v>
      </c>
      <c r="Z46"/>
    </row>
    <row r="47" spans="1:26" ht="12.75" customHeight="1" x14ac:dyDescent="0.25">
      <c r="A47" s="4"/>
      <c r="C47" s="80" t="s">
        <v>84</v>
      </c>
      <c r="D47" s="81" t="s">
        <v>53</v>
      </c>
      <c r="E47" s="81" t="s">
        <v>11</v>
      </c>
      <c r="F47" s="79" t="s">
        <v>54</v>
      </c>
      <c r="G47" s="2"/>
      <c r="H47" s="63">
        <f>IF($E47="Labour",Assumptions!$B$14,)</f>
        <v>145.77740895836223</v>
      </c>
      <c r="I47" s="9" t="str">
        <f t="shared" si="5"/>
        <v>Hours</v>
      </c>
      <c r="J47" s="2"/>
      <c r="K47" s="82"/>
      <c r="L47" s="82"/>
      <c r="M47" s="82">
        <f>63000/$H47</f>
        <v>432.16572753048735</v>
      </c>
      <c r="N47" s="82">
        <f>63000/$H47</f>
        <v>432.16572753048735</v>
      </c>
      <c r="O47" s="82"/>
      <c r="P47" s="2"/>
      <c r="Q47" s="5">
        <f t="shared" si="6"/>
        <v>0</v>
      </c>
      <c r="R47" s="5">
        <f t="shared" si="7"/>
        <v>0</v>
      </c>
      <c r="S47" s="5">
        <f t="shared" si="8"/>
        <v>63000</v>
      </c>
      <c r="T47" s="5">
        <f t="shared" si="9"/>
        <v>63000</v>
      </c>
      <c r="U47" s="5">
        <f t="shared" si="10"/>
        <v>0</v>
      </c>
      <c r="Z47"/>
    </row>
    <row r="48" spans="1:26" ht="12.75" customHeight="1" x14ac:dyDescent="0.25">
      <c r="A48" s="4"/>
      <c r="C48" s="80" t="s">
        <v>85</v>
      </c>
      <c r="D48" s="81" t="s">
        <v>53</v>
      </c>
      <c r="E48" s="81" t="s">
        <v>11</v>
      </c>
      <c r="F48" s="79" t="s">
        <v>54</v>
      </c>
      <c r="G48" s="2"/>
      <c r="H48" s="63">
        <f>IF($E48="Labour",Assumptions!$B$14,)</f>
        <v>145.77740895836223</v>
      </c>
      <c r="I48" s="9" t="str">
        <f t="shared" si="5"/>
        <v>Hours</v>
      </c>
      <c r="J48" s="2"/>
      <c r="K48" s="82"/>
      <c r="L48" s="82"/>
      <c r="M48" s="82">
        <f>122500/$H48</f>
        <v>840.32224797594768</v>
      </c>
      <c r="N48" s="82">
        <f>122500/$H48</f>
        <v>840.32224797594768</v>
      </c>
      <c r="O48" s="82"/>
      <c r="P48" s="2"/>
      <c r="Q48" s="5">
        <f t="shared" si="6"/>
        <v>0</v>
      </c>
      <c r="R48" s="5">
        <f t="shared" si="7"/>
        <v>0</v>
      </c>
      <c r="S48" s="5">
        <f t="shared" si="8"/>
        <v>122500</v>
      </c>
      <c r="T48" s="5">
        <f t="shared" si="9"/>
        <v>122500</v>
      </c>
      <c r="U48" s="5">
        <f t="shared" si="10"/>
        <v>0</v>
      </c>
      <c r="Z48"/>
    </row>
    <row r="49" spans="1:26" ht="12.75" customHeight="1" x14ac:dyDescent="0.25">
      <c r="A49" s="4"/>
      <c r="C49" s="80" t="s">
        <v>86</v>
      </c>
      <c r="D49" s="81" t="s">
        <v>53</v>
      </c>
      <c r="E49" s="81" t="s">
        <v>11</v>
      </c>
      <c r="F49" s="79" t="s">
        <v>54</v>
      </c>
      <c r="G49" s="2"/>
      <c r="H49" s="63">
        <f>IF($E49="Labour",Assumptions!$B$14,)</f>
        <v>145.77740895836223</v>
      </c>
      <c r="I49" s="9" t="str">
        <f t="shared" si="5"/>
        <v>Hours</v>
      </c>
      <c r="J49" s="2"/>
      <c r="K49" s="82"/>
      <c r="L49" s="82"/>
      <c r="M49" s="82">
        <f>77000/$H49</f>
        <v>528.20255587059569</v>
      </c>
      <c r="N49" s="82">
        <f>77000/$H49</f>
        <v>528.20255587059569</v>
      </c>
      <c r="O49" s="82"/>
      <c r="P49" s="2"/>
      <c r="Q49" s="5">
        <f t="shared" si="6"/>
        <v>0</v>
      </c>
      <c r="R49" s="5">
        <f t="shared" si="7"/>
        <v>0</v>
      </c>
      <c r="S49" s="5">
        <f t="shared" si="8"/>
        <v>77000</v>
      </c>
      <c r="T49" s="5">
        <f t="shared" si="9"/>
        <v>77000</v>
      </c>
      <c r="U49" s="5">
        <f t="shared" si="10"/>
        <v>0</v>
      </c>
      <c r="Z49"/>
    </row>
    <row r="50" spans="1:26" ht="12.75" customHeight="1" x14ac:dyDescent="0.25">
      <c r="A50" s="4"/>
      <c r="C50" s="80" t="s">
        <v>87</v>
      </c>
      <c r="D50" s="81" t="s">
        <v>53</v>
      </c>
      <c r="E50" s="81" t="s">
        <v>11</v>
      </c>
      <c r="F50" s="79" t="s">
        <v>54</v>
      </c>
      <c r="G50" s="2"/>
      <c r="H50" s="63">
        <f>IF($E50="Labour",Assumptions!$B$14,)</f>
        <v>145.77740895836223</v>
      </c>
      <c r="I50" s="9" t="str">
        <f t="shared" si="5"/>
        <v>Hours</v>
      </c>
      <c r="J50" s="2"/>
      <c r="K50" s="82"/>
      <c r="L50" s="82"/>
      <c r="M50" s="82">
        <f>28000/$H50</f>
        <v>192.0736566802166</v>
      </c>
      <c r="N50" s="82">
        <f>28000/$H50</f>
        <v>192.0736566802166</v>
      </c>
      <c r="O50" s="82"/>
      <c r="P50" s="2"/>
      <c r="Q50" s="5">
        <f t="shared" si="6"/>
        <v>0</v>
      </c>
      <c r="R50" s="5">
        <f t="shared" si="7"/>
        <v>0</v>
      </c>
      <c r="S50" s="5">
        <f t="shared" si="8"/>
        <v>28000</v>
      </c>
      <c r="T50" s="5">
        <f t="shared" si="9"/>
        <v>28000</v>
      </c>
      <c r="U50" s="5">
        <f t="shared" si="10"/>
        <v>0</v>
      </c>
      <c r="Z50"/>
    </row>
    <row r="51" spans="1:26" ht="12.75" customHeight="1" x14ac:dyDescent="0.25">
      <c r="A51" s="4"/>
      <c r="C51" s="80" t="s">
        <v>88</v>
      </c>
      <c r="D51" s="81" t="s">
        <v>53</v>
      </c>
      <c r="E51" s="81" t="s">
        <v>11</v>
      </c>
      <c r="F51" s="79" t="s">
        <v>54</v>
      </c>
      <c r="G51" s="2"/>
      <c r="H51" s="63">
        <f>IF($E51="Labour",Assumptions!$B$14,)</f>
        <v>145.77740895836223</v>
      </c>
      <c r="I51" s="9" t="str">
        <f t="shared" si="5"/>
        <v>Hours</v>
      </c>
      <c r="J51" s="2"/>
      <c r="K51" s="82"/>
      <c r="L51" s="82"/>
      <c r="M51" s="82">
        <f>28000/$H51</f>
        <v>192.0736566802166</v>
      </c>
      <c r="N51" s="82">
        <f>28000/$H51</f>
        <v>192.0736566802166</v>
      </c>
      <c r="O51" s="82"/>
      <c r="P51" s="2"/>
      <c r="Q51" s="5">
        <f t="shared" si="6"/>
        <v>0</v>
      </c>
      <c r="R51" s="5">
        <f t="shared" si="7"/>
        <v>0</v>
      </c>
      <c r="S51" s="5">
        <f t="shared" si="8"/>
        <v>28000</v>
      </c>
      <c r="T51" s="5">
        <f t="shared" si="9"/>
        <v>28000</v>
      </c>
      <c r="U51" s="5">
        <f t="shared" si="10"/>
        <v>0</v>
      </c>
      <c r="Z51"/>
    </row>
    <row r="52" spans="1:26" ht="12.75" customHeight="1" x14ac:dyDescent="0.25">
      <c r="A52" s="4"/>
      <c r="C52" s="80" t="s">
        <v>89</v>
      </c>
      <c r="D52" s="81" t="s">
        <v>53</v>
      </c>
      <c r="E52" s="81" t="s">
        <v>11</v>
      </c>
      <c r="F52" s="79" t="s">
        <v>54</v>
      </c>
      <c r="G52" s="2"/>
      <c r="H52" s="63">
        <f>IF($E52="Labour",Assumptions!$B$14,)</f>
        <v>145.77740895836223</v>
      </c>
      <c r="I52" s="9" t="str">
        <f t="shared" si="5"/>
        <v>Hours</v>
      </c>
      <c r="J52" s="2"/>
      <c r="K52" s="82">
        <f>18000/$H52</f>
        <v>123.47592215156781</v>
      </c>
      <c r="L52" s="82"/>
      <c r="M52" s="82"/>
      <c r="N52" s="82"/>
      <c r="O52" s="82"/>
      <c r="P52" s="2"/>
      <c r="Q52" s="5">
        <f t="shared" si="6"/>
        <v>18000</v>
      </c>
      <c r="R52" s="5">
        <f t="shared" si="7"/>
        <v>0</v>
      </c>
      <c r="S52" s="5">
        <f t="shared" si="8"/>
        <v>0</v>
      </c>
      <c r="T52" s="5">
        <f t="shared" si="9"/>
        <v>0</v>
      </c>
      <c r="U52" s="5">
        <f t="shared" si="10"/>
        <v>0</v>
      </c>
      <c r="Z52"/>
    </row>
    <row r="53" spans="1:26" ht="12.75" customHeight="1" x14ac:dyDescent="0.25">
      <c r="A53" s="4"/>
      <c r="C53" s="80" t="s">
        <v>90</v>
      </c>
      <c r="D53" s="81" t="s">
        <v>53</v>
      </c>
      <c r="E53" s="81" t="s">
        <v>11</v>
      </c>
      <c r="F53" s="79" t="s">
        <v>54</v>
      </c>
      <c r="G53" s="2"/>
      <c r="H53" s="63">
        <f>IF($E53="Labour",Assumptions!$B$14,)</f>
        <v>145.77740895836223</v>
      </c>
      <c r="I53" s="9" t="str">
        <f t="shared" si="5"/>
        <v>Hours</v>
      </c>
      <c r="J53" s="2"/>
      <c r="K53" s="82">
        <f>36000/$H53</f>
        <v>246.95184430313563</v>
      </c>
      <c r="L53" s="82"/>
      <c r="M53" s="82"/>
      <c r="N53" s="82"/>
      <c r="O53" s="82"/>
      <c r="P53" s="2"/>
      <c r="Q53" s="5">
        <f t="shared" si="6"/>
        <v>36000</v>
      </c>
      <c r="R53" s="5">
        <f t="shared" si="7"/>
        <v>0</v>
      </c>
      <c r="S53" s="5">
        <f t="shared" si="8"/>
        <v>0</v>
      </c>
      <c r="T53" s="5">
        <f t="shared" si="9"/>
        <v>0</v>
      </c>
      <c r="U53" s="5">
        <f t="shared" si="10"/>
        <v>0</v>
      </c>
      <c r="Z53"/>
    </row>
    <row r="54" spans="1:26" ht="12.75" customHeight="1" x14ac:dyDescent="0.25">
      <c r="A54" s="4"/>
      <c r="C54" s="80" t="s">
        <v>91</v>
      </c>
      <c r="D54" s="81" t="s">
        <v>53</v>
      </c>
      <c r="E54" s="81" t="s">
        <v>11</v>
      </c>
      <c r="F54" s="79" t="s">
        <v>54</v>
      </c>
      <c r="G54" s="2"/>
      <c r="H54" s="63">
        <f>IF($E54="Labour",Assumptions!$B$14,)</f>
        <v>145.77740895836223</v>
      </c>
      <c r="I54" s="9" t="str">
        <f t="shared" si="5"/>
        <v>Hours</v>
      </c>
      <c r="J54" s="2"/>
      <c r="K54" s="82">
        <f>70000/$H54</f>
        <v>480.18414170054155</v>
      </c>
      <c r="L54" s="82"/>
      <c r="M54" s="82"/>
      <c r="N54" s="82"/>
      <c r="O54" s="82"/>
      <c r="P54" s="2"/>
      <c r="Q54" s="5">
        <f t="shared" si="6"/>
        <v>70000</v>
      </c>
      <c r="R54" s="5">
        <f t="shared" si="7"/>
        <v>0</v>
      </c>
      <c r="S54" s="5">
        <f t="shared" si="8"/>
        <v>0</v>
      </c>
      <c r="T54" s="5">
        <f t="shared" si="9"/>
        <v>0</v>
      </c>
      <c r="U54" s="5">
        <f t="shared" si="10"/>
        <v>0</v>
      </c>
      <c r="Z54"/>
    </row>
    <row r="55" spans="1:26" ht="12.75" customHeight="1" x14ac:dyDescent="0.25">
      <c r="A55" s="4"/>
      <c r="C55" s="80" t="s">
        <v>92</v>
      </c>
      <c r="D55" s="81" t="s">
        <v>53</v>
      </c>
      <c r="E55" s="81" t="s">
        <v>11</v>
      </c>
      <c r="F55" s="79" t="s">
        <v>54</v>
      </c>
      <c r="G55" s="2"/>
      <c r="H55" s="63">
        <f>IF($E55="Labour",Assumptions!$B$14,)</f>
        <v>145.77740895836223</v>
      </c>
      <c r="I55" s="9" t="str">
        <f t="shared" si="5"/>
        <v>Hours</v>
      </c>
      <c r="J55" s="2"/>
      <c r="K55" s="82">
        <f>44000/$H55</f>
        <v>301.83003192605469</v>
      </c>
      <c r="L55" s="82"/>
      <c r="M55" s="82"/>
      <c r="N55" s="82"/>
      <c r="O55" s="82"/>
      <c r="P55" s="2"/>
      <c r="Q55" s="5">
        <f t="shared" si="6"/>
        <v>44000</v>
      </c>
      <c r="R55" s="5">
        <f t="shared" si="7"/>
        <v>0</v>
      </c>
      <c r="S55" s="5">
        <f t="shared" si="8"/>
        <v>0</v>
      </c>
      <c r="T55" s="5">
        <f t="shared" si="9"/>
        <v>0</v>
      </c>
      <c r="U55" s="5">
        <f t="shared" si="10"/>
        <v>0</v>
      </c>
      <c r="Z55"/>
    </row>
    <row r="56" spans="1:26" ht="12.75" customHeight="1" x14ac:dyDescent="0.25">
      <c r="A56" s="4"/>
      <c r="C56" s="80" t="s">
        <v>93</v>
      </c>
      <c r="D56" s="81" t="s">
        <v>53</v>
      </c>
      <c r="E56" s="81" t="s">
        <v>11</v>
      </c>
      <c r="F56" s="79" t="s">
        <v>54</v>
      </c>
      <c r="G56" s="2"/>
      <c r="H56" s="63">
        <f>IF($E56="Labour",Assumptions!$B$14,)</f>
        <v>145.77740895836223</v>
      </c>
      <c r="I56" s="9" t="str">
        <f t="shared" si="5"/>
        <v>Hours</v>
      </c>
      <c r="J56" s="2"/>
      <c r="K56" s="82">
        <f>16000/$H56</f>
        <v>109.75637524583806</v>
      </c>
      <c r="L56" s="82"/>
      <c r="M56" s="82"/>
      <c r="N56" s="82"/>
      <c r="O56" s="82"/>
      <c r="P56" s="2"/>
      <c r="Q56" s="5">
        <f t="shared" si="6"/>
        <v>16000</v>
      </c>
      <c r="R56" s="5">
        <f t="shared" si="7"/>
        <v>0</v>
      </c>
      <c r="S56" s="5">
        <f t="shared" si="8"/>
        <v>0</v>
      </c>
      <c r="T56" s="5">
        <f t="shared" si="9"/>
        <v>0</v>
      </c>
      <c r="U56" s="5">
        <f t="shared" si="10"/>
        <v>0</v>
      </c>
      <c r="Z56"/>
    </row>
    <row r="57" spans="1:26" ht="12.75" customHeight="1" x14ac:dyDescent="0.25">
      <c r="A57" s="4"/>
      <c r="C57" s="80" t="s">
        <v>94</v>
      </c>
      <c r="D57" s="81" t="s">
        <v>53</v>
      </c>
      <c r="E57" s="81" t="s">
        <v>11</v>
      </c>
      <c r="F57" s="79" t="s">
        <v>54</v>
      </c>
      <c r="G57" s="2"/>
      <c r="H57" s="63">
        <f>IF($E57="Labour",Assumptions!$B$14,)</f>
        <v>145.77740895836223</v>
      </c>
      <c r="I57" s="9" t="str">
        <f t="shared" si="5"/>
        <v>Hours</v>
      </c>
      <c r="J57" s="2"/>
      <c r="K57" s="82">
        <f>16000/$H57</f>
        <v>109.75637524583806</v>
      </c>
      <c r="L57" s="82"/>
      <c r="M57" s="82"/>
      <c r="N57" s="82"/>
      <c r="O57" s="82"/>
      <c r="P57" s="2"/>
      <c r="Q57" s="5">
        <f t="shared" si="6"/>
        <v>16000</v>
      </c>
      <c r="R57" s="5">
        <f t="shared" si="7"/>
        <v>0</v>
      </c>
      <c r="S57" s="5">
        <f t="shared" si="8"/>
        <v>0</v>
      </c>
      <c r="T57" s="5">
        <f t="shared" si="9"/>
        <v>0</v>
      </c>
      <c r="U57" s="5">
        <f t="shared" si="10"/>
        <v>0</v>
      </c>
      <c r="Z57"/>
    </row>
    <row r="58" spans="1:26" ht="12.75" customHeight="1" x14ac:dyDescent="0.25">
      <c r="A58" s="4"/>
      <c r="C58" s="80" t="s">
        <v>67</v>
      </c>
      <c r="D58" s="81" t="s">
        <v>53</v>
      </c>
      <c r="E58" s="81" t="s">
        <v>11</v>
      </c>
      <c r="F58" s="79" t="s">
        <v>54</v>
      </c>
      <c r="G58" s="2"/>
      <c r="H58" s="63">
        <f>IF($E58="Labour",Assumptions!$B$14,)</f>
        <v>145.77740895836223</v>
      </c>
      <c r="I58" s="9" t="str">
        <f t="shared" si="5"/>
        <v>Hours</v>
      </c>
      <c r="J58" s="2"/>
      <c r="K58" s="82">
        <f>28.8*8*63.2%</f>
        <v>145.61279999999999</v>
      </c>
      <c r="L58" s="82">
        <f>28.8*8*63.2%</f>
        <v>145.61279999999999</v>
      </c>
      <c r="M58" s="82">
        <f>28.8*8*63.2%</f>
        <v>145.61279999999999</v>
      </c>
      <c r="N58" s="82">
        <f>28.8*8*63.2%</f>
        <v>145.61279999999999</v>
      </c>
      <c r="O58" s="82">
        <f>28.8*8*63.2%</f>
        <v>145.61279999999999</v>
      </c>
      <c r="P58" s="2"/>
      <c r="Q58" s="5">
        <f t="shared" si="6"/>
        <v>21227.056695172207</v>
      </c>
      <c r="R58" s="5">
        <f t="shared" si="7"/>
        <v>21227.056695172207</v>
      </c>
      <c r="S58" s="5">
        <f t="shared" si="8"/>
        <v>21227.056695172207</v>
      </c>
      <c r="T58" s="5">
        <f t="shared" si="9"/>
        <v>21227.056695172207</v>
      </c>
      <c r="U58" s="5">
        <f t="shared" si="10"/>
        <v>21227.056695172207</v>
      </c>
      <c r="Z58"/>
    </row>
    <row r="59" spans="1:26" ht="12.75" customHeight="1" x14ac:dyDescent="0.25">
      <c r="A59" s="4"/>
      <c r="C59" s="80" t="s">
        <v>66</v>
      </c>
      <c r="D59" s="81" t="s">
        <v>53</v>
      </c>
      <c r="E59" s="81" t="s">
        <v>13</v>
      </c>
      <c r="F59" s="79" t="s">
        <v>54</v>
      </c>
      <c r="G59" s="2"/>
      <c r="H59" s="63">
        <f>IF($E59="Labour",Assumptions!$B$14,)</f>
        <v>0</v>
      </c>
      <c r="I59" s="9" t="str">
        <f t="shared" si="5"/>
        <v>$</v>
      </c>
      <c r="J59" s="2"/>
      <c r="K59" s="82">
        <f>3600*50*63.2%</f>
        <v>113760</v>
      </c>
      <c r="L59" s="82">
        <f>3900*50*63.2%</f>
        <v>123240</v>
      </c>
      <c r="M59" s="82">
        <f>4200*50*63.2%</f>
        <v>132720</v>
      </c>
      <c r="N59" s="82">
        <f>4500*50*63.2%</f>
        <v>142200</v>
      </c>
      <c r="O59" s="82">
        <f>4800*50*63.2%</f>
        <v>151680</v>
      </c>
      <c r="P59" s="2"/>
      <c r="Q59" s="5">
        <f t="shared" si="6"/>
        <v>113760</v>
      </c>
      <c r="R59" s="5">
        <f t="shared" si="7"/>
        <v>123240</v>
      </c>
      <c r="S59" s="5">
        <f t="shared" si="8"/>
        <v>132720</v>
      </c>
      <c r="T59" s="5">
        <f t="shared" si="9"/>
        <v>142200</v>
      </c>
      <c r="U59" s="5">
        <f t="shared" si="10"/>
        <v>151680</v>
      </c>
      <c r="Z59"/>
    </row>
    <row r="60" spans="1:26" ht="12.75" customHeight="1" x14ac:dyDescent="0.25">
      <c r="A60" s="4"/>
      <c r="C60" s="80" t="s">
        <v>95</v>
      </c>
      <c r="D60" s="81" t="s">
        <v>53</v>
      </c>
      <c r="E60" s="81" t="s">
        <v>14</v>
      </c>
      <c r="F60" s="79" t="s">
        <v>54</v>
      </c>
      <c r="G60" s="2"/>
      <c r="H60" s="63">
        <f>IF($E60="Labour",Assumptions!$B$14,)</f>
        <v>0</v>
      </c>
      <c r="I60" s="9" t="str">
        <f t="shared" si="5"/>
        <v>$</v>
      </c>
      <c r="J60" s="2"/>
      <c r="K60" s="82"/>
      <c r="L60" s="82"/>
      <c r="M60" s="82"/>
      <c r="N60" s="82"/>
      <c r="O60" s="82"/>
      <c r="P60" s="2"/>
      <c r="Q60" s="5">
        <f t="shared" si="6"/>
        <v>0</v>
      </c>
      <c r="R60" s="5">
        <f t="shared" si="7"/>
        <v>0</v>
      </c>
      <c r="S60" s="5">
        <f t="shared" si="8"/>
        <v>0</v>
      </c>
      <c r="T60" s="5">
        <f t="shared" si="9"/>
        <v>0</v>
      </c>
      <c r="U60" s="5">
        <f t="shared" si="10"/>
        <v>0</v>
      </c>
      <c r="Z60"/>
    </row>
    <row r="61" spans="1:26" ht="12.75" customHeight="1" x14ac:dyDescent="0.25">
      <c r="A61" s="4"/>
      <c r="C61" s="80" t="s">
        <v>96</v>
      </c>
      <c r="D61" s="81" t="s">
        <v>53</v>
      </c>
      <c r="E61" s="81" t="s">
        <v>11</v>
      </c>
      <c r="F61" s="79" t="s">
        <v>54</v>
      </c>
      <c r="G61" s="2"/>
      <c r="H61" s="63">
        <f>IF($E61="Labour",Assumptions!$B$14,)</f>
        <v>145.77740895836223</v>
      </c>
      <c r="I61" s="9" t="str">
        <f t="shared" si="5"/>
        <v>Hours</v>
      </c>
      <c r="J61" s="2"/>
      <c r="K61" s="82">
        <f>261*8*63.2%</f>
        <v>1319.616</v>
      </c>
      <c r="L61" s="82">
        <f>261*8*63.2%</f>
        <v>1319.616</v>
      </c>
      <c r="M61" s="82">
        <f>260*8*63.2%</f>
        <v>1314.56</v>
      </c>
      <c r="N61" s="82">
        <f>261*8*63.2%</f>
        <v>1319.616</v>
      </c>
      <c r="O61" s="82">
        <f>261*8*63.2%</f>
        <v>1319.616</v>
      </c>
      <c r="P61" s="2"/>
      <c r="Q61" s="5">
        <f t="shared" si="6"/>
        <v>192370.20129999812</v>
      </c>
      <c r="R61" s="5">
        <f t="shared" si="7"/>
        <v>192370.20129999812</v>
      </c>
      <c r="S61" s="5">
        <f t="shared" si="8"/>
        <v>191633.15072030463</v>
      </c>
      <c r="T61" s="5">
        <f t="shared" si="9"/>
        <v>192370.20129999812</v>
      </c>
      <c r="U61" s="5">
        <f t="shared" si="10"/>
        <v>192370.20129999812</v>
      </c>
      <c r="Z61"/>
    </row>
    <row r="62" spans="1:26" ht="12.75" customHeight="1" x14ac:dyDescent="0.25">
      <c r="A62" s="4"/>
      <c r="C62" s="80" t="s">
        <v>97</v>
      </c>
      <c r="D62" s="81" t="s">
        <v>53</v>
      </c>
      <c r="E62" s="81" t="s">
        <v>14</v>
      </c>
      <c r="F62" s="79" t="s">
        <v>54</v>
      </c>
      <c r="G62" s="2"/>
      <c r="H62" s="63">
        <f>IF($E62="Labour",Assumptions!$B$14,)</f>
        <v>0</v>
      </c>
      <c r="I62" s="9" t="str">
        <f t="shared" si="5"/>
        <v>$</v>
      </c>
      <c r="J62" s="2"/>
      <c r="K62" s="82">
        <f>875000*0.5</f>
        <v>437500</v>
      </c>
      <c r="L62" s="82">
        <v>0</v>
      </c>
      <c r="M62" s="82">
        <v>0</v>
      </c>
      <c r="N62" s="82">
        <v>0</v>
      </c>
      <c r="O62" s="82">
        <v>0</v>
      </c>
      <c r="P62" s="2"/>
      <c r="Q62" s="5">
        <f t="shared" si="6"/>
        <v>437500</v>
      </c>
      <c r="R62" s="5">
        <f t="shared" si="7"/>
        <v>0</v>
      </c>
      <c r="S62" s="5">
        <f t="shared" si="8"/>
        <v>0</v>
      </c>
      <c r="T62" s="5">
        <f t="shared" si="9"/>
        <v>0</v>
      </c>
      <c r="U62" s="5">
        <f t="shared" si="10"/>
        <v>0</v>
      </c>
      <c r="Z62"/>
    </row>
    <row r="63" spans="1:26" ht="12.75" customHeight="1" x14ac:dyDescent="0.25">
      <c r="A63" s="4"/>
      <c r="C63" s="80" t="s">
        <v>70</v>
      </c>
      <c r="D63" s="81" t="s">
        <v>53</v>
      </c>
      <c r="E63" s="81" t="s">
        <v>14</v>
      </c>
      <c r="F63" s="79" t="s">
        <v>54</v>
      </c>
      <c r="G63" s="2"/>
      <c r="H63" s="63">
        <f>IF($E63="Labour",Assumptions!$B$14,)</f>
        <v>0</v>
      </c>
      <c r="I63" s="9" t="str">
        <f t="shared" si="5"/>
        <v>$</v>
      </c>
      <c r="J63" s="2"/>
      <c r="K63" s="82">
        <v>75265</v>
      </c>
      <c r="L63" s="82">
        <v>75265</v>
      </c>
      <c r="M63" s="82">
        <v>75265</v>
      </c>
      <c r="N63" s="82">
        <v>75265</v>
      </c>
      <c r="O63" s="82">
        <v>75265</v>
      </c>
      <c r="P63" s="2"/>
      <c r="Q63" s="5">
        <f t="shared" si="6"/>
        <v>75265</v>
      </c>
      <c r="R63" s="5">
        <f t="shared" si="7"/>
        <v>75265</v>
      </c>
      <c r="S63" s="5">
        <f t="shared" si="8"/>
        <v>75265</v>
      </c>
      <c r="T63" s="5">
        <f t="shared" si="9"/>
        <v>75265</v>
      </c>
      <c r="U63" s="5">
        <f t="shared" si="10"/>
        <v>75265</v>
      </c>
      <c r="Z63"/>
    </row>
    <row r="64" spans="1:26" ht="12.75" customHeight="1" x14ac:dyDescent="0.2">
      <c r="A64" s="4"/>
      <c r="C64" s="80" t="s">
        <v>98</v>
      </c>
      <c r="D64" s="81" t="s">
        <v>53</v>
      </c>
      <c r="E64" s="81" t="s">
        <v>11</v>
      </c>
      <c r="F64" s="79" t="s">
        <v>54</v>
      </c>
      <c r="H64" s="63">
        <f>IF($E64="Labour",Assumptions!$B$14,)</f>
        <v>145.77740895836223</v>
      </c>
      <c r="I64" s="9" t="str">
        <f t="shared" si="5"/>
        <v>Hours</v>
      </c>
      <c r="K64" s="82">
        <f>220000/H64*0.5</f>
        <v>754.57507981513663</v>
      </c>
      <c r="L64" s="82">
        <v>0</v>
      </c>
      <c r="M64" s="82">
        <v>0</v>
      </c>
      <c r="N64" s="82">
        <v>0</v>
      </c>
      <c r="O64" s="82">
        <v>0</v>
      </c>
      <c r="Q64" s="5">
        <f t="shared" si="6"/>
        <v>110000</v>
      </c>
      <c r="R64" s="5">
        <f t="shared" si="7"/>
        <v>0</v>
      </c>
      <c r="S64" s="5">
        <f t="shared" si="8"/>
        <v>0</v>
      </c>
      <c r="T64" s="5">
        <f t="shared" si="9"/>
        <v>0</v>
      </c>
      <c r="U64" s="5">
        <f t="shared" si="10"/>
        <v>0</v>
      </c>
    </row>
    <row r="65" spans="1:21" ht="12.75" customHeight="1" x14ac:dyDescent="0.2">
      <c r="A65" s="4"/>
      <c r="C65" s="80" t="s">
        <v>99</v>
      </c>
      <c r="D65" s="81" t="s">
        <v>53</v>
      </c>
      <c r="E65" s="81" t="s">
        <v>11</v>
      </c>
      <c r="F65" s="79" t="s">
        <v>54</v>
      </c>
      <c r="H65" s="63">
        <f>IF($E65="Labour",Assumptions!$B$14,)</f>
        <v>145.77740895836223</v>
      </c>
      <c r="I65" s="9" t="str">
        <f t="shared" si="5"/>
        <v>Hours</v>
      </c>
      <c r="K65" s="82">
        <f>390000/H65*0.5</f>
        <v>1337.6558233086514</v>
      </c>
      <c r="L65" s="82">
        <v>0</v>
      </c>
      <c r="M65" s="82">
        <v>0</v>
      </c>
      <c r="N65" s="82">
        <v>0</v>
      </c>
      <c r="O65" s="82">
        <v>0</v>
      </c>
      <c r="Q65" s="5">
        <f t="shared" si="6"/>
        <v>195000</v>
      </c>
      <c r="R65" s="5">
        <f t="shared" si="7"/>
        <v>0</v>
      </c>
      <c r="S65" s="5">
        <f t="shared" si="8"/>
        <v>0</v>
      </c>
      <c r="T65" s="5">
        <f t="shared" si="9"/>
        <v>0</v>
      </c>
      <c r="U65" s="5">
        <f t="shared" si="10"/>
        <v>0</v>
      </c>
    </row>
    <row r="66" spans="1:21" ht="12.75" customHeight="1" x14ac:dyDescent="0.2">
      <c r="A66" s="4"/>
      <c r="C66" s="80" t="s">
        <v>100</v>
      </c>
      <c r="D66" s="81" t="s">
        <v>53</v>
      </c>
      <c r="E66" s="81" t="s">
        <v>11</v>
      </c>
      <c r="F66" s="79" t="s">
        <v>54</v>
      </c>
      <c r="H66" s="63">
        <f>IF($E66="Labour",Assumptions!$B$14,)</f>
        <v>145.77740895836223</v>
      </c>
      <c r="I66" s="9" t="str">
        <f t="shared" si="5"/>
        <v>Hours</v>
      </c>
      <c r="K66" s="82">
        <f>90000/H66*0.5</f>
        <v>308.68980537891957</v>
      </c>
      <c r="L66" s="82">
        <v>0</v>
      </c>
      <c r="M66" s="82">
        <v>0</v>
      </c>
      <c r="N66" s="82">
        <v>0</v>
      </c>
      <c r="O66" s="82">
        <v>0</v>
      </c>
      <c r="Q66" s="5">
        <f t="shared" si="6"/>
        <v>45000</v>
      </c>
      <c r="R66" s="5">
        <f t="shared" si="7"/>
        <v>0</v>
      </c>
      <c r="S66" s="5">
        <f t="shared" si="8"/>
        <v>0</v>
      </c>
      <c r="T66" s="5">
        <f t="shared" si="9"/>
        <v>0</v>
      </c>
      <c r="U66" s="5">
        <f t="shared" si="10"/>
        <v>0</v>
      </c>
    </row>
    <row r="67" spans="1:21" ht="12.75" customHeight="1" x14ac:dyDescent="0.2">
      <c r="A67" s="4"/>
      <c r="C67" s="80" t="s">
        <v>101</v>
      </c>
      <c r="D67" s="81" t="s">
        <v>53</v>
      </c>
      <c r="E67" s="81" t="s">
        <v>11</v>
      </c>
      <c r="F67" s="79" t="s">
        <v>54</v>
      </c>
      <c r="H67" s="63">
        <f>IF($E67="Labour",Assumptions!$B$14,)</f>
        <v>145.77740895836223</v>
      </c>
      <c r="I67" s="9" t="str">
        <f t="shared" si="5"/>
        <v>Hours</v>
      </c>
      <c r="K67" s="82">
        <f>(2500494/H67)/3</f>
        <v>5717.6074534159707</v>
      </c>
      <c r="L67" s="82">
        <f>(2500494/H67)/3</f>
        <v>5717.6074534159707</v>
      </c>
      <c r="M67" s="82">
        <f>(2500494/H67)/3</f>
        <v>5717.6074534159707</v>
      </c>
      <c r="N67" s="82">
        <f>(2500494/H67)/3</f>
        <v>5717.6074534159707</v>
      </c>
      <c r="O67" s="82">
        <f>(2500494/H67)/3</f>
        <v>5717.6074534159707</v>
      </c>
      <c r="Q67" s="5">
        <f t="shared" si="6"/>
        <v>833498</v>
      </c>
      <c r="R67" s="5">
        <f t="shared" si="7"/>
        <v>833498</v>
      </c>
      <c r="S67" s="5">
        <f t="shared" si="8"/>
        <v>833498</v>
      </c>
      <c r="T67" s="5">
        <f t="shared" si="9"/>
        <v>833498</v>
      </c>
      <c r="U67" s="5">
        <f t="shared" si="10"/>
        <v>833498</v>
      </c>
    </row>
    <row r="68" spans="1:21" ht="12.75" customHeight="1" x14ac:dyDescent="0.2">
      <c r="A68" s="4"/>
      <c r="C68" s="80" t="s">
        <v>101</v>
      </c>
      <c r="D68" s="81" t="s">
        <v>53</v>
      </c>
      <c r="E68" s="81" t="s">
        <v>13</v>
      </c>
      <c r="F68" s="79" t="s">
        <v>54</v>
      </c>
      <c r="H68" s="63">
        <f>IF($E68="Labour",Assumptions!$B$14,)</f>
        <v>0</v>
      </c>
      <c r="I68" s="9" t="str">
        <f t="shared" si="5"/>
        <v>$</v>
      </c>
      <c r="K68" s="82">
        <v>1200000</v>
      </c>
      <c r="L68" s="82">
        <v>600000</v>
      </c>
      <c r="M68" s="82"/>
      <c r="N68" s="82"/>
      <c r="O68" s="82"/>
      <c r="Q68" s="5">
        <f t="shared" si="6"/>
        <v>1200000</v>
      </c>
      <c r="R68" s="5">
        <f t="shared" si="7"/>
        <v>600000</v>
      </c>
      <c r="S68" s="5">
        <f t="shared" si="8"/>
        <v>0</v>
      </c>
      <c r="T68" s="5">
        <f t="shared" si="9"/>
        <v>0</v>
      </c>
      <c r="U68" s="5">
        <f t="shared" si="10"/>
        <v>0</v>
      </c>
    </row>
    <row r="69" spans="1:21" ht="12.75" customHeight="1" x14ac:dyDescent="0.2">
      <c r="A69" s="4"/>
      <c r="C69" s="80" t="s">
        <v>102</v>
      </c>
      <c r="D69" s="81" t="s">
        <v>53</v>
      </c>
      <c r="E69" s="81" t="s">
        <v>11</v>
      </c>
      <c r="F69" s="79" t="s">
        <v>54</v>
      </c>
      <c r="H69" s="63">
        <f>IF($E69="Labour",Assumptions!$B$14,)</f>
        <v>145.77740895836223</v>
      </c>
      <c r="I69" s="9" t="str">
        <f t="shared" si="5"/>
        <v>Hours</v>
      </c>
      <c r="K69" s="82">
        <v>650</v>
      </c>
      <c r="L69" s="82">
        <v>230</v>
      </c>
      <c r="M69" s="82"/>
      <c r="N69" s="82"/>
      <c r="O69" s="82"/>
      <c r="Q69" s="5">
        <f t="shared" si="6"/>
        <v>94755.315822935445</v>
      </c>
      <c r="R69" s="5">
        <f t="shared" si="7"/>
        <v>33528.80406042331</v>
      </c>
      <c r="S69" s="5">
        <f t="shared" si="8"/>
        <v>0</v>
      </c>
      <c r="T69" s="5">
        <f t="shared" si="9"/>
        <v>0</v>
      </c>
      <c r="U69" s="5">
        <f t="shared" si="10"/>
        <v>0</v>
      </c>
    </row>
    <row r="70" spans="1:21" ht="12.75" customHeight="1" x14ac:dyDescent="0.2">
      <c r="A70" s="4"/>
      <c r="C70" s="80" t="s">
        <v>102</v>
      </c>
      <c r="D70" s="81" t="s">
        <v>53</v>
      </c>
      <c r="E70" s="81" t="s">
        <v>13</v>
      </c>
      <c r="F70" s="79" t="s">
        <v>54</v>
      </c>
      <c r="H70" s="63">
        <f>IF($E70="Labour",Assumptions!$B$14,)</f>
        <v>0</v>
      </c>
      <c r="I70" s="9" t="str">
        <f t="shared" si="5"/>
        <v>$</v>
      </c>
      <c r="K70" s="82">
        <v>350000</v>
      </c>
      <c r="L70" s="82">
        <v>150000</v>
      </c>
      <c r="M70" s="82"/>
      <c r="N70" s="82"/>
      <c r="O70" s="82"/>
      <c r="Q70" s="5">
        <f t="shared" si="6"/>
        <v>350000</v>
      </c>
      <c r="R70" s="5">
        <f t="shared" si="7"/>
        <v>150000</v>
      </c>
      <c r="S70" s="5">
        <f t="shared" si="8"/>
        <v>0</v>
      </c>
      <c r="T70" s="5">
        <f t="shared" si="9"/>
        <v>0</v>
      </c>
      <c r="U70" s="5">
        <f t="shared" si="10"/>
        <v>0</v>
      </c>
    </row>
    <row r="71" spans="1:21" ht="12.75" customHeight="1" x14ac:dyDescent="0.2">
      <c r="A71" s="4"/>
      <c r="C71" s="80" t="s">
        <v>103</v>
      </c>
      <c r="D71" s="81" t="s">
        <v>53</v>
      </c>
      <c r="E71" s="81" t="s">
        <v>11</v>
      </c>
      <c r="F71" s="79" t="s">
        <v>54</v>
      </c>
      <c r="H71" s="63">
        <f>IF($E71="Labour",Assumptions!$B$14,)</f>
        <v>145.77740895836223</v>
      </c>
      <c r="I71" s="9" t="str">
        <f t="shared" si="5"/>
        <v>Hours</v>
      </c>
      <c r="K71" s="82">
        <v>600</v>
      </c>
      <c r="L71" s="82">
        <v>280</v>
      </c>
      <c r="M71" s="82"/>
      <c r="N71" s="82"/>
      <c r="O71" s="82"/>
      <c r="Q71" s="5">
        <f t="shared" si="6"/>
        <v>87466.445375017342</v>
      </c>
      <c r="R71" s="5">
        <f t="shared" si="7"/>
        <v>40817.674508341428</v>
      </c>
      <c r="S71" s="5">
        <f t="shared" si="8"/>
        <v>0</v>
      </c>
      <c r="T71" s="5">
        <f t="shared" si="9"/>
        <v>0</v>
      </c>
      <c r="U71" s="5">
        <f t="shared" si="10"/>
        <v>0</v>
      </c>
    </row>
    <row r="72" spans="1:21" ht="12.75" customHeight="1" x14ac:dyDescent="0.2">
      <c r="A72" s="4"/>
      <c r="C72" s="80" t="s">
        <v>103</v>
      </c>
      <c r="D72" s="81" t="s">
        <v>53</v>
      </c>
      <c r="E72" s="81" t="s">
        <v>13</v>
      </c>
      <c r="F72" s="79" t="s">
        <v>54</v>
      </c>
      <c r="H72" s="63">
        <f>IF($E72="Labour",Assumptions!$B$14,)</f>
        <v>0</v>
      </c>
      <c r="I72" s="9" t="str">
        <f t="shared" si="5"/>
        <v>$</v>
      </c>
      <c r="K72" s="82">
        <v>200000</v>
      </c>
      <c r="L72" s="82"/>
      <c r="M72" s="82"/>
      <c r="N72" s="82"/>
      <c r="O72" s="82"/>
      <c r="Q72" s="5">
        <f t="shared" si="6"/>
        <v>200000</v>
      </c>
      <c r="R72" s="5">
        <f t="shared" si="7"/>
        <v>0</v>
      </c>
      <c r="S72" s="5">
        <f t="shared" si="8"/>
        <v>0</v>
      </c>
      <c r="T72" s="5">
        <f t="shared" si="9"/>
        <v>0</v>
      </c>
      <c r="U72" s="5">
        <f t="shared" si="10"/>
        <v>0</v>
      </c>
    </row>
    <row r="73" spans="1:21" ht="12.75" customHeight="1" x14ac:dyDescent="0.2">
      <c r="A73" s="4"/>
      <c r="C73" s="80" t="s">
        <v>104</v>
      </c>
      <c r="D73" s="81" t="s">
        <v>53</v>
      </c>
      <c r="E73" s="81" t="s">
        <v>11</v>
      </c>
      <c r="F73" s="79" t="s">
        <v>54</v>
      </c>
      <c r="H73" s="63">
        <f>IF($E73="Labour",Assumptions!$B$14,)</f>
        <v>145.77740895836223</v>
      </c>
      <c r="I73" s="9" t="str">
        <f t="shared" si="5"/>
        <v>Hours</v>
      </c>
      <c r="K73" s="82">
        <f>116248/H73</f>
        <v>797.43494434863646</v>
      </c>
      <c r="L73" s="82"/>
      <c r="M73" s="82"/>
      <c r="N73" s="82"/>
      <c r="O73" s="82"/>
      <c r="Q73" s="5">
        <f t="shared" si="6"/>
        <v>116248</v>
      </c>
      <c r="R73" s="5">
        <f t="shared" si="7"/>
        <v>0</v>
      </c>
      <c r="S73" s="5">
        <f t="shared" si="8"/>
        <v>0</v>
      </c>
      <c r="T73" s="5">
        <f t="shared" si="9"/>
        <v>0</v>
      </c>
      <c r="U73" s="5">
        <f t="shared" si="10"/>
        <v>0</v>
      </c>
    </row>
    <row r="74" spans="1:21" ht="12.75" customHeight="1" x14ac:dyDescent="0.2">
      <c r="A74" s="4"/>
      <c r="C74" s="80" t="s">
        <v>104</v>
      </c>
      <c r="D74" s="81" t="s">
        <v>53</v>
      </c>
      <c r="E74" s="81" t="s">
        <v>13</v>
      </c>
      <c r="F74" s="79" t="s">
        <v>54</v>
      </c>
      <c r="H74" s="63">
        <f>IF($E74="Labour",Assumptions!$B$14,)</f>
        <v>0</v>
      </c>
      <c r="I74" s="9" t="str">
        <f t="shared" si="5"/>
        <v>$</v>
      </c>
      <c r="K74" s="82">
        <v>150000</v>
      </c>
      <c r="L74" s="82"/>
      <c r="M74" s="82"/>
      <c r="N74" s="82"/>
      <c r="O74" s="82"/>
      <c r="Q74" s="5">
        <f t="shared" ref="Q74:Q90" si="11">IF($E74="Labour",$H74*K74,K74)</f>
        <v>150000</v>
      </c>
      <c r="R74" s="5">
        <f t="shared" ref="R74:R90" si="12">IF($E74="Labour",$H74*L74,L74)</f>
        <v>0</v>
      </c>
      <c r="S74" s="5">
        <f t="shared" ref="S74:S90" si="13">IF($E74="Labour",$H74*M74,M74)</f>
        <v>0</v>
      </c>
      <c r="T74" s="5">
        <f t="shared" ref="T74:T90" si="14">IF($E74="Labour",$H74*N74,N74)</f>
        <v>0</v>
      </c>
      <c r="U74" s="5">
        <f t="shared" ref="U74:U90" si="15">IF($E74="Labour",$H74*O74,O74)</f>
        <v>0</v>
      </c>
    </row>
    <row r="75" spans="1:21" ht="12.75" customHeight="1" x14ac:dyDescent="0.2">
      <c r="A75" s="4"/>
      <c r="C75" s="80" t="s">
        <v>105</v>
      </c>
      <c r="D75" s="81" t="s">
        <v>53</v>
      </c>
      <c r="E75" s="81" t="s">
        <v>11</v>
      </c>
      <c r="F75" s="79" t="s">
        <v>54</v>
      </c>
      <c r="H75" s="63">
        <f>IF($E75="Labour",Assumptions!$B$14,)</f>
        <v>145.77740895836223</v>
      </c>
      <c r="I75" s="9" t="str">
        <f t="shared" si="5"/>
        <v>Hours</v>
      </c>
      <c r="K75" s="82">
        <f>127873/H75</f>
        <v>877.17981073819067</v>
      </c>
      <c r="L75" s="82"/>
      <c r="M75" s="82"/>
      <c r="N75" s="82"/>
      <c r="O75" s="82"/>
      <c r="Q75" s="5">
        <f t="shared" si="11"/>
        <v>127873</v>
      </c>
      <c r="R75" s="5">
        <f t="shared" si="12"/>
        <v>0</v>
      </c>
      <c r="S75" s="5">
        <f t="shared" si="13"/>
        <v>0</v>
      </c>
      <c r="T75" s="5">
        <f t="shared" si="14"/>
        <v>0</v>
      </c>
      <c r="U75" s="5">
        <f t="shared" si="15"/>
        <v>0</v>
      </c>
    </row>
    <row r="76" spans="1:21" ht="12.75" customHeight="1" x14ac:dyDescent="0.2">
      <c r="A76" s="4"/>
      <c r="C76" s="80" t="s">
        <v>105</v>
      </c>
      <c r="D76" s="81" t="s">
        <v>53</v>
      </c>
      <c r="E76" s="81" t="s">
        <v>13</v>
      </c>
      <c r="F76" s="79" t="s">
        <v>54</v>
      </c>
      <c r="H76" s="63">
        <f>IF($E76="Labour",Assumptions!$B$14,)</f>
        <v>0</v>
      </c>
      <c r="I76" s="9" t="str">
        <f t="shared" si="5"/>
        <v>$</v>
      </c>
      <c r="K76" s="82">
        <v>150000</v>
      </c>
      <c r="L76" s="82"/>
      <c r="M76" s="82"/>
      <c r="N76" s="82"/>
      <c r="O76" s="82"/>
      <c r="Q76" s="5">
        <f t="shared" si="11"/>
        <v>150000</v>
      </c>
      <c r="R76" s="5">
        <f t="shared" si="12"/>
        <v>0</v>
      </c>
      <c r="S76" s="5">
        <f t="shared" si="13"/>
        <v>0</v>
      </c>
      <c r="T76" s="5">
        <f t="shared" si="14"/>
        <v>0</v>
      </c>
      <c r="U76" s="5">
        <f t="shared" si="15"/>
        <v>0</v>
      </c>
    </row>
    <row r="77" spans="1:21" ht="12.75" customHeight="1" x14ac:dyDescent="0.2">
      <c r="A77" s="4"/>
      <c r="C77" s="80" t="s">
        <v>106</v>
      </c>
      <c r="D77" s="81" t="s">
        <v>53</v>
      </c>
      <c r="E77" s="81" t="s">
        <v>11</v>
      </c>
      <c r="F77" s="79" t="s">
        <v>54</v>
      </c>
      <c r="H77" s="63">
        <f>IF($E77="Labour",Assumptions!$B$14,)</f>
        <v>145.77740895836223</v>
      </c>
      <c r="I77" s="9" t="str">
        <f t="shared" si="5"/>
        <v>Hours</v>
      </c>
      <c r="K77" s="82"/>
      <c r="L77" s="82">
        <f>92998/H77</f>
        <v>637.94521156952806</v>
      </c>
      <c r="M77" s="82"/>
      <c r="N77" s="82"/>
      <c r="O77" s="82"/>
      <c r="Q77" s="5">
        <f t="shared" si="11"/>
        <v>0</v>
      </c>
      <c r="R77" s="5">
        <f t="shared" si="12"/>
        <v>92998</v>
      </c>
      <c r="S77" s="5">
        <f t="shared" si="13"/>
        <v>0</v>
      </c>
      <c r="T77" s="5">
        <f t="shared" si="14"/>
        <v>0</v>
      </c>
      <c r="U77" s="5">
        <f t="shared" si="15"/>
        <v>0</v>
      </c>
    </row>
    <row r="78" spans="1:21" ht="12.75" customHeight="1" x14ac:dyDescent="0.2">
      <c r="A78" s="4"/>
      <c r="C78" s="80" t="s">
        <v>106</v>
      </c>
      <c r="D78" s="81" t="s">
        <v>53</v>
      </c>
      <c r="E78" s="81" t="s">
        <v>13</v>
      </c>
      <c r="F78" s="79" t="s">
        <v>54</v>
      </c>
      <c r="H78" s="63">
        <f>IF($E78="Labour",Assumptions!$B$14,)</f>
        <v>0</v>
      </c>
      <c r="I78" s="9" t="str">
        <f t="shared" si="5"/>
        <v>$</v>
      </c>
      <c r="K78" s="82"/>
      <c r="L78" s="82">
        <v>200000</v>
      </c>
      <c r="M78" s="82"/>
      <c r="N78" s="82"/>
      <c r="O78" s="82"/>
      <c r="Q78" s="5">
        <f t="shared" si="11"/>
        <v>0</v>
      </c>
      <c r="R78" s="5">
        <f t="shared" si="12"/>
        <v>200000</v>
      </c>
      <c r="S78" s="5">
        <f t="shared" si="13"/>
        <v>0</v>
      </c>
      <c r="T78" s="5">
        <f t="shared" si="14"/>
        <v>0</v>
      </c>
      <c r="U78" s="5">
        <f t="shared" si="15"/>
        <v>0</v>
      </c>
    </row>
    <row r="79" spans="1:21" ht="12.75" customHeight="1" x14ac:dyDescent="0.2">
      <c r="A79" s="4"/>
      <c r="C79" s="80"/>
      <c r="D79" s="81"/>
      <c r="E79" s="81"/>
      <c r="F79" s="79"/>
      <c r="H79" s="63">
        <f>IF($E79="Labour",Assumptions!$B$14,)</f>
        <v>0</v>
      </c>
      <c r="I79" s="9" t="str">
        <f t="shared" si="5"/>
        <v>$</v>
      </c>
      <c r="K79" s="82"/>
      <c r="L79" s="82"/>
      <c r="M79" s="82"/>
      <c r="N79" s="82"/>
      <c r="O79" s="82"/>
      <c r="Q79" s="5">
        <f t="shared" si="11"/>
        <v>0</v>
      </c>
      <c r="R79" s="5">
        <f t="shared" si="12"/>
        <v>0</v>
      </c>
      <c r="S79" s="5">
        <f t="shared" si="13"/>
        <v>0</v>
      </c>
      <c r="T79" s="5">
        <f t="shared" si="14"/>
        <v>0</v>
      </c>
      <c r="U79" s="5">
        <f t="shared" si="15"/>
        <v>0</v>
      </c>
    </row>
    <row r="80" spans="1:21" ht="12.75" customHeight="1" x14ac:dyDescent="0.2">
      <c r="A80" s="4"/>
      <c r="C80" s="80"/>
      <c r="D80" s="81"/>
      <c r="E80" s="81"/>
      <c r="F80" s="79"/>
      <c r="H80" s="63">
        <f>IF($E80="Labour",Assumptions!$B$14,)</f>
        <v>0</v>
      </c>
      <c r="I80" s="9" t="str">
        <f t="shared" si="5"/>
        <v>$</v>
      </c>
      <c r="K80" s="82"/>
      <c r="L80" s="82"/>
      <c r="M80" s="82"/>
      <c r="N80" s="82"/>
      <c r="O80" s="82"/>
      <c r="Q80" s="5">
        <f t="shared" si="11"/>
        <v>0</v>
      </c>
      <c r="R80" s="5">
        <f t="shared" si="12"/>
        <v>0</v>
      </c>
      <c r="S80" s="5">
        <f t="shared" si="13"/>
        <v>0</v>
      </c>
      <c r="T80" s="5">
        <f t="shared" si="14"/>
        <v>0</v>
      </c>
      <c r="U80" s="5">
        <f t="shared" si="15"/>
        <v>0</v>
      </c>
    </row>
    <row r="81" spans="1:26" ht="12.75" customHeight="1" x14ac:dyDescent="0.2">
      <c r="A81" s="4"/>
      <c r="C81" s="80"/>
      <c r="D81" s="81"/>
      <c r="E81" s="81"/>
      <c r="F81" s="79"/>
      <c r="H81" s="63">
        <f>IF($E81="Labour",Assumptions!$B$14,)</f>
        <v>0</v>
      </c>
      <c r="I81" s="9" t="str">
        <f t="shared" si="5"/>
        <v>$</v>
      </c>
      <c r="K81" s="82"/>
      <c r="L81" s="82"/>
      <c r="M81" s="82"/>
      <c r="N81" s="82"/>
      <c r="O81" s="82"/>
      <c r="Q81" s="5">
        <f t="shared" si="11"/>
        <v>0</v>
      </c>
      <c r="R81" s="5">
        <f t="shared" si="12"/>
        <v>0</v>
      </c>
      <c r="S81" s="5">
        <f t="shared" si="13"/>
        <v>0</v>
      </c>
      <c r="T81" s="5">
        <f t="shared" si="14"/>
        <v>0</v>
      </c>
      <c r="U81" s="5">
        <f t="shared" si="15"/>
        <v>0</v>
      </c>
    </row>
    <row r="82" spans="1:26" ht="12.75" customHeight="1" x14ac:dyDescent="0.2">
      <c r="A82" s="4"/>
      <c r="C82" s="80"/>
      <c r="D82" s="81"/>
      <c r="E82" s="81"/>
      <c r="F82" s="79"/>
      <c r="H82" s="63">
        <f>IF($E82="Labour",Assumptions!$B$14,)</f>
        <v>0</v>
      </c>
      <c r="I82" s="9" t="str">
        <f t="shared" si="5"/>
        <v>$</v>
      </c>
      <c r="K82" s="82"/>
      <c r="L82" s="82"/>
      <c r="M82" s="82"/>
      <c r="N82" s="82"/>
      <c r="O82" s="82"/>
      <c r="Q82" s="5">
        <f t="shared" si="11"/>
        <v>0</v>
      </c>
      <c r="R82" s="5">
        <f t="shared" si="12"/>
        <v>0</v>
      </c>
      <c r="S82" s="5">
        <f t="shared" si="13"/>
        <v>0</v>
      </c>
      <c r="T82" s="5">
        <f t="shared" si="14"/>
        <v>0</v>
      </c>
      <c r="U82" s="5">
        <f t="shared" si="15"/>
        <v>0</v>
      </c>
    </row>
    <row r="83" spans="1:26" ht="12.75" customHeight="1" x14ac:dyDescent="0.2">
      <c r="A83" s="4"/>
      <c r="C83" s="80"/>
      <c r="D83" s="81"/>
      <c r="E83" s="81"/>
      <c r="F83" s="79"/>
      <c r="H83" s="63">
        <f>IF($E83="Labour",Assumptions!$B$14,)</f>
        <v>0</v>
      </c>
      <c r="I83" s="9" t="str">
        <f t="shared" si="5"/>
        <v>$</v>
      </c>
      <c r="K83" s="82"/>
      <c r="L83" s="82"/>
      <c r="M83" s="82"/>
      <c r="N83" s="82"/>
      <c r="O83" s="82"/>
      <c r="Q83" s="5">
        <f t="shared" si="11"/>
        <v>0</v>
      </c>
      <c r="R83" s="5">
        <f t="shared" si="12"/>
        <v>0</v>
      </c>
      <c r="S83" s="5">
        <f t="shared" si="13"/>
        <v>0</v>
      </c>
      <c r="T83" s="5">
        <f t="shared" si="14"/>
        <v>0</v>
      </c>
      <c r="U83" s="5">
        <f t="shared" si="15"/>
        <v>0</v>
      </c>
    </row>
    <row r="84" spans="1:26" ht="12.75" customHeight="1" x14ac:dyDescent="0.2">
      <c r="A84" s="4"/>
      <c r="C84" s="80"/>
      <c r="D84" s="81"/>
      <c r="E84" s="81"/>
      <c r="F84" s="79"/>
      <c r="H84" s="63">
        <f>IF($E84="Labour",Assumptions!$B$14,)</f>
        <v>0</v>
      </c>
      <c r="I84" s="9" t="str">
        <f t="shared" si="5"/>
        <v>$</v>
      </c>
      <c r="K84" s="82"/>
      <c r="L84" s="82"/>
      <c r="M84" s="82"/>
      <c r="N84" s="82"/>
      <c r="O84" s="82"/>
      <c r="Q84" s="5">
        <f t="shared" si="11"/>
        <v>0</v>
      </c>
      <c r="R84" s="5">
        <f t="shared" si="12"/>
        <v>0</v>
      </c>
      <c r="S84" s="5">
        <f t="shared" si="13"/>
        <v>0</v>
      </c>
      <c r="T84" s="5">
        <f t="shared" si="14"/>
        <v>0</v>
      </c>
      <c r="U84" s="5">
        <f t="shared" si="15"/>
        <v>0</v>
      </c>
    </row>
    <row r="85" spans="1:26" ht="12.75" customHeight="1" x14ac:dyDescent="0.2">
      <c r="A85" s="4"/>
      <c r="C85" s="80"/>
      <c r="D85" s="81"/>
      <c r="E85" s="81"/>
      <c r="F85" s="79"/>
      <c r="H85" s="63">
        <f>IF($E85="Labour",Assumptions!$B$14,)</f>
        <v>0</v>
      </c>
      <c r="I85" s="9" t="str">
        <f t="shared" si="5"/>
        <v>$</v>
      </c>
      <c r="K85" s="82"/>
      <c r="L85" s="82"/>
      <c r="M85" s="82"/>
      <c r="N85" s="82"/>
      <c r="O85" s="82"/>
      <c r="Q85" s="5">
        <f t="shared" si="11"/>
        <v>0</v>
      </c>
      <c r="R85" s="5">
        <f t="shared" si="12"/>
        <v>0</v>
      </c>
      <c r="S85" s="5">
        <f t="shared" si="13"/>
        <v>0</v>
      </c>
      <c r="T85" s="5">
        <f t="shared" si="14"/>
        <v>0</v>
      </c>
      <c r="U85" s="5">
        <f t="shared" si="15"/>
        <v>0</v>
      </c>
    </row>
    <row r="86" spans="1:26" ht="12.75" customHeight="1" x14ac:dyDescent="0.2">
      <c r="A86" s="4"/>
      <c r="C86" s="80"/>
      <c r="D86" s="81"/>
      <c r="E86" s="81"/>
      <c r="F86" s="79"/>
      <c r="H86" s="63">
        <f>IF($E86="Labour",Assumptions!$B$14,)</f>
        <v>0</v>
      </c>
      <c r="I86" s="9" t="str">
        <f t="shared" si="5"/>
        <v>$</v>
      </c>
      <c r="K86" s="82"/>
      <c r="L86" s="82"/>
      <c r="M86" s="82"/>
      <c r="N86" s="82"/>
      <c r="O86" s="82"/>
      <c r="Q86" s="5">
        <f t="shared" si="11"/>
        <v>0</v>
      </c>
      <c r="R86" s="5">
        <f t="shared" si="12"/>
        <v>0</v>
      </c>
      <c r="S86" s="5">
        <f t="shared" si="13"/>
        <v>0</v>
      </c>
      <c r="T86" s="5">
        <f t="shared" si="14"/>
        <v>0</v>
      </c>
      <c r="U86" s="5">
        <f t="shared" si="15"/>
        <v>0</v>
      </c>
    </row>
    <row r="87" spans="1:26" ht="12.75" customHeight="1" x14ac:dyDescent="0.2">
      <c r="A87" s="4"/>
      <c r="C87" s="80"/>
      <c r="D87" s="81"/>
      <c r="E87" s="81"/>
      <c r="F87" s="79"/>
      <c r="H87" s="63">
        <f>IF($E87="Labour",Assumptions!$B$14,)</f>
        <v>0</v>
      </c>
      <c r="I87" s="9" t="str">
        <f t="shared" si="5"/>
        <v>$</v>
      </c>
      <c r="K87" s="82"/>
      <c r="L87" s="82"/>
      <c r="M87" s="82"/>
      <c r="N87" s="82"/>
      <c r="O87" s="82"/>
      <c r="Q87" s="5">
        <f t="shared" si="11"/>
        <v>0</v>
      </c>
      <c r="R87" s="5">
        <f t="shared" si="12"/>
        <v>0</v>
      </c>
      <c r="S87" s="5">
        <f t="shared" si="13"/>
        <v>0</v>
      </c>
      <c r="T87" s="5">
        <f t="shared" si="14"/>
        <v>0</v>
      </c>
      <c r="U87" s="5">
        <f t="shared" si="15"/>
        <v>0</v>
      </c>
    </row>
    <row r="88" spans="1:26" ht="12.75" customHeight="1" x14ac:dyDescent="0.2">
      <c r="A88" s="4"/>
      <c r="C88" s="80"/>
      <c r="D88" s="81"/>
      <c r="E88" s="81"/>
      <c r="F88" s="79"/>
      <c r="H88" s="63">
        <f>IF($E88="Labour",Assumptions!$B$14,)</f>
        <v>0</v>
      </c>
      <c r="I88" s="9" t="str">
        <f t="shared" si="5"/>
        <v>$</v>
      </c>
      <c r="K88" s="82"/>
      <c r="L88" s="82"/>
      <c r="M88" s="82"/>
      <c r="N88" s="82"/>
      <c r="O88" s="82"/>
      <c r="Q88" s="5">
        <f t="shared" si="11"/>
        <v>0</v>
      </c>
      <c r="R88" s="5">
        <f t="shared" si="12"/>
        <v>0</v>
      </c>
      <c r="S88" s="5">
        <f t="shared" si="13"/>
        <v>0</v>
      </c>
      <c r="T88" s="5">
        <f t="shared" si="14"/>
        <v>0</v>
      </c>
      <c r="U88" s="5">
        <f t="shared" si="15"/>
        <v>0</v>
      </c>
    </row>
    <row r="89" spans="1:26" ht="12.75" customHeight="1" x14ac:dyDescent="0.2">
      <c r="A89" s="4"/>
      <c r="C89" s="80"/>
      <c r="D89" s="81"/>
      <c r="E89" s="81"/>
      <c r="F89" s="79"/>
      <c r="H89" s="63">
        <f>IF($E89="Labour",Assumptions!$B$14,)</f>
        <v>0</v>
      </c>
      <c r="I89" s="9" t="str">
        <f t="shared" si="5"/>
        <v>$</v>
      </c>
      <c r="K89" s="82"/>
      <c r="L89" s="82"/>
      <c r="M89" s="82"/>
      <c r="N89" s="82"/>
      <c r="O89" s="82"/>
      <c r="Q89" s="5">
        <f t="shared" si="11"/>
        <v>0</v>
      </c>
      <c r="R89" s="5">
        <f t="shared" si="12"/>
        <v>0</v>
      </c>
      <c r="S89" s="5">
        <f t="shared" si="13"/>
        <v>0</v>
      </c>
      <c r="T89" s="5">
        <f t="shared" si="14"/>
        <v>0</v>
      </c>
      <c r="U89" s="5">
        <f t="shared" si="15"/>
        <v>0</v>
      </c>
    </row>
    <row r="90" spans="1:26" ht="12.75" customHeight="1" x14ac:dyDescent="0.2">
      <c r="A90" s="4"/>
      <c r="C90" s="80"/>
      <c r="D90" s="81"/>
      <c r="E90" s="81"/>
      <c r="F90" s="79"/>
      <c r="H90" s="63">
        <f>IF($E90="Labour",Assumptions!$B$14,)</f>
        <v>0</v>
      </c>
      <c r="I90" s="9" t="str">
        <f t="shared" si="5"/>
        <v>$</v>
      </c>
      <c r="K90" s="82"/>
      <c r="L90" s="82"/>
      <c r="M90" s="82"/>
      <c r="N90" s="82"/>
      <c r="O90" s="82"/>
      <c r="Q90" s="5">
        <f t="shared" si="11"/>
        <v>0</v>
      </c>
      <c r="R90" s="5">
        <f t="shared" si="12"/>
        <v>0</v>
      </c>
      <c r="S90" s="5">
        <f t="shared" si="13"/>
        <v>0</v>
      </c>
      <c r="T90" s="5">
        <f t="shared" si="14"/>
        <v>0</v>
      </c>
      <c r="U90" s="5">
        <f t="shared" si="15"/>
        <v>0</v>
      </c>
      <c r="V90" s="106"/>
    </row>
    <row r="91" spans="1:26" ht="12.75" customHeight="1" x14ac:dyDescent="0.25">
      <c r="G91" s="2"/>
      <c r="J91" s="2"/>
      <c r="P91" s="2"/>
      <c r="Z91"/>
    </row>
    <row r="92" spans="1:26" ht="12.75" customHeight="1" x14ac:dyDescent="0.25">
      <c r="G92" s="2"/>
      <c r="J92" s="2"/>
      <c r="P92" s="2"/>
      <c r="Z92"/>
    </row>
    <row r="93" spans="1:26" ht="12.75" customHeight="1" x14ac:dyDescent="0.25">
      <c r="C93" s="3" t="s">
        <v>73</v>
      </c>
      <c r="G93" s="2"/>
      <c r="J93" s="2"/>
      <c r="P93" s="2"/>
      <c r="Q93" s="68" t="s">
        <v>6</v>
      </c>
      <c r="R93" s="68" t="s">
        <v>7</v>
      </c>
      <c r="S93" s="68" t="s">
        <v>8</v>
      </c>
      <c r="T93" s="68" t="s">
        <v>9</v>
      </c>
      <c r="U93" s="68" t="s">
        <v>10</v>
      </c>
      <c r="V93" s="68" t="s">
        <v>0</v>
      </c>
      <c r="Z93"/>
    </row>
    <row r="94" spans="1:26" ht="12.75" customHeight="1" x14ac:dyDescent="0.2">
      <c r="C94" s="24" t="s">
        <v>11</v>
      </c>
      <c r="D94" s="24" t="s">
        <v>53</v>
      </c>
      <c r="E94" s="24"/>
      <c r="F94" s="24" t="s">
        <v>54</v>
      </c>
      <c r="G94" s="2"/>
      <c r="H94" s="65"/>
      <c r="I94" s="66"/>
      <c r="J94" s="2"/>
      <c r="K94" s="24"/>
      <c r="L94" s="24"/>
      <c r="M94" s="24"/>
      <c r="N94" s="24"/>
      <c r="O94" s="24"/>
      <c r="P94" s="2"/>
      <c r="Q94" s="25">
        <f t="shared" ref="Q94:U99" si="16">SUMIFS(Q$10:Q$90,$E$10:$E$90,$C94,$D$10:$D$90,$D94,$F$10:$F$90,$F94)</f>
        <v>3434665.3394770999</v>
      </c>
      <c r="R94" s="25">
        <f t="shared" si="16"/>
        <v>2233015.6484378041</v>
      </c>
      <c r="S94" s="25">
        <f t="shared" si="16"/>
        <v>3647924.1091362596</v>
      </c>
      <c r="T94" s="25">
        <f t="shared" si="16"/>
        <v>2418207.6967849145</v>
      </c>
      <c r="U94" s="25">
        <f t="shared" si="16"/>
        <v>1986192.7007760634</v>
      </c>
      <c r="V94" s="70">
        <f>SUM(Q94:U94)</f>
        <v>13720005.494612142</v>
      </c>
    </row>
    <row r="95" spans="1:26" ht="12.75" customHeight="1" x14ac:dyDescent="0.2">
      <c r="C95" s="1" t="s">
        <v>13</v>
      </c>
      <c r="D95" s="1" t="s">
        <v>53</v>
      </c>
      <c r="F95" s="1" t="s">
        <v>54</v>
      </c>
      <c r="G95" s="2"/>
      <c r="H95" s="67"/>
      <c r="J95" s="2"/>
      <c r="P95" s="2"/>
      <c r="Q95" s="6">
        <f t="shared" si="16"/>
        <v>2521280</v>
      </c>
      <c r="R95" s="6">
        <f t="shared" si="16"/>
        <v>1073240</v>
      </c>
      <c r="S95" s="6">
        <f t="shared" si="16"/>
        <v>182720</v>
      </c>
      <c r="T95" s="6">
        <f t="shared" si="16"/>
        <v>241160</v>
      </c>
      <c r="U95" s="6">
        <f t="shared" si="16"/>
        <v>151680</v>
      </c>
      <c r="V95" s="71">
        <f t="shared" ref="V95:V109" si="17">SUM(Q95:U95)</f>
        <v>4170080</v>
      </c>
    </row>
    <row r="96" spans="1:26" ht="12.75" customHeight="1" x14ac:dyDescent="0.2">
      <c r="C96" s="1" t="s">
        <v>14</v>
      </c>
      <c r="D96" s="1" t="s">
        <v>53</v>
      </c>
      <c r="F96" s="1" t="s">
        <v>54</v>
      </c>
      <c r="G96" s="2"/>
      <c r="H96" s="67"/>
      <c r="J96" s="2"/>
      <c r="P96" s="2"/>
      <c r="Q96" s="6">
        <f t="shared" si="16"/>
        <v>2364017</v>
      </c>
      <c r="R96" s="6">
        <f t="shared" si="16"/>
        <v>844305</v>
      </c>
      <c r="S96" s="6">
        <f t="shared" si="16"/>
        <v>1219585</v>
      </c>
      <c r="T96" s="6">
        <f t="shared" si="16"/>
        <v>1267745</v>
      </c>
      <c r="U96" s="6">
        <f t="shared" si="16"/>
        <v>1167557</v>
      </c>
      <c r="V96" s="71">
        <f t="shared" si="17"/>
        <v>6863209</v>
      </c>
    </row>
    <row r="97" spans="3:23" ht="12.75" customHeight="1" x14ac:dyDescent="0.2">
      <c r="C97" s="1" t="s">
        <v>11</v>
      </c>
      <c r="D97" s="1" t="s">
        <v>53</v>
      </c>
      <c r="F97" s="1" t="s">
        <v>50</v>
      </c>
      <c r="G97" s="2"/>
      <c r="H97" s="67"/>
      <c r="J97" s="2"/>
      <c r="P97" s="2"/>
      <c r="Q97" s="6">
        <f t="shared" si="16"/>
        <v>0</v>
      </c>
      <c r="R97" s="6">
        <f t="shared" si="16"/>
        <v>0</v>
      </c>
      <c r="S97" s="6">
        <f t="shared" si="16"/>
        <v>0</v>
      </c>
      <c r="T97" s="6">
        <f t="shared" si="16"/>
        <v>0</v>
      </c>
      <c r="U97" s="6">
        <f t="shared" si="16"/>
        <v>0</v>
      </c>
      <c r="V97" s="71">
        <f t="shared" si="17"/>
        <v>0</v>
      </c>
    </row>
    <row r="98" spans="3:23" ht="12.75" customHeight="1" x14ac:dyDescent="0.2">
      <c r="C98" s="1" t="s">
        <v>13</v>
      </c>
      <c r="D98" s="1" t="s">
        <v>53</v>
      </c>
      <c r="F98" s="1" t="s">
        <v>50</v>
      </c>
      <c r="G98" s="2"/>
      <c r="H98" s="67"/>
      <c r="J98" s="2"/>
      <c r="P98" s="2"/>
      <c r="Q98" s="6">
        <f t="shared" si="16"/>
        <v>0</v>
      </c>
      <c r="R98" s="6">
        <f t="shared" si="16"/>
        <v>0</v>
      </c>
      <c r="S98" s="6">
        <f t="shared" si="16"/>
        <v>0</v>
      </c>
      <c r="T98" s="6">
        <f t="shared" si="16"/>
        <v>0</v>
      </c>
      <c r="U98" s="6">
        <f t="shared" si="16"/>
        <v>0</v>
      </c>
      <c r="V98" s="71">
        <f t="shared" si="17"/>
        <v>0</v>
      </c>
    </row>
    <row r="99" spans="3:23" ht="12.75" customHeight="1" x14ac:dyDescent="0.2">
      <c r="C99" s="1" t="s">
        <v>14</v>
      </c>
      <c r="D99" s="1" t="s">
        <v>53</v>
      </c>
      <c r="F99" s="1" t="s">
        <v>50</v>
      </c>
      <c r="G99" s="2"/>
      <c r="H99" s="67"/>
      <c r="J99" s="2"/>
      <c r="P99" s="2"/>
      <c r="Q99" s="6">
        <f t="shared" si="16"/>
        <v>0</v>
      </c>
      <c r="R99" s="6">
        <f t="shared" si="16"/>
        <v>0</v>
      </c>
      <c r="S99" s="6">
        <f t="shared" si="16"/>
        <v>0</v>
      </c>
      <c r="T99" s="6">
        <f t="shared" si="16"/>
        <v>0</v>
      </c>
      <c r="U99" s="6">
        <f t="shared" si="16"/>
        <v>0</v>
      </c>
      <c r="V99" s="71">
        <f t="shared" si="17"/>
        <v>0</v>
      </c>
    </row>
    <row r="100" spans="3:23" ht="12.75" customHeight="1" x14ac:dyDescent="0.2">
      <c r="C100" s="21" t="s">
        <v>15</v>
      </c>
      <c r="D100" s="21" t="s">
        <v>53</v>
      </c>
      <c r="E100" s="101"/>
      <c r="F100" s="102"/>
      <c r="G100" s="2"/>
      <c r="H100" s="102"/>
      <c r="I100" s="104"/>
      <c r="J100" s="103"/>
      <c r="K100" s="101"/>
      <c r="L100" s="101"/>
      <c r="M100" s="101"/>
      <c r="N100" s="101"/>
      <c r="O100" s="101"/>
      <c r="P100" s="2"/>
      <c r="Q100" s="22">
        <f>SUM(Q94:Q99)</f>
        <v>8319962.3394770995</v>
      </c>
      <c r="R100" s="22">
        <f t="shared" ref="R100:U100" si="18">SUM(R94:R99)</f>
        <v>4150560.6484378041</v>
      </c>
      <c r="S100" s="22">
        <f t="shared" si="18"/>
        <v>5050229.1091362592</v>
      </c>
      <c r="T100" s="22">
        <f t="shared" si="18"/>
        <v>3927112.6967849145</v>
      </c>
      <c r="U100" s="22">
        <f t="shared" si="18"/>
        <v>3305429.7007760634</v>
      </c>
      <c r="V100" s="22">
        <f>SUM(V94:V99)</f>
        <v>24753294.494612142</v>
      </c>
    </row>
    <row r="101" spans="3:23" ht="12.75" customHeight="1" x14ac:dyDescent="0.2">
      <c r="C101" s="1" t="s">
        <v>11</v>
      </c>
      <c r="D101" s="1" t="s">
        <v>49</v>
      </c>
      <c r="F101" s="1" t="s">
        <v>54</v>
      </c>
      <c r="G101" s="2"/>
      <c r="H101" s="67"/>
      <c r="J101" s="2"/>
      <c r="P101" s="2"/>
      <c r="Q101" s="6">
        <f t="shared" ref="Q101:U106" si="19">SUMIFS(Q$10:Q$90,$E$10:$E$90,$C101,$D$10:$D$90,$D101,$F$10:$F$90,$F101)</f>
        <v>0</v>
      </c>
      <c r="R101" s="6">
        <f t="shared" si="19"/>
        <v>0</v>
      </c>
      <c r="S101" s="6">
        <f t="shared" si="19"/>
        <v>0</v>
      </c>
      <c r="T101" s="6">
        <f t="shared" si="19"/>
        <v>0</v>
      </c>
      <c r="U101" s="6">
        <f t="shared" si="19"/>
        <v>0</v>
      </c>
      <c r="V101" s="71">
        <f t="shared" si="17"/>
        <v>0</v>
      </c>
    </row>
    <row r="102" spans="3:23" ht="12.75" customHeight="1" x14ac:dyDescent="0.2">
      <c r="C102" s="1" t="s">
        <v>13</v>
      </c>
      <c r="D102" s="1" t="s">
        <v>49</v>
      </c>
      <c r="F102" s="1" t="s">
        <v>54</v>
      </c>
      <c r="G102" s="2"/>
      <c r="H102" s="67"/>
      <c r="J102" s="2"/>
      <c r="P102" s="2"/>
      <c r="Q102" s="6">
        <f t="shared" si="19"/>
        <v>0</v>
      </c>
      <c r="R102" s="6">
        <f t="shared" si="19"/>
        <v>0</v>
      </c>
      <c r="S102" s="6">
        <f t="shared" si="19"/>
        <v>0</v>
      </c>
      <c r="T102" s="6">
        <f t="shared" si="19"/>
        <v>0</v>
      </c>
      <c r="U102" s="6">
        <f t="shared" si="19"/>
        <v>0</v>
      </c>
      <c r="V102" s="71">
        <f t="shared" si="17"/>
        <v>0</v>
      </c>
    </row>
    <row r="103" spans="3:23" ht="12.75" customHeight="1" x14ac:dyDescent="0.2">
      <c r="C103" s="1" t="s">
        <v>14</v>
      </c>
      <c r="D103" s="1" t="s">
        <v>49</v>
      </c>
      <c r="F103" s="1" t="s">
        <v>54</v>
      </c>
      <c r="G103" s="2"/>
      <c r="H103" s="67"/>
      <c r="J103" s="2"/>
      <c r="P103" s="2"/>
      <c r="Q103" s="6">
        <f t="shared" si="19"/>
        <v>0</v>
      </c>
      <c r="R103" s="6">
        <f t="shared" si="19"/>
        <v>0</v>
      </c>
      <c r="S103" s="6">
        <f t="shared" si="19"/>
        <v>0</v>
      </c>
      <c r="T103" s="6">
        <f t="shared" si="19"/>
        <v>0</v>
      </c>
      <c r="U103" s="6">
        <f t="shared" si="19"/>
        <v>0</v>
      </c>
      <c r="V103" s="71">
        <f t="shared" si="17"/>
        <v>0</v>
      </c>
    </row>
    <row r="104" spans="3:23" ht="12.75" customHeight="1" x14ac:dyDescent="0.2">
      <c r="C104" s="1" t="s">
        <v>11</v>
      </c>
      <c r="D104" s="1" t="s">
        <v>49</v>
      </c>
      <c r="F104" s="1" t="s">
        <v>50</v>
      </c>
      <c r="G104" s="2"/>
      <c r="H104" s="67"/>
      <c r="J104" s="2"/>
      <c r="P104" s="2"/>
      <c r="Q104" s="6">
        <f t="shared" si="19"/>
        <v>0</v>
      </c>
      <c r="R104" s="6">
        <f t="shared" si="19"/>
        <v>0</v>
      </c>
      <c r="S104" s="6">
        <f t="shared" si="19"/>
        <v>0</v>
      </c>
      <c r="T104" s="6">
        <f t="shared" si="19"/>
        <v>0</v>
      </c>
      <c r="U104" s="6">
        <f t="shared" si="19"/>
        <v>0</v>
      </c>
      <c r="V104" s="71">
        <f t="shared" si="17"/>
        <v>0</v>
      </c>
    </row>
    <row r="105" spans="3:23" ht="12.75" customHeight="1" x14ac:dyDescent="0.2">
      <c r="C105" s="1" t="s">
        <v>13</v>
      </c>
      <c r="D105" s="1" t="s">
        <v>49</v>
      </c>
      <c r="F105" s="1" t="s">
        <v>50</v>
      </c>
      <c r="G105" s="2"/>
      <c r="H105" s="67"/>
      <c r="J105" s="2"/>
      <c r="P105" s="2"/>
      <c r="Q105" s="6">
        <f t="shared" si="19"/>
        <v>0</v>
      </c>
      <c r="R105" s="6">
        <f t="shared" si="19"/>
        <v>0</v>
      </c>
      <c r="S105" s="6">
        <f t="shared" si="19"/>
        <v>0</v>
      </c>
      <c r="T105" s="6">
        <f t="shared" si="19"/>
        <v>0</v>
      </c>
      <c r="U105" s="6">
        <f t="shared" si="19"/>
        <v>0</v>
      </c>
      <c r="V105" s="71">
        <f t="shared" si="17"/>
        <v>0</v>
      </c>
    </row>
    <row r="106" spans="3:23" ht="12.75" customHeight="1" x14ac:dyDescent="0.2">
      <c r="C106" s="1" t="s">
        <v>14</v>
      </c>
      <c r="D106" s="1" t="s">
        <v>49</v>
      </c>
      <c r="F106" s="1" t="s">
        <v>50</v>
      </c>
      <c r="G106" s="2"/>
      <c r="H106" s="67"/>
      <c r="J106" s="2"/>
      <c r="P106" s="2"/>
      <c r="Q106" s="6">
        <f t="shared" si="19"/>
        <v>0</v>
      </c>
      <c r="R106" s="6">
        <f t="shared" si="19"/>
        <v>0</v>
      </c>
      <c r="S106" s="6">
        <f t="shared" si="19"/>
        <v>0</v>
      </c>
      <c r="T106" s="6">
        <f t="shared" si="19"/>
        <v>0</v>
      </c>
      <c r="U106" s="6">
        <f t="shared" si="19"/>
        <v>0</v>
      </c>
      <c r="V106" s="71">
        <f t="shared" si="17"/>
        <v>0</v>
      </c>
    </row>
    <row r="107" spans="3:23" ht="12.75" customHeight="1" x14ac:dyDescent="0.2">
      <c r="C107" s="21" t="s">
        <v>17</v>
      </c>
      <c r="D107" s="21" t="s">
        <v>49</v>
      </c>
      <c r="E107" s="101"/>
      <c r="F107" s="102"/>
      <c r="G107" s="2"/>
      <c r="H107" s="102"/>
      <c r="I107" s="104"/>
      <c r="J107" s="103"/>
      <c r="K107" s="101"/>
      <c r="L107" s="101"/>
      <c r="M107" s="101"/>
      <c r="N107" s="101"/>
      <c r="O107" s="101"/>
      <c r="P107" s="2"/>
      <c r="Q107" s="22">
        <f>SUM(Q101:Q106)</f>
        <v>0</v>
      </c>
      <c r="R107" s="22">
        <f t="shared" ref="R107:U107" si="20">SUM(R101:R106)</f>
        <v>0</v>
      </c>
      <c r="S107" s="22">
        <f t="shared" si="20"/>
        <v>0</v>
      </c>
      <c r="T107" s="22">
        <f t="shared" si="20"/>
        <v>0</v>
      </c>
      <c r="U107" s="22">
        <f t="shared" si="20"/>
        <v>0</v>
      </c>
      <c r="V107" s="22">
        <f>SUM(V101:V106)</f>
        <v>0</v>
      </c>
    </row>
    <row r="108" spans="3:23" ht="12.75" customHeight="1" x14ac:dyDescent="0.2">
      <c r="F108" s="67"/>
      <c r="G108" s="2"/>
      <c r="H108" s="67"/>
      <c r="J108" s="2"/>
      <c r="P108" s="2"/>
      <c r="Q108" s="6"/>
      <c r="R108" s="6"/>
      <c r="S108" s="6"/>
      <c r="T108" s="6"/>
      <c r="U108" s="6"/>
      <c r="V108" s="71"/>
    </row>
    <row r="109" spans="3:23" ht="12.75" customHeight="1" x14ac:dyDescent="0.2">
      <c r="C109" s="7" t="str">
        <f>"Total Expenditure ($ "&amp;Assumptions!$B$12&amp;")"</f>
        <v>Total Expenditure ($ June 2024)</v>
      </c>
      <c r="D109" s="7"/>
      <c r="E109" s="7"/>
      <c r="F109" s="7"/>
      <c r="G109" s="2"/>
      <c r="H109" s="7"/>
      <c r="I109" s="10"/>
      <c r="J109" s="2"/>
      <c r="K109" s="7"/>
      <c r="L109" s="7"/>
      <c r="M109" s="7"/>
      <c r="N109" s="7"/>
      <c r="O109" s="7"/>
      <c r="P109" s="2"/>
      <c r="Q109" s="8">
        <f>Q100+Q107</f>
        <v>8319962.3394770995</v>
      </c>
      <c r="R109" s="8">
        <f t="shared" ref="R109:U109" si="21">R100+R107</f>
        <v>4150560.6484378041</v>
      </c>
      <c r="S109" s="8">
        <f t="shared" si="21"/>
        <v>5050229.1091362592</v>
      </c>
      <c r="T109" s="8">
        <f t="shared" si="21"/>
        <v>3927112.6967849145</v>
      </c>
      <c r="U109" s="8">
        <f t="shared" si="21"/>
        <v>3305429.7007760634</v>
      </c>
      <c r="V109" s="72">
        <f t="shared" si="17"/>
        <v>24753294.494612139</v>
      </c>
    </row>
    <row r="110" spans="3:23" ht="12.75" customHeight="1" x14ac:dyDescent="0.2">
      <c r="C110" s="44" t="s">
        <v>74</v>
      </c>
      <c r="D110" s="44"/>
      <c r="E110" s="44"/>
      <c r="F110" s="44"/>
      <c r="G110" s="2"/>
      <c r="H110" s="44"/>
      <c r="I110" s="44"/>
      <c r="J110" s="2"/>
      <c r="K110" s="44"/>
      <c r="L110" s="44"/>
      <c r="M110" s="44"/>
      <c r="N110" s="44"/>
      <c r="O110" s="44"/>
      <c r="P110" s="2"/>
      <c r="Q110" s="45">
        <f>Q109-SUM(Q$10:Q$90)</f>
        <v>0</v>
      </c>
      <c r="R110" s="45">
        <f t="shared" ref="R110:U110" si="22">R109-SUM(R$10:R$90)</f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>V109-SUM(Q$10:U$90)</f>
        <v>0</v>
      </c>
      <c r="W110" s="45">
        <f>SUM(Q110:V110)</f>
        <v>0</v>
      </c>
    </row>
    <row r="111" spans="3:23" ht="12.75" customHeight="1" x14ac:dyDescent="0.2">
      <c r="G111" s="2"/>
      <c r="J111" s="2"/>
      <c r="P111" s="2"/>
    </row>
    <row r="112" spans="3:23" ht="12.75" customHeight="1" x14ac:dyDescent="0.2">
      <c r="C112" s="54" t="str">
        <f>"NPV ($ "&amp;Assumptions!$B$12&amp;")"</f>
        <v>NPV ($ June 2024)</v>
      </c>
      <c r="D112" s="55">
        <f>NPV(Real_Discount_rate,Q109:U109)</f>
        <v>22673555.990690932</v>
      </c>
      <c r="G112" s="2"/>
      <c r="J112" s="2"/>
      <c r="P112" s="2"/>
    </row>
    <row r="113" spans="3:23" ht="12.75" customHeight="1" x14ac:dyDescent="0.2">
      <c r="G113" s="2"/>
      <c r="J113" s="2"/>
      <c r="P113" s="2"/>
    </row>
    <row r="114" spans="3:23" ht="12.75" customHeight="1" x14ac:dyDescent="0.2">
      <c r="G114" s="2"/>
      <c r="J114" s="2"/>
      <c r="P114" s="2"/>
    </row>
    <row r="115" spans="3:23" ht="12.75" customHeight="1" x14ac:dyDescent="0.2">
      <c r="C115" s="4" t="s">
        <v>73</v>
      </c>
      <c r="F115" s="3"/>
      <c r="G115" s="2"/>
      <c r="J115" s="2"/>
      <c r="P115" s="2"/>
      <c r="Q115" s="68" t="s">
        <v>6</v>
      </c>
      <c r="R115" s="68" t="s">
        <v>7</v>
      </c>
      <c r="S115" s="68" t="s">
        <v>8</v>
      </c>
      <c r="T115" s="68" t="s">
        <v>9</v>
      </c>
      <c r="U115" s="68" t="s">
        <v>10</v>
      </c>
      <c r="V115" s="112" t="s">
        <v>0</v>
      </c>
    </row>
    <row r="116" spans="3:23" ht="12.75" customHeight="1" x14ac:dyDescent="0.2">
      <c r="C116" s="24"/>
      <c r="D116" s="24" t="s">
        <v>53</v>
      </c>
      <c r="E116" s="24"/>
      <c r="F116" s="24" t="s">
        <v>54</v>
      </c>
      <c r="G116" s="2"/>
      <c r="H116" s="65"/>
      <c r="I116" s="66"/>
      <c r="J116" s="2"/>
      <c r="K116" s="24"/>
      <c r="L116" s="24"/>
      <c r="M116" s="24"/>
      <c r="N116" s="24"/>
      <c r="O116" s="24"/>
      <c r="P116" s="2"/>
      <c r="Q116" s="25">
        <f t="shared" ref="Q116:U117" si="23">SUMIFS(Q$10:Q$90,$D$10:$D$90,$D116,$F$10:$F$90,$F116)</f>
        <v>8319962.3394770995</v>
      </c>
      <c r="R116" s="25">
        <f t="shared" si="23"/>
        <v>4150560.6484378036</v>
      </c>
      <c r="S116" s="25">
        <f t="shared" si="23"/>
        <v>5050229.1091362601</v>
      </c>
      <c r="T116" s="25">
        <f t="shared" si="23"/>
        <v>3927112.696784914</v>
      </c>
      <c r="U116" s="25">
        <f t="shared" si="23"/>
        <v>3305429.7007760629</v>
      </c>
      <c r="V116" s="71">
        <f t="shared" ref="V116:V117" si="24">SUM(Q116:U116)</f>
        <v>24753294.494612139</v>
      </c>
    </row>
    <row r="117" spans="3:23" ht="12.75" customHeight="1" x14ac:dyDescent="0.2">
      <c r="D117" s="1" t="s">
        <v>49</v>
      </c>
      <c r="F117" s="1" t="s">
        <v>54</v>
      </c>
      <c r="G117" s="2"/>
      <c r="J117" s="2"/>
      <c r="P117" s="2"/>
      <c r="Q117" s="111">
        <f t="shared" si="23"/>
        <v>0</v>
      </c>
      <c r="R117" s="111">
        <f t="shared" si="23"/>
        <v>0</v>
      </c>
      <c r="S117" s="111">
        <f t="shared" si="23"/>
        <v>0</v>
      </c>
      <c r="T117" s="111">
        <f t="shared" si="23"/>
        <v>0</v>
      </c>
      <c r="U117" s="111">
        <f t="shared" si="23"/>
        <v>0</v>
      </c>
      <c r="V117" s="71">
        <f t="shared" si="24"/>
        <v>0</v>
      </c>
    </row>
    <row r="118" spans="3:23" ht="12.75" customHeight="1" x14ac:dyDescent="0.2">
      <c r="C118" s="21" t="s">
        <v>75</v>
      </c>
      <c r="D118" s="21"/>
      <c r="E118" s="101"/>
      <c r="F118" s="102"/>
      <c r="G118" s="2"/>
      <c r="H118" s="102"/>
      <c r="I118" s="104"/>
      <c r="J118" s="103"/>
      <c r="K118" s="101"/>
      <c r="L118" s="101"/>
      <c r="M118" s="101"/>
      <c r="N118" s="101"/>
      <c r="O118" s="101"/>
      <c r="P118" s="2"/>
      <c r="Q118" s="22">
        <f>SUM(Q116:Q117)</f>
        <v>8319962.3394770995</v>
      </c>
      <c r="R118" s="22">
        <f t="shared" ref="R118:V118" si="25">SUM(R116:R117)</f>
        <v>4150560.6484378036</v>
      </c>
      <c r="S118" s="22">
        <f t="shared" si="25"/>
        <v>5050229.1091362601</v>
      </c>
      <c r="T118" s="22">
        <f t="shared" si="25"/>
        <v>3927112.696784914</v>
      </c>
      <c r="U118" s="22">
        <f t="shared" si="25"/>
        <v>3305429.7007760629</v>
      </c>
      <c r="V118" s="22">
        <f t="shared" si="25"/>
        <v>24753294.494612139</v>
      </c>
    </row>
    <row r="119" spans="3:23" ht="12.75" customHeight="1" x14ac:dyDescent="0.2">
      <c r="C119" s="4"/>
      <c r="D119" s="1" t="s">
        <v>53</v>
      </c>
      <c r="F119" s="1" t="s">
        <v>50</v>
      </c>
      <c r="G119" s="2"/>
      <c r="H119" s="67"/>
      <c r="J119" s="2"/>
      <c r="P119" s="2"/>
      <c r="Q119" s="6">
        <f t="shared" ref="Q119:U120" si="26">SUMIFS(Q$10:Q$90,$D$10:$D$90,$D119,$F$10:$F$90,$F119)</f>
        <v>0</v>
      </c>
      <c r="R119" s="6">
        <f t="shared" si="26"/>
        <v>0</v>
      </c>
      <c r="S119" s="6">
        <f t="shared" si="26"/>
        <v>0</v>
      </c>
      <c r="T119" s="6">
        <f t="shared" si="26"/>
        <v>0</v>
      </c>
      <c r="U119" s="6">
        <f t="shared" si="26"/>
        <v>0</v>
      </c>
      <c r="V119" s="71">
        <f t="shared" ref="V119:V120" si="27">SUM(Q119:U119)</f>
        <v>0</v>
      </c>
    </row>
    <row r="120" spans="3:23" ht="12.75" customHeight="1" x14ac:dyDescent="0.2">
      <c r="C120" s="4"/>
      <c r="D120" s="1" t="s">
        <v>49</v>
      </c>
      <c r="F120" s="1" t="s">
        <v>50</v>
      </c>
      <c r="G120" s="2"/>
      <c r="H120" s="67"/>
      <c r="J120" s="2"/>
      <c r="P120" s="2"/>
      <c r="Q120" s="6">
        <f t="shared" si="26"/>
        <v>0</v>
      </c>
      <c r="R120" s="6">
        <f t="shared" si="26"/>
        <v>0</v>
      </c>
      <c r="S120" s="6">
        <f t="shared" si="26"/>
        <v>0</v>
      </c>
      <c r="T120" s="6">
        <f t="shared" si="26"/>
        <v>0</v>
      </c>
      <c r="U120" s="6">
        <f t="shared" si="26"/>
        <v>0</v>
      </c>
      <c r="V120" s="71">
        <f t="shared" si="27"/>
        <v>0</v>
      </c>
    </row>
    <row r="121" spans="3:23" ht="12.75" customHeight="1" x14ac:dyDescent="0.2">
      <c r="C121" s="21" t="s">
        <v>76</v>
      </c>
      <c r="D121" s="21"/>
      <c r="E121" s="101"/>
      <c r="F121" s="102"/>
      <c r="G121" s="2"/>
      <c r="H121" s="102"/>
      <c r="I121" s="104"/>
      <c r="J121" s="103"/>
      <c r="K121" s="101"/>
      <c r="L121" s="101"/>
      <c r="M121" s="101"/>
      <c r="N121" s="101"/>
      <c r="O121" s="101"/>
      <c r="P121" s="2"/>
      <c r="Q121" s="22">
        <f>SUM(Q119:Q120)</f>
        <v>0</v>
      </c>
      <c r="R121" s="22">
        <f t="shared" ref="R121:V121" si="28">SUM(R119:R120)</f>
        <v>0</v>
      </c>
      <c r="S121" s="22">
        <f t="shared" si="28"/>
        <v>0</v>
      </c>
      <c r="T121" s="22">
        <f t="shared" si="28"/>
        <v>0</v>
      </c>
      <c r="U121" s="22">
        <f t="shared" si="28"/>
        <v>0</v>
      </c>
      <c r="V121" s="22">
        <f t="shared" si="28"/>
        <v>0</v>
      </c>
    </row>
    <row r="122" spans="3:23" ht="12.75" customHeight="1" x14ac:dyDescent="0.2">
      <c r="C122" s="4"/>
      <c r="D122" s="4"/>
      <c r="F122" s="67"/>
      <c r="G122" s="2"/>
      <c r="H122" s="67"/>
      <c r="J122" s="2"/>
      <c r="P122" s="2"/>
      <c r="Q122" s="23"/>
      <c r="R122" s="23"/>
      <c r="S122" s="23"/>
      <c r="T122" s="23"/>
      <c r="U122" s="23"/>
      <c r="V122" s="23"/>
    </row>
    <row r="123" spans="3:23" ht="12.75" customHeight="1" x14ac:dyDescent="0.2">
      <c r="C123" s="7" t="str">
        <f>"Total Expenditure ($ "&amp;Assumptions!$B$12&amp;")"</f>
        <v>Total Expenditure ($ June 2024)</v>
      </c>
      <c r="D123" s="7"/>
      <c r="E123" s="7"/>
      <c r="F123" s="7"/>
      <c r="G123" s="2"/>
      <c r="H123" s="7"/>
      <c r="I123" s="10"/>
      <c r="J123" s="2"/>
      <c r="K123" s="7"/>
      <c r="L123" s="7"/>
      <c r="M123" s="7"/>
      <c r="N123" s="7"/>
      <c r="O123" s="7"/>
      <c r="P123" s="2"/>
      <c r="Q123" s="8">
        <f>Q118+Q121</f>
        <v>8319962.3394770995</v>
      </c>
      <c r="R123" s="8">
        <f t="shared" ref="R123:U123" si="29">R118+R121</f>
        <v>4150560.6484378036</v>
      </c>
      <c r="S123" s="8">
        <f t="shared" si="29"/>
        <v>5050229.1091362601</v>
      </c>
      <c r="T123" s="8">
        <f t="shared" si="29"/>
        <v>3927112.696784914</v>
      </c>
      <c r="U123" s="8">
        <f t="shared" si="29"/>
        <v>3305429.7007760629</v>
      </c>
      <c r="V123" s="72">
        <f t="shared" ref="V123" si="30">SUM(Q123:U123)</f>
        <v>24753294.494612139</v>
      </c>
    </row>
    <row r="124" spans="3:23" ht="12.75" customHeight="1" x14ac:dyDescent="0.2">
      <c r="C124" s="44" t="s">
        <v>74</v>
      </c>
      <c r="D124" s="44"/>
      <c r="E124" s="44"/>
      <c r="F124" s="44"/>
      <c r="G124" s="2"/>
      <c r="H124" s="44"/>
      <c r="I124" s="44"/>
      <c r="J124" s="2"/>
      <c r="K124" s="44"/>
      <c r="L124" s="44"/>
      <c r="M124" s="44"/>
      <c r="N124" s="44"/>
      <c r="O124" s="44"/>
      <c r="P124" s="2"/>
      <c r="Q124" s="45">
        <f>Q123-SUM(Q$10:Q$90)</f>
        <v>0</v>
      </c>
      <c r="R124" s="45">
        <f t="shared" ref="R124:U124" si="31">R123-SUM(R$10:R$90)</f>
        <v>0</v>
      </c>
      <c r="S124" s="45">
        <f t="shared" si="31"/>
        <v>0</v>
      </c>
      <c r="T124" s="45">
        <f t="shared" si="31"/>
        <v>0</v>
      </c>
      <c r="U124" s="45">
        <f t="shared" si="31"/>
        <v>0</v>
      </c>
      <c r="V124" s="45">
        <f>V123-SUM(Q$10:U$90)</f>
        <v>0</v>
      </c>
      <c r="W124" s="45">
        <f>SUM(Q124:V124)</f>
        <v>0</v>
      </c>
    </row>
    <row r="125" spans="3:23" ht="12.75" customHeight="1" x14ac:dyDescent="0.2">
      <c r="C125" s="114"/>
      <c r="D125" s="114"/>
      <c r="E125" s="114"/>
      <c r="F125" s="114"/>
      <c r="G125" s="2"/>
      <c r="H125" s="114"/>
      <c r="I125" s="114"/>
      <c r="J125" s="2"/>
      <c r="K125" s="114"/>
      <c r="L125" s="114"/>
      <c r="M125" s="114"/>
      <c r="N125" s="114"/>
      <c r="O125" s="114"/>
      <c r="P125" s="2"/>
      <c r="Q125" s="115"/>
      <c r="R125" s="115"/>
      <c r="S125" s="115"/>
      <c r="T125" s="115"/>
      <c r="U125" s="115"/>
      <c r="V125" s="115"/>
      <c r="W125" s="115"/>
    </row>
    <row r="126" spans="3:23" ht="12.75" customHeight="1" x14ac:dyDescent="0.2">
      <c r="C126" s="114"/>
      <c r="D126" s="114"/>
      <c r="E126" s="114"/>
      <c r="F126" s="114"/>
      <c r="G126" s="2"/>
      <c r="H126" s="114"/>
      <c r="I126" s="114"/>
      <c r="J126" s="2"/>
      <c r="K126" s="114"/>
      <c r="L126" s="114"/>
      <c r="M126" s="114"/>
      <c r="N126" s="114"/>
      <c r="O126" s="114"/>
      <c r="P126" s="2"/>
      <c r="Q126" s="115"/>
      <c r="R126" s="115"/>
      <c r="S126" s="115"/>
      <c r="T126" s="115"/>
      <c r="U126" s="115"/>
      <c r="V126" s="115"/>
      <c r="W126" s="115"/>
    </row>
    <row r="127" spans="3:23" ht="12.75" customHeight="1" x14ac:dyDescent="0.2">
      <c r="C127" s="114"/>
      <c r="D127" s="114"/>
      <c r="E127" s="114"/>
      <c r="F127" s="114"/>
      <c r="G127" s="2"/>
      <c r="H127" s="114"/>
      <c r="I127" s="114"/>
      <c r="J127" s="2"/>
      <c r="K127" s="114"/>
      <c r="L127" s="114"/>
      <c r="M127" s="114"/>
      <c r="N127" s="114"/>
      <c r="O127" s="114"/>
      <c r="P127" s="2"/>
      <c r="Q127" s="115"/>
      <c r="R127" s="115"/>
      <c r="S127" s="115"/>
      <c r="T127" s="115"/>
      <c r="U127" s="115"/>
      <c r="V127" s="115"/>
      <c r="W127" s="115"/>
    </row>
    <row r="128" spans="3:23" ht="12.75" customHeight="1" x14ac:dyDescent="0.2">
      <c r="C128" s="75" t="s">
        <v>77</v>
      </c>
      <c r="G128" s="2"/>
      <c r="J128" s="2"/>
      <c r="P128" s="2"/>
      <c r="Q128" s="68" t="s">
        <v>6</v>
      </c>
      <c r="R128" s="68" t="s">
        <v>7</v>
      </c>
      <c r="S128" s="68" t="s">
        <v>8</v>
      </c>
      <c r="T128" s="68" t="s">
        <v>9</v>
      </c>
      <c r="U128" s="68" t="s">
        <v>10</v>
      </c>
      <c r="V128" s="68" t="s">
        <v>0</v>
      </c>
    </row>
    <row r="129" spans="3:22" ht="12.75" customHeight="1" x14ac:dyDescent="0.2">
      <c r="C129" s="24" t="s">
        <v>11</v>
      </c>
      <c r="D129" s="24" t="s">
        <v>53</v>
      </c>
      <c r="E129" s="24"/>
      <c r="F129" s="24" t="s">
        <v>54</v>
      </c>
      <c r="G129" s="2"/>
      <c r="H129" s="65"/>
      <c r="I129" s="66"/>
      <c r="J129" s="2"/>
      <c r="K129" s="24"/>
      <c r="L129" s="24"/>
      <c r="M129" s="24"/>
      <c r="N129" s="24"/>
      <c r="O129" s="24"/>
      <c r="P129" s="2"/>
      <c r="Q129" s="34">
        <f t="shared" ref="Q129:U134" si="32">Q94*business_case_dollars</f>
        <v>3822482.4925128175</v>
      </c>
      <c r="R129" s="34">
        <f t="shared" si="32"/>
        <v>2485151.3547925889</v>
      </c>
      <c r="S129" s="34">
        <f t="shared" si="32"/>
        <v>4059820.8742257403</v>
      </c>
      <c r="T129" s="34">
        <f t="shared" si="32"/>
        <v>2691253.9274138818</v>
      </c>
      <c r="U129" s="34">
        <f t="shared" si="32"/>
        <v>2210458.9749140162</v>
      </c>
      <c r="V129" s="70">
        <f>SUM(Q129:U129)</f>
        <v>15269167.623859042</v>
      </c>
    </row>
    <row r="130" spans="3:22" ht="12.75" customHeight="1" x14ac:dyDescent="0.2">
      <c r="C130" s="1" t="s">
        <v>13</v>
      </c>
      <c r="D130" s="1" t="s">
        <v>53</v>
      </c>
      <c r="F130" s="1" t="s">
        <v>54</v>
      </c>
      <c r="G130" s="2"/>
      <c r="H130" s="67"/>
      <c r="J130" s="2"/>
      <c r="P130" s="2"/>
      <c r="Q130" s="6">
        <f t="shared" si="32"/>
        <v>2805964.3971572365</v>
      </c>
      <c r="R130" s="6">
        <f t="shared" si="32"/>
        <v>1194422.3686401481</v>
      </c>
      <c r="S130" s="6">
        <f t="shared" si="32"/>
        <v>203351.39875324053</v>
      </c>
      <c r="T130" s="6">
        <f t="shared" si="32"/>
        <v>268390.01380982646</v>
      </c>
      <c r="U130" s="6">
        <f t="shared" si="32"/>
        <v>168806.59020846937</v>
      </c>
      <c r="V130" s="71">
        <f t="shared" ref="V130:V144" si="33">SUM(Q130:U130)</f>
        <v>4640934.76856892</v>
      </c>
    </row>
    <row r="131" spans="3:22" ht="12.75" customHeight="1" x14ac:dyDescent="0.2">
      <c r="C131" s="1" t="s">
        <v>14</v>
      </c>
      <c r="D131" s="1" t="s">
        <v>53</v>
      </c>
      <c r="F131" s="1" t="s">
        <v>54</v>
      </c>
      <c r="G131" s="2"/>
      <c r="H131" s="67"/>
      <c r="J131" s="2"/>
      <c r="P131" s="2"/>
      <c r="Q131" s="6">
        <f t="shared" si="32"/>
        <v>2630944.4156438233</v>
      </c>
      <c r="R131" s="6">
        <f t="shared" si="32"/>
        <v>939637.71193276462</v>
      </c>
      <c r="S131" s="6">
        <f t="shared" si="32"/>
        <v>1357291.5698799849</v>
      </c>
      <c r="T131" s="6">
        <f t="shared" si="32"/>
        <v>1410889.4429314083</v>
      </c>
      <c r="U131" s="6">
        <f t="shared" si="32"/>
        <v>1299388.9507122224</v>
      </c>
      <c r="V131" s="71">
        <f t="shared" si="33"/>
        <v>7638152.0911002029</v>
      </c>
    </row>
    <row r="132" spans="3:22" ht="12.75" customHeight="1" x14ac:dyDescent="0.2">
      <c r="C132" s="1" t="s">
        <v>11</v>
      </c>
      <c r="D132" s="1" t="s">
        <v>53</v>
      </c>
      <c r="F132" s="1" t="s">
        <v>50</v>
      </c>
      <c r="G132" s="2"/>
      <c r="H132" s="67"/>
      <c r="J132" s="2"/>
      <c r="P132" s="2"/>
      <c r="Q132" s="6">
        <f t="shared" si="32"/>
        <v>0</v>
      </c>
      <c r="R132" s="6">
        <f t="shared" si="32"/>
        <v>0</v>
      </c>
      <c r="S132" s="6">
        <f t="shared" si="32"/>
        <v>0</v>
      </c>
      <c r="T132" s="6">
        <f t="shared" si="32"/>
        <v>0</v>
      </c>
      <c r="U132" s="6">
        <f t="shared" si="32"/>
        <v>0</v>
      </c>
      <c r="V132" s="6">
        <f t="shared" si="33"/>
        <v>0</v>
      </c>
    </row>
    <row r="133" spans="3:22" ht="12.75" customHeight="1" x14ac:dyDescent="0.2">
      <c r="C133" s="1" t="s">
        <v>13</v>
      </c>
      <c r="D133" s="1" t="s">
        <v>53</v>
      </c>
      <c r="F133" s="1" t="s">
        <v>50</v>
      </c>
      <c r="G133" s="2"/>
      <c r="H133" s="67"/>
      <c r="J133" s="2"/>
      <c r="P133" s="2"/>
      <c r="Q133" s="6">
        <f t="shared" si="32"/>
        <v>0</v>
      </c>
      <c r="R133" s="6">
        <f t="shared" si="32"/>
        <v>0</v>
      </c>
      <c r="S133" s="6">
        <f t="shared" si="32"/>
        <v>0</v>
      </c>
      <c r="T133" s="6">
        <f t="shared" si="32"/>
        <v>0</v>
      </c>
      <c r="U133" s="6">
        <f t="shared" si="32"/>
        <v>0</v>
      </c>
      <c r="V133" s="6">
        <f t="shared" si="33"/>
        <v>0</v>
      </c>
    </row>
    <row r="134" spans="3:22" ht="12.75" customHeight="1" x14ac:dyDescent="0.2">
      <c r="C134" s="1" t="s">
        <v>14</v>
      </c>
      <c r="D134" s="1" t="s">
        <v>53</v>
      </c>
      <c r="F134" s="1" t="s">
        <v>50</v>
      </c>
      <c r="G134" s="2"/>
      <c r="H134" s="67"/>
      <c r="J134" s="2"/>
      <c r="P134" s="2"/>
      <c r="Q134" s="6">
        <f t="shared" si="32"/>
        <v>0</v>
      </c>
      <c r="R134" s="6">
        <f t="shared" si="32"/>
        <v>0</v>
      </c>
      <c r="S134" s="6">
        <f t="shared" si="32"/>
        <v>0</v>
      </c>
      <c r="T134" s="6">
        <f t="shared" si="32"/>
        <v>0</v>
      </c>
      <c r="U134" s="6">
        <f t="shared" si="32"/>
        <v>0</v>
      </c>
      <c r="V134" s="6">
        <f t="shared" si="33"/>
        <v>0</v>
      </c>
    </row>
    <row r="135" spans="3:22" ht="12.75" customHeight="1" x14ac:dyDescent="0.2">
      <c r="C135" s="21" t="s">
        <v>15</v>
      </c>
      <c r="D135" s="21" t="s">
        <v>53</v>
      </c>
      <c r="E135" s="101"/>
      <c r="F135" s="102"/>
      <c r="G135" s="103"/>
      <c r="H135" s="102"/>
      <c r="I135" s="104"/>
      <c r="J135" s="103"/>
      <c r="K135" s="101"/>
      <c r="L135" s="101"/>
      <c r="M135" s="101"/>
      <c r="N135" s="101"/>
      <c r="O135" s="101"/>
      <c r="P135" s="103"/>
      <c r="Q135" s="22">
        <f>SUM(Q129:Q134)</f>
        <v>9259391.3053138778</v>
      </c>
      <c r="R135" s="22">
        <f t="shared" ref="R135:U135" si="34">SUM(R129:R134)</f>
        <v>4619211.4353655018</v>
      </c>
      <c r="S135" s="22">
        <f t="shared" si="34"/>
        <v>5620463.8428589664</v>
      </c>
      <c r="T135" s="22">
        <f t="shared" si="34"/>
        <v>4370533.384155116</v>
      </c>
      <c r="U135" s="22">
        <f t="shared" si="34"/>
        <v>3678654.5158347078</v>
      </c>
      <c r="V135" s="22">
        <f>SUM(V129:V134)</f>
        <v>27548254.483528167</v>
      </c>
    </row>
    <row r="136" spans="3:22" ht="12.75" customHeight="1" x14ac:dyDescent="0.2">
      <c r="C136" s="1" t="s">
        <v>11</v>
      </c>
      <c r="D136" s="1" t="s">
        <v>49</v>
      </c>
      <c r="F136" s="1" t="s">
        <v>54</v>
      </c>
      <c r="G136" s="2"/>
      <c r="H136" s="67"/>
      <c r="J136" s="2"/>
      <c r="P136" s="2"/>
      <c r="Q136" s="116">
        <f t="shared" ref="Q136:U141" si="35">Q101*business_case_dollars</f>
        <v>0</v>
      </c>
      <c r="R136" s="116">
        <f t="shared" si="35"/>
        <v>0</v>
      </c>
      <c r="S136" s="116">
        <f t="shared" si="35"/>
        <v>0</v>
      </c>
      <c r="T136" s="116">
        <f t="shared" si="35"/>
        <v>0</v>
      </c>
      <c r="U136" s="116">
        <f t="shared" si="35"/>
        <v>0</v>
      </c>
      <c r="V136" s="71">
        <f>SUM(Q136:U136)</f>
        <v>0</v>
      </c>
    </row>
    <row r="137" spans="3:22" ht="12.75" customHeight="1" x14ac:dyDescent="0.2">
      <c r="C137" s="1" t="s">
        <v>13</v>
      </c>
      <c r="D137" s="1" t="s">
        <v>49</v>
      </c>
      <c r="F137" s="1" t="s">
        <v>54</v>
      </c>
      <c r="G137" s="2"/>
      <c r="H137" s="67"/>
      <c r="J137" s="2"/>
      <c r="P137" s="2"/>
      <c r="Q137" s="6">
        <f t="shared" si="35"/>
        <v>0</v>
      </c>
      <c r="R137" s="6">
        <f t="shared" si="35"/>
        <v>0</v>
      </c>
      <c r="S137" s="6">
        <f t="shared" si="35"/>
        <v>0</v>
      </c>
      <c r="T137" s="6">
        <f t="shared" si="35"/>
        <v>0</v>
      </c>
      <c r="U137" s="6">
        <f t="shared" si="35"/>
        <v>0</v>
      </c>
      <c r="V137" s="71">
        <f t="shared" ref="V137:V141" si="36">SUM(Q137:U137)</f>
        <v>0</v>
      </c>
    </row>
    <row r="138" spans="3:22" ht="12.75" customHeight="1" x14ac:dyDescent="0.2">
      <c r="C138" s="1" t="s">
        <v>14</v>
      </c>
      <c r="D138" s="1" t="s">
        <v>49</v>
      </c>
      <c r="F138" s="1" t="s">
        <v>54</v>
      </c>
      <c r="G138" s="2"/>
      <c r="H138" s="67"/>
      <c r="J138" s="2"/>
      <c r="P138" s="2"/>
      <c r="Q138" s="6">
        <f t="shared" si="35"/>
        <v>0</v>
      </c>
      <c r="R138" s="6">
        <f t="shared" si="35"/>
        <v>0</v>
      </c>
      <c r="S138" s="6">
        <f t="shared" si="35"/>
        <v>0</v>
      </c>
      <c r="T138" s="6">
        <f t="shared" si="35"/>
        <v>0</v>
      </c>
      <c r="U138" s="6">
        <f t="shared" si="35"/>
        <v>0</v>
      </c>
      <c r="V138" s="71">
        <f t="shared" si="36"/>
        <v>0</v>
      </c>
    </row>
    <row r="139" spans="3:22" ht="12.75" customHeight="1" x14ac:dyDescent="0.2">
      <c r="C139" s="1" t="s">
        <v>11</v>
      </c>
      <c r="D139" s="1" t="s">
        <v>49</v>
      </c>
      <c r="F139" s="1" t="s">
        <v>50</v>
      </c>
      <c r="G139" s="2"/>
      <c r="H139" s="67"/>
      <c r="J139" s="2"/>
      <c r="P139" s="2"/>
      <c r="Q139" s="6">
        <f t="shared" si="35"/>
        <v>0</v>
      </c>
      <c r="R139" s="6">
        <f t="shared" si="35"/>
        <v>0</v>
      </c>
      <c r="S139" s="6">
        <f t="shared" si="35"/>
        <v>0</v>
      </c>
      <c r="T139" s="6">
        <f t="shared" si="35"/>
        <v>0</v>
      </c>
      <c r="U139" s="6">
        <f t="shared" si="35"/>
        <v>0</v>
      </c>
      <c r="V139" s="6">
        <f t="shared" si="36"/>
        <v>0</v>
      </c>
    </row>
    <row r="140" spans="3:22" ht="12.75" customHeight="1" x14ac:dyDescent="0.2">
      <c r="C140" s="1" t="s">
        <v>13</v>
      </c>
      <c r="D140" s="1" t="s">
        <v>49</v>
      </c>
      <c r="F140" s="1" t="s">
        <v>50</v>
      </c>
      <c r="G140" s="2"/>
      <c r="H140" s="67"/>
      <c r="J140" s="2"/>
      <c r="P140" s="2"/>
      <c r="Q140" s="6">
        <f t="shared" si="35"/>
        <v>0</v>
      </c>
      <c r="R140" s="6">
        <f t="shared" si="35"/>
        <v>0</v>
      </c>
      <c r="S140" s="6">
        <f t="shared" si="35"/>
        <v>0</v>
      </c>
      <c r="T140" s="6">
        <f t="shared" si="35"/>
        <v>0</v>
      </c>
      <c r="U140" s="6">
        <f t="shared" si="35"/>
        <v>0</v>
      </c>
      <c r="V140" s="6">
        <f t="shared" si="36"/>
        <v>0</v>
      </c>
    </row>
    <row r="141" spans="3:22" ht="12.75" customHeight="1" x14ac:dyDescent="0.2">
      <c r="C141" s="1" t="s">
        <v>14</v>
      </c>
      <c r="D141" s="1" t="s">
        <v>49</v>
      </c>
      <c r="F141" s="1" t="s">
        <v>50</v>
      </c>
      <c r="G141" s="2"/>
      <c r="H141" s="67"/>
      <c r="J141" s="2"/>
      <c r="P141" s="2"/>
      <c r="Q141" s="6">
        <f t="shared" si="35"/>
        <v>0</v>
      </c>
      <c r="R141" s="6">
        <f t="shared" si="35"/>
        <v>0</v>
      </c>
      <c r="S141" s="6">
        <f t="shared" si="35"/>
        <v>0</v>
      </c>
      <c r="T141" s="6">
        <f t="shared" si="35"/>
        <v>0</v>
      </c>
      <c r="U141" s="6">
        <f t="shared" si="35"/>
        <v>0</v>
      </c>
      <c r="V141" s="6">
        <f t="shared" si="36"/>
        <v>0</v>
      </c>
    </row>
    <row r="142" spans="3:22" ht="12.75" customHeight="1" x14ac:dyDescent="0.2">
      <c r="C142" s="21" t="s">
        <v>17</v>
      </c>
      <c r="D142" s="21" t="s">
        <v>49</v>
      </c>
      <c r="E142" s="101"/>
      <c r="F142" s="102"/>
      <c r="G142" s="103"/>
      <c r="H142" s="102"/>
      <c r="I142" s="104"/>
      <c r="J142" s="103"/>
      <c r="K142" s="101"/>
      <c r="L142" s="101"/>
      <c r="M142" s="101"/>
      <c r="N142" s="101"/>
      <c r="O142" s="101"/>
      <c r="P142" s="103"/>
      <c r="Q142" s="22">
        <f>SUM(Q136:Q141)</f>
        <v>0</v>
      </c>
      <c r="R142" s="22">
        <f t="shared" ref="R142:V142" si="37">SUM(R136:R141)</f>
        <v>0</v>
      </c>
      <c r="S142" s="22">
        <f t="shared" si="37"/>
        <v>0</v>
      </c>
      <c r="T142" s="22">
        <f t="shared" si="37"/>
        <v>0</v>
      </c>
      <c r="U142" s="22">
        <f t="shared" si="37"/>
        <v>0</v>
      </c>
      <c r="V142" s="22">
        <f t="shared" si="37"/>
        <v>0</v>
      </c>
    </row>
    <row r="143" spans="3:22" ht="12.75" customHeight="1" x14ac:dyDescent="0.2">
      <c r="G143" s="2"/>
      <c r="H143" s="67"/>
      <c r="J143" s="2"/>
      <c r="P143" s="2"/>
      <c r="Q143" s="6"/>
      <c r="R143" s="6"/>
      <c r="S143" s="6"/>
      <c r="T143" s="6"/>
      <c r="U143" s="6"/>
      <c r="V143" s="71"/>
    </row>
    <row r="144" spans="3:22" x14ac:dyDescent="0.2">
      <c r="C144" s="7" t="str">
        <f>"Total Expenditure ($ "&amp;Assumptions!$C$35&amp;")"</f>
        <v>Total Expenditure ($ June 2026)</v>
      </c>
      <c r="D144" s="7" t="s">
        <v>78</v>
      </c>
      <c r="E144" s="7"/>
      <c r="F144" s="7"/>
      <c r="G144" s="2"/>
      <c r="H144" s="7"/>
      <c r="I144" s="10"/>
      <c r="J144" s="2"/>
      <c r="K144" s="7"/>
      <c r="L144" s="7"/>
      <c r="M144" s="7"/>
      <c r="N144" s="7"/>
      <c r="O144" s="7"/>
      <c r="P144" s="2"/>
      <c r="Q144" s="8">
        <f>Q135+Q142</f>
        <v>9259391.3053138778</v>
      </c>
      <c r="R144" s="8">
        <f t="shared" ref="R144:U144" si="38">R135+R142</f>
        <v>4619211.4353655018</v>
      </c>
      <c r="S144" s="8">
        <f t="shared" si="38"/>
        <v>5620463.8428589664</v>
      </c>
      <c r="T144" s="8">
        <f t="shared" si="38"/>
        <v>4370533.384155116</v>
      </c>
      <c r="U144" s="8">
        <f t="shared" si="38"/>
        <v>3678654.5158347078</v>
      </c>
      <c r="V144" s="72">
        <f t="shared" si="33"/>
        <v>27548254.483528171</v>
      </c>
    </row>
    <row r="145" spans="3:23" x14ac:dyDescent="0.2">
      <c r="G145" s="2"/>
      <c r="J145" s="2"/>
      <c r="P145" s="2"/>
      <c r="Q145" s="45">
        <f>SUM(Q10:Q90)*business_case_dollars-Q144</f>
        <v>0</v>
      </c>
      <c r="R145" s="45">
        <f>SUM(R10:R90)*business_case_dollars-R144</f>
        <v>0</v>
      </c>
      <c r="S145" s="45">
        <f>SUM(S10:S90)*business_case_dollars-S144</f>
        <v>0</v>
      </c>
      <c r="T145" s="45">
        <f>SUM(T10:T90)*business_case_dollars-T144</f>
        <v>0</v>
      </c>
      <c r="U145" s="45">
        <f>SUM(U10:U90)*business_case_dollars-U144</f>
        <v>0</v>
      </c>
      <c r="V145" s="45">
        <f>SUM(Q10:U90)*business_case_dollars-V144</f>
        <v>0</v>
      </c>
      <c r="W145" s="45">
        <f>SUM(Q145:V145)</f>
        <v>0</v>
      </c>
    </row>
    <row r="146" spans="3:23" x14ac:dyDescent="0.2">
      <c r="C146" s="54" t="str">
        <f>"NPV ($ "&amp;Assumptions!$C$35&amp;")"</f>
        <v>NPV ($ June 2026)</v>
      </c>
      <c r="D146" s="55">
        <f>NPV(Real_Discount_rate,Q144:U144)</f>
        <v>25233687.201274727</v>
      </c>
      <c r="G146" s="2"/>
      <c r="J146" s="2"/>
      <c r="P146" s="2"/>
      <c r="Q146" s="51"/>
      <c r="R146" s="51"/>
      <c r="S146" s="51"/>
      <c r="T146" s="51"/>
      <c r="U146" s="51"/>
    </row>
    <row r="149" spans="3:23" x14ac:dyDescent="0.2">
      <c r="C149" s="4" t="s">
        <v>73</v>
      </c>
      <c r="F149" s="3"/>
      <c r="G149" s="2"/>
      <c r="J149" s="2"/>
      <c r="P149" s="2"/>
      <c r="Q149" s="68" t="s">
        <v>6</v>
      </c>
      <c r="R149" s="68" t="s">
        <v>7</v>
      </c>
      <c r="S149" s="68" t="s">
        <v>8</v>
      </c>
      <c r="T149" s="68" t="s">
        <v>9</v>
      </c>
      <c r="U149" s="68" t="s">
        <v>10</v>
      </c>
      <c r="V149" s="112" t="s">
        <v>0</v>
      </c>
    </row>
    <row r="150" spans="3:23" x14ac:dyDescent="0.2">
      <c r="C150" s="24"/>
      <c r="D150" s="24" t="s">
        <v>53</v>
      </c>
      <c r="E150" s="24"/>
      <c r="F150" s="24" t="s">
        <v>54</v>
      </c>
      <c r="G150" s="2"/>
      <c r="H150" s="65"/>
      <c r="I150" s="66"/>
      <c r="J150" s="2"/>
      <c r="K150" s="24"/>
      <c r="L150" s="24"/>
      <c r="M150" s="24"/>
      <c r="N150" s="24"/>
      <c r="O150" s="24"/>
      <c r="P150" s="2"/>
      <c r="Q150" s="25">
        <f t="shared" ref="Q150:U151" si="39">Q116*business_case_dollars</f>
        <v>9259391.3053138778</v>
      </c>
      <c r="R150" s="25">
        <f t="shared" si="39"/>
        <v>4619211.4353655009</v>
      </c>
      <c r="S150" s="25">
        <f t="shared" si="39"/>
        <v>5620463.8428589664</v>
      </c>
      <c r="T150" s="25">
        <f t="shared" si="39"/>
        <v>4370533.384155116</v>
      </c>
      <c r="U150" s="25">
        <f t="shared" si="39"/>
        <v>3678654.5158347073</v>
      </c>
      <c r="V150" s="71">
        <f t="shared" ref="V150:V151" si="40">SUM(Q150:U150)</f>
        <v>27548254.483528171</v>
      </c>
    </row>
    <row r="151" spans="3:23" x14ac:dyDescent="0.2">
      <c r="D151" s="1" t="s">
        <v>49</v>
      </c>
      <c r="F151" s="1" t="s">
        <v>54</v>
      </c>
      <c r="G151" s="2"/>
      <c r="J151" s="2"/>
      <c r="P151" s="2"/>
      <c r="Q151" s="111">
        <f t="shared" si="39"/>
        <v>0</v>
      </c>
      <c r="R151" s="111">
        <f t="shared" si="39"/>
        <v>0</v>
      </c>
      <c r="S151" s="111">
        <f t="shared" si="39"/>
        <v>0</v>
      </c>
      <c r="T151" s="111">
        <f t="shared" si="39"/>
        <v>0</v>
      </c>
      <c r="U151" s="111">
        <f t="shared" si="39"/>
        <v>0</v>
      </c>
      <c r="V151" s="71">
        <f t="shared" si="40"/>
        <v>0</v>
      </c>
    </row>
    <row r="152" spans="3:23" x14ac:dyDescent="0.2">
      <c r="C152" s="21" t="s">
        <v>75</v>
      </c>
      <c r="D152" s="21"/>
      <c r="E152" s="101"/>
      <c r="F152" s="102"/>
      <c r="G152" s="2"/>
      <c r="H152" s="102"/>
      <c r="I152" s="104"/>
      <c r="J152" s="103"/>
      <c r="K152" s="101"/>
      <c r="L152" s="101"/>
      <c r="M152" s="101"/>
      <c r="N152" s="101"/>
      <c r="O152" s="101"/>
      <c r="P152" s="2"/>
      <c r="Q152" s="22">
        <f>SUM(Q150:Q151)</f>
        <v>9259391.3053138778</v>
      </c>
      <c r="R152" s="22">
        <f t="shared" ref="R152:V152" si="41">SUM(R150:R151)</f>
        <v>4619211.4353655009</v>
      </c>
      <c r="S152" s="22">
        <f t="shared" si="41"/>
        <v>5620463.8428589664</v>
      </c>
      <c r="T152" s="22">
        <f t="shared" si="41"/>
        <v>4370533.384155116</v>
      </c>
      <c r="U152" s="22">
        <f t="shared" si="41"/>
        <v>3678654.5158347073</v>
      </c>
      <c r="V152" s="22">
        <f t="shared" si="41"/>
        <v>27548254.483528171</v>
      </c>
    </row>
    <row r="153" spans="3:23" x14ac:dyDescent="0.2">
      <c r="C153" s="4"/>
      <c r="D153" s="1" t="s">
        <v>53</v>
      </c>
      <c r="F153" s="1" t="s">
        <v>50</v>
      </c>
      <c r="G153" s="2"/>
      <c r="H153" s="67"/>
      <c r="J153" s="2"/>
      <c r="P153" s="2"/>
      <c r="Q153" s="6">
        <f t="shared" ref="Q153:U154" si="42">Q119*business_case_dollars</f>
        <v>0</v>
      </c>
      <c r="R153" s="6">
        <f t="shared" si="42"/>
        <v>0</v>
      </c>
      <c r="S153" s="6">
        <f t="shared" si="42"/>
        <v>0</v>
      </c>
      <c r="T153" s="6">
        <f t="shared" si="42"/>
        <v>0</v>
      </c>
      <c r="U153" s="6">
        <f t="shared" si="42"/>
        <v>0</v>
      </c>
      <c r="V153" s="71">
        <f t="shared" ref="V153:V154" si="43">SUM(Q153:U153)</f>
        <v>0</v>
      </c>
    </row>
    <row r="154" spans="3:23" x14ac:dyDescent="0.2">
      <c r="C154" s="4"/>
      <c r="D154" s="1" t="s">
        <v>49</v>
      </c>
      <c r="F154" s="1" t="s">
        <v>50</v>
      </c>
      <c r="G154" s="2"/>
      <c r="H154" s="67"/>
      <c r="J154" s="2"/>
      <c r="P154" s="2"/>
      <c r="Q154" s="6">
        <f t="shared" si="42"/>
        <v>0</v>
      </c>
      <c r="R154" s="6">
        <f t="shared" si="42"/>
        <v>0</v>
      </c>
      <c r="S154" s="6">
        <f t="shared" si="42"/>
        <v>0</v>
      </c>
      <c r="T154" s="6">
        <f t="shared" si="42"/>
        <v>0</v>
      </c>
      <c r="U154" s="6">
        <f t="shared" si="42"/>
        <v>0</v>
      </c>
      <c r="V154" s="71">
        <f t="shared" si="43"/>
        <v>0</v>
      </c>
    </row>
    <row r="155" spans="3:23" x14ac:dyDescent="0.2">
      <c r="C155" s="21" t="s">
        <v>76</v>
      </c>
      <c r="D155" s="21"/>
      <c r="E155" s="101"/>
      <c r="F155" s="102"/>
      <c r="G155" s="2"/>
      <c r="H155" s="102"/>
      <c r="I155" s="104"/>
      <c r="J155" s="103"/>
      <c r="K155" s="101"/>
      <c r="L155" s="101"/>
      <c r="M155" s="101"/>
      <c r="N155" s="101"/>
      <c r="O155" s="101"/>
      <c r="P155" s="2"/>
      <c r="Q155" s="22">
        <f>SUM(Q153:Q154)</f>
        <v>0</v>
      </c>
      <c r="R155" s="22">
        <f t="shared" ref="R155:V155" si="44">SUM(R153:R154)</f>
        <v>0</v>
      </c>
      <c r="S155" s="22">
        <f t="shared" si="44"/>
        <v>0</v>
      </c>
      <c r="T155" s="22">
        <f t="shared" si="44"/>
        <v>0</v>
      </c>
      <c r="U155" s="22">
        <f t="shared" si="44"/>
        <v>0</v>
      </c>
      <c r="V155" s="22">
        <f t="shared" si="44"/>
        <v>0</v>
      </c>
    </row>
    <row r="156" spans="3:23" x14ac:dyDescent="0.2">
      <c r="C156" s="4"/>
      <c r="D156" s="4"/>
      <c r="F156" s="67"/>
      <c r="G156" s="2"/>
      <c r="H156" s="67"/>
      <c r="J156" s="2"/>
      <c r="P156" s="2"/>
      <c r="Q156" s="23"/>
      <c r="R156" s="23"/>
      <c r="S156" s="23"/>
      <c r="T156" s="23"/>
      <c r="U156" s="23"/>
      <c r="V156" s="23"/>
    </row>
    <row r="157" spans="3:23" x14ac:dyDescent="0.2">
      <c r="C157" s="7" t="str">
        <f>"Total Expenditure ($ "&amp;Assumptions!$C$35&amp;")"</f>
        <v>Total Expenditure ($ June 2026)</v>
      </c>
      <c r="D157" s="7"/>
      <c r="E157" s="7"/>
      <c r="F157" s="7"/>
      <c r="G157" s="2"/>
      <c r="H157" s="7"/>
      <c r="I157" s="10"/>
      <c r="J157" s="2"/>
      <c r="K157" s="7"/>
      <c r="L157" s="7"/>
      <c r="M157" s="7"/>
      <c r="N157" s="7"/>
      <c r="O157" s="7"/>
      <c r="P157" s="2"/>
      <c r="Q157" s="8">
        <f>Q152+Q155</f>
        <v>9259391.3053138778</v>
      </c>
      <c r="R157" s="8">
        <f t="shared" ref="R157:U157" si="45">R152+R155</f>
        <v>4619211.4353655009</v>
      </c>
      <c r="S157" s="8">
        <f t="shared" si="45"/>
        <v>5620463.8428589664</v>
      </c>
      <c r="T157" s="8">
        <f t="shared" si="45"/>
        <v>4370533.384155116</v>
      </c>
      <c r="U157" s="8">
        <f t="shared" si="45"/>
        <v>3678654.5158347073</v>
      </c>
      <c r="V157" s="72">
        <f t="shared" ref="V157" si="46">SUM(Q157:U157)</f>
        <v>27548254.483528171</v>
      </c>
    </row>
    <row r="158" spans="3:23" x14ac:dyDescent="0.2">
      <c r="C158" s="44" t="s">
        <v>74</v>
      </c>
      <c r="D158" s="44"/>
      <c r="E158" s="44"/>
      <c r="F158" s="44"/>
      <c r="G158" s="2"/>
      <c r="H158" s="44"/>
      <c r="I158" s="44"/>
      <c r="J158" s="2"/>
      <c r="K158" s="44"/>
      <c r="L158" s="44"/>
      <c r="M158" s="44"/>
      <c r="N158" s="44"/>
      <c r="O158" s="44"/>
      <c r="P158" s="2"/>
      <c r="Q158" s="45">
        <f>Q157-SUM(Q$10:Q$90)*business_case_dollars</f>
        <v>0</v>
      </c>
      <c r="R158" s="45">
        <f>R157-SUM(R$10:R$90)*business_case_dollars</f>
        <v>0</v>
      </c>
      <c r="S158" s="45">
        <f>S157-SUM(S$10:S$90)*business_case_dollars</f>
        <v>0</v>
      </c>
      <c r="T158" s="45">
        <f>T157-SUM(T$10:T$90)*business_case_dollars</f>
        <v>0</v>
      </c>
      <c r="U158" s="45">
        <f>U157-SUM(U$10:U$90)*business_case_dollars</f>
        <v>0</v>
      </c>
      <c r="V158" s="45">
        <f>V157-SUM(Q$10:U$90)*business_case_dollars</f>
        <v>0</v>
      </c>
      <c r="W158" s="45">
        <f>SUM(Q158:V158)</f>
        <v>0</v>
      </c>
    </row>
  </sheetData>
  <conditionalFormatting sqref="H10:H90">
    <cfRule type="expression" dxfId="21" priority="11">
      <formula>$E10="Contracts"</formula>
    </cfRule>
    <cfRule type="expression" dxfId="20" priority="12">
      <formula>$E10="Materials"</formula>
    </cfRule>
    <cfRule type="expression" dxfId="19" priority="13">
      <formula>$E10="Labour"</formula>
    </cfRule>
  </conditionalFormatting>
  <conditionalFormatting sqref="Q110:V110">
    <cfRule type="expression" dxfId="18" priority="7">
      <formula>ABS(Q110)&gt;0.001</formula>
    </cfRule>
  </conditionalFormatting>
  <conditionalFormatting sqref="Q124:V127">
    <cfRule type="expression" dxfId="17" priority="4">
      <formula>ABS(Q124)&gt;0.001</formula>
    </cfRule>
  </conditionalFormatting>
  <conditionalFormatting sqref="Q145:V145">
    <cfRule type="expression" dxfId="16" priority="8">
      <formula>ABS(Q145)&gt;0.001</formula>
    </cfRule>
  </conditionalFormatting>
  <conditionalFormatting sqref="Q158:V158">
    <cfRule type="expression" dxfId="15" priority="1">
      <formula>ABS(Q158)&gt;0.001</formula>
    </cfRule>
  </conditionalFormatting>
  <conditionalFormatting sqref="W110">
    <cfRule type="expression" dxfId="14" priority="17">
      <formula>ABS(W110)&gt;0.001</formula>
    </cfRule>
  </conditionalFormatting>
  <conditionalFormatting sqref="W124:W127">
    <cfRule type="expression" dxfId="13" priority="5">
      <formula>ABS(W124)&gt;0.001</formula>
    </cfRule>
  </conditionalFormatting>
  <conditionalFormatting sqref="W145">
    <cfRule type="expression" dxfId="12" priority="9">
      <formula>ABS(W145)&gt;0.001</formula>
    </cfRule>
  </conditionalFormatting>
  <conditionalFormatting sqref="W158">
    <cfRule type="expression" dxfId="11" priority="2">
      <formula>ABS(W158)&gt;0.001</formula>
    </cfRule>
  </conditionalFormatting>
  <dataValidations count="3">
    <dataValidation type="list" allowBlank="1" showInputMessage="1" showErrorMessage="1" sqref="F10:F90" xr:uid="{62F3F087-87F3-4E5A-B0D6-C76D92ABBAEF}">
      <formula1>"Recurrent, Non recurrent"</formula1>
    </dataValidation>
    <dataValidation type="list" allowBlank="1" showInputMessage="1" showErrorMessage="1" sqref="D10:D90" xr:uid="{2827424A-175C-47A9-8376-819542451550}">
      <formula1>"Capex, Opex"</formula1>
    </dataValidation>
    <dataValidation type="list" allowBlank="1" showInputMessage="1" showErrorMessage="1" sqref="E10:E90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95B1-4B3C-46F4-9203-34B6BE8E696F}">
  <dimension ref="A1:Z168"/>
  <sheetViews>
    <sheetView showGridLines="0" zoomScale="80" zoomScaleNormal="80" workbookViewId="0">
      <pane ySplit="9" topLeftCell="A10" activePane="bottomLeft" state="frozen"/>
      <selection activeCell="K34" sqref="K34"/>
      <selection pane="bottomLeft" activeCell="K34" sqref="K34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1" width="13.85546875" style="1" bestFit="1" customWidth="1"/>
    <col min="12" max="15" width="12.140625" style="1" customWidth="1"/>
    <col min="16" max="16" width="2.85546875" style="1" customWidth="1"/>
    <col min="17" max="17" width="14.85546875" style="1" bestFit="1" customWidth="1"/>
    <col min="18" max="21" width="12.140625" style="1" customWidth="1"/>
    <col min="22" max="22" width="12" style="1" bestFit="1" customWidth="1"/>
    <col min="23" max="23" width="5.85546875" style="1" bestFit="1" customWidth="1"/>
    <col min="24" max="16384" width="9.140625" style="1"/>
  </cols>
  <sheetData>
    <row r="1" spans="1:26" ht="21" x14ac:dyDescent="0.35">
      <c r="A1" s="61" t="str">
        <f>Project_name</f>
        <v>Enterprise management systems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7" t="b">
        <f>SUM(W7:W101)=0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42</v>
      </c>
      <c r="D7" s="64" t="s">
        <v>43</v>
      </c>
      <c r="E7" s="64" t="s">
        <v>44</v>
      </c>
      <c r="F7" s="110" t="s">
        <v>45</v>
      </c>
      <c r="G7" s="16"/>
      <c r="H7" s="19" t="s">
        <v>11</v>
      </c>
      <c r="I7" s="19" t="s">
        <v>46</v>
      </c>
      <c r="K7" s="19" t="s">
        <v>47</v>
      </c>
      <c r="L7" s="20"/>
      <c r="M7" s="20"/>
      <c r="N7" s="20"/>
      <c r="O7" s="20"/>
      <c r="Q7" s="19" t="s">
        <v>48</v>
      </c>
      <c r="R7" s="20"/>
      <c r="S7" s="20"/>
      <c r="T7" s="20"/>
      <c r="U7" s="20"/>
    </row>
    <row r="8" spans="1:26" ht="12.75" customHeight="1" x14ac:dyDescent="0.2">
      <c r="A8" s="4"/>
      <c r="B8" s="4"/>
      <c r="C8" s="99"/>
      <c r="D8" s="99" t="s">
        <v>49</v>
      </c>
      <c r="E8" s="99"/>
      <c r="F8" s="99" t="s">
        <v>50</v>
      </c>
      <c r="G8" s="16"/>
      <c r="H8" s="109" t="s">
        <v>51</v>
      </c>
      <c r="I8" s="99"/>
      <c r="K8" s="50" t="s">
        <v>6</v>
      </c>
      <c r="L8" s="50" t="s">
        <v>7</v>
      </c>
      <c r="M8" s="50" t="s">
        <v>8</v>
      </c>
      <c r="N8" s="50" t="s">
        <v>9</v>
      </c>
      <c r="O8" s="50" t="s">
        <v>10</v>
      </c>
      <c r="Q8" s="50" t="s">
        <v>6</v>
      </c>
      <c r="R8" s="50" t="s">
        <v>7</v>
      </c>
      <c r="S8" s="50" t="s">
        <v>8</v>
      </c>
      <c r="T8" s="50" t="s">
        <v>9</v>
      </c>
      <c r="U8" s="50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0" t="s">
        <v>52</v>
      </c>
      <c r="D10" s="81" t="s">
        <v>53</v>
      </c>
      <c r="E10" s="81" t="s">
        <v>11</v>
      </c>
      <c r="F10" s="79" t="s">
        <v>54</v>
      </c>
      <c r="G10" s="2"/>
      <c r="H10" s="63">
        <f>IF($E10="Labour",Assumptions!$B$14,)</f>
        <v>145.77740895836223</v>
      </c>
      <c r="I10" s="9" t="str">
        <f>IF($E10="Labour","Hours","$")</f>
        <v>Hours</v>
      </c>
      <c r="J10" s="2"/>
      <c r="K10" s="82">
        <f>60*63.2/100</f>
        <v>37.92</v>
      </c>
      <c r="L10" s="82">
        <f>60*63.2/100</f>
        <v>37.92</v>
      </c>
      <c r="M10" s="82">
        <f>60*63.2/100</f>
        <v>37.92</v>
      </c>
      <c r="N10" s="82">
        <f>60*63.2/100</f>
        <v>37.92</v>
      </c>
      <c r="O10" s="82">
        <f>60*63.2/100</f>
        <v>37.92</v>
      </c>
      <c r="P10" s="2"/>
      <c r="Q10" s="5">
        <f t="shared" ref="Q10:Q41" si="0">IF($E10="Labour",$H10*K10,K10)</f>
        <v>5527.8793477010959</v>
      </c>
      <c r="R10" s="5">
        <f t="shared" ref="R10:R41" si="1">IF($E10="Labour",$H10*L10,L10)</f>
        <v>5527.8793477010959</v>
      </c>
      <c r="S10" s="5">
        <f t="shared" ref="S10:S41" si="2">IF($E10="Labour",$H10*M10,M10)</f>
        <v>5527.8793477010959</v>
      </c>
      <c r="T10" s="5">
        <f t="shared" ref="T10:T41" si="3">IF($E10="Labour",$H10*N10,N10)</f>
        <v>5527.8793477010959</v>
      </c>
      <c r="U10" s="5">
        <f t="shared" ref="U10:U41" si="4">IF($E10="Labour",$H10*O10,O10)</f>
        <v>5527.8793477010959</v>
      </c>
    </row>
    <row r="11" spans="1:26" ht="12.75" customHeight="1" x14ac:dyDescent="0.2">
      <c r="A11" s="4"/>
      <c r="C11" s="80" t="s">
        <v>52</v>
      </c>
      <c r="D11" s="81" t="s">
        <v>53</v>
      </c>
      <c r="E11" s="81" t="s">
        <v>13</v>
      </c>
      <c r="F11" s="79" t="s">
        <v>54</v>
      </c>
      <c r="G11" s="2"/>
      <c r="H11" s="63">
        <f>IF($E11="Labour",Assumptions!$B$14,)</f>
        <v>0</v>
      </c>
      <c r="I11" s="9" t="str">
        <f t="shared" ref="I11:I100" si="5">IF($E11="Labour","Hours","$")</f>
        <v>$</v>
      </c>
      <c r="J11" s="2"/>
      <c r="K11" s="82"/>
      <c r="L11" s="82"/>
      <c r="M11" s="82"/>
      <c r="N11" s="82"/>
      <c r="O11" s="82"/>
      <c r="P11" s="2"/>
      <c r="Q11" s="5">
        <f t="shared" si="0"/>
        <v>0</v>
      </c>
      <c r="R11" s="5">
        <f t="shared" si="1"/>
        <v>0</v>
      </c>
      <c r="S11" s="5">
        <f t="shared" si="2"/>
        <v>0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0" t="s">
        <v>52</v>
      </c>
      <c r="D12" s="81" t="s">
        <v>53</v>
      </c>
      <c r="E12" s="81" t="s">
        <v>14</v>
      </c>
      <c r="F12" s="79" t="s">
        <v>54</v>
      </c>
      <c r="G12" s="2"/>
      <c r="H12" s="63">
        <f>IF($E12="Labour",Assumptions!$B$14,)</f>
        <v>0</v>
      </c>
      <c r="I12" s="9" t="str">
        <f t="shared" si="5"/>
        <v>$</v>
      </c>
      <c r="J12" s="2"/>
      <c r="K12" s="82">
        <f>6000*63.2/100</f>
        <v>3792</v>
      </c>
      <c r="L12" s="82">
        <f>6000*63.2/100</f>
        <v>3792</v>
      </c>
      <c r="M12" s="82">
        <f>6000*63.2/100</f>
        <v>3792</v>
      </c>
      <c r="N12" s="82">
        <f>6000*63.2/100</f>
        <v>3792</v>
      </c>
      <c r="O12" s="82">
        <f>6000*63.2/100</f>
        <v>3792</v>
      </c>
      <c r="P12" s="2"/>
      <c r="Q12" s="5">
        <f t="shared" si="0"/>
        <v>3792</v>
      </c>
      <c r="R12" s="5">
        <f t="shared" si="1"/>
        <v>3792</v>
      </c>
      <c r="S12" s="5">
        <f t="shared" si="2"/>
        <v>3792</v>
      </c>
      <c r="T12" s="5">
        <f t="shared" si="3"/>
        <v>3792</v>
      </c>
      <c r="U12" s="5">
        <f t="shared" si="4"/>
        <v>3792</v>
      </c>
    </row>
    <row r="13" spans="1:26" ht="12.75" customHeight="1" x14ac:dyDescent="0.25">
      <c r="A13" s="4"/>
      <c r="C13" s="80" t="s">
        <v>55</v>
      </c>
      <c r="D13" s="81" t="s">
        <v>53</v>
      </c>
      <c r="E13" s="81" t="s">
        <v>11</v>
      </c>
      <c r="F13" s="79" t="s">
        <v>54</v>
      </c>
      <c r="G13" s="2"/>
      <c r="H13" s="63">
        <f>IF($E13="Labour",Assumptions!$B$14,)</f>
        <v>145.77740895836223</v>
      </c>
      <c r="I13" s="9" t="str">
        <f t="shared" si="5"/>
        <v>Hours</v>
      </c>
      <c r="J13" s="2"/>
      <c r="K13" s="82">
        <f>900*50/100</f>
        <v>450</v>
      </c>
      <c r="L13" s="82"/>
      <c r="M13" s="82">
        <f>900*50/100</f>
        <v>450</v>
      </c>
      <c r="N13" s="82"/>
      <c r="O13" s="82"/>
      <c r="P13" s="2"/>
      <c r="Q13" s="5">
        <f t="shared" si="0"/>
        <v>65599.834031263003</v>
      </c>
      <c r="R13" s="5">
        <f t="shared" si="1"/>
        <v>0</v>
      </c>
      <c r="S13" s="5">
        <f t="shared" si="2"/>
        <v>65599.834031263003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0" t="s">
        <v>55</v>
      </c>
      <c r="D14" s="81" t="s">
        <v>53</v>
      </c>
      <c r="E14" s="81" t="s">
        <v>13</v>
      </c>
      <c r="F14" s="79" t="s">
        <v>54</v>
      </c>
      <c r="G14" s="2"/>
      <c r="H14" s="63">
        <f>IF($E14="Labour",Assumptions!$B$14,)</f>
        <v>0</v>
      </c>
      <c r="I14" s="9" t="str">
        <f t="shared" si="5"/>
        <v>$</v>
      </c>
      <c r="J14" s="2"/>
      <c r="K14" s="82">
        <f>100000*50/100</f>
        <v>50000</v>
      </c>
      <c r="L14" s="82"/>
      <c r="M14" s="82">
        <f>100000*50/100</f>
        <v>50000</v>
      </c>
      <c r="N14" s="82"/>
      <c r="O14" s="82"/>
      <c r="P14" s="2"/>
      <c r="Q14" s="5">
        <f t="shared" si="0"/>
        <v>50000</v>
      </c>
      <c r="R14" s="5">
        <f t="shared" si="1"/>
        <v>0</v>
      </c>
      <c r="S14" s="5">
        <f t="shared" si="2"/>
        <v>50000</v>
      </c>
      <c r="T14" s="5">
        <f t="shared" si="3"/>
        <v>0</v>
      </c>
      <c r="U14" s="5">
        <f t="shared" si="4"/>
        <v>0</v>
      </c>
      <c r="Z14"/>
    </row>
    <row r="15" spans="1:26" ht="12.75" customHeight="1" x14ac:dyDescent="0.25">
      <c r="A15" s="4"/>
      <c r="C15" s="80" t="s">
        <v>55</v>
      </c>
      <c r="D15" s="81" t="s">
        <v>53</v>
      </c>
      <c r="E15" s="81" t="s">
        <v>14</v>
      </c>
      <c r="F15" s="79" t="s">
        <v>54</v>
      </c>
      <c r="G15" s="2"/>
      <c r="H15" s="63">
        <f>IF($E15="Labour",Assumptions!$B$14,)</f>
        <v>0</v>
      </c>
      <c r="I15" s="9" t="str">
        <f t="shared" si="5"/>
        <v>$</v>
      </c>
      <c r="J15" s="2"/>
      <c r="K15" s="82">
        <f>480000*50/100</f>
        <v>240000</v>
      </c>
      <c r="L15" s="82"/>
      <c r="M15" s="82">
        <f>480000*50/100</f>
        <v>240000</v>
      </c>
      <c r="N15" s="82"/>
      <c r="O15" s="82"/>
      <c r="P15" s="2"/>
      <c r="Q15" s="5">
        <f t="shared" si="0"/>
        <v>240000</v>
      </c>
      <c r="R15" s="5">
        <f t="shared" si="1"/>
        <v>0</v>
      </c>
      <c r="S15" s="5">
        <f t="shared" si="2"/>
        <v>240000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0" t="s">
        <v>56</v>
      </c>
      <c r="D16" s="81" t="s">
        <v>53</v>
      </c>
      <c r="E16" s="81" t="s">
        <v>11</v>
      </c>
      <c r="F16" s="79" t="s">
        <v>54</v>
      </c>
      <c r="G16" s="2"/>
      <c r="H16" s="63">
        <f>IF($E16="Labour",Assumptions!$B$14,)</f>
        <v>145.77740895836223</v>
      </c>
      <c r="I16" s="9" t="str">
        <f t="shared" si="5"/>
        <v>Hours</v>
      </c>
      <c r="J16" s="2"/>
      <c r="K16" s="82">
        <f>391*63.2/100</f>
        <v>247.11199999999999</v>
      </c>
      <c r="L16" s="82"/>
      <c r="M16" s="82">
        <f>391*63.2/100</f>
        <v>247.11199999999999</v>
      </c>
      <c r="N16" s="82"/>
      <c r="O16" s="82"/>
      <c r="P16" s="2"/>
      <c r="Q16" s="5">
        <f t="shared" si="0"/>
        <v>36023.347082518805</v>
      </c>
      <c r="R16" s="5">
        <f t="shared" si="1"/>
        <v>0</v>
      </c>
      <c r="S16" s="5">
        <f t="shared" si="2"/>
        <v>36023.347082518805</v>
      </c>
      <c r="T16" s="5">
        <f t="shared" si="3"/>
        <v>0</v>
      </c>
      <c r="U16" s="5">
        <f t="shared" si="4"/>
        <v>0</v>
      </c>
      <c r="Z16"/>
    </row>
    <row r="17" spans="1:26" ht="12.75" customHeight="1" x14ac:dyDescent="0.25">
      <c r="A17" s="4"/>
      <c r="C17" s="80" t="s">
        <v>56</v>
      </c>
      <c r="D17" s="81" t="s">
        <v>53</v>
      </c>
      <c r="E17" s="81" t="s">
        <v>13</v>
      </c>
      <c r="F17" s="79" t="s">
        <v>54</v>
      </c>
      <c r="G17" s="2"/>
      <c r="H17" s="63">
        <f>IF($E17="Labour",Assumptions!$B$14,)</f>
        <v>0</v>
      </c>
      <c r="I17" s="9" t="str">
        <f t="shared" si="5"/>
        <v>$</v>
      </c>
      <c r="J17" s="2"/>
      <c r="K17" s="82"/>
      <c r="L17" s="82"/>
      <c r="M17" s="82"/>
      <c r="N17" s="82"/>
      <c r="O17" s="82"/>
      <c r="P17" s="2"/>
      <c r="Q17" s="5">
        <f t="shared" si="0"/>
        <v>0</v>
      </c>
      <c r="R17" s="5">
        <f t="shared" si="1"/>
        <v>0</v>
      </c>
      <c r="S17" s="5">
        <f t="shared" si="2"/>
        <v>0</v>
      </c>
      <c r="T17" s="5">
        <f t="shared" si="3"/>
        <v>0</v>
      </c>
      <c r="U17" s="5">
        <f t="shared" si="4"/>
        <v>0</v>
      </c>
      <c r="Z17"/>
    </row>
    <row r="18" spans="1:26" ht="12.75" customHeight="1" x14ac:dyDescent="0.25">
      <c r="A18" s="4"/>
      <c r="C18" s="80" t="s">
        <v>56</v>
      </c>
      <c r="D18" s="81" t="s">
        <v>53</v>
      </c>
      <c r="E18" s="81" t="s">
        <v>14</v>
      </c>
      <c r="F18" s="79" t="s">
        <v>54</v>
      </c>
      <c r="G18" s="2"/>
      <c r="H18" s="63">
        <f>IF($E18="Labour",Assumptions!$B$14,)</f>
        <v>0</v>
      </c>
      <c r="I18" s="9" t="str">
        <f t="shared" si="5"/>
        <v>$</v>
      </c>
      <c r="J18" s="2"/>
      <c r="K18" s="82">
        <f>132000*63.2/100</f>
        <v>83424</v>
      </c>
      <c r="L18" s="82"/>
      <c r="M18" s="82">
        <f>132000*63.2/100</f>
        <v>83424</v>
      </c>
      <c r="N18" s="82"/>
      <c r="O18" s="82"/>
      <c r="P18" s="2"/>
      <c r="Q18" s="5">
        <f t="shared" si="0"/>
        <v>83424</v>
      </c>
      <c r="R18" s="5">
        <f t="shared" si="1"/>
        <v>0</v>
      </c>
      <c r="S18" s="5">
        <f t="shared" si="2"/>
        <v>83424</v>
      </c>
      <c r="T18" s="5">
        <f t="shared" si="3"/>
        <v>0</v>
      </c>
      <c r="U18" s="5">
        <f t="shared" si="4"/>
        <v>0</v>
      </c>
      <c r="Z18"/>
    </row>
    <row r="19" spans="1:26" ht="12.75" customHeight="1" x14ac:dyDescent="0.25">
      <c r="A19" s="4"/>
      <c r="C19" s="80" t="s">
        <v>57</v>
      </c>
      <c r="D19" s="81" t="s">
        <v>53</v>
      </c>
      <c r="E19" s="81" t="s">
        <v>11</v>
      </c>
      <c r="F19" s="79" t="s">
        <v>54</v>
      </c>
      <c r="G19" s="2"/>
      <c r="H19" s="63">
        <f>IF($E19="Labour",Assumptions!$B$14,)</f>
        <v>145.77740895836223</v>
      </c>
      <c r="I19" s="9" t="str">
        <f t="shared" si="5"/>
        <v>Hours</v>
      </c>
      <c r="J19" s="2"/>
      <c r="K19" s="82">
        <f>2146*63.2/100</f>
        <v>1356.2720000000002</v>
      </c>
      <c r="L19" s="82"/>
      <c r="M19" s="82"/>
      <c r="N19" s="82"/>
      <c r="O19" s="82"/>
      <c r="P19" s="2"/>
      <c r="Q19" s="5">
        <f t="shared" si="0"/>
        <v>197713.81800277589</v>
      </c>
      <c r="R19" s="5">
        <f t="shared" si="1"/>
        <v>0</v>
      </c>
      <c r="S19" s="5">
        <f t="shared" si="2"/>
        <v>0</v>
      </c>
      <c r="T19" s="5">
        <f t="shared" si="3"/>
        <v>0</v>
      </c>
      <c r="U19" s="5">
        <f t="shared" si="4"/>
        <v>0</v>
      </c>
      <c r="Z19"/>
    </row>
    <row r="20" spans="1:26" ht="12.75" customHeight="1" x14ac:dyDescent="0.25">
      <c r="A20" s="4"/>
      <c r="C20" s="80" t="s">
        <v>57</v>
      </c>
      <c r="D20" s="81" t="s">
        <v>53</v>
      </c>
      <c r="E20" s="81" t="s">
        <v>13</v>
      </c>
      <c r="F20" s="79" t="s">
        <v>54</v>
      </c>
      <c r="G20" s="2"/>
      <c r="H20" s="63">
        <f>IF($E20="Labour",Assumptions!$B$14,)</f>
        <v>0</v>
      </c>
      <c r="I20" s="9" t="str">
        <f t="shared" si="5"/>
        <v>$</v>
      </c>
      <c r="J20" s="2"/>
      <c r="K20" s="82">
        <f>330000*63.2/100</f>
        <v>208560</v>
      </c>
      <c r="L20" s="82"/>
      <c r="M20" s="82"/>
      <c r="N20" s="82"/>
      <c r="O20" s="82"/>
      <c r="P20" s="2"/>
      <c r="Q20" s="5">
        <f t="shared" si="0"/>
        <v>208560</v>
      </c>
      <c r="R20" s="5">
        <f t="shared" si="1"/>
        <v>0</v>
      </c>
      <c r="S20" s="5">
        <f t="shared" si="2"/>
        <v>0</v>
      </c>
      <c r="T20" s="5">
        <f t="shared" si="3"/>
        <v>0</v>
      </c>
      <c r="U20" s="5">
        <f t="shared" si="4"/>
        <v>0</v>
      </c>
      <c r="Z20"/>
    </row>
    <row r="21" spans="1:26" ht="12.75" customHeight="1" x14ac:dyDescent="0.25">
      <c r="A21" s="4"/>
      <c r="C21" s="80" t="s">
        <v>57</v>
      </c>
      <c r="D21" s="81" t="s">
        <v>53</v>
      </c>
      <c r="E21" s="81" t="s">
        <v>14</v>
      </c>
      <c r="F21" s="79" t="s">
        <v>54</v>
      </c>
      <c r="G21" s="2"/>
      <c r="H21" s="63">
        <f>IF($E21="Labour",Assumptions!$B$14,)</f>
        <v>0</v>
      </c>
      <c r="I21" s="9" t="str">
        <f t="shared" si="5"/>
        <v>$</v>
      </c>
      <c r="J21" s="2"/>
      <c r="K21" s="82">
        <f>430000*63.2/100</f>
        <v>271760</v>
      </c>
      <c r="L21" s="82">
        <f>70000*63.2/100</f>
        <v>44240</v>
      </c>
      <c r="M21" s="82"/>
      <c r="N21" s="82"/>
      <c r="O21" s="82"/>
      <c r="P21" s="2"/>
      <c r="Q21" s="5">
        <f t="shared" si="0"/>
        <v>271760</v>
      </c>
      <c r="R21" s="5">
        <f t="shared" si="1"/>
        <v>44240</v>
      </c>
      <c r="S21" s="5">
        <f t="shared" si="2"/>
        <v>0</v>
      </c>
      <c r="T21" s="5">
        <f t="shared" si="3"/>
        <v>0</v>
      </c>
      <c r="U21" s="5">
        <f t="shared" si="4"/>
        <v>0</v>
      </c>
      <c r="Z21"/>
    </row>
    <row r="22" spans="1:26" ht="12.75" customHeight="1" x14ac:dyDescent="0.25">
      <c r="A22" s="4"/>
      <c r="C22" s="80" t="s">
        <v>58</v>
      </c>
      <c r="D22" s="81" t="s">
        <v>53</v>
      </c>
      <c r="E22" s="81" t="s">
        <v>11</v>
      </c>
      <c r="F22" s="79" t="s">
        <v>54</v>
      </c>
      <c r="G22" s="2"/>
      <c r="H22" s="63">
        <f>IF($E22="Labour",Assumptions!$B$14,)</f>
        <v>145.77740895836223</v>
      </c>
      <c r="I22" s="9" t="str">
        <f t="shared" si="5"/>
        <v>Hours</v>
      </c>
      <c r="J22" s="2"/>
      <c r="K22" s="82">
        <f>600*63.2/100</f>
        <v>379.2</v>
      </c>
      <c r="L22" s="82">
        <f>600*63.2/100</f>
        <v>379.2</v>
      </c>
      <c r="M22" s="82">
        <f>600*63.2/100</f>
        <v>379.2</v>
      </c>
      <c r="N22" s="82">
        <f>600*63.2/100</f>
        <v>379.2</v>
      </c>
      <c r="O22" s="82">
        <f>600*63.2/100</f>
        <v>379.2</v>
      </c>
      <c r="P22" s="2"/>
      <c r="Q22" s="5">
        <f t="shared" si="0"/>
        <v>55278.793477010957</v>
      </c>
      <c r="R22" s="5">
        <f t="shared" si="1"/>
        <v>55278.793477010957</v>
      </c>
      <c r="S22" s="5">
        <f t="shared" si="2"/>
        <v>55278.793477010957</v>
      </c>
      <c r="T22" s="5">
        <f t="shared" si="3"/>
        <v>55278.793477010957</v>
      </c>
      <c r="U22" s="5">
        <f t="shared" si="4"/>
        <v>55278.793477010957</v>
      </c>
      <c r="Z22"/>
    </row>
    <row r="23" spans="1:26" ht="12.75" customHeight="1" x14ac:dyDescent="0.25">
      <c r="A23" s="4"/>
      <c r="C23" s="80" t="s">
        <v>58</v>
      </c>
      <c r="D23" s="81" t="s">
        <v>53</v>
      </c>
      <c r="E23" s="81" t="s">
        <v>13</v>
      </c>
      <c r="F23" s="79" t="s">
        <v>54</v>
      </c>
      <c r="G23" s="2"/>
      <c r="H23" s="63">
        <f>IF($E23="Labour",Assumptions!$B$14,)</f>
        <v>0</v>
      </c>
      <c r="I23" s="9" t="str">
        <f t="shared" si="5"/>
        <v>$</v>
      </c>
      <c r="J23" s="2"/>
      <c r="K23" s="82"/>
      <c r="L23" s="82"/>
      <c r="M23" s="82"/>
      <c r="N23" s="82"/>
      <c r="O23" s="82"/>
      <c r="P23" s="2"/>
      <c r="Q23" s="5">
        <f t="shared" si="0"/>
        <v>0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0" t="s">
        <v>58</v>
      </c>
      <c r="D24" s="81" t="s">
        <v>53</v>
      </c>
      <c r="E24" s="81" t="s">
        <v>14</v>
      </c>
      <c r="F24" s="79" t="s">
        <v>54</v>
      </c>
      <c r="G24" s="2"/>
      <c r="H24" s="63">
        <f>IF($E24="Labour",Assumptions!$B$14,)</f>
        <v>0</v>
      </c>
      <c r="I24" s="9" t="str">
        <f t="shared" si="5"/>
        <v>$</v>
      </c>
      <c r="J24" s="2"/>
      <c r="K24" s="82">
        <f>150000*63.2/100</f>
        <v>94800</v>
      </c>
      <c r="L24" s="82">
        <f>150000*63.2/100</f>
        <v>94800</v>
      </c>
      <c r="M24" s="82">
        <f>150000*63.2/100</f>
        <v>94800</v>
      </c>
      <c r="N24" s="82">
        <f>150000*63.2/100</f>
        <v>94800</v>
      </c>
      <c r="O24" s="82">
        <f>150000*63.2/100</f>
        <v>94800</v>
      </c>
      <c r="P24" s="2"/>
      <c r="Q24" s="5">
        <f t="shared" si="0"/>
        <v>94800</v>
      </c>
      <c r="R24" s="5">
        <f t="shared" si="1"/>
        <v>94800</v>
      </c>
      <c r="S24" s="5">
        <f t="shared" si="2"/>
        <v>94800</v>
      </c>
      <c r="T24" s="5">
        <f t="shared" si="3"/>
        <v>94800</v>
      </c>
      <c r="U24" s="5">
        <f t="shared" si="4"/>
        <v>94800</v>
      </c>
      <c r="Z24"/>
    </row>
    <row r="25" spans="1:26" ht="12.75" customHeight="1" x14ac:dyDescent="0.25">
      <c r="A25" s="4"/>
      <c r="C25" s="80" t="s">
        <v>125</v>
      </c>
      <c r="D25" s="81" t="s">
        <v>53</v>
      </c>
      <c r="E25" s="81" t="s">
        <v>11</v>
      </c>
      <c r="F25" s="79" t="s">
        <v>54</v>
      </c>
      <c r="G25" s="2"/>
      <c r="H25" s="63">
        <f>IF($E25="Labour",Assumptions!$B$14,)</f>
        <v>145.77740895836223</v>
      </c>
      <c r="I25" s="9" t="str">
        <f t="shared" si="5"/>
        <v>Hours</v>
      </c>
      <c r="J25" s="2"/>
      <c r="K25" s="82">
        <f>1200*0/100</f>
        <v>0</v>
      </c>
      <c r="L25" s="82"/>
      <c r="M25" s="82">
        <f>1200*100/100</f>
        <v>1200</v>
      </c>
      <c r="N25" s="82"/>
      <c r="O25" s="82">
        <f>2100*100/100</f>
        <v>2100</v>
      </c>
      <c r="P25" s="2"/>
      <c r="Q25" s="5">
        <f t="shared" si="0"/>
        <v>0</v>
      </c>
      <c r="R25" s="5">
        <f t="shared" si="1"/>
        <v>0</v>
      </c>
      <c r="S25" s="5">
        <f t="shared" si="2"/>
        <v>174932.89075003468</v>
      </c>
      <c r="T25" s="5">
        <f t="shared" si="3"/>
        <v>0</v>
      </c>
      <c r="U25" s="5">
        <f t="shared" si="4"/>
        <v>306132.55881256069</v>
      </c>
      <c r="Z25"/>
    </row>
    <row r="26" spans="1:26" ht="12.75" customHeight="1" x14ac:dyDescent="0.25">
      <c r="A26" s="4"/>
      <c r="C26" s="80" t="s">
        <v>125</v>
      </c>
      <c r="D26" s="81" t="s">
        <v>53</v>
      </c>
      <c r="E26" s="81" t="s">
        <v>13</v>
      </c>
      <c r="F26" s="79" t="s">
        <v>54</v>
      </c>
      <c r="G26" s="2"/>
      <c r="H26" s="63">
        <f>IF($E26="Labour",Assumptions!$B$14,)</f>
        <v>0</v>
      </c>
      <c r="I26" s="9" t="str">
        <f t="shared" si="5"/>
        <v>$</v>
      </c>
      <c r="J26" s="2"/>
      <c r="K26" s="82"/>
      <c r="L26" s="82"/>
      <c r="M26" s="82"/>
      <c r="N26" s="82"/>
      <c r="O26" s="82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0" t="s">
        <v>125</v>
      </c>
      <c r="D27" s="81" t="s">
        <v>53</v>
      </c>
      <c r="E27" s="81" t="s">
        <v>14</v>
      </c>
      <c r="F27" s="79" t="s">
        <v>54</v>
      </c>
      <c r="G27" s="2"/>
      <c r="H27" s="63">
        <f>IF($E27="Labour",Assumptions!$B$14,)</f>
        <v>0</v>
      </c>
      <c r="I27" s="9" t="str">
        <f t="shared" si="5"/>
        <v>$</v>
      </c>
      <c r="J27" s="2"/>
      <c r="K27" s="82">
        <f>180000*0/100</f>
        <v>0</v>
      </c>
      <c r="L27" s="82"/>
      <c r="M27" s="82">
        <f>180000*100/100</f>
        <v>180000</v>
      </c>
      <c r="N27" s="82"/>
      <c r="O27" s="82">
        <f>300000*100/100</f>
        <v>300000</v>
      </c>
      <c r="P27" s="2"/>
      <c r="Q27" s="5">
        <f t="shared" si="0"/>
        <v>0</v>
      </c>
      <c r="R27" s="5">
        <f t="shared" si="1"/>
        <v>0</v>
      </c>
      <c r="S27" s="5">
        <f t="shared" si="2"/>
        <v>180000</v>
      </c>
      <c r="T27" s="5">
        <f t="shared" si="3"/>
        <v>0</v>
      </c>
      <c r="U27" s="5">
        <f t="shared" si="4"/>
        <v>300000</v>
      </c>
      <c r="Z27"/>
    </row>
    <row r="28" spans="1:26" ht="12.75" customHeight="1" x14ac:dyDescent="0.25">
      <c r="A28" s="4"/>
      <c r="C28" s="80" t="s">
        <v>59</v>
      </c>
      <c r="D28" s="81" t="s">
        <v>53</v>
      </c>
      <c r="E28" s="81" t="s">
        <v>11</v>
      </c>
      <c r="F28" s="79" t="s">
        <v>54</v>
      </c>
      <c r="G28" s="2"/>
      <c r="H28" s="63">
        <f>IF($E28="Labour",Assumptions!$B$14,)</f>
        <v>145.77740895836223</v>
      </c>
      <c r="I28" s="9" t="str">
        <f t="shared" si="5"/>
        <v>Hours</v>
      </c>
      <c r="J28" s="2"/>
      <c r="K28" s="82">
        <f>3986*50/100</f>
        <v>1993</v>
      </c>
      <c r="L28" s="82"/>
      <c r="M28" s="82"/>
      <c r="N28" s="82">
        <f>3986*50/100</f>
        <v>1993</v>
      </c>
      <c r="O28" s="82"/>
      <c r="P28" s="2"/>
      <c r="Q28" s="5">
        <f t="shared" si="0"/>
        <v>290534.37605401594</v>
      </c>
      <c r="R28" s="5">
        <f t="shared" si="1"/>
        <v>0</v>
      </c>
      <c r="S28" s="5">
        <f t="shared" si="2"/>
        <v>0</v>
      </c>
      <c r="T28" s="5">
        <f t="shared" si="3"/>
        <v>290534.37605401594</v>
      </c>
      <c r="U28" s="5">
        <f t="shared" si="4"/>
        <v>0</v>
      </c>
      <c r="Z28"/>
    </row>
    <row r="29" spans="1:26" ht="12.75" customHeight="1" x14ac:dyDescent="0.25">
      <c r="A29" s="4"/>
      <c r="C29" s="80" t="s">
        <v>59</v>
      </c>
      <c r="D29" s="81" t="s">
        <v>53</v>
      </c>
      <c r="E29" s="81" t="s">
        <v>13</v>
      </c>
      <c r="F29" s="79" t="s">
        <v>54</v>
      </c>
      <c r="G29" s="2"/>
      <c r="H29" s="63">
        <f>IF($E29="Labour",Assumptions!$B$14,)</f>
        <v>0</v>
      </c>
      <c r="I29" s="9" t="str">
        <f t="shared" si="5"/>
        <v>$</v>
      </c>
      <c r="J29" s="2"/>
      <c r="K29" s="82">
        <f>160000*50/100</f>
        <v>80000</v>
      </c>
      <c r="L29" s="82"/>
      <c r="M29" s="82"/>
      <c r="N29" s="82">
        <f>160000*50/100</f>
        <v>80000</v>
      </c>
      <c r="O29" s="82"/>
      <c r="P29" s="2"/>
      <c r="Q29" s="5">
        <f t="shared" si="0"/>
        <v>80000</v>
      </c>
      <c r="R29" s="5">
        <f t="shared" si="1"/>
        <v>0</v>
      </c>
      <c r="S29" s="5">
        <f t="shared" si="2"/>
        <v>0</v>
      </c>
      <c r="T29" s="5">
        <f t="shared" si="3"/>
        <v>80000</v>
      </c>
      <c r="U29" s="5">
        <f t="shared" si="4"/>
        <v>0</v>
      </c>
      <c r="Z29"/>
    </row>
    <row r="30" spans="1:26" ht="12.75" customHeight="1" x14ac:dyDescent="0.25">
      <c r="A30" s="4"/>
      <c r="C30" s="80" t="s">
        <v>59</v>
      </c>
      <c r="D30" s="81" t="s">
        <v>53</v>
      </c>
      <c r="E30" s="81" t="s">
        <v>14</v>
      </c>
      <c r="F30" s="79" t="s">
        <v>54</v>
      </c>
      <c r="G30" s="2"/>
      <c r="H30" s="63">
        <f>IF($E30="Labour",Assumptions!$B$14,)</f>
        <v>0</v>
      </c>
      <c r="I30" s="9" t="str">
        <f t="shared" si="5"/>
        <v>$</v>
      </c>
      <c r="J30" s="2"/>
      <c r="K30" s="82"/>
      <c r="L30" s="82"/>
      <c r="M30" s="82"/>
      <c r="N30" s="82"/>
      <c r="O30" s="82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0" t="s">
        <v>60</v>
      </c>
      <c r="D31" s="81" t="s">
        <v>53</v>
      </c>
      <c r="E31" s="81" t="s">
        <v>11</v>
      </c>
      <c r="F31" s="79" t="s">
        <v>54</v>
      </c>
      <c r="G31" s="2"/>
      <c r="H31" s="63">
        <f>IF($E31="Labour",Assumptions!$B$14,)</f>
        <v>145.77740895836223</v>
      </c>
      <c r="I31" s="9" t="str">
        <f t="shared" si="5"/>
        <v>Hours</v>
      </c>
      <c r="J31" s="2"/>
      <c r="K31" s="82">
        <f>2640*63.2/100</f>
        <v>1668.48</v>
      </c>
      <c r="L31" s="82"/>
      <c r="M31" s="82"/>
      <c r="N31" s="82">
        <f>2640*63.2/100</f>
        <v>1668.48</v>
      </c>
      <c r="O31" s="82"/>
      <c r="P31" s="2"/>
      <c r="Q31" s="5">
        <f t="shared" si="0"/>
        <v>243226.69129884822</v>
      </c>
      <c r="R31" s="5">
        <f t="shared" si="1"/>
        <v>0</v>
      </c>
      <c r="S31" s="5">
        <f t="shared" si="2"/>
        <v>0</v>
      </c>
      <c r="T31" s="5">
        <f t="shared" si="3"/>
        <v>243226.69129884822</v>
      </c>
      <c r="U31" s="5">
        <f t="shared" si="4"/>
        <v>0</v>
      </c>
      <c r="Z31"/>
    </row>
    <row r="32" spans="1:26" ht="12.75" customHeight="1" x14ac:dyDescent="0.25">
      <c r="A32" s="4"/>
      <c r="C32" s="80" t="s">
        <v>60</v>
      </c>
      <c r="D32" s="81" t="s">
        <v>53</v>
      </c>
      <c r="E32" s="81" t="s">
        <v>13</v>
      </c>
      <c r="F32" s="79" t="s">
        <v>54</v>
      </c>
      <c r="G32" s="2"/>
      <c r="H32" s="63">
        <f>IF($E32="Labour",Assumptions!$B$14,)</f>
        <v>0</v>
      </c>
      <c r="I32" s="9" t="str">
        <f t="shared" si="5"/>
        <v>$</v>
      </c>
      <c r="J32" s="2"/>
      <c r="K32" s="82">
        <f>30000*63.2/100</f>
        <v>18960</v>
      </c>
      <c r="L32" s="82"/>
      <c r="M32" s="82"/>
      <c r="N32" s="82">
        <f>30000*63.2/100</f>
        <v>18960</v>
      </c>
      <c r="O32" s="82"/>
      <c r="P32" s="2"/>
      <c r="Q32" s="5">
        <f t="shared" si="0"/>
        <v>18960</v>
      </c>
      <c r="R32" s="5">
        <f t="shared" si="1"/>
        <v>0</v>
      </c>
      <c r="S32" s="5">
        <f t="shared" si="2"/>
        <v>0</v>
      </c>
      <c r="T32" s="5">
        <f t="shared" si="3"/>
        <v>18960</v>
      </c>
      <c r="U32" s="5">
        <f t="shared" si="4"/>
        <v>0</v>
      </c>
      <c r="Z32"/>
    </row>
    <row r="33" spans="1:26" ht="12.75" customHeight="1" x14ac:dyDescent="0.25">
      <c r="A33" s="4"/>
      <c r="C33" s="80" t="s">
        <v>60</v>
      </c>
      <c r="D33" s="81" t="s">
        <v>53</v>
      </c>
      <c r="E33" s="81" t="s">
        <v>14</v>
      </c>
      <c r="F33" s="79" t="s">
        <v>54</v>
      </c>
      <c r="G33" s="2"/>
      <c r="H33" s="63">
        <f>IF($E33="Labour",Assumptions!$B$14,)</f>
        <v>0</v>
      </c>
      <c r="I33" s="9" t="str">
        <f t="shared" si="5"/>
        <v>$</v>
      </c>
      <c r="J33" s="2"/>
      <c r="K33" s="82">
        <f>888000*63.2/100</f>
        <v>561216</v>
      </c>
      <c r="L33" s="82"/>
      <c r="M33" s="82"/>
      <c r="N33" s="82">
        <f>888000*63.2/100</f>
        <v>561216</v>
      </c>
      <c r="O33" s="82"/>
      <c r="P33" s="2"/>
      <c r="Q33" s="5">
        <f t="shared" si="0"/>
        <v>561216</v>
      </c>
      <c r="R33" s="5">
        <f t="shared" si="1"/>
        <v>0</v>
      </c>
      <c r="S33" s="5">
        <f t="shared" si="2"/>
        <v>0</v>
      </c>
      <c r="T33" s="5">
        <f t="shared" si="3"/>
        <v>561216</v>
      </c>
      <c r="U33" s="5">
        <f t="shared" si="4"/>
        <v>0</v>
      </c>
      <c r="Z33"/>
    </row>
    <row r="34" spans="1:26" ht="12.75" customHeight="1" x14ac:dyDescent="0.25">
      <c r="A34" s="4"/>
      <c r="C34" s="80" t="s">
        <v>124</v>
      </c>
      <c r="D34" s="81" t="s">
        <v>53</v>
      </c>
      <c r="E34" s="81" t="s">
        <v>11</v>
      </c>
      <c r="F34" s="79" t="s">
        <v>54</v>
      </c>
      <c r="G34" s="2"/>
      <c r="H34" s="63">
        <f>IF($E34="Labour",Assumptions!$B$14,)</f>
        <v>145.77740895836223</v>
      </c>
      <c r="I34" s="9" t="str">
        <f t="shared" si="5"/>
        <v>Hours</v>
      </c>
      <c r="J34" s="2"/>
      <c r="K34" s="82">
        <f>174559/H34</f>
        <v>1197.4351941586403</v>
      </c>
      <c r="L34" s="82"/>
      <c r="M34" s="82">
        <f>174559/H34</f>
        <v>1197.4351941586403</v>
      </c>
      <c r="N34" s="82"/>
      <c r="O34" s="82">
        <f>174599/H34</f>
        <v>1197.7095850967551</v>
      </c>
      <c r="P34" s="2"/>
      <c r="Q34" s="5">
        <f t="shared" si="0"/>
        <v>174559</v>
      </c>
      <c r="R34" s="5">
        <f t="shared" si="1"/>
        <v>0</v>
      </c>
      <c r="S34" s="5">
        <f t="shared" si="2"/>
        <v>174559</v>
      </c>
      <c r="T34" s="5">
        <f t="shared" si="3"/>
        <v>0</v>
      </c>
      <c r="U34" s="5">
        <f t="shared" si="4"/>
        <v>174599</v>
      </c>
      <c r="Z34"/>
    </row>
    <row r="35" spans="1:26" ht="12.75" customHeight="1" x14ac:dyDescent="0.25">
      <c r="A35" s="4"/>
      <c r="C35" s="80" t="s">
        <v>124</v>
      </c>
      <c r="D35" s="81" t="s">
        <v>53</v>
      </c>
      <c r="E35" s="81" t="s">
        <v>13</v>
      </c>
      <c r="F35" s="79" t="s">
        <v>54</v>
      </c>
      <c r="G35" s="2"/>
      <c r="H35" s="63">
        <f>IF($E35="Labour",Assumptions!$B$14,)</f>
        <v>0</v>
      </c>
      <c r="I35" s="9" t="str">
        <f t="shared" si="5"/>
        <v>$</v>
      </c>
      <c r="J35" s="2"/>
      <c r="K35" s="82" t="s">
        <v>79</v>
      </c>
      <c r="L35" s="82"/>
      <c r="M35" s="82" t="s">
        <v>79</v>
      </c>
      <c r="N35" s="82"/>
      <c r="O35" s="82" t="s">
        <v>79</v>
      </c>
      <c r="P35" s="2"/>
      <c r="Q35" s="5" t="str">
        <f t="shared" si="0"/>
        <v>-</v>
      </c>
      <c r="R35" s="5">
        <f t="shared" si="1"/>
        <v>0</v>
      </c>
      <c r="S35" s="5" t="str">
        <f t="shared" si="2"/>
        <v>-</v>
      </c>
      <c r="T35" s="5">
        <f t="shared" si="3"/>
        <v>0</v>
      </c>
      <c r="U35" s="5" t="str">
        <f t="shared" si="4"/>
        <v>-</v>
      </c>
      <c r="Z35"/>
    </row>
    <row r="36" spans="1:26" ht="12.75" customHeight="1" x14ac:dyDescent="0.25">
      <c r="A36" s="4"/>
      <c r="C36" s="80" t="s">
        <v>124</v>
      </c>
      <c r="D36" s="81" t="s">
        <v>53</v>
      </c>
      <c r="E36" s="81" t="s">
        <v>14</v>
      </c>
      <c r="F36" s="79" t="s">
        <v>54</v>
      </c>
      <c r="G36" s="2"/>
      <c r="H36" s="63">
        <f>IF($E36="Labour",Assumptions!$B$14,)</f>
        <v>0</v>
      </c>
      <c r="I36" s="9" t="str">
        <f t="shared" si="5"/>
        <v>$</v>
      </c>
      <c r="J36" s="2"/>
      <c r="K36" s="82">
        <v>93993</v>
      </c>
      <c r="L36" s="82"/>
      <c r="M36" s="82">
        <v>93993</v>
      </c>
      <c r="N36" s="82"/>
      <c r="O36" s="82">
        <v>93993</v>
      </c>
      <c r="P36" s="2"/>
      <c r="Q36" s="5">
        <f t="shared" si="0"/>
        <v>93993</v>
      </c>
      <c r="R36" s="5">
        <f t="shared" si="1"/>
        <v>0</v>
      </c>
      <c r="S36" s="5">
        <f t="shared" si="2"/>
        <v>93993</v>
      </c>
      <c r="T36" s="5">
        <f t="shared" si="3"/>
        <v>0</v>
      </c>
      <c r="U36" s="5">
        <f t="shared" si="4"/>
        <v>93993</v>
      </c>
      <c r="Z36"/>
    </row>
    <row r="37" spans="1:26" ht="12.75" customHeight="1" x14ac:dyDescent="0.25">
      <c r="A37" s="4"/>
      <c r="C37" s="80" t="s">
        <v>61</v>
      </c>
      <c r="D37" s="81" t="s">
        <v>53</v>
      </c>
      <c r="E37" s="81" t="s">
        <v>11</v>
      </c>
      <c r="F37" s="79" t="s">
        <v>54</v>
      </c>
      <c r="G37" s="2"/>
      <c r="H37" s="63">
        <f>IF($E37="Labour",Assumptions!$B$14,)</f>
        <v>145.77740895836223</v>
      </c>
      <c r="I37" s="9" t="str">
        <f t="shared" si="5"/>
        <v>Hours</v>
      </c>
      <c r="J37" s="2"/>
      <c r="K37" s="82">
        <f>3000*100/100</f>
        <v>3000</v>
      </c>
      <c r="L37" s="82">
        <f>3000*100/100</f>
        <v>3000</v>
      </c>
      <c r="M37" s="82">
        <f>3000*100/100</f>
        <v>3000</v>
      </c>
      <c r="N37" s="82">
        <f>3000*100/100</f>
        <v>3000</v>
      </c>
      <c r="O37" s="82">
        <f>3000*100/100</f>
        <v>3000</v>
      </c>
      <c r="P37" s="2"/>
      <c r="Q37" s="5">
        <f t="shared" si="0"/>
        <v>437332.22687508666</v>
      </c>
      <c r="R37" s="5">
        <f t="shared" si="1"/>
        <v>437332.22687508666</v>
      </c>
      <c r="S37" s="5">
        <f t="shared" si="2"/>
        <v>437332.22687508666</v>
      </c>
      <c r="T37" s="5">
        <f t="shared" si="3"/>
        <v>437332.22687508666</v>
      </c>
      <c r="U37" s="5">
        <f t="shared" si="4"/>
        <v>437332.22687508666</v>
      </c>
      <c r="Z37"/>
    </row>
    <row r="38" spans="1:26" ht="12.75" customHeight="1" x14ac:dyDescent="0.25">
      <c r="A38" s="4"/>
      <c r="C38" s="80" t="s">
        <v>61</v>
      </c>
      <c r="D38" s="81" t="s">
        <v>53</v>
      </c>
      <c r="E38" s="81" t="s">
        <v>13</v>
      </c>
      <c r="F38" s="79" t="s">
        <v>54</v>
      </c>
      <c r="G38" s="2"/>
      <c r="H38" s="63">
        <f>IF($E38="Labour",Assumptions!$B$14,)</f>
        <v>0</v>
      </c>
      <c r="I38" s="9" t="str">
        <f t="shared" si="5"/>
        <v>$</v>
      </c>
      <c r="J38" s="2"/>
      <c r="K38" s="82"/>
      <c r="L38" s="82"/>
      <c r="M38" s="82"/>
      <c r="N38" s="82"/>
      <c r="O38" s="82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0" t="s">
        <v>61</v>
      </c>
      <c r="D39" s="81" t="s">
        <v>53</v>
      </c>
      <c r="E39" s="81" t="s">
        <v>14</v>
      </c>
      <c r="F39" s="79" t="s">
        <v>54</v>
      </c>
      <c r="G39" s="2"/>
      <c r="H39" s="63">
        <f>IF($E39="Labour",Assumptions!$B$14,)</f>
        <v>0</v>
      </c>
      <c r="I39" s="9" t="str">
        <f t="shared" si="5"/>
        <v>$</v>
      </c>
      <c r="J39" s="2"/>
      <c r="K39" s="82">
        <f>756000*100/100</f>
        <v>756000</v>
      </c>
      <c r="L39" s="82">
        <f>756000*100/100</f>
        <v>756000</v>
      </c>
      <c r="M39" s="82">
        <f>756000*100/100</f>
        <v>756000</v>
      </c>
      <c r="N39" s="82">
        <f>756000*100/100</f>
        <v>756000</v>
      </c>
      <c r="O39" s="82">
        <f>756000*100/100</f>
        <v>756000</v>
      </c>
      <c r="P39" s="2"/>
      <c r="Q39" s="5">
        <f t="shared" si="0"/>
        <v>756000</v>
      </c>
      <c r="R39" s="5">
        <f t="shared" si="1"/>
        <v>756000</v>
      </c>
      <c r="S39" s="5">
        <f t="shared" si="2"/>
        <v>756000</v>
      </c>
      <c r="T39" s="5">
        <f t="shared" si="3"/>
        <v>756000</v>
      </c>
      <c r="U39" s="5">
        <f t="shared" si="4"/>
        <v>756000</v>
      </c>
      <c r="Z39"/>
    </row>
    <row r="40" spans="1:26" ht="12.75" customHeight="1" x14ac:dyDescent="0.25">
      <c r="A40" s="4"/>
      <c r="C40" s="80" t="s">
        <v>62</v>
      </c>
      <c r="D40" s="81" t="s">
        <v>53</v>
      </c>
      <c r="E40" s="81" t="s">
        <v>11</v>
      </c>
      <c r="F40" s="79" t="s">
        <v>54</v>
      </c>
      <c r="G40" s="2"/>
      <c r="H40" s="63">
        <f>IF($E40="Labour",Assumptions!$B$14,)</f>
        <v>145.77740895836223</v>
      </c>
      <c r="I40" s="9" t="str">
        <f t="shared" si="5"/>
        <v>Hours</v>
      </c>
      <c r="J40" s="2"/>
      <c r="K40" s="82">
        <f>660*63.2/100</f>
        <v>417.12</v>
      </c>
      <c r="L40" s="82">
        <f>660*63.2/100</f>
        <v>417.12</v>
      </c>
      <c r="M40" s="82">
        <f>660*63.2/100</f>
        <v>417.12</v>
      </c>
      <c r="N40" s="82">
        <f>660*63.2/100</f>
        <v>417.12</v>
      </c>
      <c r="O40" s="82">
        <f>660*63.2/100</f>
        <v>417.12</v>
      </c>
      <c r="P40" s="2"/>
      <c r="Q40" s="5">
        <f t="shared" si="0"/>
        <v>60806.672824712055</v>
      </c>
      <c r="R40" s="5">
        <f t="shared" si="1"/>
        <v>60806.672824712055</v>
      </c>
      <c r="S40" s="5">
        <f t="shared" si="2"/>
        <v>60806.672824712055</v>
      </c>
      <c r="T40" s="5">
        <f t="shared" si="3"/>
        <v>60806.672824712055</v>
      </c>
      <c r="U40" s="5">
        <f t="shared" si="4"/>
        <v>60806.672824712055</v>
      </c>
      <c r="Z40"/>
    </row>
    <row r="41" spans="1:26" ht="12.75" customHeight="1" x14ac:dyDescent="0.25">
      <c r="A41" s="4"/>
      <c r="C41" s="80" t="s">
        <v>62</v>
      </c>
      <c r="D41" s="81" t="s">
        <v>53</v>
      </c>
      <c r="E41" s="81" t="s">
        <v>13</v>
      </c>
      <c r="F41" s="79" t="s">
        <v>54</v>
      </c>
      <c r="G41" s="2"/>
      <c r="H41" s="63">
        <f>IF($E41="Labour",Assumptions!$B$14,)</f>
        <v>0</v>
      </c>
      <c r="I41" s="9" t="str">
        <f t="shared" si="5"/>
        <v>$</v>
      </c>
      <c r="J41" s="2"/>
      <c r="K41" s="82"/>
      <c r="L41" s="82"/>
      <c r="M41" s="82"/>
      <c r="N41" s="82"/>
      <c r="O41" s="82"/>
      <c r="P41" s="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  <c r="Z41"/>
    </row>
    <row r="42" spans="1:26" ht="12.75" customHeight="1" x14ac:dyDescent="0.25">
      <c r="A42" s="4"/>
      <c r="C42" s="80" t="s">
        <v>62</v>
      </c>
      <c r="D42" s="81" t="s">
        <v>53</v>
      </c>
      <c r="E42" s="81" t="s">
        <v>14</v>
      </c>
      <c r="F42" s="79" t="s">
        <v>54</v>
      </c>
      <c r="G42" s="2"/>
      <c r="H42" s="63">
        <f>IF($E42="Labour",Assumptions!$B$14,)</f>
        <v>0</v>
      </c>
      <c r="I42" s="9" t="str">
        <f t="shared" si="5"/>
        <v>$</v>
      </c>
      <c r="J42" s="2"/>
      <c r="K42" s="82">
        <f>24000*63.2/100</f>
        <v>15168</v>
      </c>
      <c r="L42" s="82">
        <f>24000*63.2/100</f>
        <v>15168</v>
      </c>
      <c r="M42" s="82">
        <f>24000*63.2/100</f>
        <v>15168</v>
      </c>
      <c r="N42" s="82">
        <f>24000*63.2/100</f>
        <v>15168</v>
      </c>
      <c r="O42" s="82">
        <f>24000*63.2/100</f>
        <v>15168</v>
      </c>
      <c r="P42" s="2"/>
      <c r="Q42" s="5">
        <f t="shared" ref="Q42:Q73" si="6">IF($E42="Labour",$H42*K42,K42)</f>
        <v>15168</v>
      </c>
      <c r="R42" s="5">
        <f t="shared" ref="R42:R73" si="7">IF($E42="Labour",$H42*L42,L42)</f>
        <v>15168</v>
      </c>
      <c r="S42" s="5">
        <f t="shared" ref="S42:S73" si="8">IF($E42="Labour",$H42*M42,M42)</f>
        <v>15168</v>
      </c>
      <c r="T42" s="5">
        <f t="shared" ref="T42:T73" si="9">IF($E42="Labour",$H42*N42,N42)</f>
        <v>15168</v>
      </c>
      <c r="U42" s="5">
        <f t="shared" ref="U42:U73" si="10">IF($E42="Labour",$H42*O42,O42)</f>
        <v>15168</v>
      </c>
      <c r="Z42"/>
    </row>
    <row r="43" spans="1:26" ht="12.75" customHeight="1" x14ac:dyDescent="0.25">
      <c r="A43" s="4"/>
      <c r="C43" s="80" t="s">
        <v>107</v>
      </c>
      <c r="D43" s="81" t="s">
        <v>53</v>
      </c>
      <c r="E43" s="81" t="s">
        <v>11</v>
      </c>
      <c r="F43" s="79" t="s">
        <v>50</v>
      </c>
      <c r="G43" s="2"/>
      <c r="H43" s="63">
        <f>IF($E43="Labour",Assumptions!$B$14,)</f>
        <v>145.77740895836223</v>
      </c>
      <c r="I43" s="9" t="str">
        <f t="shared" si="5"/>
        <v>Hours</v>
      </c>
      <c r="J43" s="2"/>
      <c r="K43" s="82">
        <v>95</v>
      </c>
      <c r="L43" s="82"/>
      <c r="M43" s="82"/>
      <c r="N43" s="82"/>
      <c r="O43" s="82"/>
      <c r="P43" s="2"/>
      <c r="Q43" s="5">
        <f t="shared" si="6"/>
        <v>13848.853851044412</v>
      </c>
      <c r="R43" s="5">
        <f t="shared" si="7"/>
        <v>0</v>
      </c>
      <c r="S43" s="5">
        <f t="shared" si="8"/>
        <v>0</v>
      </c>
      <c r="T43" s="5">
        <f t="shared" si="9"/>
        <v>0</v>
      </c>
      <c r="U43" s="5">
        <f t="shared" si="10"/>
        <v>0</v>
      </c>
      <c r="Z43"/>
    </row>
    <row r="44" spans="1:26" ht="12.75" customHeight="1" x14ac:dyDescent="0.25">
      <c r="A44" s="4"/>
      <c r="C44" s="80" t="s">
        <v>108</v>
      </c>
      <c r="D44" s="81" t="s">
        <v>53</v>
      </c>
      <c r="E44" s="81" t="s">
        <v>11</v>
      </c>
      <c r="F44" s="79" t="s">
        <v>50</v>
      </c>
      <c r="G44" s="2"/>
      <c r="H44" s="63">
        <f>IF($E44="Labour",Assumptions!$B$14,)</f>
        <v>145.77740895836223</v>
      </c>
      <c r="I44" s="9" t="str">
        <f t="shared" si="5"/>
        <v>Hours</v>
      </c>
      <c r="J44" s="2"/>
      <c r="K44" s="82">
        <v>190</v>
      </c>
      <c r="L44" s="82"/>
      <c r="M44" s="82"/>
      <c r="N44" s="82"/>
      <c r="O44" s="82"/>
      <c r="P44" s="2"/>
      <c r="Q44" s="5">
        <f t="shared" si="6"/>
        <v>27697.707702088825</v>
      </c>
      <c r="R44" s="5">
        <f t="shared" si="7"/>
        <v>0</v>
      </c>
      <c r="S44" s="5">
        <f t="shared" si="8"/>
        <v>0</v>
      </c>
      <c r="T44" s="5">
        <f t="shared" si="9"/>
        <v>0</v>
      </c>
      <c r="U44" s="5">
        <f t="shared" si="10"/>
        <v>0</v>
      </c>
      <c r="Z44"/>
    </row>
    <row r="45" spans="1:26" ht="12.75" customHeight="1" x14ac:dyDescent="0.25">
      <c r="A45" s="4"/>
      <c r="C45" s="80" t="s">
        <v>109</v>
      </c>
      <c r="D45" s="81" t="s">
        <v>53</v>
      </c>
      <c r="E45" s="81" t="s">
        <v>11</v>
      </c>
      <c r="F45" s="79" t="s">
        <v>50</v>
      </c>
      <c r="G45" s="2"/>
      <c r="H45" s="63">
        <f>IF($E45="Labour",Assumptions!$B$14,)</f>
        <v>145.77740895836223</v>
      </c>
      <c r="I45" s="9" t="str">
        <f t="shared" si="5"/>
        <v>Hours</v>
      </c>
      <c r="J45" s="2"/>
      <c r="K45" s="82"/>
      <c r="L45" s="82">
        <v>3160</v>
      </c>
      <c r="M45" s="82"/>
      <c r="N45" s="82"/>
      <c r="O45" s="82"/>
      <c r="P45" s="2"/>
      <c r="Q45" s="5">
        <f t="shared" si="6"/>
        <v>0</v>
      </c>
      <c r="R45" s="5">
        <f t="shared" si="7"/>
        <v>460656.61230842466</v>
      </c>
      <c r="S45" s="5">
        <f t="shared" si="8"/>
        <v>0</v>
      </c>
      <c r="T45" s="5">
        <f t="shared" si="9"/>
        <v>0</v>
      </c>
      <c r="U45" s="5">
        <f t="shared" si="10"/>
        <v>0</v>
      </c>
      <c r="Z45"/>
    </row>
    <row r="46" spans="1:26" ht="12.75" customHeight="1" x14ac:dyDescent="0.25">
      <c r="A46" s="4"/>
      <c r="C46" s="80" t="s">
        <v>110</v>
      </c>
      <c r="D46" s="81" t="s">
        <v>53</v>
      </c>
      <c r="E46" s="81" t="s">
        <v>11</v>
      </c>
      <c r="F46" s="79" t="s">
        <v>54</v>
      </c>
      <c r="G46" s="2"/>
      <c r="H46" s="63">
        <f>IF($E46="Labour",Assumptions!$B$14,)</f>
        <v>145.77740895836223</v>
      </c>
      <c r="I46" s="9" t="str">
        <f t="shared" si="5"/>
        <v>Hours</v>
      </c>
      <c r="J46" s="2"/>
      <c r="K46" s="82"/>
      <c r="L46" s="82"/>
      <c r="M46" s="82"/>
      <c r="N46" s="82"/>
      <c r="O46" s="82">
        <v>758</v>
      </c>
      <c r="P46" s="2"/>
      <c r="Q46" s="5">
        <f t="shared" si="6"/>
        <v>0</v>
      </c>
      <c r="R46" s="5">
        <f t="shared" si="7"/>
        <v>0</v>
      </c>
      <c r="S46" s="5">
        <f t="shared" si="8"/>
        <v>0</v>
      </c>
      <c r="T46" s="5">
        <f t="shared" si="9"/>
        <v>0</v>
      </c>
      <c r="U46" s="5">
        <f t="shared" si="10"/>
        <v>110499.27599043857</v>
      </c>
      <c r="Z46"/>
    </row>
    <row r="47" spans="1:26" ht="12.75" customHeight="1" x14ac:dyDescent="0.25">
      <c r="A47" s="4"/>
      <c r="C47" s="80" t="s">
        <v>81</v>
      </c>
      <c r="D47" s="81" t="s">
        <v>53</v>
      </c>
      <c r="E47" s="81" t="s">
        <v>11</v>
      </c>
      <c r="F47" s="79" t="s">
        <v>54</v>
      </c>
      <c r="G47" s="2"/>
      <c r="H47" s="63">
        <f>IF($E47="Labour",Assumptions!$B$14,)</f>
        <v>145.77740895836223</v>
      </c>
      <c r="I47" s="9" t="str">
        <f t="shared" si="5"/>
        <v>Hours</v>
      </c>
      <c r="J47" s="2"/>
      <c r="K47" s="82"/>
      <c r="L47" s="82">
        <v>2528</v>
      </c>
      <c r="M47" s="82">
        <v>9405</v>
      </c>
      <c r="N47" s="82"/>
      <c r="O47" s="82"/>
      <c r="P47" s="2"/>
      <c r="Q47" s="5">
        <f t="shared" si="6"/>
        <v>0</v>
      </c>
      <c r="R47" s="5">
        <f t="shared" si="7"/>
        <v>368525.28984673973</v>
      </c>
      <c r="S47" s="5">
        <f t="shared" si="8"/>
        <v>1371036.5312533968</v>
      </c>
      <c r="T47" s="5">
        <f t="shared" si="9"/>
        <v>0</v>
      </c>
      <c r="U47" s="5">
        <f t="shared" si="10"/>
        <v>0</v>
      </c>
      <c r="Z47"/>
    </row>
    <row r="48" spans="1:26" ht="12.75" customHeight="1" x14ac:dyDescent="0.25">
      <c r="A48" s="4"/>
      <c r="C48" s="80" t="s">
        <v>82</v>
      </c>
      <c r="D48" s="81" t="s">
        <v>53</v>
      </c>
      <c r="E48" s="81" t="s">
        <v>11</v>
      </c>
      <c r="F48" s="79" t="s">
        <v>54</v>
      </c>
      <c r="G48" s="2"/>
      <c r="H48" s="63">
        <f>IF($E48="Labour",Assumptions!$B$14,)</f>
        <v>145.77740895836223</v>
      </c>
      <c r="I48" s="9" t="str">
        <f t="shared" si="5"/>
        <v>Hours</v>
      </c>
      <c r="J48" s="2"/>
      <c r="K48" s="82"/>
      <c r="L48" s="82"/>
      <c r="M48" s="82">
        <v>1264</v>
      </c>
      <c r="N48" s="82"/>
      <c r="O48" s="82"/>
      <c r="P48" s="2"/>
      <c r="Q48" s="5">
        <f t="shared" si="6"/>
        <v>0</v>
      </c>
      <c r="R48" s="5">
        <f t="shared" si="7"/>
        <v>0</v>
      </c>
      <c r="S48" s="5">
        <f t="shared" si="8"/>
        <v>184262.64492336987</v>
      </c>
      <c r="T48" s="5">
        <f t="shared" si="9"/>
        <v>0</v>
      </c>
      <c r="U48" s="5">
        <f t="shared" si="10"/>
        <v>0</v>
      </c>
      <c r="Z48"/>
    </row>
    <row r="49" spans="1:26" ht="12.75" customHeight="1" x14ac:dyDescent="0.25">
      <c r="A49" s="4"/>
      <c r="C49" s="80" t="s">
        <v>83</v>
      </c>
      <c r="D49" s="81" t="s">
        <v>53</v>
      </c>
      <c r="E49" s="81" t="s">
        <v>11</v>
      </c>
      <c r="F49" s="79" t="s">
        <v>54</v>
      </c>
      <c r="G49" s="2"/>
      <c r="H49" s="63">
        <f>IF($E49="Labour",Assumptions!$B$14,)</f>
        <v>145.77740895836223</v>
      </c>
      <c r="I49" s="9" t="str">
        <f t="shared" si="5"/>
        <v>Hours</v>
      </c>
      <c r="J49" s="2"/>
      <c r="K49" s="82"/>
      <c r="L49" s="82"/>
      <c r="M49" s="82">
        <f>31500/$H49</f>
        <v>216.08286376524367</v>
      </c>
      <c r="N49" s="82">
        <f>31500/$H49</f>
        <v>216.08286376524367</v>
      </c>
      <c r="O49" s="82"/>
      <c r="P49" s="2"/>
      <c r="Q49" s="5">
        <f t="shared" si="6"/>
        <v>0</v>
      </c>
      <c r="R49" s="5">
        <f t="shared" si="7"/>
        <v>0</v>
      </c>
      <c r="S49" s="5">
        <f t="shared" si="8"/>
        <v>31500</v>
      </c>
      <c r="T49" s="5">
        <f t="shared" si="9"/>
        <v>31500</v>
      </c>
      <c r="U49" s="5">
        <f t="shared" si="10"/>
        <v>0</v>
      </c>
      <c r="Z49"/>
    </row>
    <row r="50" spans="1:26" ht="12.75" customHeight="1" x14ac:dyDescent="0.25">
      <c r="A50" s="4"/>
      <c r="C50" s="80" t="s">
        <v>84</v>
      </c>
      <c r="D50" s="81" t="s">
        <v>53</v>
      </c>
      <c r="E50" s="81" t="s">
        <v>11</v>
      </c>
      <c r="F50" s="79" t="s">
        <v>54</v>
      </c>
      <c r="G50" s="2"/>
      <c r="H50" s="63">
        <f>IF($E50="Labour",Assumptions!$B$14,)</f>
        <v>145.77740895836223</v>
      </c>
      <c r="I50" s="9" t="str">
        <f t="shared" si="5"/>
        <v>Hours</v>
      </c>
      <c r="J50" s="2"/>
      <c r="K50" s="82"/>
      <c r="L50" s="82"/>
      <c r="M50" s="82">
        <f>63000/$H50</f>
        <v>432.16572753048735</v>
      </c>
      <c r="N50" s="82">
        <f>63000/$H50</f>
        <v>432.16572753048735</v>
      </c>
      <c r="O50" s="82"/>
      <c r="P50" s="2"/>
      <c r="Q50" s="5">
        <f t="shared" si="6"/>
        <v>0</v>
      </c>
      <c r="R50" s="5">
        <f t="shared" si="7"/>
        <v>0</v>
      </c>
      <c r="S50" s="5">
        <f t="shared" si="8"/>
        <v>63000</v>
      </c>
      <c r="T50" s="5">
        <f t="shared" si="9"/>
        <v>63000</v>
      </c>
      <c r="U50" s="5">
        <f t="shared" si="10"/>
        <v>0</v>
      </c>
      <c r="Z50"/>
    </row>
    <row r="51" spans="1:26" ht="12.75" customHeight="1" x14ac:dyDescent="0.25">
      <c r="A51" s="4"/>
      <c r="C51" s="80" t="s">
        <v>85</v>
      </c>
      <c r="D51" s="81" t="s">
        <v>53</v>
      </c>
      <c r="E51" s="81" t="s">
        <v>11</v>
      </c>
      <c r="F51" s="79" t="s">
        <v>54</v>
      </c>
      <c r="G51" s="2"/>
      <c r="H51" s="63">
        <f>IF($E51="Labour",Assumptions!$B$14,)</f>
        <v>145.77740895836223</v>
      </c>
      <c r="I51" s="9" t="str">
        <f t="shared" si="5"/>
        <v>Hours</v>
      </c>
      <c r="J51" s="2"/>
      <c r="K51" s="82"/>
      <c r="L51" s="82"/>
      <c r="M51" s="82">
        <f>122500/$H51</f>
        <v>840.32224797594768</v>
      </c>
      <c r="N51" s="82">
        <f>122500/$H51</f>
        <v>840.32224797594768</v>
      </c>
      <c r="O51" s="82"/>
      <c r="P51" s="2"/>
      <c r="Q51" s="5">
        <f t="shared" si="6"/>
        <v>0</v>
      </c>
      <c r="R51" s="5">
        <f t="shared" si="7"/>
        <v>0</v>
      </c>
      <c r="S51" s="5">
        <f t="shared" si="8"/>
        <v>122500</v>
      </c>
      <c r="T51" s="5">
        <f t="shared" si="9"/>
        <v>122500</v>
      </c>
      <c r="U51" s="5">
        <f t="shared" si="10"/>
        <v>0</v>
      </c>
      <c r="Z51"/>
    </row>
    <row r="52" spans="1:26" ht="12.75" customHeight="1" x14ac:dyDescent="0.25">
      <c r="A52" s="4"/>
      <c r="C52" s="80" t="s">
        <v>86</v>
      </c>
      <c r="D52" s="81" t="s">
        <v>53</v>
      </c>
      <c r="E52" s="81" t="s">
        <v>11</v>
      </c>
      <c r="F52" s="79" t="s">
        <v>54</v>
      </c>
      <c r="G52" s="2"/>
      <c r="H52" s="63">
        <f>IF($E52="Labour",Assumptions!$B$14,)</f>
        <v>145.77740895836223</v>
      </c>
      <c r="I52" s="9" t="str">
        <f t="shared" si="5"/>
        <v>Hours</v>
      </c>
      <c r="J52" s="2"/>
      <c r="K52" s="82"/>
      <c r="L52" s="82"/>
      <c r="M52" s="82">
        <f>77000/$H52</f>
        <v>528.20255587059569</v>
      </c>
      <c r="N52" s="82">
        <f>77000/$H52</f>
        <v>528.20255587059569</v>
      </c>
      <c r="O52" s="82"/>
      <c r="P52" s="2"/>
      <c r="Q52" s="5">
        <f t="shared" si="6"/>
        <v>0</v>
      </c>
      <c r="R52" s="5">
        <f t="shared" si="7"/>
        <v>0</v>
      </c>
      <c r="S52" s="5">
        <f t="shared" si="8"/>
        <v>77000</v>
      </c>
      <c r="T52" s="5">
        <f t="shared" si="9"/>
        <v>77000</v>
      </c>
      <c r="U52" s="5">
        <f t="shared" si="10"/>
        <v>0</v>
      </c>
      <c r="Z52"/>
    </row>
    <row r="53" spans="1:26" ht="12.75" customHeight="1" x14ac:dyDescent="0.25">
      <c r="A53" s="4"/>
      <c r="C53" s="80" t="s">
        <v>87</v>
      </c>
      <c r="D53" s="81" t="s">
        <v>53</v>
      </c>
      <c r="E53" s="81" t="s">
        <v>11</v>
      </c>
      <c r="F53" s="79" t="s">
        <v>54</v>
      </c>
      <c r="G53" s="2"/>
      <c r="H53" s="63">
        <f>IF($E53="Labour",Assumptions!$B$14,)</f>
        <v>145.77740895836223</v>
      </c>
      <c r="I53" s="9" t="str">
        <f t="shared" si="5"/>
        <v>Hours</v>
      </c>
      <c r="J53" s="2"/>
      <c r="K53" s="82"/>
      <c r="L53" s="82"/>
      <c r="M53" s="82">
        <f>28000/$H53</f>
        <v>192.0736566802166</v>
      </c>
      <c r="N53" s="82">
        <f>28000/$H53</f>
        <v>192.0736566802166</v>
      </c>
      <c r="O53" s="82"/>
      <c r="P53" s="2"/>
      <c r="Q53" s="5">
        <f t="shared" si="6"/>
        <v>0</v>
      </c>
      <c r="R53" s="5">
        <f t="shared" si="7"/>
        <v>0</v>
      </c>
      <c r="S53" s="5">
        <f t="shared" si="8"/>
        <v>28000</v>
      </c>
      <c r="T53" s="5">
        <f t="shared" si="9"/>
        <v>28000</v>
      </c>
      <c r="U53" s="5">
        <f t="shared" si="10"/>
        <v>0</v>
      </c>
      <c r="Z53"/>
    </row>
    <row r="54" spans="1:26" ht="12.75" customHeight="1" x14ac:dyDescent="0.25">
      <c r="A54" s="4"/>
      <c r="C54" s="80" t="s">
        <v>88</v>
      </c>
      <c r="D54" s="81" t="s">
        <v>53</v>
      </c>
      <c r="E54" s="81" t="s">
        <v>11</v>
      </c>
      <c r="F54" s="79" t="s">
        <v>54</v>
      </c>
      <c r="G54" s="2"/>
      <c r="H54" s="63">
        <f>IF($E54="Labour",Assumptions!$B$14,)</f>
        <v>145.77740895836223</v>
      </c>
      <c r="I54" s="9" t="str">
        <f t="shared" si="5"/>
        <v>Hours</v>
      </c>
      <c r="J54" s="2"/>
      <c r="K54" s="82"/>
      <c r="L54" s="82"/>
      <c r="M54" s="82">
        <f>28000/$H54</f>
        <v>192.0736566802166</v>
      </c>
      <c r="N54" s="82">
        <f>28000/$H54</f>
        <v>192.0736566802166</v>
      </c>
      <c r="O54" s="82"/>
      <c r="P54" s="2"/>
      <c r="Q54" s="5">
        <f t="shared" si="6"/>
        <v>0</v>
      </c>
      <c r="R54" s="5">
        <f t="shared" si="7"/>
        <v>0</v>
      </c>
      <c r="S54" s="5">
        <f t="shared" si="8"/>
        <v>28000</v>
      </c>
      <c r="T54" s="5">
        <f t="shared" si="9"/>
        <v>28000</v>
      </c>
      <c r="U54" s="5">
        <f t="shared" si="10"/>
        <v>0</v>
      </c>
      <c r="Z54"/>
    </row>
    <row r="55" spans="1:26" ht="12.75" customHeight="1" x14ac:dyDescent="0.25">
      <c r="A55" s="4"/>
      <c r="C55" s="80" t="s">
        <v>89</v>
      </c>
      <c r="D55" s="81" t="s">
        <v>53</v>
      </c>
      <c r="E55" s="81" t="s">
        <v>11</v>
      </c>
      <c r="F55" s="79" t="s">
        <v>54</v>
      </c>
      <c r="G55" s="2"/>
      <c r="H55" s="63">
        <f>IF($E55="Labour",Assumptions!$B$14,)</f>
        <v>145.77740895836223</v>
      </c>
      <c r="I55" s="9" t="str">
        <f t="shared" si="5"/>
        <v>Hours</v>
      </c>
      <c r="J55" s="2"/>
      <c r="K55" s="82">
        <f>18000/$H55</f>
        <v>123.47592215156781</v>
      </c>
      <c r="L55" s="82"/>
      <c r="M55" s="82"/>
      <c r="N55" s="82"/>
      <c r="O55" s="82"/>
      <c r="P55" s="2"/>
      <c r="Q55" s="5">
        <f t="shared" si="6"/>
        <v>18000</v>
      </c>
      <c r="R55" s="5">
        <f t="shared" si="7"/>
        <v>0</v>
      </c>
      <c r="S55" s="5">
        <f t="shared" si="8"/>
        <v>0</v>
      </c>
      <c r="T55" s="5">
        <f t="shared" si="9"/>
        <v>0</v>
      </c>
      <c r="U55" s="5">
        <f t="shared" si="10"/>
        <v>0</v>
      </c>
      <c r="Z55"/>
    </row>
    <row r="56" spans="1:26" ht="12.75" customHeight="1" x14ac:dyDescent="0.25">
      <c r="A56" s="4"/>
      <c r="C56" s="80" t="s">
        <v>90</v>
      </c>
      <c r="D56" s="81" t="s">
        <v>53</v>
      </c>
      <c r="E56" s="81" t="s">
        <v>11</v>
      </c>
      <c r="F56" s="79" t="s">
        <v>54</v>
      </c>
      <c r="G56" s="2"/>
      <c r="H56" s="63">
        <f>IF($E56="Labour",Assumptions!$B$14,)</f>
        <v>145.77740895836223</v>
      </c>
      <c r="I56" s="9" t="str">
        <f t="shared" si="5"/>
        <v>Hours</v>
      </c>
      <c r="J56" s="2"/>
      <c r="K56" s="82">
        <f>36000/$H56</f>
        <v>246.95184430313563</v>
      </c>
      <c r="L56" s="82"/>
      <c r="M56" s="82"/>
      <c r="N56" s="82"/>
      <c r="O56" s="82"/>
      <c r="P56" s="2"/>
      <c r="Q56" s="5">
        <f t="shared" si="6"/>
        <v>36000</v>
      </c>
      <c r="R56" s="5">
        <f t="shared" si="7"/>
        <v>0</v>
      </c>
      <c r="S56" s="5">
        <f t="shared" si="8"/>
        <v>0</v>
      </c>
      <c r="T56" s="5">
        <f t="shared" si="9"/>
        <v>0</v>
      </c>
      <c r="U56" s="5">
        <f t="shared" si="10"/>
        <v>0</v>
      </c>
      <c r="Z56"/>
    </row>
    <row r="57" spans="1:26" ht="12.75" customHeight="1" x14ac:dyDescent="0.25">
      <c r="A57" s="4"/>
      <c r="C57" s="80" t="s">
        <v>91</v>
      </c>
      <c r="D57" s="81" t="s">
        <v>53</v>
      </c>
      <c r="E57" s="81" t="s">
        <v>11</v>
      </c>
      <c r="F57" s="79" t="s">
        <v>54</v>
      </c>
      <c r="G57" s="2"/>
      <c r="H57" s="63">
        <f>IF($E57="Labour",Assumptions!$B$14,)</f>
        <v>145.77740895836223</v>
      </c>
      <c r="I57" s="9" t="str">
        <f t="shared" si="5"/>
        <v>Hours</v>
      </c>
      <c r="J57" s="2"/>
      <c r="K57" s="82">
        <f>70000/$H57</f>
        <v>480.18414170054155</v>
      </c>
      <c r="L57" s="82"/>
      <c r="M57" s="82"/>
      <c r="N57" s="82"/>
      <c r="O57" s="82"/>
      <c r="P57" s="2"/>
      <c r="Q57" s="5">
        <f t="shared" si="6"/>
        <v>70000</v>
      </c>
      <c r="R57" s="5">
        <f t="shared" si="7"/>
        <v>0</v>
      </c>
      <c r="S57" s="5">
        <f t="shared" si="8"/>
        <v>0</v>
      </c>
      <c r="T57" s="5">
        <f t="shared" si="9"/>
        <v>0</v>
      </c>
      <c r="U57" s="5">
        <f t="shared" si="10"/>
        <v>0</v>
      </c>
      <c r="Z57"/>
    </row>
    <row r="58" spans="1:26" ht="12.75" customHeight="1" x14ac:dyDescent="0.25">
      <c r="A58" s="4"/>
      <c r="C58" s="80" t="s">
        <v>92</v>
      </c>
      <c r="D58" s="81" t="s">
        <v>53</v>
      </c>
      <c r="E58" s="81" t="s">
        <v>11</v>
      </c>
      <c r="F58" s="79" t="s">
        <v>54</v>
      </c>
      <c r="G58" s="2"/>
      <c r="H58" s="63">
        <f>IF($E58="Labour",Assumptions!$B$14,)</f>
        <v>145.77740895836223</v>
      </c>
      <c r="I58" s="9" t="str">
        <f t="shared" si="5"/>
        <v>Hours</v>
      </c>
      <c r="J58" s="2"/>
      <c r="K58" s="82">
        <f>44000/$H58</f>
        <v>301.83003192605469</v>
      </c>
      <c r="L58" s="82"/>
      <c r="M58" s="82"/>
      <c r="N58" s="82"/>
      <c r="O58" s="82"/>
      <c r="P58" s="2"/>
      <c r="Q58" s="5">
        <f t="shared" si="6"/>
        <v>44000</v>
      </c>
      <c r="R58" s="5">
        <f t="shared" si="7"/>
        <v>0</v>
      </c>
      <c r="S58" s="5">
        <f t="shared" si="8"/>
        <v>0</v>
      </c>
      <c r="T58" s="5">
        <f t="shared" si="9"/>
        <v>0</v>
      </c>
      <c r="U58" s="5">
        <f t="shared" si="10"/>
        <v>0</v>
      </c>
      <c r="Z58"/>
    </row>
    <row r="59" spans="1:26" ht="12.75" customHeight="1" x14ac:dyDescent="0.25">
      <c r="A59" s="4"/>
      <c r="C59" s="80" t="s">
        <v>93</v>
      </c>
      <c r="D59" s="81" t="s">
        <v>53</v>
      </c>
      <c r="E59" s="81" t="s">
        <v>11</v>
      </c>
      <c r="F59" s="79" t="s">
        <v>54</v>
      </c>
      <c r="G59" s="2"/>
      <c r="H59" s="63">
        <f>IF($E59="Labour",Assumptions!$B$14,)</f>
        <v>145.77740895836223</v>
      </c>
      <c r="I59" s="9" t="str">
        <f t="shared" si="5"/>
        <v>Hours</v>
      </c>
      <c r="J59" s="2"/>
      <c r="K59" s="82">
        <f>16000/$H59</f>
        <v>109.75637524583806</v>
      </c>
      <c r="L59" s="82"/>
      <c r="M59" s="82"/>
      <c r="N59" s="82"/>
      <c r="O59" s="82"/>
      <c r="P59" s="2"/>
      <c r="Q59" s="5">
        <f t="shared" si="6"/>
        <v>16000</v>
      </c>
      <c r="R59" s="5">
        <f t="shared" si="7"/>
        <v>0</v>
      </c>
      <c r="S59" s="5">
        <f t="shared" si="8"/>
        <v>0</v>
      </c>
      <c r="T59" s="5">
        <f t="shared" si="9"/>
        <v>0</v>
      </c>
      <c r="U59" s="5">
        <f t="shared" si="10"/>
        <v>0</v>
      </c>
      <c r="Z59"/>
    </row>
    <row r="60" spans="1:26" ht="12.75" customHeight="1" x14ac:dyDescent="0.25">
      <c r="A60" s="4"/>
      <c r="C60" s="80" t="s">
        <v>111</v>
      </c>
      <c r="D60" s="81" t="s">
        <v>53</v>
      </c>
      <c r="E60" s="81" t="s">
        <v>11</v>
      </c>
      <c r="F60" s="79" t="s">
        <v>54</v>
      </c>
      <c r="G60" s="2"/>
      <c r="H60" s="63">
        <f>IF($E60="Labour",Assumptions!$B$14,)</f>
        <v>145.77740895836223</v>
      </c>
      <c r="I60" s="9" t="str">
        <f t="shared" si="5"/>
        <v>Hours</v>
      </c>
      <c r="J60" s="2"/>
      <c r="K60" s="82">
        <f>16000/$H60</f>
        <v>109.75637524583806</v>
      </c>
      <c r="L60" s="82"/>
      <c r="M60" s="82"/>
      <c r="N60" s="82"/>
      <c r="O60" s="82"/>
      <c r="P60" s="2"/>
      <c r="Q60" s="5">
        <f t="shared" si="6"/>
        <v>16000</v>
      </c>
      <c r="R60" s="5">
        <f t="shared" si="7"/>
        <v>0</v>
      </c>
      <c r="S60" s="5">
        <f t="shared" si="8"/>
        <v>0</v>
      </c>
      <c r="T60" s="5">
        <f t="shared" si="9"/>
        <v>0</v>
      </c>
      <c r="U60" s="5">
        <f t="shared" si="10"/>
        <v>0</v>
      </c>
      <c r="Z60"/>
    </row>
    <row r="61" spans="1:26" ht="12.75" customHeight="1" x14ac:dyDescent="0.25">
      <c r="A61" s="4"/>
      <c r="C61" s="80" t="s">
        <v>136</v>
      </c>
      <c r="D61" s="81" t="s">
        <v>53</v>
      </c>
      <c r="E61" s="81" t="s">
        <v>11</v>
      </c>
      <c r="F61" s="79" t="s">
        <v>50</v>
      </c>
      <c r="G61" s="2"/>
      <c r="H61" s="63">
        <f>IF($E61="Labour",Assumptions!$B$14,)</f>
        <v>145.77740895836223</v>
      </c>
      <c r="I61" s="9" t="str">
        <f t="shared" si="5"/>
        <v>Hours</v>
      </c>
      <c r="J61" s="2"/>
      <c r="K61" s="82"/>
      <c r="L61" s="82">
        <f>45000/$H61</f>
        <v>308.68980537891957</v>
      </c>
      <c r="M61" s="82"/>
      <c r="N61" s="82"/>
      <c r="O61" s="82"/>
      <c r="P61" s="2"/>
      <c r="Q61" s="5">
        <f t="shared" si="6"/>
        <v>0</v>
      </c>
      <c r="R61" s="5">
        <f t="shared" si="7"/>
        <v>45000</v>
      </c>
      <c r="S61" s="5">
        <f t="shared" si="8"/>
        <v>0</v>
      </c>
      <c r="T61" s="5">
        <f t="shared" si="9"/>
        <v>0</v>
      </c>
      <c r="U61" s="5">
        <f t="shared" si="10"/>
        <v>0</v>
      </c>
      <c r="Z61"/>
    </row>
    <row r="62" spans="1:26" ht="12.75" customHeight="1" x14ac:dyDescent="0.25">
      <c r="A62" s="4"/>
      <c r="C62" s="80" t="s">
        <v>137</v>
      </c>
      <c r="D62" s="81" t="s">
        <v>53</v>
      </c>
      <c r="E62" s="81" t="s">
        <v>11</v>
      </c>
      <c r="F62" s="79" t="s">
        <v>50</v>
      </c>
      <c r="G62" s="2"/>
      <c r="H62" s="63">
        <f>IF($E62="Labour",Assumptions!$B$14,)</f>
        <v>145.77740895836223</v>
      </c>
      <c r="I62" s="9" t="str">
        <f t="shared" si="5"/>
        <v>Hours</v>
      </c>
      <c r="J62" s="2"/>
      <c r="K62" s="82"/>
      <c r="L62" s="82">
        <f>90000/$H62</f>
        <v>617.37961075783915</v>
      </c>
      <c r="M62" s="82"/>
      <c r="N62" s="82"/>
      <c r="O62" s="82"/>
      <c r="P62" s="2"/>
      <c r="Q62" s="5">
        <f t="shared" si="6"/>
        <v>0</v>
      </c>
      <c r="R62" s="5">
        <f t="shared" si="7"/>
        <v>90000</v>
      </c>
      <c r="S62" s="5">
        <f t="shared" si="8"/>
        <v>0</v>
      </c>
      <c r="T62" s="5">
        <f t="shared" si="9"/>
        <v>0</v>
      </c>
      <c r="U62" s="5">
        <f t="shared" si="10"/>
        <v>0</v>
      </c>
      <c r="Z62"/>
    </row>
    <row r="63" spans="1:26" ht="12.75" customHeight="1" x14ac:dyDescent="0.25">
      <c r="A63" s="4"/>
      <c r="C63" s="80" t="s">
        <v>138</v>
      </c>
      <c r="D63" s="81" t="s">
        <v>53</v>
      </c>
      <c r="E63" s="81" t="s">
        <v>11</v>
      </c>
      <c r="F63" s="79" t="s">
        <v>50</v>
      </c>
      <c r="G63" s="2"/>
      <c r="H63" s="63">
        <f>IF($E63="Labour",Assumptions!$B$14,)</f>
        <v>145.77740895836223</v>
      </c>
      <c r="I63" s="9" t="str">
        <f t="shared" si="5"/>
        <v>Hours</v>
      </c>
      <c r="J63" s="2"/>
      <c r="K63" s="82"/>
      <c r="L63" s="82">
        <f>175000/$H63</f>
        <v>1200.4603542513537</v>
      </c>
      <c r="M63" s="82"/>
      <c r="N63" s="82"/>
      <c r="O63" s="82"/>
      <c r="P63" s="2"/>
      <c r="Q63" s="5">
        <f t="shared" si="6"/>
        <v>0</v>
      </c>
      <c r="R63" s="5">
        <f t="shared" si="7"/>
        <v>174999.99999999997</v>
      </c>
      <c r="S63" s="5">
        <f t="shared" si="8"/>
        <v>0</v>
      </c>
      <c r="T63" s="5">
        <f t="shared" si="9"/>
        <v>0</v>
      </c>
      <c r="U63" s="5">
        <f t="shared" si="10"/>
        <v>0</v>
      </c>
      <c r="Z63"/>
    </row>
    <row r="64" spans="1:26" ht="12.75" customHeight="1" x14ac:dyDescent="0.2">
      <c r="A64" s="4"/>
      <c r="C64" s="80" t="s">
        <v>139</v>
      </c>
      <c r="D64" s="81" t="s">
        <v>53</v>
      </c>
      <c r="E64" s="81" t="s">
        <v>11</v>
      </c>
      <c r="F64" s="79" t="s">
        <v>50</v>
      </c>
      <c r="H64" s="63">
        <f>IF($E64="Labour",Assumptions!$B$14,)</f>
        <v>145.77740895836223</v>
      </c>
      <c r="I64" s="9" t="str">
        <f t="shared" si="5"/>
        <v>Hours</v>
      </c>
      <c r="K64" s="82"/>
      <c r="L64" s="82">
        <f>110000/$H64</f>
        <v>754.57507981513663</v>
      </c>
      <c r="M64" s="82"/>
      <c r="N64" s="82"/>
      <c r="O64" s="82"/>
      <c r="Q64" s="5">
        <f t="shared" si="6"/>
        <v>0</v>
      </c>
      <c r="R64" s="5">
        <f t="shared" si="7"/>
        <v>110000</v>
      </c>
      <c r="S64" s="5">
        <f t="shared" si="8"/>
        <v>0</v>
      </c>
      <c r="T64" s="5">
        <f t="shared" si="9"/>
        <v>0</v>
      </c>
      <c r="U64" s="5">
        <f t="shared" si="10"/>
        <v>0</v>
      </c>
    </row>
    <row r="65" spans="1:21" ht="12.75" customHeight="1" x14ac:dyDescent="0.2">
      <c r="A65" s="4"/>
      <c r="C65" s="80" t="s">
        <v>140</v>
      </c>
      <c r="D65" s="81" t="s">
        <v>53</v>
      </c>
      <c r="E65" s="81" t="s">
        <v>11</v>
      </c>
      <c r="F65" s="79" t="s">
        <v>50</v>
      </c>
      <c r="H65" s="63">
        <f>IF($E65="Labour",Assumptions!$B$14,)</f>
        <v>145.77740895836223</v>
      </c>
      <c r="I65" s="9" t="str">
        <f t="shared" si="5"/>
        <v>Hours</v>
      </c>
      <c r="K65" s="82"/>
      <c r="L65" s="82">
        <f>40000/$H65</f>
        <v>274.39093811459514</v>
      </c>
      <c r="M65" s="82"/>
      <c r="N65" s="82"/>
      <c r="O65" s="82"/>
      <c r="Q65" s="5">
        <f t="shared" si="6"/>
        <v>0</v>
      </c>
      <c r="R65" s="5">
        <f t="shared" si="7"/>
        <v>40000</v>
      </c>
      <c r="S65" s="5">
        <f t="shared" si="8"/>
        <v>0</v>
      </c>
      <c r="T65" s="5">
        <f t="shared" si="9"/>
        <v>0</v>
      </c>
      <c r="U65" s="5">
        <f t="shared" si="10"/>
        <v>0</v>
      </c>
    </row>
    <row r="66" spans="1:21" ht="12.75" customHeight="1" x14ac:dyDescent="0.2">
      <c r="A66" s="4"/>
      <c r="C66" s="80" t="s">
        <v>141</v>
      </c>
      <c r="D66" s="81" t="s">
        <v>53</v>
      </c>
      <c r="E66" s="81" t="s">
        <v>11</v>
      </c>
      <c r="F66" s="79" t="s">
        <v>50</v>
      </c>
      <c r="H66" s="63">
        <f>IF($E66="Labour",Assumptions!$B$14,)</f>
        <v>145.77740895836223</v>
      </c>
      <c r="I66" s="9" t="str">
        <f t="shared" si="5"/>
        <v>Hours</v>
      </c>
      <c r="K66" s="82"/>
      <c r="L66" s="82">
        <f>40000/$H66</f>
        <v>274.39093811459514</v>
      </c>
      <c r="M66" s="82"/>
      <c r="N66" s="82"/>
      <c r="O66" s="82"/>
      <c r="Q66" s="5">
        <f t="shared" si="6"/>
        <v>0</v>
      </c>
      <c r="R66" s="5">
        <f t="shared" si="7"/>
        <v>40000</v>
      </c>
      <c r="S66" s="5">
        <f t="shared" si="8"/>
        <v>0</v>
      </c>
      <c r="T66" s="5">
        <f t="shared" si="9"/>
        <v>0</v>
      </c>
      <c r="U66" s="5">
        <f t="shared" si="10"/>
        <v>0</v>
      </c>
    </row>
    <row r="67" spans="1:21" ht="12.75" customHeight="1" x14ac:dyDescent="0.2">
      <c r="A67" s="4"/>
      <c r="C67" s="80" t="s">
        <v>118</v>
      </c>
      <c r="D67" s="81" t="s">
        <v>53</v>
      </c>
      <c r="E67" s="81" t="s">
        <v>11</v>
      </c>
      <c r="F67" s="79" t="s">
        <v>50</v>
      </c>
      <c r="H67" s="63">
        <f>IF($E67="Labour",Assumptions!$B$14,)</f>
        <v>145.77740895836223</v>
      </c>
      <c r="I67" s="9" t="str">
        <f t="shared" si="5"/>
        <v>Hours</v>
      </c>
      <c r="K67" s="82"/>
      <c r="L67" s="82"/>
      <c r="M67" s="82"/>
      <c r="N67" s="82">
        <f>45000/H67</f>
        <v>308.68980537891957</v>
      </c>
      <c r="O67" s="82"/>
      <c r="Q67" s="5">
        <f t="shared" si="6"/>
        <v>0</v>
      </c>
      <c r="R67" s="5">
        <f t="shared" si="7"/>
        <v>0</v>
      </c>
      <c r="S67" s="5">
        <f t="shared" si="8"/>
        <v>0</v>
      </c>
      <c r="T67" s="5">
        <f t="shared" si="9"/>
        <v>45000</v>
      </c>
      <c r="U67" s="5">
        <f t="shared" si="10"/>
        <v>0</v>
      </c>
    </row>
    <row r="68" spans="1:21" ht="12.75" customHeight="1" x14ac:dyDescent="0.2">
      <c r="A68" s="4"/>
      <c r="C68" s="80" t="s">
        <v>119</v>
      </c>
      <c r="D68" s="81" t="s">
        <v>53</v>
      </c>
      <c r="E68" s="81" t="s">
        <v>11</v>
      </c>
      <c r="F68" s="79" t="s">
        <v>50</v>
      </c>
      <c r="H68" s="63">
        <f>IF($E68="Labour",Assumptions!$B$14,)</f>
        <v>145.77740895836223</v>
      </c>
      <c r="I68" s="9" t="str">
        <f t="shared" si="5"/>
        <v>Hours</v>
      </c>
      <c r="K68" s="82"/>
      <c r="L68" s="82"/>
      <c r="M68" s="82"/>
      <c r="N68" s="82">
        <f>90000/H68</f>
        <v>617.37961075783915</v>
      </c>
      <c r="O68" s="82"/>
      <c r="Q68" s="5">
        <f t="shared" si="6"/>
        <v>0</v>
      </c>
      <c r="R68" s="5">
        <f t="shared" si="7"/>
        <v>0</v>
      </c>
      <c r="S68" s="5">
        <f t="shared" si="8"/>
        <v>0</v>
      </c>
      <c r="T68" s="5">
        <f t="shared" si="9"/>
        <v>90000</v>
      </c>
      <c r="U68" s="5">
        <f t="shared" si="10"/>
        <v>0</v>
      </c>
    </row>
    <row r="69" spans="1:21" ht="12.75" customHeight="1" x14ac:dyDescent="0.2">
      <c r="A69" s="4"/>
      <c r="C69" s="80" t="s">
        <v>120</v>
      </c>
      <c r="D69" s="81" t="s">
        <v>53</v>
      </c>
      <c r="E69" s="81" t="s">
        <v>11</v>
      </c>
      <c r="F69" s="79" t="s">
        <v>50</v>
      </c>
      <c r="H69" s="63">
        <f>IF($E69="Labour",Assumptions!$B$14,)</f>
        <v>145.77740895836223</v>
      </c>
      <c r="I69" s="9" t="str">
        <f t="shared" si="5"/>
        <v>Hours</v>
      </c>
      <c r="K69" s="82"/>
      <c r="L69" s="82"/>
      <c r="M69" s="82"/>
      <c r="N69" s="82">
        <f>175000/H69</f>
        <v>1200.4603542513537</v>
      </c>
      <c r="O69" s="82"/>
      <c r="Q69" s="5">
        <f t="shared" si="6"/>
        <v>0</v>
      </c>
      <c r="R69" s="5">
        <f t="shared" si="7"/>
        <v>0</v>
      </c>
      <c r="S69" s="5">
        <f t="shared" si="8"/>
        <v>0</v>
      </c>
      <c r="T69" s="5">
        <f t="shared" si="9"/>
        <v>174999.99999999997</v>
      </c>
      <c r="U69" s="5">
        <f t="shared" si="10"/>
        <v>0</v>
      </c>
    </row>
    <row r="70" spans="1:21" ht="12.75" customHeight="1" x14ac:dyDescent="0.2">
      <c r="A70" s="4"/>
      <c r="C70" s="80" t="s">
        <v>121</v>
      </c>
      <c r="D70" s="81" t="s">
        <v>53</v>
      </c>
      <c r="E70" s="81" t="s">
        <v>11</v>
      </c>
      <c r="F70" s="79" t="s">
        <v>50</v>
      </c>
      <c r="H70" s="63">
        <f>IF($E70="Labour",Assumptions!$B$14,)</f>
        <v>145.77740895836223</v>
      </c>
      <c r="I70" s="9" t="str">
        <f t="shared" si="5"/>
        <v>Hours</v>
      </c>
      <c r="K70" s="82"/>
      <c r="L70" s="82"/>
      <c r="M70" s="82"/>
      <c r="N70" s="82">
        <f>110000/H70</f>
        <v>754.57507981513663</v>
      </c>
      <c r="O70" s="82"/>
      <c r="Q70" s="5">
        <f t="shared" si="6"/>
        <v>0</v>
      </c>
      <c r="R70" s="5">
        <f t="shared" si="7"/>
        <v>0</v>
      </c>
      <c r="S70" s="5">
        <f t="shared" si="8"/>
        <v>0</v>
      </c>
      <c r="T70" s="5">
        <f t="shared" si="9"/>
        <v>110000</v>
      </c>
      <c r="U70" s="5">
        <f t="shared" si="10"/>
        <v>0</v>
      </c>
    </row>
    <row r="71" spans="1:21" ht="12.75" customHeight="1" x14ac:dyDescent="0.2">
      <c r="A71" s="4"/>
      <c r="C71" s="80" t="s">
        <v>122</v>
      </c>
      <c r="D71" s="81" t="s">
        <v>53</v>
      </c>
      <c r="E71" s="81" t="s">
        <v>11</v>
      </c>
      <c r="F71" s="79" t="s">
        <v>50</v>
      </c>
      <c r="H71" s="63">
        <f>IF($E71="Labour",Assumptions!$B$14,)</f>
        <v>145.77740895836223</v>
      </c>
      <c r="I71" s="9" t="str">
        <f t="shared" si="5"/>
        <v>Hours</v>
      </c>
      <c r="K71" s="82"/>
      <c r="L71" s="82"/>
      <c r="M71" s="82"/>
      <c r="N71" s="82">
        <f>40000/H71</f>
        <v>274.39093811459514</v>
      </c>
      <c r="O71" s="82"/>
      <c r="Q71" s="5">
        <f t="shared" si="6"/>
        <v>0</v>
      </c>
      <c r="R71" s="5">
        <f t="shared" si="7"/>
        <v>0</v>
      </c>
      <c r="S71" s="5">
        <f t="shared" si="8"/>
        <v>0</v>
      </c>
      <c r="T71" s="5">
        <f t="shared" si="9"/>
        <v>40000</v>
      </c>
      <c r="U71" s="5">
        <f t="shared" si="10"/>
        <v>0</v>
      </c>
    </row>
    <row r="72" spans="1:21" ht="12.75" customHeight="1" x14ac:dyDescent="0.2">
      <c r="A72" s="4"/>
      <c r="C72" s="80" t="s">
        <v>123</v>
      </c>
      <c r="D72" s="81" t="s">
        <v>53</v>
      </c>
      <c r="E72" s="81" t="s">
        <v>11</v>
      </c>
      <c r="F72" s="79" t="s">
        <v>50</v>
      </c>
      <c r="H72" s="63">
        <f>IF($E72="Labour",Assumptions!$B$14,)</f>
        <v>145.77740895836223</v>
      </c>
      <c r="I72" s="9" t="str">
        <f t="shared" si="5"/>
        <v>Hours</v>
      </c>
      <c r="K72" s="82"/>
      <c r="L72" s="82"/>
      <c r="M72" s="82"/>
      <c r="N72" s="82">
        <f>40000/H72</f>
        <v>274.39093811459514</v>
      </c>
      <c r="O72" s="82"/>
      <c r="Q72" s="5">
        <f t="shared" si="6"/>
        <v>0</v>
      </c>
      <c r="R72" s="5">
        <f t="shared" si="7"/>
        <v>0</v>
      </c>
      <c r="S72" s="5">
        <f t="shared" si="8"/>
        <v>0</v>
      </c>
      <c r="T72" s="5">
        <f t="shared" si="9"/>
        <v>40000</v>
      </c>
      <c r="U72" s="5">
        <f t="shared" si="10"/>
        <v>0</v>
      </c>
    </row>
    <row r="73" spans="1:21" ht="12.75" customHeight="1" x14ac:dyDescent="0.2">
      <c r="A73" s="4"/>
      <c r="C73" s="80" t="s">
        <v>67</v>
      </c>
      <c r="D73" s="81" t="s">
        <v>53</v>
      </c>
      <c r="E73" s="81" t="s">
        <v>11</v>
      </c>
      <c r="F73" s="79" t="s">
        <v>54</v>
      </c>
      <c r="H73" s="63">
        <f>IF($E73="Labour",Assumptions!$B$14,)</f>
        <v>145.77740895836223</v>
      </c>
      <c r="I73" s="9" t="str">
        <f t="shared" si="5"/>
        <v>Hours</v>
      </c>
      <c r="K73" s="82">
        <f>(28.8*8)*63.2%*75%*2</f>
        <v>218.41919999999999</v>
      </c>
      <c r="L73" s="82">
        <f t="shared" ref="L73:O73" si="11">(28.8*8)*63.2%*75%*2</f>
        <v>218.41919999999999</v>
      </c>
      <c r="M73" s="82">
        <f t="shared" si="11"/>
        <v>218.41919999999999</v>
      </c>
      <c r="N73" s="82">
        <f t="shared" si="11"/>
        <v>218.41919999999999</v>
      </c>
      <c r="O73" s="82">
        <f t="shared" si="11"/>
        <v>218.41919999999999</v>
      </c>
      <c r="Q73" s="5">
        <f t="shared" si="6"/>
        <v>31840.58504275831</v>
      </c>
      <c r="R73" s="5">
        <f t="shared" si="7"/>
        <v>31840.58504275831</v>
      </c>
      <c r="S73" s="5">
        <f t="shared" si="8"/>
        <v>31840.58504275831</v>
      </c>
      <c r="T73" s="5">
        <f t="shared" si="9"/>
        <v>31840.58504275831</v>
      </c>
      <c r="U73" s="5">
        <f t="shared" si="10"/>
        <v>31840.58504275831</v>
      </c>
    </row>
    <row r="74" spans="1:21" ht="12.75" customHeight="1" x14ac:dyDescent="0.2">
      <c r="A74" s="4"/>
      <c r="C74" s="80" t="s">
        <v>66</v>
      </c>
      <c r="D74" s="81" t="s">
        <v>53</v>
      </c>
      <c r="E74" s="81" t="s">
        <v>13</v>
      </c>
      <c r="F74" s="79" t="s">
        <v>54</v>
      </c>
      <c r="H74" s="63">
        <f>IF($E74="Labour",Assumptions!$B$14,)</f>
        <v>0</v>
      </c>
      <c r="I74" s="9" t="str">
        <f t="shared" si="5"/>
        <v>$</v>
      </c>
      <c r="K74" s="82">
        <f>3600*50*63.2%</f>
        <v>113760</v>
      </c>
      <c r="L74" s="82">
        <f>3900*50*63.2%</f>
        <v>123240</v>
      </c>
      <c r="M74" s="82">
        <f>4200*50*63.2%</f>
        <v>132720</v>
      </c>
      <c r="N74" s="82">
        <f>4500*50*63.2%</f>
        <v>142200</v>
      </c>
      <c r="O74" s="82">
        <f>4800*50*63.2%</f>
        <v>151680</v>
      </c>
      <c r="Q74" s="5">
        <f t="shared" ref="Q74:Q100" si="12">IF($E74="Labour",$H74*K74,K74)</f>
        <v>113760</v>
      </c>
      <c r="R74" s="5">
        <f t="shared" ref="R74:R100" si="13">IF($E74="Labour",$H74*L74,L74)</f>
        <v>123240</v>
      </c>
      <c r="S74" s="5">
        <f t="shared" ref="S74:S100" si="14">IF($E74="Labour",$H74*M74,M74)</f>
        <v>132720</v>
      </c>
      <c r="T74" s="5">
        <f t="shared" ref="T74:T100" si="15">IF($E74="Labour",$H74*N74,N74)</f>
        <v>142200</v>
      </c>
      <c r="U74" s="5">
        <f t="shared" ref="U74:U100" si="16">IF($E74="Labour",$H74*O74,O74)</f>
        <v>151680</v>
      </c>
    </row>
    <row r="75" spans="1:21" ht="12.75" customHeight="1" x14ac:dyDescent="0.2">
      <c r="A75" s="4"/>
      <c r="C75" s="80" t="s">
        <v>95</v>
      </c>
      <c r="D75" s="81" t="s">
        <v>53</v>
      </c>
      <c r="E75" s="81" t="s">
        <v>14</v>
      </c>
      <c r="F75" s="79" t="s">
        <v>54</v>
      </c>
      <c r="H75" s="63">
        <f>IF($E75="Labour",Assumptions!$B$14,)</f>
        <v>0</v>
      </c>
      <c r="I75" s="9" t="str">
        <f t="shared" si="5"/>
        <v>$</v>
      </c>
      <c r="K75" s="82"/>
      <c r="L75" s="82"/>
      <c r="M75" s="82"/>
      <c r="N75" s="82"/>
      <c r="O75" s="82"/>
      <c r="Q75" s="5">
        <f t="shared" si="12"/>
        <v>0</v>
      </c>
      <c r="R75" s="5">
        <f t="shared" si="13"/>
        <v>0</v>
      </c>
      <c r="S75" s="5">
        <f t="shared" si="14"/>
        <v>0</v>
      </c>
      <c r="T75" s="5">
        <f t="shared" si="15"/>
        <v>0</v>
      </c>
      <c r="U75" s="5">
        <f t="shared" si="16"/>
        <v>0</v>
      </c>
    </row>
    <row r="76" spans="1:21" ht="12.75" customHeight="1" x14ac:dyDescent="0.2">
      <c r="A76" s="4"/>
      <c r="C76" s="80" t="s">
        <v>96</v>
      </c>
      <c r="D76" s="81" t="s">
        <v>53</v>
      </c>
      <c r="E76" s="81" t="s">
        <v>11</v>
      </c>
      <c r="F76" s="79" t="s">
        <v>54</v>
      </c>
      <c r="H76" s="63">
        <f>IF($E76="Labour",Assumptions!$B$14,)</f>
        <v>145.77740895836223</v>
      </c>
      <c r="I76" s="9" t="str">
        <f t="shared" si="5"/>
        <v>Hours</v>
      </c>
      <c r="K76" s="82">
        <f>261*2*8*63.2%</f>
        <v>2639.232</v>
      </c>
      <c r="L76" s="82">
        <f>261*2*8*63.2%</f>
        <v>2639.232</v>
      </c>
      <c r="M76" s="82">
        <f>260*2*8*63.2%</f>
        <v>2629.12</v>
      </c>
      <c r="N76" s="82">
        <f>261*2*8*63.2%</f>
        <v>2639.232</v>
      </c>
      <c r="O76" s="82">
        <f>261*2*8*63.2%</f>
        <v>2639.232</v>
      </c>
      <c r="Q76" s="5">
        <f t="shared" si="12"/>
        <v>384740.40259999625</v>
      </c>
      <c r="R76" s="5">
        <f t="shared" si="13"/>
        <v>384740.40259999625</v>
      </c>
      <c r="S76" s="5">
        <f t="shared" si="14"/>
        <v>383266.30144060927</v>
      </c>
      <c r="T76" s="5">
        <f t="shared" si="15"/>
        <v>384740.40259999625</v>
      </c>
      <c r="U76" s="5">
        <f t="shared" si="16"/>
        <v>384740.40259999625</v>
      </c>
    </row>
    <row r="77" spans="1:21" ht="12.75" customHeight="1" x14ac:dyDescent="0.2">
      <c r="A77" s="4"/>
      <c r="C77" s="80" t="s">
        <v>112</v>
      </c>
      <c r="D77" s="81" t="s">
        <v>53</v>
      </c>
      <c r="E77" s="81" t="s">
        <v>14</v>
      </c>
      <c r="F77" s="79" t="s">
        <v>54</v>
      </c>
      <c r="H77" s="63">
        <f>IF($E77="Labour",Assumptions!$B$14,)</f>
        <v>0</v>
      </c>
      <c r="I77" s="9" t="str">
        <f t="shared" si="5"/>
        <v>$</v>
      </c>
      <c r="K77" s="82">
        <f>2500000*0.5</f>
        <v>1250000</v>
      </c>
      <c r="L77" s="82">
        <v>0</v>
      </c>
      <c r="M77" s="82">
        <v>0</v>
      </c>
      <c r="N77" s="82">
        <v>0</v>
      </c>
      <c r="O77" s="82">
        <v>0</v>
      </c>
      <c r="Q77" s="5">
        <f t="shared" si="12"/>
        <v>1250000</v>
      </c>
      <c r="R77" s="5">
        <f t="shared" si="13"/>
        <v>0</v>
      </c>
      <c r="S77" s="5">
        <f t="shared" si="14"/>
        <v>0</v>
      </c>
      <c r="T77" s="5">
        <f t="shared" si="15"/>
        <v>0</v>
      </c>
      <c r="U77" s="5">
        <f t="shared" si="16"/>
        <v>0</v>
      </c>
    </row>
    <row r="78" spans="1:21" ht="12.75" customHeight="1" x14ac:dyDescent="0.2">
      <c r="A78" s="4"/>
      <c r="C78" s="80" t="s">
        <v>113</v>
      </c>
      <c r="D78" s="81" t="s">
        <v>53</v>
      </c>
      <c r="E78" s="81" t="s">
        <v>14</v>
      </c>
      <c r="F78" s="79" t="s">
        <v>54</v>
      </c>
      <c r="H78" s="63">
        <f>IF($E78="Labour",Assumptions!$B$14,)</f>
        <v>0</v>
      </c>
      <c r="I78" s="9" t="str">
        <f t="shared" si="5"/>
        <v>$</v>
      </c>
      <c r="K78" s="82">
        <f>150530/2</f>
        <v>75265</v>
      </c>
      <c r="L78" s="82">
        <f t="shared" ref="L78:O78" si="17">150530/2</f>
        <v>75265</v>
      </c>
      <c r="M78" s="82">
        <f t="shared" si="17"/>
        <v>75265</v>
      </c>
      <c r="N78" s="82">
        <f t="shared" si="17"/>
        <v>75265</v>
      </c>
      <c r="O78" s="82">
        <f t="shared" si="17"/>
        <v>75265</v>
      </c>
      <c r="Q78" s="5">
        <f t="shared" si="12"/>
        <v>75265</v>
      </c>
      <c r="R78" s="5">
        <f t="shared" si="13"/>
        <v>75265</v>
      </c>
      <c r="S78" s="5">
        <f t="shared" si="14"/>
        <v>75265</v>
      </c>
      <c r="T78" s="5">
        <f t="shared" si="15"/>
        <v>75265</v>
      </c>
      <c r="U78" s="5">
        <f t="shared" si="16"/>
        <v>75265</v>
      </c>
    </row>
    <row r="79" spans="1:21" ht="12.75" customHeight="1" x14ac:dyDescent="0.2">
      <c r="A79" s="4"/>
      <c r="C79" s="80" t="s">
        <v>114</v>
      </c>
      <c r="D79" s="81" t="s">
        <v>53</v>
      </c>
      <c r="E79" s="81" t="s">
        <v>11</v>
      </c>
      <c r="F79" s="79" t="s">
        <v>54</v>
      </c>
      <c r="H79" s="63">
        <f>IF($E79="Labour",Assumptions!$B$14,)</f>
        <v>145.77740895836223</v>
      </c>
      <c r="I79" s="9" t="str">
        <f t="shared" si="5"/>
        <v>Hours</v>
      </c>
      <c r="K79" s="82">
        <f>480000/H79*0.5</f>
        <v>1646.345628687571</v>
      </c>
      <c r="L79" s="82">
        <v>0</v>
      </c>
      <c r="M79" s="82">
        <v>0</v>
      </c>
      <c r="N79" s="82">
        <v>0</v>
      </c>
      <c r="O79" s="82">
        <v>0</v>
      </c>
      <c r="Q79" s="5">
        <f t="shared" si="12"/>
        <v>240000</v>
      </c>
      <c r="R79" s="5">
        <f t="shared" si="13"/>
        <v>0</v>
      </c>
      <c r="S79" s="5">
        <f t="shared" si="14"/>
        <v>0</v>
      </c>
      <c r="T79" s="5">
        <f t="shared" si="15"/>
        <v>0</v>
      </c>
      <c r="U79" s="5">
        <f t="shared" si="16"/>
        <v>0</v>
      </c>
    </row>
    <row r="80" spans="1:21" ht="12.75" customHeight="1" x14ac:dyDescent="0.2">
      <c r="A80" s="4"/>
      <c r="C80" s="80" t="s">
        <v>115</v>
      </c>
      <c r="D80" s="81" t="s">
        <v>53</v>
      </c>
      <c r="E80" s="81" t="s">
        <v>11</v>
      </c>
      <c r="F80" s="79" t="s">
        <v>54</v>
      </c>
      <c r="H80" s="63">
        <f>IF($E80="Labour",Assumptions!$B$14,)</f>
        <v>145.77740895836223</v>
      </c>
      <c r="I80" s="9" t="str">
        <f t="shared" si="5"/>
        <v>Hours</v>
      </c>
      <c r="K80" s="82">
        <f>760000/H80*0.5</f>
        <v>2606.7139120886541</v>
      </c>
      <c r="L80" s="82">
        <v>0</v>
      </c>
      <c r="M80" s="82">
        <v>0</v>
      </c>
      <c r="N80" s="82">
        <v>0</v>
      </c>
      <c r="O80" s="82">
        <v>0</v>
      </c>
      <c r="Q80" s="5">
        <f t="shared" si="12"/>
        <v>380000</v>
      </c>
      <c r="R80" s="5">
        <f t="shared" si="13"/>
        <v>0</v>
      </c>
      <c r="S80" s="5">
        <f t="shared" si="14"/>
        <v>0</v>
      </c>
      <c r="T80" s="5">
        <f t="shared" si="15"/>
        <v>0</v>
      </c>
      <c r="U80" s="5">
        <f t="shared" si="16"/>
        <v>0</v>
      </c>
    </row>
    <row r="81" spans="1:21" ht="12.75" customHeight="1" x14ac:dyDescent="0.2">
      <c r="A81" s="4"/>
      <c r="C81" s="80" t="s">
        <v>116</v>
      </c>
      <c r="D81" s="81" t="s">
        <v>53</v>
      </c>
      <c r="E81" s="81" t="s">
        <v>11</v>
      </c>
      <c r="F81" s="79" t="s">
        <v>54</v>
      </c>
      <c r="H81" s="63">
        <f>IF($E81="Labour",Assumptions!$B$14,)</f>
        <v>145.77740895836223</v>
      </c>
      <c r="I81" s="9" t="str">
        <f t="shared" si="5"/>
        <v>Hours</v>
      </c>
      <c r="K81" s="82">
        <f>175000/H81*0.5</f>
        <v>600.23017712567685</v>
      </c>
      <c r="L81" s="82">
        <v>0</v>
      </c>
      <c r="M81" s="82">
        <v>0</v>
      </c>
      <c r="N81" s="82">
        <v>0</v>
      </c>
      <c r="O81" s="82">
        <v>0</v>
      </c>
      <c r="Q81" s="5">
        <f t="shared" si="12"/>
        <v>87499.999999999985</v>
      </c>
      <c r="R81" s="5">
        <f t="shared" si="13"/>
        <v>0</v>
      </c>
      <c r="S81" s="5">
        <f t="shared" si="14"/>
        <v>0</v>
      </c>
      <c r="T81" s="5">
        <f t="shared" si="15"/>
        <v>0</v>
      </c>
      <c r="U81" s="5">
        <f t="shared" si="16"/>
        <v>0</v>
      </c>
    </row>
    <row r="82" spans="1:21" ht="12.75" customHeight="1" x14ac:dyDescent="0.2">
      <c r="A82" s="4"/>
      <c r="C82" s="80" t="s">
        <v>117</v>
      </c>
      <c r="D82" s="81" t="s">
        <v>53</v>
      </c>
      <c r="E82" s="81" t="s">
        <v>11</v>
      </c>
      <c r="F82" s="79" t="s">
        <v>54</v>
      </c>
      <c r="H82" s="63">
        <f>IF($E82="Labour",Assumptions!$B$14,)</f>
        <v>145.77740895836223</v>
      </c>
      <c r="I82" s="9" t="str">
        <f t="shared" si="5"/>
        <v>Hours</v>
      </c>
      <c r="K82" s="82">
        <f>240000/H82*0.5</f>
        <v>823.17281434378549</v>
      </c>
      <c r="L82" s="82">
        <v>0</v>
      </c>
      <c r="M82" s="82">
        <v>0</v>
      </c>
      <c r="N82" s="82">
        <v>0</v>
      </c>
      <c r="O82" s="82">
        <v>0</v>
      </c>
      <c r="Q82" s="5">
        <f t="shared" si="12"/>
        <v>120000</v>
      </c>
      <c r="R82" s="5">
        <f t="shared" si="13"/>
        <v>0</v>
      </c>
      <c r="S82" s="5">
        <f t="shared" si="14"/>
        <v>0</v>
      </c>
      <c r="T82" s="5">
        <f t="shared" si="15"/>
        <v>0</v>
      </c>
      <c r="U82" s="5">
        <f t="shared" si="16"/>
        <v>0</v>
      </c>
    </row>
    <row r="83" spans="1:21" ht="12.75" customHeight="1" x14ac:dyDescent="0.2">
      <c r="A83" s="4"/>
      <c r="C83" s="80" t="s">
        <v>101</v>
      </c>
      <c r="D83" s="81" t="s">
        <v>53</v>
      </c>
      <c r="E83" s="81" t="s">
        <v>11</v>
      </c>
      <c r="F83" s="79" t="s">
        <v>54</v>
      </c>
      <c r="H83" s="63">
        <f>IF($E83="Labour",Assumptions!$B$14,)</f>
        <v>145.77740895836223</v>
      </c>
      <c r="I83" s="9" t="str">
        <f t="shared" si="5"/>
        <v>Hours</v>
      </c>
      <c r="K83" s="82">
        <f>(2500494/H83)/3</f>
        <v>5717.6074534159707</v>
      </c>
      <c r="L83" s="82">
        <f>(2500494/H83)/3</f>
        <v>5717.6074534159707</v>
      </c>
      <c r="M83" s="82">
        <f>(2500494/H83)/3</f>
        <v>5717.6074534159707</v>
      </c>
      <c r="N83" s="82">
        <f>(2500494/H83)/3</f>
        <v>5717.6074534159707</v>
      </c>
      <c r="O83" s="82">
        <f>(2500494/H83)/3</f>
        <v>5717.6074534159707</v>
      </c>
      <c r="Q83" s="5">
        <f t="shared" si="12"/>
        <v>833498</v>
      </c>
      <c r="R83" s="5">
        <f t="shared" si="13"/>
        <v>833498</v>
      </c>
      <c r="S83" s="5">
        <f t="shared" si="14"/>
        <v>833498</v>
      </c>
      <c r="T83" s="5">
        <f t="shared" si="15"/>
        <v>833498</v>
      </c>
      <c r="U83" s="5">
        <f t="shared" si="16"/>
        <v>833498</v>
      </c>
    </row>
    <row r="84" spans="1:21" ht="12.75" customHeight="1" x14ac:dyDescent="0.2">
      <c r="A84" s="4"/>
      <c r="C84" s="80" t="s">
        <v>101</v>
      </c>
      <c r="D84" s="81" t="s">
        <v>53</v>
      </c>
      <c r="E84" s="81" t="s">
        <v>13</v>
      </c>
      <c r="F84" s="79" t="s">
        <v>54</v>
      </c>
      <c r="H84" s="63">
        <f>IF($E84="Labour",Assumptions!$B$14,)</f>
        <v>0</v>
      </c>
      <c r="I84" s="9" t="str">
        <f t="shared" si="5"/>
        <v>$</v>
      </c>
      <c r="K84" s="82">
        <v>1200000</v>
      </c>
      <c r="L84" s="82">
        <v>600000</v>
      </c>
      <c r="M84" s="82"/>
      <c r="N84" s="82"/>
      <c r="O84" s="82"/>
      <c r="Q84" s="5">
        <f t="shared" si="12"/>
        <v>1200000</v>
      </c>
      <c r="R84" s="5">
        <f t="shared" si="13"/>
        <v>600000</v>
      </c>
      <c r="S84" s="5">
        <f t="shared" si="14"/>
        <v>0</v>
      </c>
      <c r="T84" s="5">
        <f t="shared" si="15"/>
        <v>0</v>
      </c>
      <c r="U84" s="5">
        <f t="shared" si="16"/>
        <v>0</v>
      </c>
    </row>
    <row r="85" spans="1:21" ht="12.75" customHeight="1" x14ac:dyDescent="0.2">
      <c r="A85" s="4"/>
      <c r="C85" s="80" t="s">
        <v>102</v>
      </c>
      <c r="D85" s="81" t="s">
        <v>53</v>
      </c>
      <c r="E85" s="81" t="s">
        <v>11</v>
      </c>
      <c r="F85" s="79" t="s">
        <v>54</v>
      </c>
      <c r="H85" s="63">
        <f>IF($E85="Labour",Assumptions!$B$14,)</f>
        <v>145.77740895836223</v>
      </c>
      <c r="I85" s="9" t="str">
        <f t="shared" si="5"/>
        <v>Hours</v>
      </c>
      <c r="K85" s="82">
        <v>650</v>
      </c>
      <c r="L85" s="82">
        <v>230</v>
      </c>
      <c r="M85" s="82"/>
      <c r="N85" s="82"/>
      <c r="O85" s="82"/>
      <c r="Q85" s="5">
        <f t="shared" si="12"/>
        <v>94755.315822935445</v>
      </c>
      <c r="R85" s="5">
        <f t="shared" si="13"/>
        <v>33528.80406042331</v>
      </c>
      <c r="S85" s="5">
        <f t="shared" si="14"/>
        <v>0</v>
      </c>
      <c r="T85" s="5">
        <f t="shared" si="15"/>
        <v>0</v>
      </c>
      <c r="U85" s="5">
        <f t="shared" si="16"/>
        <v>0</v>
      </c>
    </row>
    <row r="86" spans="1:21" ht="12.75" customHeight="1" x14ac:dyDescent="0.2">
      <c r="A86" s="4"/>
      <c r="C86" s="80" t="s">
        <v>102</v>
      </c>
      <c r="D86" s="81" t="s">
        <v>53</v>
      </c>
      <c r="E86" s="81" t="s">
        <v>13</v>
      </c>
      <c r="F86" s="79" t="s">
        <v>54</v>
      </c>
      <c r="H86" s="63">
        <f>IF($E86="Labour",Assumptions!$B$14,)</f>
        <v>0</v>
      </c>
      <c r="I86" s="9" t="str">
        <f t="shared" si="5"/>
        <v>$</v>
      </c>
      <c r="K86" s="82">
        <v>350000</v>
      </c>
      <c r="L86" s="82">
        <v>150000</v>
      </c>
      <c r="M86" s="82"/>
      <c r="N86" s="82"/>
      <c r="O86" s="82"/>
      <c r="Q86" s="5">
        <f t="shared" si="12"/>
        <v>350000</v>
      </c>
      <c r="R86" s="5">
        <f t="shared" si="13"/>
        <v>150000</v>
      </c>
      <c r="S86" s="5">
        <f t="shared" si="14"/>
        <v>0</v>
      </c>
      <c r="T86" s="5">
        <f t="shared" si="15"/>
        <v>0</v>
      </c>
      <c r="U86" s="5">
        <f t="shared" si="16"/>
        <v>0</v>
      </c>
    </row>
    <row r="87" spans="1:21" ht="12.75" customHeight="1" x14ac:dyDescent="0.2">
      <c r="A87" s="4"/>
      <c r="C87" s="80" t="s">
        <v>103</v>
      </c>
      <c r="D87" s="81" t="s">
        <v>53</v>
      </c>
      <c r="E87" s="81" t="s">
        <v>11</v>
      </c>
      <c r="F87" s="79" t="s">
        <v>54</v>
      </c>
      <c r="H87" s="63">
        <f>IF($E87="Labour",Assumptions!$B$14,)</f>
        <v>145.77740895836223</v>
      </c>
      <c r="I87" s="9" t="str">
        <f t="shared" si="5"/>
        <v>Hours</v>
      </c>
      <c r="K87" s="82">
        <v>600</v>
      </c>
      <c r="L87" s="82">
        <v>280</v>
      </c>
      <c r="M87" s="82"/>
      <c r="N87" s="82"/>
      <c r="O87" s="82"/>
      <c r="Q87" s="5">
        <f t="shared" si="12"/>
        <v>87466.445375017342</v>
      </c>
      <c r="R87" s="5">
        <f t="shared" si="13"/>
        <v>40817.674508341428</v>
      </c>
      <c r="S87" s="5">
        <f t="shared" si="14"/>
        <v>0</v>
      </c>
      <c r="T87" s="5">
        <f t="shared" si="15"/>
        <v>0</v>
      </c>
      <c r="U87" s="5">
        <f t="shared" si="16"/>
        <v>0</v>
      </c>
    </row>
    <row r="88" spans="1:21" ht="12.75" customHeight="1" x14ac:dyDescent="0.2">
      <c r="A88" s="4"/>
      <c r="C88" s="80" t="s">
        <v>103</v>
      </c>
      <c r="D88" s="81" t="s">
        <v>53</v>
      </c>
      <c r="E88" s="81" t="s">
        <v>13</v>
      </c>
      <c r="F88" s="79" t="s">
        <v>54</v>
      </c>
      <c r="H88" s="63">
        <f>IF($E88="Labour",Assumptions!$B$14,)</f>
        <v>0</v>
      </c>
      <c r="I88" s="9" t="str">
        <f t="shared" si="5"/>
        <v>$</v>
      </c>
      <c r="K88" s="82">
        <v>200000</v>
      </c>
      <c r="L88" s="82"/>
      <c r="M88" s="82"/>
      <c r="N88" s="82"/>
      <c r="O88" s="82"/>
      <c r="Q88" s="5">
        <f t="shared" si="12"/>
        <v>200000</v>
      </c>
      <c r="R88" s="5">
        <f t="shared" si="13"/>
        <v>0</v>
      </c>
      <c r="S88" s="5">
        <f t="shared" si="14"/>
        <v>0</v>
      </c>
      <c r="T88" s="5">
        <f t="shared" si="15"/>
        <v>0</v>
      </c>
      <c r="U88" s="5">
        <f t="shared" si="16"/>
        <v>0</v>
      </c>
    </row>
    <row r="89" spans="1:21" ht="12.75" customHeight="1" x14ac:dyDescent="0.2">
      <c r="A89" s="4"/>
      <c r="C89" s="80" t="s">
        <v>104</v>
      </c>
      <c r="D89" s="81" t="s">
        <v>53</v>
      </c>
      <c r="E89" s="81" t="s">
        <v>11</v>
      </c>
      <c r="F89" s="79" t="s">
        <v>54</v>
      </c>
      <c r="H89" s="63">
        <f>IF($E89="Labour",Assumptions!$B$14,)</f>
        <v>145.77740895836223</v>
      </c>
      <c r="I89" s="9" t="str">
        <f t="shared" si="5"/>
        <v>Hours</v>
      </c>
      <c r="K89" s="82">
        <f>116248/H89</f>
        <v>797.43494434863646</v>
      </c>
      <c r="L89" s="82"/>
      <c r="M89" s="82"/>
      <c r="N89" s="82"/>
      <c r="O89" s="82"/>
      <c r="Q89" s="5">
        <f t="shared" si="12"/>
        <v>116248</v>
      </c>
      <c r="R89" s="5">
        <f t="shared" si="13"/>
        <v>0</v>
      </c>
      <c r="S89" s="5">
        <f t="shared" si="14"/>
        <v>0</v>
      </c>
      <c r="T89" s="5">
        <f t="shared" si="15"/>
        <v>0</v>
      </c>
      <c r="U89" s="5">
        <f t="shared" si="16"/>
        <v>0</v>
      </c>
    </row>
    <row r="90" spans="1:21" ht="12.75" customHeight="1" x14ac:dyDescent="0.2">
      <c r="A90" s="4"/>
      <c r="C90" s="80" t="s">
        <v>104</v>
      </c>
      <c r="D90" s="81" t="s">
        <v>53</v>
      </c>
      <c r="E90" s="81" t="s">
        <v>13</v>
      </c>
      <c r="F90" s="79" t="s">
        <v>54</v>
      </c>
      <c r="H90" s="63"/>
      <c r="K90" s="82">
        <v>150000</v>
      </c>
      <c r="L90" s="82"/>
      <c r="M90" s="82"/>
      <c r="N90" s="82"/>
      <c r="O90" s="82"/>
      <c r="Q90" s="5">
        <f t="shared" si="12"/>
        <v>150000</v>
      </c>
      <c r="R90" s="5">
        <f t="shared" si="13"/>
        <v>0</v>
      </c>
      <c r="S90" s="5">
        <f t="shared" si="14"/>
        <v>0</v>
      </c>
      <c r="T90" s="5">
        <f t="shared" si="15"/>
        <v>0</v>
      </c>
      <c r="U90" s="5">
        <f t="shared" si="16"/>
        <v>0</v>
      </c>
    </row>
    <row r="91" spans="1:21" ht="12.75" customHeight="1" x14ac:dyDescent="0.2">
      <c r="A91" s="4"/>
      <c r="C91" s="80" t="s">
        <v>105</v>
      </c>
      <c r="D91" s="81" t="s">
        <v>53</v>
      </c>
      <c r="E91" s="81" t="s">
        <v>11</v>
      </c>
      <c r="F91" s="79" t="s">
        <v>54</v>
      </c>
      <c r="H91" s="63">
        <f>IF($E91="Labour",Assumptions!$B$14,)</f>
        <v>145.77740895836223</v>
      </c>
      <c r="K91" s="82">
        <f>127873/H91</f>
        <v>877.17981073819067</v>
      </c>
      <c r="L91" s="82"/>
      <c r="M91" s="82"/>
      <c r="N91" s="82"/>
      <c r="O91" s="82"/>
      <c r="Q91" s="5">
        <f t="shared" si="12"/>
        <v>127873</v>
      </c>
      <c r="R91" s="5">
        <f t="shared" si="13"/>
        <v>0</v>
      </c>
      <c r="S91" s="5">
        <f t="shared" si="14"/>
        <v>0</v>
      </c>
      <c r="T91" s="5">
        <f t="shared" si="15"/>
        <v>0</v>
      </c>
      <c r="U91" s="5">
        <f t="shared" si="16"/>
        <v>0</v>
      </c>
    </row>
    <row r="92" spans="1:21" ht="12.75" customHeight="1" x14ac:dyDescent="0.2">
      <c r="A92" s="4"/>
      <c r="C92" s="80" t="s">
        <v>105</v>
      </c>
      <c r="D92" s="81" t="s">
        <v>53</v>
      </c>
      <c r="E92" s="81" t="s">
        <v>13</v>
      </c>
      <c r="F92" s="79" t="s">
        <v>54</v>
      </c>
      <c r="H92" s="63">
        <f>IF($E92="Labour",Assumptions!$B$14,)</f>
        <v>0</v>
      </c>
      <c r="K92" s="82">
        <v>150000</v>
      </c>
      <c r="L92" s="82"/>
      <c r="M92" s="82"/>
      <c r="N92" s="82"/>
      <c r="O92" s="82"/>
      <c r="Q92" s="5">
        <f t="shared" si="12"/>
        <v>150000</v>
      </c>
      <c r="R92" s="5">
        <f t="shared" si="13"/>
        <v>0</v>
      </c>
      <c r="S92" s="5">
        <f t="shared" si="14"/>
        <v>0</v>
      </c>
      <c r="T92" s="5">
        <f t="shared" si="15"/>
        <v>0</v>
      </c>
      <c r="U92" s="5">
        <f t="shared" si="16"/>
        <v>0</v>
      </c>
    </row>
    <row r="93" spans="1:21" ht="12.75" customHeight="1" x14ac:dyDescent="0.2">
      <c r="A93" s="4"/>
      <c r="C93" s="80" t="s">
        <v>106</v>
      </c>
      <c r="D93" s="81" t="s">
        <v>53</v>
      </c>
      <c r="E93" s="81" t="s">
        <v>11</v>
      </c>
      <c r="F93" s="79" t="s">
        <v>54</v>
      </c>
      <c r="H93" s="63">
        <f>IF($E93="Labour",Assumptions!$B$14,)</f>
        <v>145.77740895836223</v>
      </c>
      <c r="K93" s="82"/>
      <c r="L93" s="82">
        <f>92998/H93</f>
        <v>637.94521156952806</v>
      </c>
      <c r="M93" s="82"/>
      <c r="N93" s="82"/>
      <c r="O93" s="82"/>
      <c r="Q93" s="5">
        <f t="shared" si="12"/>
        <v>0</v>
      </c>
      <c r="R93" s="5">
        <f t="shared" si="13"/>
        <v>92998</v>
      </c>
      <c r="S93" s="5">
        <f t="shared" si="14"/>
        <v>0</v>
      </c>
      <c r="T93" s="5">
        <f t="shared" si="15"/>
        <v>0</v>
      </c>
      <c r="U93" s="5">
        <f t="shared" si="16"/>
        <v>0</v>
      </c>
    </row>
    <row r="94" spans="1:21" ht="12.75" customHeight="1" x14ac:dyDescent="0.2">
      <c r="A94" s="4"/>
      <c r="C94" s="80" t="s">
        <v>106</v>
      </c>
      <c r="D94" s="81" t="s">
        <v>53</v>
      </c>
      <c r="E94" s="81" t="s">
        <v>13</v>
      </c>
      <c r="F94" s="79" t="s">
        <v>54</v>
      </c>
      <c r="H94" s="63">
        <f>IF($E94="Labour",Assumptions!$B$14,)</f>
        <v>0</v>
      </c>
      <c r="K94" s="82"/>
      <c r="L94" s="82">
        <v>200000</v>
      </c>
      <c r="M94" s="82"/>
      <c r="N94" s="82"/>
      <c r="O94" s="82"/>
      <c r="Q94" s="5">
        <f t="shared" si="12"/>
        <v>0</v>
      </c>
      <c r="R94" s="5">
        <f t="shared" si="13"/>
        <v>200000</v>
      </c>
      <c r="S94" s="5">
        <f t="shared" si="14"/>
        <v>0</v>
      </c>
      <c r="T94" s="5">
        <f t="shared" si="15"/>
        <v>0</v>
      </c>
      <c r="U94" s="5">
        <f t="shared" si="16"/>
        <v>0</v>
      </c>
    </row>
    <row r="95" spans="1:21" ht="12.75" customHeight="1" x14ac:dyDescent="0.2">
      <c r="A95" s="4"/>
      <c r="C95" s="80"/>
      <c r="D95" s="81"/>
      <c r="E95" s="81"/>
      <c r="F95" s="79"/>
      <c r="H95" s="63">
        <f>IF($E95="Labour",Assumptions!$B$14,)</f>
        <v>0</v>
      </c>
      <c r="K95" s="82"/>
      <c r="L95" s="82"/>
      <c r="M95" s="82"/>
      <c r="N95" s="82"/>
      <c r="O95" s="82"/>
      <c r="Q95" s="5">
        <f t="shared" si="12"/>
        <v>0</v>
      </c>
      <c r="R95" s="5">
        <f t="shared" si="13"/>
        <v>0</v>
      </c>
      <c r="S95" s="5">
        <f t="shared" si="14"/>
        <v>0</v>
      </c>
      <c r="T95" s="5">
        <f t="shared" si="15"/>
        <v>0</v>
      </c>
      <c r="U95" s="5">
        <f t="shared" si="16"/>
        <v>0</v>
      </c>
    </row>
    <row r="96" spans="1:21" ht="12.75" customHeight="1" x14ac:dyDescent="0.2">
      <c r="A96" s="4"/>
      <c r="C96" s="80"/>
      <c r="D96" s="81"/>
      <c r="E96" s="81"/>
      <c r="F96" s="79"/>
      <c r="H96" s="63">
        <f>IF($E96="Labour",Assumptions!$B$14,)</f>
        <v>0</v>
      </c>
      <c r="K96" s="82"/>
      <c r="L96" s="82"/>
      <c r="M96" s="82"/>
      <c r="N96" s="82"/>
      <c r="O96" s="82"/>
      <c r="Q96" s="5">
        <f t="shared" si="12"/>
        <v>0</v>
      </c>
      <c r="R96" s="5">
        <f t="shared" si="13"/>
        <v>0</v>
      </c>
      <c r="S96" s="5">
        <f t="shared" si="14"/>
        <v>0</v>
      </c>
      <c r="T96" s="5">
        <f t="shared" si="15"/>
        <v>0</v>
      </c>
      <c r="U96" s="5">
        <f t="shared" si="16"/>
        <v>0</v>
      </c>
    </row>
    <row r="97" spans="1:26" ht="12.75" customHeight="1" x14ac:dyDescent="0.2">
      <c r="A97" s="4"/>
      <c r="C97" s="80"/>
      <c r="D97" s="81"/>
      <c r="E97" s="81"/>
      <c r="F97" s="79"/>
      <c r="H97" s="63"/>
      <c r="K97" s="82"/>
      <c r="L97" s="82"/>
      <c r="M97" s="82"/>
      <c r="N97" s="82"/>
      <c r="O97" s="82"/>
      <c r="Q97" s="5">
        <f t="shared" si="12"/>
        <v>0</v>
      </c>
      <c r="R97" s="5">
        <f t="shared" si="13"/>
        <v>0</v>
      </c>
      <c r="S97" s="5">
        <f t="shared" si="14"/>
        <v>0</v>
      </c>
      <c r="T97" s="5">
        <f t="shared" si="15"/>
        <v>0</v>
      </c>
      <c r="U97" s="5">
        <f t="shared" si="16"/>
        <v>0</v>
      </c>
    </row>
    <row r="98" spans="1:26" ht="12.75" customHeight="1" x14ac:dyDescent="0.2">
      <c r="A98" s="4"/>
      <c r="C98" s="80"/>
      <c r="D98" s="81"/>
      <c r="E98" s="81"/>
      <c r="F98" s="79"/>
      <c r="H98" s="63"/>
      <c r="K98" s="82"/>
      <c r="L98" s="82"/>
      <c r="M98" s="82"/>
      <c r="N98" s="82"/>
      <c r="O98" s="82"/>
      <c r="Q98" s="5">
        <f t="shared" si="12"/>
        <v>0</v>
      </c>
      <c r="R98" s="5">
        <f t="shared" si="13"/>
        <v>0</v>
      </c>
      <c r="S98" s="5">
        <f t="shared" si="14"/>
        <v>0</v>
      </c>
      <c r="T98" s="5">
        <f t="shared" si="15"/>
        <v>0</v>
      </c>
      <c r="U98" s="5">
        <f t="shared" si="16"/>
        <v>0</v>
      </c>
    </row>
    <row r="99" spans="1:26" ht="12.75" customHeight="1" x14ac:dyDescent="0.2">
      <c r="A99" s="4"/>
      <c r="C99" s="80"/>
      <c r="D99" s="81"/>
      <c r="E99" s="81"/>
      <c r="F99" s="79"/>
      <c r="H99" s="63"/>
      <c r="K99" s="82"/>
      <c r="L99" s="82"/>
      <c r="M99" s="82"/>
      <c r="N99" s="82"/>
      <c r="O99" s="82"/>
      <c r="Q99" s="5">
        <f t="shared" si="12"/>
        <v>0</v>
      </c>
      <c r="R99" s="5">
        <f t="shared" si="13"/>
        <v>0</v>
      </c>
      <c r="S99" s="5">
        <f t="shared" si="14"/>
        <v>0</v>
      </c>
      <c r="T99" s="5">
        <f t="shared" si="15"/>
        <v>0</v>
      </c>
      <c r="U99" s="5">
        <f t="shared" si="16"/>
        <v>0</v>
      </c>
    </row>
    <row r="100" spans="1:26" ht="12.75" customHeight="1" x14ac:dyDescent="0.2">
      <c r="A100" s="4"/>
      <c r="C100" s="80"/>
      <c r="D100" s="81"/>
      <c r="E100" s="81"/>
      <c r="F100" s="79"/>
      <c r="H100" s="63">
        <f>IF($E100="Labour",Assumptions!$B$14,)</f>
        <v>0</v>
      </c>
      <c r="I100" s="9" t="str">
        <f t="shared" si="5"/>
        <v>$</v>
      </c>
      <c r="K100" s="82"/>
      <c r="L100" s="82"/>
      <c r="M100" s="82"/>
      <c r="N100" s="82"/>
      <c r="O100" s="82"/>
      <c r="Q100" s="5">
        <f t="shared" si="12"/>
        <v>0</v>
      </c>
      <c r="R100" s="5">
        <f t="shared" si="13"/>
        <v>0</v>
      </c>
      <c r="S100" s="5">
        <f t="shared" si="14"/>
        <v>0</v>
      </c>
      <c r="T100" s="5">
        <f t="shared" si="15"/>
        <v>0</v>
      </c>
      <c r="U100" s="5">
        <f t="shared" si="16"/>
        <v>0</v>
      </c>
      <c r="V100" s="106"/>
    </row>
    <row r="101" spans="1:26" ht="12.75" customHeight="1" x14ac:dyDescent="0.25">
      <c r="G101" s="2"/>
      <c r="J101" s="2"/>
      <c r="P101" s="2"/>
      <c r="Z101"/>
    </row>
    <row r="102" spans="1:26" ht="12.75" customHeight="1" x14ac:dyDescent="0.25">
      <c r="G102" s="2"/>
      <c r="J102" s="2"/>
      <c r="P102" s="2"/>
      <c r="Z102"/>
    </row>
    <row r="103" spans="1:26" ht="12.75" customHeight="1" x14ac:dyDescent="0.25">
      <c r="C103" s="3" t="s">
        <v>73</v>
      </c>
      <c r="G103" s="2"/>
      <c r="J103" s="2"/>
      <c r="P103" s="2"/>
      <c r="Q103" s="68" t="s">
        <v>6</v>
      </c>
      <c r="R103" s="68" t="s">
        <v>7</v>
      </c>
      <c r="S103" s="68" t="s">
        <v>8</v>
      </c>
      <c r="T103" s="68" t="s">
        <v>9</v>
      </c>
      <c r="U103" s="68" t="s">
        <v>10</v>
      </c>
      <c r="V103" s="68" t="s">
        <v>0</v>
      </c>
      <c r="Z103"/>
    </row>
    <row r="104" spans="1:26" ht="12.75" customHeight="1" x14ac:dyDescent="0.2">
      <c r="C104" s="24" t="s">
        <v>11</v>
      </c>
      <c r="D104" s="24" t="s">
        <v>53</v>
      </c>
      <c r="E104" s="24"/>
      <c r="F104" s="24" t="s">
        <v>54</v>
      </c>
      <c r="G104" s="2"/>
      <c r="H104" s="65"/>
      <c r="I104" s="66"/>
      <c r="J104" s="2"/>
      <c r="K104" s="24"/>
      <c r="L104" s="24"/>
      <c r="M104" s="24"/>
      <c r="N104" s="24"/>
      <c r="O104" s="24"/>
      <c r="P104" s="2"/>
      <c r="Q104" s="25">
        <f t="shared" ref="Q104:U109" si="18">SUMIFS(Q$10:Q$100,$E$10:$E$100,$C104,$D$10:$D$100,$D104,$F$10:$F$100,$F104)</f>
        <v>4270524.3878346402</v>
      </c>
      <c r="R104" s="25">
        <f t="shared" si="18"/>
        <v>2344894.3285827697</v>
      </c>
      <c r="S104" s="25">
        <f t="shared" si="18"/>
        <v>4163964.7070484613</v>
      </c>
      <c r="T104" s="25">
        <f t="shared" si="18"/>
        <v>2692785.6275201296</v>
      </c>
      <c r="U104" s="25">
        <f t="shared" si="18"/>
        <v>2400255.3949702643</v>
      </c>
      <c r="V104" s="70">
        <f>SUM(Q104:U104)</f>
        <v>15872424.445956264</v>
      </c>
    </row>
    <row r="105" spans="1:26" ht="12.75" customHeight="1" x14ac:dyDescent="0.2">
      <c r="C105" s="1" t="s">
        <v>13</v>
      </c>
      <c r="D105" s="1" t="s">
        <v>53</v>
      </c>
      <c r="F105" s="1" t="s">
        <v>54</v>
      </c>
      <c r="G105" s="2"/>
      <c r="H105" s="67"/>
      <c r="J105" s="2"/>
      <c r="P105" s="2"/>
      <c r="Q105" s="6">
        <f t="shared" si="18"/>
        <v>2521280</v>
      </c>
      <c r="R105" s="6">
        <f t="shared" si="18"/>
        <v>1073240</v>
      </c>
      <c r="S105" s="6">
        <f t="shared" si="18"/>
        <v>182720</v>
      </c>
      <c r="T105" s="6">
        <f t="shared" si="18"/>
        <v>241160</v>
      </c>
      <c r="U105" s="6">
        <f t="shared" si="18"/>
        <v>151680</v>
      </c>
      <c r="V105" s="71">
        <f t="shared" ref="V105:V119" si="19">SUM(Q105:U105)</f>
        <v>4170080</v>
      </c>
    </row>
    <row r="106" spans="1:26" ht="12.75" customHeight="1" x14ac:dyDescent="0.2">
      <c r="C106" s="1" t="s">
        <v>14</v>
      </c>
      <c r="D106" s="1" t="s">
        <v>53</v>
      </c>
      <c r="F106" s="1" t="s">
        <v>54</v>
      </c>
      <c r="G106" s="2"/>
      <c r="H106" s="67"/>
      <c r="J106" s="2"/>
      <c r="P106" s="2"/>
      <c r="Q106" s="6">
        <f t="shared" si="18"/>
        <v>3445418</v>
      </c>
      <c r="R106" s="6">
        <f t="shared" si="18"/>
        <v>989265</v>
      </c>
      <c r="S106" s="6">
        <f t="shared" si="18"/>
        <v>1542442</v>
      </c>
      <c r="T106" s="6">
        <f t="shared" si="18"/>
        <v>1506241</v>
      </c>
      <c r="U106" s="6">
        <f t="shared" si="18"/>
        <v>1339018</v>
      </c>
      <c r="V106" s="71">
        <f t="shared" si="19"/>
        <v>8822384</v>
      </c>
    </row>
    <row r="107" spans="1:26" ht="12.75" customHeight="1" x14ac:dyDescent="0.2">
      <c r="C107" s="1" t="s">
        <v>11</v>
      </c>
      <c r="D107" s="1" t="s">
        <v>53</v>
      </c>
      <c r="F107" s="1" t="s">
        <v>50</v>
      </c>
      <c r="G107" s="2"/>
      <c r="H107" s="67"/>
      <c r="J107" s="2"/>
      <c r="P107" s="2"/>
      <c r="Q107" s="6">
        <f t="shared" si="18"/>
        <v>41546.561553133237</v>
      </c>
      <c r="R107" s="6">
        <f t="shared" si="18"/>
        <v>960656.61230842466</v>
      </c>
      <c r="S107" s="6">
        <f t="shared" si="18"/>
        <v>0</v>
      </c>
      <c r="T107" s="6">
        <f t="shared" si="18"/>
        <v>500000</v>
      </c>
      <c r="U107" s="6">
        <f t="shared" si="18"/>
        <v>0</v>
      </c>
      <c r="V107" s="71">
        <f t="shared" si="19"/>
        <v>1502203.1738615579</v>
      </c>
    </row>
    <row r="108" spans="1:26" ht="12.75" customHeight="1" x14ac:dyDescent="0.2">
      <c r="C108" s="1" t="s">
        <v>13</v>
      </c>
      <c r="D108" s="1" t="s">
        <v>53</v>
      </c>
      <c r="F108" s="1" t="s">
        <v>50</v>
      </c>
      <c r="G108" s="2"/>
      <c r="H108" s="67"/>
      <c r="J108" s="2"/>
      <c r="P108" s="2"/>
      <c r="Q108" s="6">
        <f t="shared" si="18"/>
        <v>0</v>
      </c>
      <c r="R108" s="6">
        <f t="shared" si="18"/>
        <v>0</v>
      </c>
      <c r="S108" s="6">
        <f t="shared" si="18"/>
        <v>0</v>
      </c>
      <c r="T108" s="6">
        <f t="shared" si="18"/>
        <v>0</v>
      </c>
      <c r="U108" s="6">
        <f t="shared" si="18"/>
        <v>0</v>
      </c>
      <c r="V108" s="71">
        <f t="shared" si="19"/>
        <v>0</v>
      </c>
    </row>
    <row r="109" spans="1:26" ht="12.75" customHeight="1" x14ac:dyDescent="0.2">
      <c r="C109" s="1" t="s">
        <v>14</v>
      </c>
      <c r="D109" s="1" t="s">
        <v>53</v>
      </c>
      <c r="F109" s="1" t="s">
        <v>50</v>
      </c>
      <c r="G109" s="2"/>
      <c r="H109" s="67"/>
      <c r="J109" s="2"/>
      <c r="P109" s="2"/>
      <c r="Q109" s="6">
        <f t="shared" si="18"/>
        <v>0</v>
      </c>
      <c r="R109" s="6">
        <f t="shared" si="18"/>
        <v>0</v>
      </c>
      <c r="S109" s="6">
        <f t="shared" si="18"/>
        <v>0</v>
      </c>
      <c r="T109" s="6">
        <f t="shared" si="18"/>
        <v>0</v>
      </c>
      <c r="U109" s="6">
        <f t="shared" si="18"/>
        <v>0</v>
      </c>
      <c r="V109" s="71">
        <f t="shared" si="19"/>
        <v>0</v>
      </c>
    </row>
    <row r="110" spans="1:26" ht="12.75" customHeight="1" x14ac:dyDescent="0.2">
      <c r="C110" s="21" t="s">
        <v>15</v>
      </c>
      <c r="D110" s="21" t="s">
        <v>53</v>
      </c>
      <c r="E110" s="101"/>
      <c r="F110" s="102"/>
      <c r="G110" s="2"/>
      <c r="H110" s="102"/>
      <c r="I110" s="104"/>
      <c r="J110" s="103"/>
      <c r="K110" s="101"/>
      <c r="L110" s="101"/>
      <c r="M110" s="101"/>
      <c r="N110" s="101"/>
      <c r="O110" s="101"/>
      <c r="P110" s="2"/>
      <c r="Q110" s="22">
        <f>SUM(Q104:Q109)</f>
        <v>10278768.949387774</v>
      </c>
      <c r="R110" s="22">
        <f t="shared" ref="R110:U110" si="20">SUM(R104:R109)</f>
        <v>5368055.9408911942</v>
      </c>
      <c r="S110" s="22">
        <f t="shared" si="20"/>
        <v>5889126.7070484608</v>
      </c>
      <c r="T110" s="22">
        <f t="shared" si="20"/>
        <v>4940186.6275201291</v>
      </c>
      <c r="U110" s="22">
        <f t="shared" si="20"/>
        <v>3890953.3949702643</v>
      </c>
      <c r="V110" s="22">
        <f>SUM(V104:V109)</f>
        <v>30367091.619817823</v>
      </c>
    </row>
    <row r="111" spans="1:26" ht="12.75" customHeight="1" x14ac:dyDescent="0.2">
      <c r="C111" s="1" t="s">
        <v>11</v>
      </c>
      <c r="D111" s="1" t="s">
        <v>49</v>
      </c>
      <c r="F111" s="1" t="s">
        <v>54</v>
      </c>
      <c r="G111" s="2"/>
      <c r="H111" s="67"/>
      <c r="J111" s="2"/>
      <c r="P111" s="2"/>
      <c r="Q111" s="6">
        <f t="shared" ref="Q111:U116" si="21">SUMIFS(Q$10:Q$100,$E$10:$E$100,$C111,$D$10:$D$100,$D111,$F$10:$F$100,$F111)</f>
        <v>0</v>
      </c>
      <c r="R111" s="6">
        <f t="shared" si="21"/>
        <v>0</v>
      </c>
      <c r="S111" s="6">
        <f t="shared" si="21"/>
        <v>0</v>
      </c>
      <c r="T111" s="6">
        <f t="shared" si="21"/>
        <v>0</v>
      </c>
      <c r="U111" s="6">
        <f t="shared" si="21"/>
        <v>0</v>
      </c>
      <c r="V111" s="71">
        <f t="shared" si="19"/>
        <v>0</v>
      </c>
    </row>
    <row r="112" spans="1:26" ht="12.75" customHeight="1" x14ac:dyDescent="0.2">
      <c r="C112" s="1" t="s">
        <v>13</v>
      </c>
      <c r="D112" s="1" t="s">
        <v>49</v>
      </c>
      <c r="F112" s="1" t="s">
        <v>54</v>
      </c>
      <c r="G112" s="2"/>
      <c r="H112" s="67"/>
      <c r="J112" s="2"/>
      <c r="P112" s="2"/>
      <c r="Q112" s="6">
        <f t="shared" si="21"/>
        <v>0</v>
      </c>
      <c r="R112" s="6">
        <f t="shared" si="21"/>
        <v>0</v>
      </c>
      <c r="S112" s="6">
        <f t="shared" si="21"/>
        <v>0</v>
      </c>
      <c r="T112" s="6">
        <f t="shared" si="21"/>
        <v>0</v>
      </c>
      <c r="U112" s="6">
        <f t="shared" si="21"/>
        <v>0</v>
      </c>
      <c r="V112" s="71">
        <f t="shared" si="19"/>
        <v>0</v>
      </c>
    </row>
    <row r="113" spans="3:23" ht="12.75" customHeight="1" x14ac:dyDescent="0.2">
      <c r="C113" s="1" t="s">
        <v>14</v>
      </c>
      <c r="D113" s="1" t="s">
        <v>49</v>
      </c>
      <c r="F113" s="1" t="s">
        <v>54</v>
      </c>
      <c r="G113" s="2"/>
      <c r="H113" s="67"/>
      <c r="J113" s="2"/>
      <c r="P113" s="2"/>
      <c r="Q113" s="6">
        <f t="shared" si="21"/>
        <v>0</v>
      </c>
      <c r="R113" s="6">
        <f t="shared" si="21"/>
        <v>0</v>
      </c>
      <c r="S113" s="6">
        <f t="shared" si="21"/>
        <v>0</v>
      </c>
      <c r="T113" s="6">
        <f t="shared" si="21"/>
        <v>0</v>
      </c>
      <c r="U113" s="6">
        <f t="shared" si="21"/>
        <v>0</v>
      </c>
      <c r="V113" s="71">
        <f t="shared" si="19"/>
        <v>0</v>
      </c>
    </row>
    <row r="114" spans="3:23" ht="12.75" customHeight="1" x14ac:dyDescent="0.2">
      <c r="C114" s="1" t="s">
        <v>11</v>
      </c>
      <c r="D114" s="1" t="s">
        <v>49</v>
      </c>
      <c r="F114" s="1" t="s">
        <v>50</v>
      </c>
      <c r="G114" s="2"/>
      <c r="H114" s="67"/>
      <c r="J114" s="2"/>
      <c r="P114" s="2"/>
      <c r="Q114" s="6">
        <f t="shared" si="21"/>
        <v>0</v>
      </c>
      <c r="R114" s="6">
        <f t="shared" si="21"/>
        <v>0</v>
      </c>
      <c r="S114" s="6">
        <f t="shared" si="21"/>
        <v>0</v>
      </c>
      <c r="T114" s="6">
        <f t="shared" si="21"/>
        <v>0</v>
      </c>
      <c r="U114" s="6">
        <f t="shared" si="21"/>
        <v>0</v>
      </c>
      <c r="V114" s="71">
        <f t="shared" si="19"/>
        <v>0</v>
      </c>
    </row>
    <row r="115" spans="3:23" ht="12.75" customHeight="1" x14ac:dyDescent="0.2">
      <c r="C115" s="1" t="s">
        <v>13</v>
      </c>
      <c r="D115" s="1" t="s">
        <v>49</v>
      </c>
      <c r="F115" s="1" t="s">
        <v>50</v>
      </c>
      <c r="G115" s="2"/>
      <c r="H115" s="67"/>
      <c r="J115" s="2"/>
      <c r="P115" s="2"/>
      <c r="Q115" s="6">
        <f t="shared" si="21"/>
        <v>0</v>
      </c>
      <c r="R115" s="6">
        <f t="shared" si="21"/>
        <v>0</v>
      </c>
      <c r="S115" s="6">
        <f t="shared" si="21"/>
        <v>0</v>
      </c>
      <c r="T115" s="6">
        <f t="shared" si="21"/>
        <v>0</v>
      </c>
      <c r="U115" s="6">
        <f t="shared" si="21"/>
        <v>0</v>
      </c>
      <c r="V115" s="71">
        <f t="shared" si="19"/>
        <v>0</v>
      </c>
    </row>
    <row r="116" spans="3:23" ht="12.75" customHeight="1" x14ac:dyDescent="0.2">
      <c r="C116" s="1" t="s">
        <v>14</v>
      </c>
      <c r="D116" s="1" t="s">
        <v>49</v>
      </c>
      <c r="F116" s="1" t="s">
        <v>50</v>
      </c>
      <c r="G116" s="2"/>
      <c r="H116" s="67"/>
      <c r="J116" s="2"/>
      <c r="P116" s="2"/>
      <c r="Q116" s="6">
        <f t="shared" si="21"/>
        <v>0</v>
      </c>
      <c r="R116" s="6">
        <f t="shared" si="21"/>
        <v>0</v>
      </c>
      <c r="S116" s="6">
        <f t="shared" si="21"/>
        <v>0</v>
      </c>
      <c r="T116" s="6">
        <f t="shared" si="21"/>
        <v>0</v>
      </c>
      <c r="U116" s="6">
        <f t="shared" si="21"/>
        <v>0</v>
      </c>
      <c r="V116" s="71">
        <f t="shared" si="19"/>
        <v>0</v>
      </c>
    </row>
    <row r="117" spans="3:23" ht="12.75" customHeight="1" x14ac:dyDescent="0.2">
      <c r="C117" s="21" t="s">
        <v>17</v>
      </c>
      <c r="D117" s="21" t="s">
        <v>49</v>
      </c>
      <c r="E117" s="101"/>
      <c r="F117" s="102"/>
      <c r="G117" s="2"/>
      <c r="H117" s="102"/>
      <c r="I117" s="104"/>
      <c r="J117" s="103"/>
      <c r="K117" s="101"/>
      <c r="L117" s="101"/>
      <c r="M117" s="101"/>
      <c r="N117" s="101"/>
      <c r="O117" s="101"/>
      <c r="P117" s="2"/>
      <c r="Q117" s="22">
        <f>SUM(Q111:Q116)</f>
        <v>0</v>
      </c>
      <c r="R117" s="22">
        <f t="shared" ref="R117:U117" si="22">SUM(R111:R116)</f>
        <v>0</v>
      </c>
      <c r="S117" s="22">
        <f t="shared" si="22"/>
        <v>0</v>
      </c>
      <c r="T117" s="22">
        <f t="shared" si="22"/>
        <v>0</v>
      </c>
      <c r="U117" s="22">
        <f t="shared" si="22"/>
        <v>0</v>
      </c>
      <c r="V117" s="22">
        <f>SUM(V111:V116)</f>
        <v>0</v>
      </c>
    </row>
    <row r="118" spans="3:23" ht="12.75" customHeight="1" x14ac:dyDescent="0.2">
      <c r="F118" s="67"/>
      <c r="G118" s="2"/>
      <c r="H118" s="67"/>
      <c r="J118" s="2"/>
      <c r="P118" s="2"/>
      <c r="Q118" s="6"/>
      <c r="R118" s="6"/>
      <c r="S118" s="6"/>
      <c r="T118" s="6"/>
      <c r="U118" s="6"/>
      <c r="V118" s="71"/>
    </row>
    <row r="119" spans="3:23" ht="12.75" customHeight="1" x14ac:dyDescent="0.2">
      <c r="C119" s="7" t="str">
        <f>"Total Expenditure ($ "&amp;Assumptions!$B$12&amp;")"</f>
        <v>Total Expenditure ($ June 2024)</v>
      </c>
      <c r="D119" s="7"/>
      <c r="E119" s="7"/>
      <c r="F119" s="7"/>
      <c r="G119" s="2"/>
      <c r="H119" s="7"/>
      <c r="I119" s="10"/>
      <c r="J119" s="2"/>
      <c r="K119" s="7"/>
      <c r="L119" s="7"/>
      <c r="M119" s="7"/>
      <c r="N119" s="7"/>
      <c r="O119" s="7"/>
      <c r="P119" s="2"/>
      <c r="Q119" s="8">
        <f>Q110+Q117</f>
        <v>10278768.949387774</v>
      </c>
      <c r="R119" s="8">
        <f t="shared" ref="R119:U119" si="23">R110+R117</f>
        <v>5368055.9408911942</v>
      </c>
      <c r="S119" s="8">
        <f t="shared" si="23"/>
        <v>5889126.7070484608</v>
      </c>
      <c r="T119" s="8">
        <f t="shared" si="23"/>
        <v>4940186.6275201291</v>
      </c>
      <c r="U119" s="8">
        <f t="shared" si="23"/>
        <v>3890953.3949702643</v>
      </c>
      <c r="V119" s="72">
        <f t="shared" si="19"/>
        <v>30367091.619817823</v>
      </c>
    </row>
    <row r="120" spans="3:23" ht="12.75" customHeight="1" x14ac:dyDescent="0.2">
      <c r="C120" s="44" t="s">
        <v>74</v>
      </c>
      <c r="D120" s="44"/>
      <c r="E120" s="44"/>
      <c r="F120" s="44"/>
      <c r="G120" s="2"/>
      <c r="H120" s="44"/>
      <c r="I120" s="44"/>
      <c r="J120" s="2"/>
      <c r="K120" s="44"/>
      <c r="L120" s="44"/>
      <c r="M120" s="44"/>
      <c r="N120" s="44"/>
      <c r="O120" s="44"/>
      <c r="P120" s="2"/>
      <c r="Q120" s="45">
        <f>Q119-SUM(Q$10:Q$100)</f>
        <v>0</v>
      </c>
      <c r="R120" s="45">
        <f t="shared" ref="R120:U120" si="24">R119-SUM(R$10:R$100)</f>
        <v>0</v>
      </c>
      <c r="S120" s="45">
        <f t="shared" si="24"/>
        <v>0</v>
      </c>
      <c r="T120" s="45">
        <f t="shared" si="24"/>
        <v>0</v>
      </c>
      <c r="U120" s="45">
        <f t="shared" si="24"/>
        <v>0</v>
      </c>
      <c r="V120" s="45">
        <f>V119-SUM(Q$10:U$100)</f>
        <v>0</v>
      </c>
      <c r="W120" s="45">
        <f>SUM(Q120:V120)</f>
        <v>0</v>
      </c>
    </row>
    <row r="121" spans="3:23" ht="12.75" customHeight="1" x14ac:dyDescent="0.2">
      <c r="G121" s="2"/>
      <c r="J121" s="2"/>
      <c r="P121" s="2"/>
    </row>
    <row r="122" spans="3:23" ht="12.75" customHeight="1" x14ac:dyDescent="0.2">
      <c r="C122" s="54" t="str">
        <f>"NPV ($ "&amp;Assumptions!$B$12&amp;")"</f>
        <v>NPV ($ June 2024)</v>
      </c>
      <c r="D122" s="55">
        <f>NPV(Real_Discount_rate,Q119:U119)</f>
        <v>27835135.858036421</v>
      </c>
      <c r="G122" s="2"/>
      <c r="J122" s="2"/>
      <c r="P122" s="2"/>
    </row>
    <row r="123" spans="3:23" ht="12.75" customHeight="1" x14ac:dyDescent="0.2">
      <c r="G123" s="2"/>
      <c r="J123" s="2"/>
      <c r="P123" s="2"/>
    </row>
    <row r="124" spans="3:23" ht="12.75" customHeight="1" x14ac:dyDescent="0.2">
      <c r="G124" s="2"/>
      <c r="J124" s="2"/>
      <c r="P124" s="2"/>
    </row>
    <row r="125" spans="3:23" ht="12.75" customHeight="1" x14ac:dyDescent="0.2">
      <c r="C125" s="4" t="s">
        <v>73</v>
      </c>
      <c r="F125" s="3"/>
      <c r="G125" s="2"/>
      <c r="J125" s="2"/>
      <c r="P125" s="2"/>
      <c r="Q125" s="68" t="s">
        <v>6</v>
      </c>
      <c r="R125" s="68" t="s">
        <v>7</v>
      </c>
      <c r="S125" s="68" t="s">
        <v>8</v>
      </c>
      <c r="T125" s="68" t="s">
        <v>9</v>
      </c>
      <c r="U125" s="68" t="s">
        <v>10</v>
      </c>
      <c r="V125" s="112" t="s">
        <v>0</v>
      </c>
    </row>
    <row r="126" spans="3:23" ht="12.75" customHeight="1" x14ac:dyDescent="0.2">
      <c r="C126" s="24"/>
      <c r="D126" s="24" t="s">
        <v>53</v>
      </c>
      <c r="E126" s="24"/>
      <c r="F126" s="24" t="s">
        <v>54</v>
      </c>
      <c r="G126" s="2"/>
      <c r="H126" s="65"/>
      <c r="I126" s="66"/>
      <c r="J126" s="2"/>
      <c r="K126" s="24"/>
      <c r="L126" s="24"/>
      <c r="M126" s="24"/>
      <c r="N126" s="24"/>
      <c r="O126" s="24"/>
      <c r="P126" s="2"/>
      <c r="Q126" s="25">
        <f t="shared" ref="Q126:U127" si="25">SUMIFS(Q$10:Q$100,$D$10:$D$100,$D126,$F$10:$F$100,$F126)</f>
        <v>10237222.38783464</v>
      </c>
      <c r="R126" s="25">
        <f t="shared" si="25"/>
        <v>4407399.3285827702</v>
      </c>
      <c r="S126" s="25">
        <f t="shared" si="25"/>
        <v>5889126.7070484608</v>
      </c>
      <c r="T126" s="25">
        <f t="shared" si="25"/>
        <v>4440186.6275201291</v>
      </c>
      <c r="U126" s="25">
        <f t="shared" si="25"/>
        <v>3890953.3949702648</v>
      </c>
      <c r="V126" s="71">
        <f t="shared" ref="V126:V127" si="26">SUM(Q126:U126)</f>
        <v>28864888.445956264</v>
      </c>
    </row>
    <row r="127" spans="3:23" ht="12.75" customHeight="1" x14ac:dyDescent="0.2">
      <c r="D127" s="1" t="s">
        <v>49</v>
      </c>
      <c r="F127" s="1" t="s">
        <v>54</v>
      </c>
      <c r="G127" s="2"/>
      <c r="J127" s="2"/>
      <c r="P127" s="2"/>
      <c r="Q127" s="111">
        <f t="shared" si="25"/>
        <v>0</v>
      </c>
      <c r="R127" s="111">
        <f t="shared" si="25"/>
        <v>0</v>
      </c>
      <c r="S127" s="111">
        <f t="shared" si="25"/>
        <v>0</v>
      </c>
      <c r="T127" s="111">
        <f t="shared" si="25"/>
        <v>0</v>
      </c>
      <c r="U127" s="111">
        <f t="shared" si="25"/>
        <v>0</v>
      </c>
      <c r="V127" s="71">
        <f t="shared" si="26"/>
        <v>0</v>
      </c>
    </row>
    <row r="128" spans="3:23" ht="12.75" customHeight="1" x14ac:dyDescent="0.2">
      <c r="C128" s="21" t="s">
        <v>75</v>
      </c>
      <c r="D128" s="21"/>
      <c r="E128" s="101"/>
      <c r="F128" s="102"/>
      <c r="G128" s="2"/>
      <c r="H128" s="102"/>
      <c r="I128" s="104"/>
      <c r="J128" s="103"/>
      <c r="K128" s="101"/>
      <c r="L128" s="101"/>
      <c r="M128" s="101"/>
      <c r="N128" s="101"/>
      <c r="O128" s="101"/>
      <c r="P128" s="2"/>
      <c r="Q128" s="22">
        <f>SUM(Q126:Q127)</f>
        <v>10237222.38783464</v>
      </c>
      <c r="R128" s="22">
        <f t="shared" ref="R128:V128" si="27">SUM(R126:R127)</f>
        <v>4407399.3285827702</v>
      </c>
      <c r="S128" s="22">
        <f t="shared" si="27"/>
        <v>5889126.7070484608</v>
      </c>
      <c r="T128" s="22">
        <f t="shared" si="27"/>
        <v>4440186.6275201291</v>
      </c>
      <c r="U128" s="22">
        <f t="shared" si="27"/>
        <v>3890953.3949702648</v>
      </c>
      <c r="V128" s="22">
        <f t="shared" si="27"/>
        <v>28864888.445956264</v>
      </c>
    </row>
    <row r="129" spans="3:23" ht="12.75" customHeight="1" x14ac:dyDescent="0.2">
      <c r="C129" s="4"/>
      <c r="D129" s="1" t="s">
        <v>53</v>
      </c>
      <c r="F129" s="1" t="s">
        <v>50</v>
      </c>
      <c r="G129" s="2"/>
      <c r="H129" s="67"/>
      <c r="J129" s="2"/>
      <c r="P129" s="2"/>
      <c r="Q129" s="6">
        <f t="shared" ref="Q129:U130" si="28">SUMIFS(Q$10:Q$100,$D$10:$D$100,$D129,$F$10:$F$100,$F129)</f>
        <v>41546.561553133237</v>
      </c>
      <c r="R129" s="6">
        <f t="shared" si="28"/>
        <v>960656.61230842466</v>
      </c>
      <c r="S129" s="6">
        <f t="shared" si="28"/>
        <v>0</v>
      </c>
      <c r="T129" s="6">
        <f t="shared" si="28"/>
        <v>500000</v>
      </c>
      <c r="U129" s="6">
        <f t="shared" si="28"/>
        <v>0</v>
      </c>
      <c r="V129" s="71">
        <f t="shared" ref="V129:V130" si="29">SUM(Q129:U129)</f>
        <v>1502203.1738615579</v>
      </c>
    </row>
    <row r="130" spans="3:23" ht="12.75" customHeight="1" x14ac:dyDescent="0.2">
      <c r="C130" s="4"/>
      <c r="D130" s="1" t="s">
        <v>49</v>
      </c>
      <c r="F130" s="1" t="s">
        <v>50</v>
      </c>
      <c r="G130" s="2"/>
      <c r="H130" s="67"/>
      <c r="J130" s="2"/>
      <c r="P130" s="2"/>
      <c r="Q130" s="6">
        <f t="shared" si="28"/>
        <v>0</v>
      </c>
      <c r="R130" s="6">
        <f t="shared" si="28"/>
        <v>0</v>
      </c>
      <c r="S130" s="6">
        <f t="shared" si="28"/>
        <v>0</v>
      </c>
      <c r="T130" s="6">
        <f t="shared" si="28"/>
        <v>0</v>
      </c>
      <c r="U130" s="6">
        <f t="shared" si="28"/>
        <v>0</v>
      </c>
      <c r="V130" s="71">
        <f t="shared" si="29"/>
        <v>0</v>
      </c>
    </row>
    <row r="131" spans="3:23" ht="12.75" customHeight="1" x14ac:dyDescent="0.2">
      <c r="C131" s="21" t="s">
        <v>76</v>
      </c>
      <c r="D131" s="21"/>
      <c r="E131" s="101"/>
      <c r="F131" s="102"/>
      <c r="G131" s="2"/>
      <c r="H131" s="102"/>
      <c r="I131" s="104"/>
      <c r="J131" s="103"/>
      <c r="K131" s="101"/>
      <c r="L131" s="101"/>
      <c r="M131" s="101"/>
      <c r="N131" s="101"/>
      <c r="O131" s="101"/>
      <c r="P131" s="2"/>
      <c r="Q131" s="22">
        <f>SUM(Q129:Q130)</f>
        <v>41546.561553133237</v>
      </c>
      <c r="R131" s="22">
        <f t="shared" ref="R131:V131" si="30">SUM(R129:R130)</f>
        <v>960656.61230842466</v>
      </c>
      <c r="S131" s="22">
        <f t="shared" si="30"/>
        <v>0</v>
      </c>
      <c r="T131" s="22">
        <f t="shared" si="30"/>
        <v>500000</v>
      </c>
      <c r="U131" s="22">
        <f t="shared" si="30"/>
        <v>0</v>
      </c>
      <c r="V131" s="22">
        <f t="shared" si="30"/>
        <v>1502203.1738615579</v>
      </c>
    </row>
    <row r="132" spans="3:23" ht="12.75" customHeight="1" x14ac:dyDescent="0.2">
      <c r="C132" s="4"/>
      <c r="D132" s="4"/>
      <c r="F132" s="67"/>
      <c r="G132" s="2"/>
      <c r="H132" s="67"/>
      <c r="J132" s="2"/>
      <c r="P132" s="2"/>
      <c r="Q132" s="23"/>
      <c r="R132" s="23"/>
      <c r="S132" s="23"/>
      <c r="T132" s="23"/>
      <c r="U132" s="23"/>
      <c r="V132" s="23"/>
    </row>
    <row r="133" spans="3:23" ht="12.75" customHeight="1" x14ac:dyDescent="0.2">
      <c r="C133" s="7" t="str">
        <f>"Total Expenditure ($ "&amp;Assumptions!$B$12&amp;")"</f>
        <v>Total Expenditure ($ June 2024)</v>
      </c>
      <c r="D133" s="7"/>
      <c r="E133" s="7"/>
      <c r="F133" s="7"/>
      <c r="G133" s="2"/>
      <c r="H133" s="7"/>
      <c r="I133" s="10"/>
      <c r="J133" s="2"/>
      <c r="K133" s="7"/>
      <c r="L133" s="7"/>
      <c r="M133" s="7"/>
      <c r="N133" s="7"/>
      <c r="O133" s="7"/>
      <c r="P133" s="2"/>
      <c r="Q133" s="8">
        <f>Q128+Q131</f>
        <v>10278768.949387774</v>
      </c>
      <c r="R133" s="8">
        <f t="shared" ref="R133:U133" si="31">R128+R131</f>
        <v>5368055.9408911951</v>
      </c>
      <c r="S133" s="8">
        <f t="shared" si="31"/>
        <v>5889126.7070484608</v>
      </c>
      <c r="T133" s="8">
        <f t="shared" si="31"/>
        <v>4940186.6275201291</v>
      </c>
      <c r="U133" s="8">
        <f t="shared" si="31"/>
        <v>3890953.3949702648</v>
      </c>
      <c r="V133" s="72">
        <f t="shared" ref="V133" si="32">SUM(Q133:U133)</f>
        <v>30367091.619817823</v>
      </c>
    </row>
    <row r="134" spans="3:23" ht="12.75" customHeight="1" x14ac:dyDescent="0.2">
      <c r="C134" s="44" t="s">
        <v>74</v>
      </c>
      <c r="D134" s="44"/>
      <c r="E134" s="44"/>
      <c r="F134" s="44"/>
      <c r="G134" s="2"/>
      <c r="H134" s="44"/>
      <c r="I134" s="44"/>
      <c r="J134" s="2"/>
      <c r="K134" s="44"/>
      <c r="L134" s="44"/>
      <c r="M134" s="44"/>
      <c r="N134" s="44"/>
      <c r="O134" s="44"/>
      <c r="P134" s="2"/>
      <c r="Q134" s="45">
        <f>Q133-SUM(Q$10:Q$100)</f>
        <v>0</v>
      </c>
      <c r="R134" s="45">
        <f t="shared" ref="R134:U134" si="33">R133-SUM(R$10:R$100)</f>
        <v>0</v>
      </c>
      <c r="S134" s="45">
        <f t="shared" si="33"/>
        <v>0</v>
      </c>
      <c r="T134" s="45">
        <f t="shared" si="33"/>
        <v>0</v>
      </c>
      <c r="U134" s="45">
        <f t="shared" si="33"/>
        <v>0</v>
      </c>
      <c r="V134" s="45">
        <f>V133-SUM(Q$10:U$100)</f>
        <v>0</v>
      </c>
      <c r="W134" s="45">
        <f>SUM(Q134:V134)</f>
        <v>0</v>
      </c>
    </row>
    <row r="135" spans="3:23" ht="12.75" customHeight="1" x14ac:dyDescent="0.2">
      <c r="C135" s="114"/>
      <c r="D135" s="114"/>
      <c r="E135" s="114"/>
      <c r="F135" s="114"/>
      <c r="G135" s="2"/>
      <c r="H135" s="114"/>
      <c r="I135" s="114"/>
      <c r="J135" s="2"/>
      <c r="K135" s="114"/>
      <c r="L135" s="114"/>
      <c r="M135" s="114"/>
      <c r="N135" s="114"/>
      <c r="O135" s="114"/>
      <c r="P135" s="2"/>
      <c r="Q135" s="115"/>
      <c r="R135" s="115"/>
      <c r="S135" s="115"/>
      <c r="T135" s="115"/>
      <c r="U135" s="115"/>
      <c r="V135" s="115"/>
      <c r="W135" s="115"/>
    </row>
    <row r="136" spans="3:23" ht="12.75" customHeight="1" x14ac:dyDescent="0.2">
      <c r="C136" s="114"/>
      <c r="D136" s="114"/>
      <c r="E136" s="114"/>
      <c r="F136" s="114"/>
      <c r="G136" s="2"/>
      <c r="H136" s="114"/>
      <c r="I136" s="114"/>
      <c r="J136" s="2"/>
      <c r="K136" s="114"/>
      <c r="L136" s="114"/>
      <c r="M136" s="114"/>
      <c r="N136" s="114"/>
      <c r="O136" s="114"/>
      <c r="P136" s="2"/>
      <c r="Q136" s="115"/>
      <c r="R136" s="115"/>
      <c r="S136" s="115"/>
      <c r="T136" s="115"/>
      <c r="U136" s="115"/>
      <c r="V136" s="115"/>
      <c r="W136" s="115"/>
    </row>
    <row r="137" spans="3:23" ht="12.75" customHeight="1" x14ac:dyDescent="0.2">
      <c r="C137" s="114"/>
      <c r="D137" s="114"/>
      <c r="E137" s="114"/>
      <c r="F137" s="114"/>
      <c r="G137" s="2"/>
      <c r="H137" s="114"/>
      <c r="I137" s="114"/>
      <c r="J137" s="2"/>
      <c r="K137" s="114"/>
      <c r="L137" s="114"/>
      <c r="M137" s="114"/>
      <c r="N137" s="114"/>
      <c r="O137" s="114"/>
      <c r="P137" s="2"/>
      <c r="Q137" s="115"/>
      <c r="R137" s="115"/>
      <c r="S137" s="115"/>
      <c r="T137" s="115"/>
      <c r="U137" s="115"/>
      <c r="V137" s="115"/>
      <c r="W137" s="115"/>
    </row>
    <row r="138" spans="3:23" ht="12.75" customHeight="1" x14ac:dyDescent="0.2">
      <c r="C138" s="75" t="s">
        <v>77</v>
      </c>
      <c r="G138" s="2"/>
      <c r="J138" s="2"/>
      <c r="P138" s="2"/>
      <c r="Q138" s="68" t="s">
        <v>6</v>
      </c>
      <c r="R138" s="68" t="s">
        <v>7</v>
      </c>
      <c r="S138" s="68" t="s">
        <v>8</v>
      </c>
      <c r="T138" s="68" t="s">
        <v>9</v>
      </c>
      <c r="U138" s="68" t="s">
        <v>10</v>
      </c>
      <c r="V138" s="68" t="s">
        <v>0</v>
      </c>
    </row>
    <row r="139" spans="3:23" ht="12.75" customHeight="1" x14ac:dyDescent="0.2">
      <c r="C139" s="24" t="s">
        <v>11</v>
      </c>
      <c r="D139" s="24" t="s">
        <v>53</v>
      </c>
      <c r="E139" s="24"/>
      <c r="F139" s="24" t="s">
        <v>54</v>
      </c>
      <c r="G139" s="2"/>
      <c r="H139" s="65"/>
      <c r="I139" s="66"/>
      <c r="J139" s="2"/>
      <c r="K139" s="24"/>
      <c r="L139" s="24"/>
      <c r="M139" s="24"/>
      <c r="N139" s="24"/>
      <c r="O139" s="24"/>
      <c r="P139" s="2"/>
      <c r="Q139" s="34">
        <f t="shared" ref="Q139:U144" si="34">Q104*business_case_dollars</f>
        <v>4752720.5980516654</v>
      </c>
      <c r="R139" s="34">
        <f t="shared" si="34"/>
        <v>2609662.5527903186</v>
      </c>
      <c r="S139" s="34">
        <f t="shared" si="34"/>
        <v>4634128.9817066118</v>
      </c>
      <c r="T139" s="34">
        <f t="shared" si="34"/>
        <v>2996835.1789560029</v>
      </c>
      <c r="U139" s="34">
        <f t="shared" si="34"/>
        <v>2671274.5836920701</v>
      </c>
      <c r="V139" s="70">
        <f>SUM(Q139:U139)</f>
        <v>17664621.895196669</v>
      </c>
    </row>
    <row r="140" spans="3:23" ht="12.75" customHeight="1" x14ac:dyDescent="0.2">
      <c r="C140" s="1" t="s">
        <v>13</v>
      </c>
      <c r="D140" s="1" t="s">
        <v>53</v>
      </c>
      <c r="F140" s="1" t="s">
        <v>54</v>
      </c>
      <c r="G140" s="2"/>
      <c r="H140" s="67"/>
      <c r="J140" s="2"/>
      <c r="P140" s="2"/>
      <c r="Q140" s="6">
        <f t="shared" si="34"/>
        <v>2805964.3971572365</v>
      </c>
      <c r="R140" s="6">
        <f t="shared" si="34"/>
        <v>1194422.3686401481</v>
      </c>
      <c r="S140" s="6">
        <f t="shared" si="34"/>
        <v>203351.39875324053</v>
      </c>
      <c r="T140" s="6">
        <f t="shared" si="34"/>
        <v>268390.01380982646</v>
      </c>
      <c r="U140" s="6">
        <f t="shared" si="34"/>
        <v>168806.59020846937</v>
      </c>
      <c r="V140" s="71">
        <f t="shared" ref="V140:V154" si="35">SUM(Q140:U140)</f>
        <v>4640934.76856892</v>
      </c>
    </row>
    <row r="141" spans="3:23" ht="12.75" customHeight="1" x14ac:dyDescent="0.2">
      <c r="C141" s="1" t="s">
        <v>14</v>
      </c>
      <c r="D141" s="1" t="s">
        <v>53</v>
      </c>
      <c r="F141" s="1" t="s">
        <v>54</v>
      </c>
      <c r="G141" s="2"/>
      <c r="H141" s="67"/>
      <c r="J141" s="2"/>
      <c r="P141" s="2"/>
      <c r="Q141" s="6">
        <f t="shared" si="34"/>
        <v>3834449.2643913776</v>
      </c>
      <c r="R141" s="6">
        <f t="shared" si="34"/>
        <v>1100965.5291573144</v>
      </c>
      <c r="S141" s="6">
        <f t="shared" si="34"/>
        <v>1716603.208164108</v>
      </c>
      <c r="T141" s="6">
        <f t="shared" si="34"/>
        <v>1676314.657451181</v>
      </c>
      <c r="U141" s="6">
        <f t="shared" si="34"/>
        <v>1490210.0659794584</v>
      </c>
      <c r="V141" s="71">
        <f t="shared" si="35"/>
        <v>9818542.7251434401</v>
      </c>
    </row>
    <row r="142" spans="3:23" ht="12.75" customHeight="1" x14ac:dyDescent="0.2">
      <c r="C142" s="1" t="s">
        <v>11</v>
      </c>
      <c r="D142" s="1" t="s">
        <v>53</v>
      </c>
      <c r="F142" s="1" t="s">
        <v>50</v>
      </c>
      <c r="G142" s="2"/>
      <c r="H142" s="67"/>
      <c r="J142" s="2"/>
      <c r="P142" s="2"/>
      <c r="Q142" s="6">
        <f t="shared" si="34"/>
        <v>46237.693767607539</v>
      </c>
      <c r="R142" s="6">
        <f t="shared" si="34"/>
        <v>1069126.8927017713</v>
      </c>
      <c r="S142" s="6">
        <f t="shared" si="34"/>
        <v>0</v>
      </c>
      <c r="T142" s="6">
        <f t="shared" si="34"/>
        <v>556456.3232082983</v>
      </c>
      <c r="U142" s="6">
        <f t="shared" si="34"/>
        <v>0</v>
      </c>
      <c r="V142" s="6">
        <f t="shared" si="35"/>
        <v>1671820.9096776771</v>
      </c>
    </row>
    <row r="143" spans="3:23" ht="12.75" customHeight="1" x14ac:dyDescent="0.2">
      <c r="C143" s="1" t="s">
        <v>13</v>
      </c>
      <c r="D143" s="1" t="s">
        <v>53</v>
      </c>
      <c r="F143" s="1" t="s">
        <v>50</v>
      </c>
      <c r="G143" s="2"/>
      <c r="H143" s="67"/>
      <c r="J143" s="2"/>
      <c r="P143" s="2"/>
      <c r="Q143" s="6">
        <f t="shared" si="34"/>
        <v>0</v>
      </c>
      <c r="R143" s="6">
        <f t="shared" si="34"/>
        <v>0</v>
      </c>
      <c r="S143" s="6">
        <f t="shared" si="34"/>
        <v>0</v>
      </c>
      <c r="T143" s="6">
        <f t="shared" si="34"/>
        <v>0</v>
      </c>
      <c r="U143" s="6">
        <f t="shared" si="34"/>
        <v>0</v>
      </c>
      <c r="V143" s="6">
        <f t="shared" si="35"/>
        <v>0</v>
      </c>
    </row>
    <row r="144" spans="3:23" ht="12.75" customHeight="1" x14ac:dyDescent="0.2">
      <c r="C144" s="1" t="s">
        <v>14</v>
      </c>
      <c r="D144" s="1" t="s">
        <v>53</v>
      </c>
      <c r="F144" s="1" t="s">
        <v>50</v>
      </c>
      <c r="G144" s="2"/>
      <c r="H144" s="67"/>
      <c r="J144" s="2"/>
      <c r="P144" s="2"/>
      <c r="Q144" s="6">
        <f t="shared" si="34"/>
        <v>0</v>
      </c>
      <c r="R144" s="6">
        <f t="shared" si="34"/>
        <v>0</v>
      </c>
      <c r="S144" s="6">
        <f t="shared" si="34"/>
        <v>0</v>
      </c>
      <c r="T144" s="6">
        <f t="shared" si="34"/>
        <v>0</v>
      </c>
      <c r="U144" s="6">
        <f t="shared" si="34"/>
        <v>0</v>
      </c>
      <c r="V144" s="6">
        <f t="shared" si="35"/>
        <v>0</v>
      </c>
    </row>
    <row r="145" spans="3:23" ht="12.75" customHeight="1" x14ac:dyDescent="0.2">
      <c r="C145" s="21" t="s">
        <v>15</v>
      </c>
      <c r="D145" s="21" t="s">
        <v>53</v>
      </c>
      <c r="E145" s="101"/>
      <c r="F145" s="102"/>
      <c r="G145" s="103"/>
      <c r="H145" s="102"/>
      <c r="I145" s="104"/>
      <c r="J145" s="103"/>
      <c r="K145" s="101"/>
      <c r="L145" s="101"/>
      <c r="M145" s="101"/>
      <c r="N145" s="101"/>
      <c r="O145" s="101"/>
      <c r="P145" s="103"/>
      <c r="Q145" s="22">
        <f>SUM(Q139:Q144)</f>
        <v>11439371.953367887</v>
      </c>
      <c r="R145" s="22">
        <f t="shared" ref="R145:U145" si="36">SUM(R139:R144)</f>
        <v>5974177.3432895523</v>
      </c>
      <c r="S145" s="22">
        <f t="shared" si="36"/>
        <v>6554083.5886239605</v>
      </c>
      <c r="T145" s="22">
        <f t="shared" si="36"/>
        <v>5497996.1734253084</v>
      </c>
      <c r="U145" s="22">
        <f t="shared" si="36"/>
        <v>4330291.2398799974</v>
      </c>
      <c r="V145" s="22">
        <f>SUM(V139:V144)</f>
        <v>33795920.298586704</v>
      </c>
    </row>
    <row r="146" spans="3:23" ht="12.75" customHeight="1" x14ac:dyDescent="0.2">
      <c r="C146" s="1" t="s">
        <v>11</v>
      </c>
      <c r="D146" s="1" t="s">
        <v>49</v>
      </c>
      <c r="F146" s="1" t="s">
        <v>54</v>
      </c>
      <c r="G146" s="2"/>
      <c r="H146" s="67"/>
      <c r="J146" s="2"/>
      <c r="P146" s="2"/>
      <c r="Q146" s="116">
        <f t="shared" ref="Q146:U151" si="37">Q111*business_case_dollars</f>
        <v>0</v>
      </c>
      <c r="R146" s="116">
        <f t="shared" si="37"/>
        <v>0</v>
      </c>
      <c r="S146" s="116">
        <f t="shared" si="37"/>
        <v>0</v>
      </c>
      <c r="T146" s="116">
        <f t="shared" si="37"/>
        <v>0</v>
      </c>
      <c r="U146" s="116">
        <f t="shared" si="37"/>
        <v>0</v>
      </c>
      <c r="V146" s="71">
        <f>SUM(Q146:U146)</f>
        <v>0</v>
      </c>
    </row>
    <row r="147" spans="3:23" ht="12.75" customHeight="1" x14ac:dyDescent="0.2">
      <c r="C147" s="1" t="s">
        <v>13</v>
      </c>
      <c r="D147" s="1" t="s">
        <v>49</v>
      </c>
      <c r="F147" s="1" t="s">
        <v>54</v>
      </c>
      <c r="G147" s="2"/>
      <c r="H147" s="67"/>
      <c r="J147" s="2"/>
      <c r="P147" s="2"/>
      <c r="Q147" s="6">
        <f t="shared" si="37"/>
        <v>0</v>
      </c>
      <c r="R147" s="6">
        <f t="shared" si="37"/>
        <v>0</v>
      </c>
      <c r="S147" s="6">
        <f t="shared" si="37"/>
        <v>0</v>
      </c>
      <c r="T147" s="6">
        <f t="shared" si="37"/>
        <v>0</v>
      </c>
      <c r="U147" s="6">
        <f t="shared" si="37"/>
        <v>0</v>
      </c>
      <c r="V147" s="71">
        <f t="shared" ref="V147:V151" si="38">SUM(Q147:U147)</f>
        <v>0</v>
      </c>
    </row>
    <row r="148" spans="3:23" ht="12.75" customHeight="1" x14ac:dyDescent="0.2">
      <c r="C148" s="1" t="s">
        <v>14</v>
      </c>
      <c r="D148" s="1" t="s">
        <v>49</v>
      </c>
      <c r="F148" s="1" t="s">
        <v>54</v>
      </c>
      <c r="G148" s="2"/>
      <c r="H148" s="67"/>
      <c r="J148" s="2"/>
      <c r="P148" s="2"/>
      <c r="Q148" s="6">
        <f t="shared" si="37"/>
        <v>0</v>
      </c>
      <c r="R148" s="6">
        <f t="shared" si="37"/>
        <v>0</v>
      </c>
      <c r="S148" s="6">
        <f t="shared" si="37"/>
        <v>0</v>
      </c>
      <c r="T148" s="6">
        <f t="shared" si="37"/>
        <v>0</v>
      </c>
      <c r="U148" s="6">
        <f t="shared" si="37"/>
        <v>0</v>
      </c>
      <c r="V148" s="71">
        <f t="shared" si="38"/>
        <v>0</v>
      </c>
    </row>
    <row r="149" spans="3:23" ht="12.75" customHeight="1" x14ac:dyDescent="0.2">
      <c r="C149" s="1" t="s">
        <v>11</v>
      </c>
      <c r="D149" s="1" t="s">
        <v>49</v>
      </c>
      <c r="F149" s="1" t="s">
        <v>50</v>
      </c>
      <c r="G149" s="2"/>
      <c r="H149" s="67"/>
      <c r="J149" s="2"/>
      <c r="P149" s="2"/>
      <c r="Q149" s="6">
        <f t="shared" si="37"/>
        <v>0</v>
      </c>
      <c r="R149" s="6">
        <f t="shared" si="37"/>
        <v>0</v>
      </c>
      <c r="S149" s="6">
        <f t="shared" si="37"/>
        <v>0</v>
      </c>
      <c r="T149" s="6">
        <f t="shared" si="37"/>
        <v>0</v>
      </c>
      <c r="U149" s="6">
        <f t="shared" si="37"/>
        <v>0</v>
      </c>
      <c r="V149" s="6">
        <f t="shared" si="38"/>
        <v>0</v>
      </c>
    </row>
    <row r="150" spans="3:23" ht="12.75" customHeight="1" x14ac:dyDescent="0.2">
      <c r="C150" s="1" t="s">
        <v>13</v>
      </c>
      <c r="D150" s="1" t="s">
        <v>49</v>
      </c>
      <c r="F150" s="1" t="s">
        <v>50</v>
      </c>
      <c r="G150" s="2"/>
      <c r="H150" s="67"/>
      <c r="J150" s="2"/>
      <c r="P150" s="2"/>
      <c r="Q150" s="6">
        <f t="shared" si="37"/>
        <v>0</v>
      </c>
      <c r="R150" s="6">
        <f t="shared" si="37"/>
        <v>0</v>
      </c>
      <c r="S150" s="6">
        <f t="shared" si="37"/>
        <v>0</v>
      </c>
      <c r="T150" s="6">
        <f t="shared" si="37"/>
        <v>0</v>
      </c>
      <c r="U150" s="6">
        <f t="shared" si="37"/>
        <v>0</v>
      </c>
      <c r="V150" s="6">
        <f t="shared" si="38"/>
        <v>0</v>
      </c>
    </row>
    <row r="151" spans="3:23" ht="12.75" customHeight="1" x14ac:dyDescent="0.2">
      <c r="C151" s="1" t="s">
        <v>14</v>
      </c>
      <c r="D151" s="1" t="s">
        <v>49</v>
      </c>
      <c r="F151" s="1" t="s">
        <v>50</v>
      </c>
      <c r="G151" s="2"/>
      <c r="H151" s="67"/>
      <c r="J151" s="2"/>
      <c r="P151" s="2"/>
      <c r="Q151" s="6">
        <f t="shared" si="37"/>
        <v>0</v>
      </c>
      <c r="R151" s="6">
        <f t="shared" si="37"/>
        <v>0</v>
      </c>
      <c r="S151" s="6">
        <f t="shared" si="37"/>
        <v>0</v>
      </c>
      <c r="T151" s="6">
        <f t="shared" si="37"/>
        <v>0</v>
      </c>
      <c r="U151" s="6">
        <f t="shared" si="37"/>
        <v>0</v>
      </c>
      <c r="V151" s="6">
        <f t="shared" si="38"/>
        <v>0</v>
      </c>
    </row>
    <row r="152" spans="3:23" ht="12.75" customHeight="1" x14ac:dyDescent="0.2">
      <c r="C152" s="21" t="s">
        <v>17</v>
      </c>
      <c r="D152" s="21" t="s">
        <v>49</v>
      </c>
      <c r="E152" s="101"/>
      <c r="F152" s="102"/>
      <c r="G152" s="103"/>
      <c r="H152" s="102"/>
      <c r="I152" s="104"/>
      <c r="J152" s="103"/>
      <c r="K152" s="101"/>
      <c r="L152" s="101"/>
      <c r="M152" s="101"/>
      <c r="N152" s="101"/>
      <c r="O152" s="101"/>
      <c r="P152" s="103"/>
      <c r="Q152" s="22">
        <f>SUM(Q146:Q151)</f>
        <v>0</v>
      </c>
      <c r="R152" s="22">
        <f t="shared" ref="R152:V152" si="39">SUM(R146:R151)</f>
        <v>0</v>
      </c>
      <c r="S152" s="22">
        <f t="shared" si="39"/>
        <v>0</v>
      </c>
      <c r="T152" s="22">
        <f t="shared" si="39"/>
        <v>0</v>
      </c>
      <c r="U152" s="22">
        <f t="shared" si="39"/>
        <v>0</v>
      </c>
      <c r="V152" s="22">
        <f t="shared" si="39"/>
        <v>0</v>
      </c>
    </row>
    <row r="153" spans="3:23" ht="12.75" customHeight="1" x14ac:dyDescent="0.2">
      <c r="G153" s="2"/>
      <c r="H153" s="67"/>
      <c r="J153" s="2"/>
      <c r="P153" s="2"/>
      <c r="Q153" s="6"/>
      <c r="R153" s="6"/>
      <c r="S153" s="6"/>
      <c r="T153" s="6"/>
      <c r="U153" s="6"/>
      <c r="V153" s="71"/>
    </row>
    <row r="154" spans="3:23" x14ac:dyDescent="0.2">
      <c r="C154" s="7" t="str">
        <f>"Total Expenditure ($ "&amp;Assumptions!$C$35&amp;")"</f>
        <v>Total Expenditure ($ June 2026)</v>
      </c>
      <c r="D154" s="7" t="s">
        <v>78</v>
      </c>
      <c r="E154" s="7"/>
      <c r="F154" s="7"/>
      <c r="G154" s="2"/>
      <c r="H154" s="7"/>
      <c r="I154" s="10"/>
      <c r="J154" s="2"/>
      <c r="K154" s="7"/>
      <c r="L154" s="7"/>
      <c r="M154" s="7"/>
      <c r="N154" s="7"/>
      <c r="O154" s="7"/>
      <c r="P154" s="2"/>
      <c r="Q154" s="8">
        <f>Q145+Q152</f>
        <v>11439371.953367887</v>
      </c>
      <c r="R154" s="8">
        <f t="shared" ref="R154:U154" si="40">R145+R152</f>
        <v>5974177.3432895523</v>
      </c>
      <c r="S154" s="8">
        <f t="shared" si="40"/>
        <v>6554083.5886239605</v>
      </c>
      <c r="T154" s="8">
        <f t="shared" si="40"/>
        <v>5497996.1734253084</v>
      </c>
      <c r="U154" s="8">
        <f t="shared" si="40"/>
        <v>4330291.2398799974</v>
      </c>
      <c r="V154" s="72">
        <f t="shared" si="35"/>
        <v>33795920.298586704</v>
      </c>
    </row>
    <row r="155" spans="3:23" x14ac:dyDescent="0.2">
      <c r="G155" s="2"/>
      <c r="J155" s="2"/>
      <c r="P155" s="2"/>
      <c r="Q155" s="45">
        <f>SUM(Q10:Q100)*business_case_dollars-Q154</f>
        <v>0</v>
      </c>
      <c r="R155" s="45">
        <f>SUM(R10:R100)*business_case_dollars-R154</f>
        <v>0</v>
      </c>
      <c r="S155" s="45">
        <f>SUM(S10:S100)*business_case_dollars-S154</f>
        <v>0</v>
      </c>
      <c r="T155" s="45">
        <f>SUM(T10:T100)*business_case_dollars-T154</f>
        <v>0</v>
      </c>
      <c r="U155" s="45">
        <f>SUM(U10:U100)*business_case_dollars-U154</f>
        <v>0</v>
      </c>
      <c r="V155" s="45">
        <f>SUM(Q10:U100)*business_case_dollars-V154</f>
        <v>0</v>
      </c>
      <c r="W155" s="45">
        <f>SUM(Q155:V155)</f>
        <v>0</v>
      </c>
    </row>
    <row r="156" spans="3:23" x14ac:dyDescent="0.2">
      <c r="C156" s="54" t="str">
        <f>"NPV ($ "&amp;Assumptions!$C$35&amp;")"</f>
        <v>NPV ($ June 2026)</v>
      </c>
      <c r="D156" s="55">
        <f>NPV(Real_Discount_rate,Q154:U154)</f>
        <v>30978074.711132817</v>
      </c>
      <c r="G156" s="2"/>
      <c r="J156" s="2"/>
      <c r="P156" s="2"/>
      <c r="Q156" s="51"/>
      <c r="R156" s="51"/>
      <c r="S156" s="51"/>
      <c r="T156" s="51"/>
      <c r="U156" s="51"/>
    </row>
    <row r="159" spans="3:23" x14ac:dyDescent="0.2">
      <c r="C159" s="4" t="s">
        <v>73</v>
      </c>
      <c r="F159" s="3"/>
      <c r="G159" s="2"/>
      <c r="J159" s="2"/>
      <c r="P159" s="2"/>
      <c r="Q159" s="68" t="s">
        <v>6</v>
      </c>
      <c r="R159" s="68" t="s">
        <v>7</v>
      </c>
      <c r="S159" s="68" t="s">
        <v>8</v>
      </c>
      <c r="T159" s="68" t="s">
        <v>9</v>
      </c>
      <c r="U159" s="68" t="s">
        <v>10</v>
      </c>
      <c r="V159" s="112" t="s">
        <v>0</v>
      </c>
    </row>
    <row r="160" spans="3:23" x14ac:dyDescent="0.2">
      <c r="C160" s="24"/>
      <c r="D160" s="24" t="s">
        <v>53</v>
      </c>
      <c r="E160" s="24"/>
      <c r="F160" s="24" t="s">
        <v>54</v>
      </c>
      <c r="G160" s="2"/>
      <c r="H160" s="65"/>
      <c r="I160" s="66"/>
      <c r="J160" s="2"/>
      <c r="K160" s="24"/>
      <c r="L160" s="24"/>
      <c r="M160" s="24"/>
      <c r="N160" s="24"/>
      <c r="O160" s="24"/>
      <c r="P160" s="2"/>
      <c r="Q160" s="25">
        <f t="shared" ref="Q160:U161" si="41">Q126*business_case_dollars</f>
        <v>11393134.25960028</v>
      </c>
      <c r="R160" s="25">
        <f t="shared" si="41"/>
        <v>4905050.4505877821</v>
      </c>
      <c r="S160" s="25">
        <f t="shared" si="41"/>
        <v>6554083.5886239596</v>
      </c>
      <c r="T160" s="25">
        <f t="shared" si="41"/>
        <v>4941539.8502170099</v>
      </c>
      <c r="U160" s="25">
        <f t="shared" si="41"/>
        <v>4330291.2398799984</v>
      </c>
      <c r="V160" s="71">
        <f t="shared" ref="V160:V161" si="42">SUM(Q160:U160)</f>
        <v>32124099.388909031</v>
      </c>
    </row>
    <row r="161" spans="3:23" x14ac:dyDescent="0.2">
      <c r="D161" s="1" t="s">
        <v>49</v>
      </c>
      <c r="F161" s="1" t="s">
        <v>54</v>
      </c>
      <c r="G161" s="2"/>
      <c r="J161" s="2"/>
      <c r="P161" s="2"/>
      <c r="Q161" s="111">
        <f t="shared" si="41"/>
        <v>0</v>
      </c>
      <c r="R161" s="111">
        <f t="shared" si="41"/>
        <v>0</v>
      </c>
      <c r="S161" s="111">
        <f t="shared" si="41"/>
        <v>0</v>
      </c>
      <c r="T161" s="111">
        <f t="shared" si="41"/>
        <v>0</v>
      </c>
      <c r="U161" s="111">
        <f t="shared" si="41"/>
        <v>0</v>
      </c>
      <c r="V161" s="71">
        <f t="shared" si="42"/>
        <v>0</v>
      </c>
    </row>
    <row r="162" spans="3:23" x14ac:dyDescent="0.2">
      <c r="C162" s="21" t="s">
        <v>75</v>
      </c>
      <c r="D162" s="21"/>
      <c r="E162" s="101"/>
      <c r="F162" s="102"/>
      <c r="G162" s="2"/>
      <c r="H162" s="102"/>
      <c r="I162" s="104"/>
      <c r="J162" s="103"/>
      <c r="K162" s="101"/>
      <c r="L162" s="101"/>
      <c r="M162" s="101"/>
      <c r="N162" s="101"/>
      <c r="O162" s="101"/>
      <c r="P162" s="2"/>
      <c r="Q162" s="22">
        <f>SUM(Q160:Q161)</f>
        <v>11393134.25960028</v>
      </c>
      <c r="R162" s="22">
        <f t="shared" ref="R162:V162" si="43">SUM(R160:R161)</f>
        <v>4905050.4505877821</v>
      </c>
      <c r="S162" s="22">
        <f t="shared" si="43"/>
        <v>6554083.5886239596</v>
      </c>
      <c r="T162" s="22">
        <f t="shared" si="43"/>
        <v>4941539.8502170099</v>
      </c>
      <c r="U162" s="22">
        <f t="shared" si="43"/>
        <v>4330291.2398799984</v>
      </c>
      <c r="V162" s="22">
        <f t="shared" si="43"/>
        <v>32124099.388909031</v>
      </c>
    </row>
    <row r="163" spans="3:23" x14ac:dyDescent="0.2">
      <c r="C163" s="4"/>
      <c r="D163" s="1" t="s">
        <v>53</v>
      </c>
      <c r="F163" s="1" t="s">
        <v>50</v>
      </c>
      <c r="G163" s="2"/>
      <c r="H163" s="67"/>
      <c r="J163" s="2"/>
      <c r="P163" s="2"/>
      <c r="Q163" s="6">
        <f t="shared" ref="Q163:U164" si="44">Q129*business_case_dollars</f>
        <v>46237.693767607539</v>
      </c>
      <c r="R163" s="6">
        <f t="shared" si="44"/>
        <v>1069126.8927017713</v>
      </c>
      <c r="S163" s="6">
        <f t="shared" si="44"/>
        <v>0</v>
      </c>
      <c r="T163" s="6">
        <f t="shared" si="44"/>
        <v>556456.3232082983</v>
      </c>
      <c r="U163" s="6">
        <f t="shared" si="44"/>
        <v>0</v>
      </c>
      <c r="V163" s="71">
        <f t="shared" ref="V163:V164" si="45">SUM(Q163:U163)</f>
        <v>1671820.9096776771</v>
      </c>
    </row>
    <row r="164" spans="3:23" x14ac:dyDescent="0.2">
      <c r="C164" s="4"/>
      <c r="D164" s="1" t="s">
        <v>49</v>
      </c>
      <c r="F164" s="1" t="s">
        <v>50</v>
      </c>
      <c r="G164" s="2"/>
      <c r="H164" s="67"/>
      <c r="J164" s="2"/>
      <c r="P164" s="2"/>
      <c r="Q164" s="6">
        <f t="shared" si="44"/>
        <v>0</v>
      </c>
      <c r="R164" s="6">
        <f t="shared" si="44"/>
        <v>0</v>
      </c>
      <c r="S164" s="6">
        <f t="shared" si="44"/>
        <v>0</v>
      </c>
      <c r="T164" s="6">
        <f t="shared" si="44"/>
        <v>0</v>
      </c>
      <c r="U164" s="6">
        <f t="shared" si="44"/>
        <v>0</v>
      </c>
      <c r="V164" s="71">
        <f t="shared" si="45"/>
        <v>0</v>
      </c>
    </row>
    <row r="165" spans="3:23" x14ac:dyDescent="0.2">
      <c r="C165" s="21" t="s">
        <v>76</v>
      </c>
      <c r="D165" s="21"/>
      <c r="E165" s="101"/>
      <c r="F165" s="102"/>
      <c r="G165" s="2"/>
      <c r="H165" s="102"/>
      <c r="I165" s="104"/>
      <c r="J165" s="103"/>
      <c r="K165" s="101"/>
      <c r="L165" s="101"/>
      <c r="M165" s="101"/>
      <c r="N165" s="101"/>
      <c r="O165" s="101"/>
      <c r="P165" s="2"/>
      <c r="Q165" s="22">
        <f>SUM(Q163:Q164)</f>
        <v>46237.693767607539</v>
      </c>
      <c r="R165" s="22">
        <f t="shared" ref="R165:V165" si="46">SUM(R163:R164)</f>
        <v>1069126.8927017713</v>
      </c>
      <c r="S165" s="22">
        <f t="shared" si="46"/>
        <v>0</v>
      </c>
      <c r="T165" s="22">
        <f t="shared" si="46"/>
        <v>556456.3232082983</v>
      </c>
      <c r="U165" s="22">
        <f t="shared" si="46"/>
        <v>0</v>
      </c>
      <c r="V165" s="22">
        <f t="shared" si="46"/>
        <v>1671820.9096776771</v>
      </c>
    </row>
    <row r="166" spans="3:23" x14ac:dyDescent="0.2">
      <c r="C166" s="4"/>
      <c r="D166" s="4"/>
      <c r="F166" s="67"/>
      <c r="G166" s="2"/>
      <c r="H166" s="67"/>
      <c r="J166" s="2"/>
      <c r="P166" s="2"/>
      <c r="Q166" s="23"/>
      <c r="R166" s="23"/>
      <c r="S166" s="23"/>
      <c r="T166" s="23"/>
      <c r="U166" s="23"/>
      <c r="V166" s="23"/>
    </row>
    <row r="167" spans="3:23" x14ac:dyDescent="0.2">
      <c r="C167" s="7" t="str">
        <f>"Total Expenditure ($ "&amp;Assumptions!$C$35&amp;")"</f>
        <v>Total Expenditure ($ June 2026)</v>
      </c>
      <c r="D167" s="7"/>
      <c r="E167" s="7"/>
      <c r="F167" s="7"/>
      <c r="G167" s="2"/>
      <c r="H167" s="7"/>
      <c r="I167" s="10"/>
      <c r="J167" s="2"/>
      <c r="K167" s="7"/>
      <c r="L167" s="7"/>
      <c r="M167" s="7"/>
      <c r="N167" s="7"/>
      <c r="O167" s="7"/>
      <c r="P167" s="2"/>
      <c r="Q167" s="8">
        <f>Q162+Q165</f>
        <v>11439371.953367887</v>
      </c>
      <c r="R167" s="8">
        <f t="shared" ref="R167:U167" si="47">R162+R165</f>
        <v>5974177.3432895532</v>
      </c>
      <c r="S167" s="8">
        <f t="shared" si="47"/>
        <v>6554083.5886239596</v>
      </c>
      <c r="T167" s="8">
        <f t="shared" si="47"/>
        <v>5497996.1734253084</v>
      </c>
      <c r="U167" s="8">
        <f t="shared" si="47"/>
        <v>4330291.2398799984</v>
      </c>
      <c r="V167" s="72">
        <f t="shared" ref="V167" si="48">SUM(Q167:U167)</f>
        <v>33795920.298586704</v>
      </c>
    </row>
    <row r="168" spans="3:23" x14ac:dyDescent="0.2">
      <c r="C168" s="44" t="s">
        <v>74</v>
      </c>
      <c r="D168" s="44"/>
      <c r="E168" s="44"/>
      <c r="F168" s="44"/>
      <c r="G168" s="2"/>
      <c r="H168" s="44"/>
      <c r="I168" s="44"/>
      <c r="J168" s="2"/>
      <c r="K168" s="44"/>
      <c r="L168" s="44"/>
      <c r="M168" s="44"/>
      <c r="N168" s="44"/>
      <c r="O168" s="44"/>
      <c r="P168" s="2"/>
      <c r="Q168" s="45">
        <f>Q167-SUM(Q$10:Q$100)*business_case_dollars</f>
        <v>0</v>
      </c>
      <c r="R168" s="45">
        <f>R167-SUM(R$10:R$100)*business_case_dollars</f>
        <v>0</v>
      </c>
      <c r="S168" s="45">
        <f>S167-SUM(S$10:S$100)*business_case_dollars</f>
        <v>0</v>
      </c>
      <c r="T168" s="45">
        <f>T167-SUM(T$10:T$100)*business_case_dollars</f>
        <v>0</v>
      </c>
      <c r="U168" s="45">
        <f>U167-SUM(U$10:U$100)*business_case_dollars</f>
        <v>0</v>
      </c>
      <c r="V168" s="45">
        <f>V167-SUM(Q$10:U$100)*business_case_dollars</f>
        <v>0</v>
      </c>
      <c r="W168" s="45">
        <f>SUM(Q168:V168)</f>
        <v>0</v>
      </c>
    </row>
  </sheetData>
  <conditionalFormatting sqref="H10:H100">
    <cfRule type="expression" dxfId="10" priority="11">
      <formula>$E10="Contracts"</formula>
    </cfRule>
    <cfRule type="expression" dxfId="9" priority="12">
      <formula>$E10="Materials"</formula>
    </cfRule>
    <cfRule type="expression" dxfId="8" priority="13">
      <formula>$E10="Labour"</formula>
    </cfRule>
  </conditionalFormatting>
  <conditionalFormatting sqref="Q120:V120">
    <cfRule type="expression" dxfId="7" priority="7">
      <formula>ABS(Q120)&gt;0.001</formula>
    </cfRule>
  </conditionalFormatting>
  <conditionalFormatting sqref="Q134:V137">
    <cfRule type="expression" dxfId="6" priority="4">
      <formula>ABS(Q134)&gt;0.001</formula>
    </cfRule>
  </conditionalFormatting>
  <conditionalFormatting sqref="Q155:V155">
    <cfRule type="expression" dxfId="5" priority="8">
      <formula>ABS(Q155)&gt;0.001</formula>
    </cfRule>
  </conditionalFormatting>
  <conditionalFormatting sqref="Q168:V168">
    <cfRule type="expression" dxfId="4" priority="1">
      <formula>ABS(Q168)&gt;0.001</formula>
    </cfRule>
  </conditionalFormatting>
  <conditionalFormatting sqref="W120">
    <cfRule type="expression" dxfId="3" priority="17">
      <formula>ABS(W120)&gt;0.001</formula>
    </cfRule>
  </conditionalFormatting>
  <conditionalFormatting sqref="W134:W137">
    <cfRule type="expression" dxfId="2" priority="5">
      <formula>ABS(W134)&gt;0.001</formula>
    </cfRule>
  </conditionalFormatting>
  <conditionalFormatting sqref="W155">
    <cfRule type="expression" dxfId="1" priority="9">
      <formula>ABS(W155)&gt;0.001</formula>
    </cfRule>
  </conditionalFormatting>
  <conditionalFormatting sqref="W168">
    <cfRule type="expression" dxfId="0" priority="2">
      <formula>ABS(W168)&gt;0.001</formula>
    </cfRule>
  </conditionalFormatting>
  <dataValidations count="3">
    <dataValidation type="list" allowBlank="1" showInputMessage="1" showErrorMessage="1" sqref="F10:F100" xr:uid="{0056677F-06F0-4171-A788-E9800796D01C}">
      <formula1>"Recurrent, Non recurrent"</formula1>
    </dataValidation>
    <dataValidation type="list" allowBlank="1" showInputMessage="1" showErrorMessage="1" sqref="D10:D100" xr:uid="{0BC2CCE9-8E5A-4443-BD56-40A8A3B5E164}">
      <formula1>"Capex, Opex"</formula1>
    </dataValidation>
    <dataValidation type="list" allowBlank="1" showInputMessage="1" showErrorMessage="1" sqref="E10:E100" xr:uid="{848BAEEB-C269-4A94-BE6C-51088AD2356E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Powercor summary</vt:lpstr>
      <vt:lpstr>Project summary</vt:lpstr>
      <vt:lpstr>Assumptions</vt:lpstr>
      <vt:lpstr>Option 1</vt:lpstr>
      <vt:lpstr>Option 2</vt:lpstr>
      <vt:lpstr>Option 3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2025-01-21T03:13:37Z</dcterms:created>
  <dcterms:modified xsi:type="dcterms:W3CDTF">2025-01-21T13:42:53Z</dcterms:modified>
  <cp:category/>
  <cp:contentStatus/>
</cp:coreProperties>
</file>