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B:\9 Regulatory proposal submission\2 Powercor\8 For finalisation\3 Models for finalisation\8 Non-network\"/>
    </mc:Choice>
  </mc:AlternateContent>
  <xr:revisionPtr revIDLastSave="0" documentId="8_{84D3EE6C-0CB4-4833-A78A-282860761315}" xr6:coauthVersionLast="47" xr6:coauthVersionMax="47" xr10:uidLastSave="{00000000-0000-0000-0000-000000000000}"/>
  <bookViews>
    <workbookView xWindow="28680" yWindow="-120" windowWidth="29040" windowHeight="15720" xr2:uid="{9829720C-61C9-4220-91EF-A61AD17F01FE}"/>
  </bookViews>
  <sheets>
    <sheet name="Cover" sheetId="10" r:id="rId1"/>
    <sheet name="Summary" sheetId="5" r:id="rId2"/>
    <sheet name="Options Analysis" sheetId="1" r:id="rId3"/>
    <sheet name="Costs" sheetId="3" r:id="rId4"/>
    <sheet name="Risks" sheetId="7" r:id="rId5"/>
    <sheet name="Risk Assumptions" sheetId="6" r:id="rId6"/>
    <sheet name="Reg Assumptions " sheetId="2" r:id="rId7"/>
  </sheets>
  <definedNames>
    <definedName name="business">'Reg Assumptions '!$B$5</definedName>
    <definedName name="cost_allocation">'Reg Assumptions '!$C$35</definedName>
    <definedName name="esc_24_26">'Reg Assumptions '!$C$26</definedName>
    <definedName name="input_dollars">'Reg Assumptions '!$B$9</definedName>
    <definedName name="model_name">'Reg Assumptions '!$B$7</definedName>
    <definedName name="output_dollars">'Reg Assumptions '!$B$11</definedName>
    <definedName name="pref_option">Summary!$C$8</definedName>
    <definedName name="real_disc">'Reg Assumptions '!$B$20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I49" i="1"/>
  <c r="H29" i="1"/>
  <c r="I29" i="1"/>
  <c r="J29" i="1"/>
  <c r="L11" i="7" l="1"/>
  <c r="K11" i="7"/>
  <c r="J11" i="7"/>
  <c r="I11" i="7"/>
  <c r="B11" i="7"/>
  <c r="B10" i="7"/>
  <c r="B9" i="7"/>
  <c r="B8" i="7"/>
  <c r="B7" i="7"/>
  <c r="L117" i="7"/>
  <c r="E16" i="6"/>
  <c r="G16" i="6" s="1" a="1"/>
  <c r="G16" i="6" s="1"/>
  <c r="D110" i="7" s="1"/>
  <c r="I117" i="7"/>
  <c r="B117" i="7"/>
  <c r="B113" i="7"/>
  <c r="AG102" i="7"/>
  <c r="AG10" i="7" s="1"/>
  <c r="AF102" i="7"/>
  <c r="AF10" i="7" s="1"/>
  <c r="AE102" i="7"/>
  <c r="AE10" i="7" s="1"/>
  <c r="AD102" i="7"/>
  <c r="AD10" i="7" s="1"/>
  <c r="AC102" i="7"/>
  <c r="AC10" i="7" s="1"/>
  <c r="AB102" i="7"/>
  <c r="AB10" i="7" s="1"/>
  <c r="AA102" i="7"/>
  <c r="AA10" i="7" s="1"/>
  <c r="Z102" i="7"/>
  <c r="Z10" i="7" s="1"/>
  <c r="Y102" i="7"/>
  <c r="Y10" i="7" s="1"/>
  <c r="X102" i="7"/>
  <c r="X10" i="7" s="1"/>
  <c r="W102" i="7"/>
  <c r="W10" i="7" s="1"/>
  <c r="V102" i="7"/>
  <c r="V10" i="7" s="1"/>
  <c r="U102" i="7"/>
  <c r="U10" i="7" s="1"/>
  <c r="T102" i="7"/>
  <c r="T10" i="7" s="1"/>
  <c r="S102" i="7"/>
  <c r="S10" i="7" s="1"/>
  <c r="R102" i="7"/>
  <c r="R10" i="7" s="1"/>
  <c r="Q102" i="7"/>
  <c r="Q10" i="7" s="1"/>
  <c r="P102" i="7"/>
  <c r="P10" i="7" s="1"/>
  <c r="O102" i="7"/>
  <c r="O10" i="7" s="1"/>
  <c r="N102" i="7"/>
  <c r="N10" i="7" s="1"/>
  <c r="M102" i="7"/>
  <c r="M10" i="7" s="1"/>
  <c r="I102" i="7"/>
  <c r="I10" i="7" s="1"/>
  <c r="B83" i="7"/>
  <c r="E14" i="6"/>
  <c r="G14" i="6" s="1" a="1"/>
  <c r="G14" i="6" s="1"/>
  <c r="D80" i="7" s="1"/>
  <c r="E12" i="6"/>
  <c r="G12" i="6" s="1" a="1"/>
  <c r="G12" i="6" s="1"/>
  <c r="D71" i="7" s="1"/>
  <c r="E13" i="6"/>
  <c r="G13" i="6" s="1" a="1"/>
  <c r="G13" i="6" s="1"/>
  <c r="D79" i="7" s="1"/>
  <c r="B87" i="7"/>
  <c r="B74" i="7"/>
  <c r="B58" i="7"/>
  <c r="E20" i="6"/>
  <c r="F20" i="6" s="1"/>
  <c r="C46" i="7" s="1"/>
  <c r="E19" i="6"/>
  <c r="G19" i="6" s="1" a="1"/>
  <c r="G19" i="6" s="1"/>
  <c r="D45" i="7" s="1"/>
  <c r="E18" i="6"/>
  <c r="G18" i="6" s="1" a="1"/>
  <c r="G18" i="6" s="1"/>
  <c r="D44" i="7" s="1"/>
  <c r="B25" i="7"/>
  <c r="F16" i="6" l="1"/>
  <c r="C110" i="7" s="1"/>
  <c r="F14" i="6"/>
  <c r="C80" i="7" s="1"/>
  <c r="F12" i="6"/>
  <c r="C71" i="7" s="1"/>
  <c r="F13" i="6"/>
  <c r="C79" i="7" s="1"/>
  <c r="F18" i="6"/>
  <c r="C44" i="7" s="1"/>
  <c r="F19" i="6"/>
  <c r="C45" i="7" s="1"/>
  <c r="G20" i="6" a="1"/>
  <c r="G20" i="6" s="1"/>
  <c r="D46" i="7" s="1"/>
  <c r="H49" i="7" s="1"/>
  <c r="I49" i="7" s="1"/>
  <c r="J49" i="7" s="1"/>
  <c r="K49" i="7" s="1"/>
  <c r="L49" i="7" s="1"/>
  <c r="M49" i="7" s="1"/>
  <c r="N49" i="7" s="1"/>
  <c r="O49" i="7" s="1"/>
  <c r="P49" i="7" s="1"/>
  <c r="Q49" i="7" s="1"/>
  <c r="R49" i="7" s="1"/>
  <c r="S49" i="7" s="1"/>
  <c r="T49" i="7" s="1"/>
  <c r="U49" i="7" s="1"/>
  <c r="V49" i="7" s="1"/>
  <c r="W49" i="7" s="1"/>
  <c r="X49" i="7" s="1"/>
  <c r="Y49" i="7" s="1"/>
  <c r="Z49" i="7" s="1"/>
  <c r="AA49" i="7" s="1"/>
  <c r="AB49" i="7" s="1"/>
  <c r="AC49" i="7" s="1"/>
  <c r="AD49" i="7" s="1"/>
  <c r="AE49" i="7" s="1"/>
  <c r="AF49" i="7" s="1"/>
  <c r="AG49" i="7" s="1"/>
  <c r="C35" i="2"/>
  <c r="B35" i="2"/>
  <c r="C32" i="2"/>
  <c r="C31" i="2"/>
  <c r="A31" i="5"/>
  <c r="D6" i="10" l="1" a="1"/>
  <c r="D6" i="10" s="1"/>
  <c r="C5" i="10" a="1"/>
  <c r="C5" i="10" s="1"/>
  <c r="E9" i="6" l="1"/>
  <c r="F9" i="6" s="1"/>
  <c r="C21" i="7" l="1"/>
  <c r="G9" i="6" a="1"/>
  <c r="G9" i="6" s="1"/>
  <c r="D21" i="7" l="1"/>
  <c r="N66" i="3" l="1"/>
  <c r="M66" i="3"/>
  <c r="K66" i="3"/>
  <c r="N65" i="3"/>
  <c r="M65" i="3"/>
  <c r="K65" i="3"/>
  <c r="N64" i="3"/>
  <c r="M64" i="3"/>
  <c r="K64" i="3"/>
  <c r="J66" i="3"/>
  <c r="J65" i="3"/>
  <c r="J64" i="3"/>
  <c r="N28" i="3"/>
  <c r="M28" i="3"/>
  <c r="L28" i="3"/>
  <c r="K28" i="3"/>
  <c r="N26" i="3"/>
  <c r="M26" i="3"/>
  <c r="L26" i="3"/>
  <c r="K26" i="3"/>
  <c r="J28" i="3"/>
  <c r="J26" i="3"/>
  <c r="N47" i="3"/>
  <c r="M47" i="3"/>
  <c r="K47" i="3"/>
  <c r="J47" i="3"/>
  <c r="N45" i="3"/>
  <c r="M45" i="3"/>
  <c r="K45" i="3"/>
  <c r="J45" i="3"/>
  <c r="J24" i="3"/>
  <c r="K24" i="3"/>
  <c r="L24" i="3"/>
  <c r="M24" i="3"/>
  <c r="N24" i="3"/>
  <c r="A3" i="5"/>
  <c r="A2" i="5"/>
  <c r="A1" i="5"/>
  <c r="B60" i="1"/>
  <c r="C47" i="1"/>
  <c r="A3" i="1"/>
  <c r="C27" i="1"/>
  <c r="C14" i="1"/>
  <c r="B40" i="1"/>
  <c r="C23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B20" i="1"/>
  <c r="A2" i="1"/>
  <c r="A1" i="1"/>
  <c r="C95" i="7"/>
  <c r="E15" i="6"/>
  <c r="G15" i="6" s="1" a="1"/>
  <c r="G15" i="6" s="1"/>
  <c r="D95" i="7" s="1"/>
  <c r="B102" i="7"/>
  <c r="B98" i="7"/>
  <c r="E28" i="6"/>
  <c r="G28" i="6" s="1" a="1"/>
  <c r="G28" i="6" s="1"/>
  <c r="D55" i="7" s="1"/>
  <c r="E25" i="6"/>
  <c r="G25" i="6" s="1" a="1"/>
  <c r="G25" i="6" s="1"/>
  <c r="D52" i="7" s="1"/>
  <c r="E27" i="6"/>
  <c r="G27" i="6" s="1" a="1"/>
  <c r="G27" i="6" s="1"/>
  <c r="D54" i="7" s="1"/>
  <c r="E26" i="6"/>
  <c r="G26" i="6" s="1" a="1"/>
  <c r="G26" i="6" s="1"/>
  <c r="D53" i="7" s="1"/>
  <c r="B62" i="7"/>
  <c r="B29" i="7"/>
  <c r="E10" i="6"/>
  <c r="G10" i="6" s="1" a="1"/>
  <c r="G10" i="6" s="1"/>
  <c r="E11" i="6"/>
  <c r="G11" i="6" s="1" a="1"/>
  <c r="G11" i="6" s="1"/>
  <c r="D70" i="7" s="1"/>
  <c r="B49" i="7"/>
  <c r="B41" i="7"/>
  <c r="E8" i="6"/>
  <c r="G8" i="6" s="1" a="1"/>
  <c r="G8" i="6" s="1"/>
  <c r="E23" i="6"/>
  <c r="G23" i="6" s="1" a="1"/>
  <c r="G23" i="6" s="1"/>
  <c r="E22" i="6"/>
  <c r="G22" i="6" s="1" a="1"/>
  <c r="G22" i="6" s="1"/>
  <c r="D68" i="7" l="1"/>
  <c r="D108" i="7"/>
  <c r="D77" i="7"/>
  <c r="D69" i="7"/>
  <c r="D78" i="7"/>
  <c r="D109" i="7"/>
  <c r="D19" i="7"/>
  <c r="H58" i="7"/>
  <c r="I58" i="7" s="1"/>
  <c r="J58" i="7" s="1"/>
  <c r="K58" i="7" s="1"/>
  <c r="L58" i="7" s="1"/>
  <c r="M58" i="7" s="1"/>
  <c r="N58" i="7" s="1"/>
  <c r="O58" i="7" s="1"/>
  <c r="P58" i="7" s="1"/>
  <c r="Q58" i="7" s="1"/>
  <c r="R58" i="7" s="1"/>
  <c r="S58" i="7" s="1"/>
  <c r="T58" i="7" s="1"/>
  <c r="U58" i="7" s="1"/>
  <c r="V58" i="7" s="1"/>
  <c r="W58" i="7" s="1"/>
  <c r="X58" i="7" s="1"/>
  <c r="Y58" i="7" s="1"/>
  <c r="Z58" i="7" s="1"/>
  <c r="AA58" i="7" s="1"/>
  <c r="AB58" i="7" s="1"/>
  <c r="AC58" i="7" s="1"/>
  <c r="AD58" i="7" s="1"/>
  <c r="AE58" i="7" s="1"/>
  <c r="AF58" i="7" s="1"/>
  <c r="AG58" i="7" s="1"/>
  <c r="D20" i="7"/>
  <c r="D22" i="7"/>
  <c r="F11" i="6"/>
  <c r="F28" i="6"/>
  <c r="D35" i="7"/>
  <c r="C52" i="7"/>
  <c r="F15" i="6"/>
  <c r="F10" i="6"/>
  <c r="D36" i="7"/>
  <c r="P26" i="3"/>
  <c r="P28" i="3"/>
  <c r="F23" i="6"/>
  <c r="C109" i="7" s="1"/>
  <c r="F8" i="6"/>
  <c r="F27" i="6"/>
  <c r="F22" i="6"/>
  <c r="C108" i="7" s="1"/>
  <c r="D94" i="7"/>
  <c r="D37" i="7"/>
  <c r="D38" i="7"/>
  <c r="F25" i="6"/>
  <c r="C55" i="7" l="1"/>
  <c r="C70" i="7"/>
  <c r="H74" i="7"/>
  <c r="I74" i="7" s="1"/>
  <c r="J74" i="7" s="1"/>
  <c r="H83" i="7"/>
  <c r="I83" i="7" s="1"/>
  <c r="J83" i="7" s="1"/>
  <c r="K83" i="7" s="1"/>
  <c r="L83" i="7" s="1"/>
  <c r="M83" i="7" s="1"/>
  <c r="N83" i="7" s="1"/>
  <c r="O83" i="7" s="1"/>
  <c r="P83" i="7" s="1"/>
  <c r="Q83" i="7" s="1"/>
  <c r="R83" i="7" s="1"/>
  <c r="S83" i="7" s="1"/>
  <c r="T83" i="7" s="1"/>
  <c r="U83" i="7" s="1"/>
  <c r="V83" i="7" s="1"/>
  <c r="W83" i="7" s="1"/>
  <c r="X83" i="7" s="1"/>
  <c r="Y83" i="7" s="1"/>
  <c r="Z83" i="7" s="1"/>
  <c r="AA83" i="7" s="1"/>
  <c r="AB83" i="7" s="1"/>
  <c r="AC83" i="7" s="1"/>
  <c r="AD83" i="7" s="1"/>
  <c r="AE83" i="7" s="1"/>
  <c r="AF83" i="7" s="1"/>
  <c r="AG83" i="7" s="1"/>
  <c r="AD113" i="7"/>
  <c r="AD117" i="7" s="1"/>
  <c r="AD11" i="7" s="1"/>
  <c r="R113" i="7"/>
  <c r="R117" i="7" s="1"/>
  <c r="R11" i="7" s="1"/>
  <c r="AB113" i="7"/>
  <c r="AB117" i="7" s="1"/>
  <c r="AB11" i="7" s="1"/>
  <c r="P113" i="7"/>
  <c r="P117" i="7" s="1"/>
  <c r="P11" i="7" s="1"/>
  <c r="AA113" i="7"/>
  <c r="AA117" i="7" s="1"/>
  <c r="AA11" i="7" s="1"/>
  <c r="O113" i="7"/>
  <c r="O117" i="7" s="1"/>
  <c r="O11" i="7" s="1"/>
  <c r="N113" i="7"/>
  <c r="N117" i="7" s="1"/>
  <c r="N11" i="7" s="1"/>
  <c r="M113" i="7"/>
  <c r="M117" i="7" s="1"/>
  <c r="M11" i="7" s="1"/>
  <c r="AG113" i="7"/>
  <c r="AG117" i="7" s="1"/>
  <c r="AG11" i="7" s="1"/>
  <c r="U113" i="7"/>
  <c r="U117" i="7" s="1"/>
  <c r="U11" i="7" s="1"/>
  <c r="AF113" i="7"/>
  <c r="AF117" i="7" s="1"/>
  <c r="AF11" i="7" s="1"/>
  <c r="T113" i="7"/>
  <c r="T117" i="7" s="1"/>
  <c r="T11" i="7" s="1"/>
  <c r="AE113" i="7"/>
  <c r="AE117" i="7" s="1"/>
  <c r="AE11" i="7" s="1"/>
  <c r="AC113" i="7"/>
  <c r="AC117" i="7" s="1"/>
  <c r="AC11" i="7" s="1"/>
  <c r="Q113" i="7"/>
  <c r="Q117" i="7" s="1"/>
  <c r="Q11" i="7" s="1"/>
  <c r="Z113" i="7"/>
  <c r="Z117" i="7" s="1"/>
  <c r="Z11" i="7" s="1"/>
  <c r="Y113" i="7"/>
  <c r="Y117" i="7" s="1"/>
  <c r="Y11" i="7" s="1"/>
  <c r="X113" i="7"/>
  <c r="X117" i="7" s="1"/>
  <c r="X11" i="7" s="1"/>
  <c r="W113" i="7"/>
  <c r="W117" i="7" s="1"/>
  <c r="W11" i="7" s="1"/>
  <c r="V113" i="7"/>
  <c r="V117" i="7" s="1"/>
  <c r="V11" i="7" s="1"/>
  <c r="S113" i="7"/>
  <c r="S117" i="7" s="1"/>
  <c r="S11" i="7" s="1"/>
  <c r="C78" i="7"/>
  <c r="C69" i="7"/>
  <c r="C68" i="7"/>
  <c r="C77" i="7"/>
  <c r="K117" i="7"/>
  <c r="J117" i="7"/>
  <c r="C37" i="7"/>
  <c r="C54" i="7"/>
  <c r="H25" i="7"/>
  <c r="I25" i="7" s="1"/>
  <c r="J25" i="7" s="1"/>
  <c r="C22" i="7"/>
  <c r="C20" i="7"/>
  <c r="C93" i="7"/>
  <c r="C19" i="7"/>
  <c r="H41" i="7"/>
  <c r="I41" i="7" s="1"/>
  <c r="D93" i="7"/>
  <c r="L98" i="7" s="1"/>
  <c r="L102" i="7" s="1"/>
  <c r="L10" i="7" s="1"/>
  <c r="C35" i="7"/>
  <c r="C94" i="7"/>
  <c r="C36" i="7"/>
  <c r="C38" i="7"/>
  <c r="I87" i="7" l="1"/>
  <c r="K74" i="7"/>
  <c r="J87" i="7"/>
  <c r="I29" i="7"/>
  <c r="J41" i="7"/>
  <c r="I62" i="7"/>
  <c r="K25" i="7"/>
  <c r="J29" i="7"/>
  <c r="J102" i="7"/>
  <c r="J10" i="7" s="1"/>
  <c r="K98" i="7"/>
  <c r="K102" i="7" s="1"/>
  <c r="K10" i="7" s="1"/>
  <c r="L74" i="7" l="1"/>
  <c r="K87" i="7"/>
  <c r="K41" i="7"/>
  <c r="J62" i="7"/>
  <c r="L25" i="7"/>
  <c r="K29" i="7"/>
  <c r="M74" i="7" l="1"/>
  <c r="L87" i="7"/>
  <c r="L41" i="7"/>
  <c r="K62" i="7"/>
  <c r="M25" i="7"/>
  <c r="L29" i="7"/>
  <c r="N74" i="7" l="1"/>
  <c r="M87" i="7"/>
  <c r="M9" i="7" s="1"/>
  <c r="M41" i="7"/>
  <c r="L62" i="7"/>
  <c r="N25" i="7"/>
  <c r="M29" i="7"/>
  <c r="M7" i="7" s="1"/>
  <c r="O74" i="7" l="1"/>
  <c r="N87" i="7"/>
  <c r="N9" i="7" s="1"/>
  <c r="N41" i="7"/>
  <c r="M62" i="7"/>
  <c r="M8" i="7" s="1"/>
  <c r="O25" i="7"/>
  <c r="N29" i="7"/>
  <c r="N7" i="7" s="1"/>
  <c r="P74" i="7" l="1"/>
  <c r="O87" i="7"/>
  <c r="O9" i="7" s="1"/>
  <c r="O41" i="7"/>
  <c r="N62" i="7"/>
  <c r="N8" i="7" s="1"/>
  <c r="P25" i="7"/>
  <c r="O29" i="7"/>
  <c r="O7" i="7" s="1"/>
  <c r="Q74" i="7" l="1"/>
  <c r="P87" i="7"/>
  <c r="P9" i="7" s="1"/>
  <c r="P41" i="7"/>
  <c r="O62" i="7"/>
  <c r="O8" i="7" s="1"/>
  <c r="Q25" i="7"/>
  <c r="P29" i="7"/>
  <c r="P7" i="7" s="1"/>
  <c r="R74" i="7" l="1"/>
  <c r="Q87" i="7"/>
  <c r="Q9" i="7" s="1"/>
  <c r="Q41" i="7"/>
  <c r="P62" i="7"/>
  <c r="P8" i="7" s="1"/>
  <c r="R25" i="7"/>
  <c r="Q29" i="7"/>
  <c r="Q7" i="7" s="1"/>
  <c r="S74" i="7" l="1"/>
  <c r="R87" i="7"/>
  <c r="R9" i="7" s="1"/>
  <c r="R41" i="7"/>
  <c r="Q62" i="7"/>
  <c r="Q8" i="7" s="1"/>
  <c r="S25" i="7"/>
  <c r="R29" i="7"/>
  <c r="R7" i="7" s="1"/>
  <c r="T74" i="7" l="1"/>
  <c r="S87" i="7"/>
  <c r="S9" i="7" s="1"/>
  <c r="S41" i="7"/>
  <c r="R62" i="7"/>
  <c r="R8" i="7" s="1"/>
  <c r="T25" i="7"/>
  <c r="S29" i="7"/>
  <c r="S7" i="7" s="1"/>
  <c r="U74" i="7" l="1"/>
  <c r="T87" i="7"/>
  <c r="T9" i="7" s="1"/>
  <c r="T41" i="7"/>
  <c r="S62" i="7"/>
  <c r="S8" i="7" s="1"/>
  <c r="U25" i="7"/>
  <c r="T29" i="7"/>
  <c r="T7" i="7" s="1"/>
  <c r="V74" i="7" l="1"/>
  <c r="U87" i="7"/>
  <c r="U9" i="7" s="1"/>
  <c r="U41" i="7"/>
  <c r="T62" i="7"/>
  <c r="T8" i="7" s="1"/>
  <c r="V25" i="7"/>
  <c r="U29" i="7"/>
  <c r="U7" i="7" s="1"/>
  <c r="W74" i="7" l="1"/>
  <c r="V87" i="7"/>
  <c r="V9" i="7" s="1"/>
  <c r="V41" i="7"/>
  <c r="U62" i="7"/>
  <c r="U8" i="7" s="1"/>
  <c r="W25" i="7"/>
  <c r="V29" i="7"/>
  <c r="V7" i="7" s="1"/>
  <c r="X74" i="7" l="1"/>
  <c r="W87" i="7"/>
  <c r="W9" i="7" s="1"/>
  <c r="W41" i="7"/>
  <c r="V62" i="7"/>
  <c r="V8" i="7" s="1"/>
  <c r="X25" i="7"/>
  <c r="W29" i="7"/>
  <c r="W7" i="7" s="1"/>
  <c r="Y74" i="7" l="1"/>
  <c r="X87" i="7"/>
  <c r="X9" i="7" s="1"/>
  <c r="X41" i="7"/>
  <c r="W62" i="7"/>
  <c r="W8" i="7" s="1"/>
  <c r="Y25" i="7"/>
  <c r="X29" i="7"/>
  <c r="X7" i="7" s="1"/>
  <c r="Z74" i="7" l="1"/>
  <c r="Y87" i="7"/>
  <c r="Y9" i="7" s="1"/>
  <c r="Y41" i="7"/>
  <c r="X62" i="7"/>
  <c r="X8" i="7" s="1"/>
  <c r="Z25" i="7"/>
  <c r="Y29" i="7"/>
  <c r="Y7" i="7" s="1"/>
  <c r="AA74" i="7" l="1"/>
  <c r="Z87" i="7"/>
  <c r="Z9" i="7" s="1"/>
  <c r="Z41" i="7"/>
  <c r="Y62" i="7"/>
  <c r="Y8" i="7" s="1"/>
  <c r="AA25" i="7"/>
  <c r="Z29" i="7"/>
  <c r="Z7" i="7" s="1"/>
  <c r="AB74" i="7" l="1"/>
  <c r="AA87" i="7"/>
  <c r="AA9" i="7" s="1"/>
  <c r="AA41" i="7"/>
  <c r="Z62" i="7"/>
  <c r="Z8" i="7" s="1"/>
  <c r="AB25" i="7"/>
  <c r="AA29" i="7"/>
  <c r="AA7" i="7" s="1"/>
  <c r="AC74" i="7" l="1"/>
  <c r="AB87" i="7"/>
  <c r="AB9" i="7" s="1"/>
  <c r="AB41" i="7"/>
  <c r="AA62" i="7"/>
  <c r="AA8" i="7" s="1"/>
  <c r="AC25" i="7"/>
  <c r="AB29" i="7"/>
  <c r="AB7" i="7" s="1"/>
  <c r="AD74" i="7" l="1"/>
  <c r="AC87" i="7"/>
  <c r="AC9" i="7" s="1"/>
  <c r="AC41" i="7"/>
  <c r="AB62" i="7"/>
  <c r="AB8" i="7" s="1"/>
  <c r="AD25" i="7"/>
  <c r="AC29" i="7"/>
  <c r="AC7" i="7" s="1"/>
  <c r="AE74" i="7" l="1"/>
  <c r="AD87" i="7"/>
  <c r="AD9" i="7" s="1"/>
  <c r="AD41" i="7"/>
  <c r="AC62" i="7"/>
  <c r="AC8" i="7" s="1"/>
  <c r="AE25" i="7"/>
  <c r="AD29" i="7"/>
  <c r="AD7" i="7" s="1"/>
  <c r="G11" i="7"/>
  <c r="F11" i="7"/>
  <c r="AF74" i="7" l="1"/>
  <c r="AE87" i="7"/>
  <c r="AE9" i="7" s="1"/>
  <c r="AE41" i="7"/>
  <c r="AD62" i="7"/>
  <c r="AD8" i="7" s="1"/>
  <c r="AF25" i="7"/>
  <c r="AE29" i="7"/>
  <c r="AE7" i="7" s="1"/>
  <c r="AG74" i="7" l="1"/>
  <c r="AG87" i="7" s="1"/>
  <c r="AG9" i="7" s="1"/>
  <c r="AF87" i="7"/>
  <c r="AF9" i="7" s="1"/>
  <c r="AF41" i="7"/>
  <c r="AE62" i="7"/>
  <c r="AE8" i="7" s="1"/>
  <c r="AG25" i="7"/>
  <c r="AG29" i="7" s="1"/>
  <c r="AG7" i="7" s="1"/>
  <c r="AF29" i="7"/>
  <c r="AF7" i="7" s="1"/>
  <c r="G10" i="7"/>
  <c r="F10" i="7"/>
  <c r="AG41" i="7" l="1"/>
  <c r="AG62" i="7" s="1"/>
  <c r="AG8" i="7" s="1"/>
  <c r="AF62" i="7"/>
  <c r="AF8" i="7" s="1"/>
  <c r="A3" i="7" l="1"/>
  <c r="A2" i="7"/>
  <c r="A1" i="7"/>
  <c r="A3" i="6"/>
  <c r="A2" i="6"/>
  <c r="A1" i="6"/>
  <c r="A3" i="3"/>
  <c r="C26" i="2"/>
  <c r="A2" i="3"/>
  <c r="A1" i="3"/>
  <c r="P23" i="3"/>
  <c r="G23" i="3"/>
  <c r="C23" i="3"/>
  <c r="P22" i="3"/>
  <c r="G22" i="3"/>
  <c r="C22" i="3"/>
  <c r="P21" i="3"/>
  <c r="G21" i="3"/>
  <c r="C21" i="3"/>
  <c r="P20" i="3"/>
  <c r="G20" i="3"/>
  <c r="C20" i="3"/>
  <c r="P19" i="3"/>
  <c r="G19" i="3"/>
  <c r="C19" i="3"/>
  <c r="P18" i="3"/>
  <c r="G18" i="3"/>
  <c r="C18" i="3"/>
  <c r="P17" i="3"/>
  <c r="C17" i="3"/>
  <c r="P16" i="3"/>
  <c r="G16" i="3"/>
  <c r="C16" i="3"/>
  <c r="P15" i="3"/>
  <c r="G15" i="3"/>
  <c r="C15" i="3"/>
  <c r="N62" i="3"/>
  <c r="M62" i="3"/>
  <c r="K62" i="3"/>
  <c r="P61" i="3"/>
  <c r="C61" i="3"/>
  <c r="P60" i="3"/>
  <c r="C60" i="3"/>
  <c r="C59" i="3"/>
  <c r="P58" i="3"/>
  <c r="C58" i="3"/>
  <c r="P57" i="3"/>
  <c r="C57" i="3"/>
  <c r="P56" i="3"/>
  <c r="C56" i="3"/>
  <c r="J62" i="3"/>
  <c r="C55" i="3"/>
  <c r="P54" i="3"/>
  <c r="C54" i="3"/>
  <c r="P53" i="3"/>
  <c r="C53" i="3"/>
  <c r="N43" i="3"/>
  <c r="N8" i="3" s="1"/>
  <c r="M43" i="3"/>
  <c r="M8" i="3" s="1"/>
  <c r="K43" i="3"/>
  <c r="J43" i="3"/>
  <c r="P42" i="3"/>
  <c r="C42" i="3"/>
  <c r="P41" i="3"/>
  <c r="C41" i="3"/>
  <c r="P40" i="3"/>
  <c r="C40" i="3"/>
  <c r="P39" i="3"/>
  <c r="C39" i="3"/>
  <c r="C38" i="3"/>
  <c r="P37" i="3"/>
  <c r="C37" i="3"/>
  <c r="P36" i="3"/>
  <c r="C36" i="3"/>
  <c r="P35" i="3"/>
  <c r="C35" i="3"/>
  <c r="P34" i="3"/>
  <c r="C34" i="3"/>
  <c r="A1" i="2"/>
  <c r="L66" i="3" l="1"/>
  <c r="L65" i="3"/>
  <c r="L64" i="3"/>
  <c r="P64" i="3" s="1"/>
  <c r="AC51" i="1"/>
  <c r="AC52" i="1" s="1"/>
  <c r="Q51" i="1"/>
  <c r="Q52" i="1" s="1"/>
  <c r="E51" i="1"/>
  <c r="K31" i="1"/>
  <c r="K32" i="1" s="1"/>
  <c r="W31" i="1"/>
  <c r="W32" i="1" s="1"/>
  <c r="P51" i="1"/>
  <c r="P52" i="1" s="1"/>
  <c r="X31" i="1"/>
  <c r="X32" i="1" s="1"/>
  <c r="F31" i="1"/>
  <c r="T51" i="1"/>
  <c r="T52" i="1" s="1"/>
  <c r="H31" i="1"/>
  <c r="H32" i="1" s="1"/>
  <c r="S51" i="1"/>
  <c r="S52" i="1" s="1"/>
  <c r="F51" i="1"/>
  <c r="AB51" i="1"/>
  <c r="AB52" i="1" s="1"/>
  <c r="L31" i="1"/>
  <c r="L32" i="1" s="1"/>
  <c r="R31" i="1"/>
  <c r="R32" i="1" s="1"/>
  <c r="S31" i="1"/>
  <c r="S32" i="1" s="1"/>
  <c r="U31" i="1"/>
  <c r="U32" i="1" s="1"/>
  <c r="J31" i="1"/>
  <c r="J32" i="1" s="1"/>
  <c r="AA51" i="1"/>
  <c r="AA52" i="1" s="1"/>
  <c r="O51" i="1"/>
  <c r="O52" i="1" s="1"/>
  <c r="M31" i="1"/>
  <c r="M32" i="1" s="1"/>
  <c r="Y31" i="1"/>
  <c r="Y32" i="1" s="1"/>
  <c r="N31" i="1"/>
  <c r="N32" i="1" s="1"/>
  <c r="Q31" i="1"/>
  <c r="Q32" i="1" s="1"/>
  <c r="E31" i="1"/>
  <c r="H51" i="1"/>
  <c r="H52" i="1" s="1"/>
  <c r="T31" i="1"/>
  <c r="T32" i="1" s="1"/>
  <c r="R51" i="1"/>
  <c r="R52" i="1" s="1"/>
  <c r="Z51" i="1"/>
  <c r="Z52" i="1" s="1"/>
  <c r="N51" i="1"/>
  <c r="N52" i="1" s="1"/>
  <c r="Z31" i="1"/>
  <c r="Z32" i="1" s="1"/>
  <c r="J51" i="1"/>
  <c r="J52" i="1" s="1"/>
  <c r="I51" i="1"/>
  <c r="I52" i="1" s="1"/>
  <c r="G51" i="1"/>
  <c r="V31" i="1"/>
  <c r="V32" i="1" s="1"/>
  <c r="Y51" i="1"/>
  <c r="Y52" i="1" s="1"/>
  <c r="M51" i="1"/>
  <c r="M52" i="1" s="1"/>
  <c r="O31" i="1"/>
  <c r="O32" i="1" s="1"/>
  <c r="AA31" i="1"/>
  <c r="AA32" i="1" s="1"/>
  <c r="AC31" i="1"/>
  <c r="AC32" i="1" s="1"/>
  <c r="V51" i="1"/>
  <c r="V52" i="1" s="1"/>
  <c r="U51" i="1"/>
  <c r="U52" i="1" s="1"/>
  <c r="G31" i="1"/>
  <c r="I31" i="1"/>
  <c r="I32" i="1" s="1"/>
  <c r="X51" i="1"/>
  <c r="X52" i="1" s="1"/>
  <c r="L51" i="1"/>
  <c r="L52" i="1" s="1"/>
  <c r="P31" i="1"/>
  <c r="P32" i="1" s="1"/>
  <c r="AB31" i="1"/>
  <c r="AB32" i="1" s="1"/>
  <c r="W51" i="1"/>
  <c r="W52" i="1" s="1"/>
  <c r="K51" i="1"/>
  <c r="K52" i="1" s="1"/>
  <c r="P66" i="3"/>
  <c r="P65" i="3"/>
  <c r="L27" i="3"/>
  <c r="K27" i="3"/>
  <c r="N27" i="3"/>
  <c r="M27" i="3"/>
  <c r="J27" i="3"/>
  <c r="N9" i="3"/>
  <c r="P38" i="3"/>
  <c r="P43" i="3" s="1"/>
  <c r="L45" i="3"/>
  <c r="P45" i="3" s="1"/>
  <c r="L47" i="3"/>
  <c r="P47" i="3" s="1"/>
  <c r="P59" i="3"/>
  <c r="M9" i="3"/>
  <c r="J46" i="3"/>
  <c r="M46" i="3"/>
  <c r="K46" i="3"/>
  <c r="N46" i="3"/>
  <c r="L46" i="3"/>
  <c r="P24" i="3"/>
  <c r="J8" i="3"/>
  <c r="E29" i="1"/>
  <c r="N7" i="3"/>
  <c r="I16" i="1"/>
  <c r="I20" i="1" s="1"/>
  <c r="J9" i="3"/>
  <c r="E49" i="1"/>
  <c r="J7" i="3"/>
  <c r="E16" i="1"/>
  <c r="K7" i="3"/>
  <c r="F16" i="1"/>
  <c r="F20" i="1" s="1"/>
  <c r="K8" i="3"/>
  <c r="F29" i="1"/>
  <c r="M7" i="3"/>
  <c r="H16" i="1"/>
  <c r="H20" i="1" s="1"/>
  <c r="K9" i="3"/>
  <c r="F49" i="1"/>
  <c r="L62" i="3"/>
  <c r="L43" i="3"/>
  <c r="P55" i="3"/>
  <c r="F52" i="1" l="1"/>
  <c r="E52" i="1"/>
  <c r="C62" i="1" s="1"/>
  <c r="F32" i="1"/>
  <c r="E32" i="1"/>
  <c r="P27" i="3"/>
  <c r="P46" i="3"/>
  <c r="P62" i="3"/>
  <c r="L7" i="3"/>
  <c r="G7" i="3" s="1"/>
  <c r="G16" i="1"/>
  <c r="G20" i="1" s="1"/>
  <c r="L8" i="3"/>
  <c r="G8" i="3" s="1"/>
  <c r="G29" i="1"/>
  <c r="G32" i="1" s="1"/>
  <c r="L9" i="3"/>
  <c r="H9" i="3" s="1"/>
  <c r="G49" i="1"/>
  <c r="G52" i="1" s="1"/>
  <c r="G9" i="3"/>
  <c r="E20" i="1"/>
  <c r="E56" i="1"/>
  <c r="E36" i="1"/>
  <c r="C42" i="1" l="1"/>
  <c r="H8" i="3"/>
  <c r="C22" i="1"/>
  <c r="H7" i="3"/>
  <c r="C24" i="1"/>
  <c r="F36" i="1"/>
  <c r="F56" i="1"/>
  <c r="E37" i="1" l="1"/>
  <c r="E57" i="1"/>
  <c r="E7" i="1" a="1"/>
  <c r="E7" i="1" s="1"/>
  <c r="E35" i="1"/>
  <c r="E55" i="1"/>
  <c r="G36" i="1"/>
  <c r="G56" i="1"/>
  <c r="E38" i="1" l="1"/>
  <c r="E40" i="1" s="1"/>
  <c r="E58" i="1"/>
  <c r="F57" i="1"/>
  <c r="F37" i="1"/>
  <c r="H36" i="1"/>
  <c r="H56" i="1"/>
  <c r="F55" i="1"/>
  <c r="F35" i="1"/>
  <c r="E60" i="1" l="1"/>
  <c r="F38" i="1"/>
  <c r="F40" i="1" s="1"/>
  <c r="F58" i="1"/>
  <c r="F60" i="1" s="1"/>
  <c r="G57" i="1"/>
  <c r="G37" i="1"/>
  <c r="I56" i="1"/>
  <c r="I36" i="1"/>
  <c r="G55" i="1"/>
  <c r="G35" i="1"/>
  <c r="G38" i="1" l="1"/>
  <c r="G40" i="1" s="1"/>
  <c r="G58" i="1"/>
  <c r="G60" i="1" s="1"/>
  <c r="H37" i="1"/>
  <c r="H57" i="1"/>
  <c r="H35" i="1"/>
  <c r="H55" i="1"/>
  <c r="J36" i="1"/>
  <c r="J56" i="1"/>
  <c r="H38" i="1" l="1"/>
  <c r="H40" i="1" s="1"/>
  <c r="H58" i="1"/>
  <c r="H60" i="1" s="1"/>
  <c r="I37" i="1"/>
  <c r="I57" i="1"/>
  <c r="I35" i="1"/>
  <c r="I55" i="1"/>
  <c r="K56" i="1"/>
  <c r="K36" i="1"/>
  <c r="I38" i="1" l="1"/>
  <c r="I40" i="1" s="1"/>
  <c r="I58" i="1"/>
  <c r="I60" i="1" s="1"/>
  <c r="J37" i="1"/>
  <c r="J57" i="1"/>
  <c r="J55" i="1"/>
  <c r="J35" i="1"/>
  <c r="L56" i="1"/>
  <c r="L36" i="1"/>
  <c r="J38" i="1" l="1"/>
  <c r="J40" i="1" s="1"/>
  <c r="J58" i="1"/>
  <c r="J60" i="1" s="1"/>
  <c r="K37" i="1"/>
  <c r="K57" i="1"/>
  <c r="K55" i="1"/>
  <c r="K35" i="1"/>
  <c r="M56" i="1"/>
  <c r="M36" i="1"/>
  <c r="K38" i="1" l="1"/>
  <c r="K40" i="1" s="1"/>
  <c r="K58" i="1"/>
  <c r="K60" i="1" s="1"/>
  <c r="L57" i="1"/>
  <c r="L37" i="1"/>
  <c r="L55" i="1"/>
  <c r="L35" i="1"/>
  <c r="N36" i="1"/>
  <c r="N56" i="1"/>
  <c r="L38" i="1" l="1"/>
  <c r="L40" i="1" s="1"/>
  <c r="L58" i="1"/>
  <c r="M57" i="1"/>
  <c r="M37" i="1"/>
  <c r="M55" i="1"/>
  <c r="M35" i="1"/>
  <c r="O36" i="1"/>
  <c r="O56" i="1"/>
  <c r="L60" i="1" l="1"/>
  <c r="N57" i="1"/>
  <c r="N37" i="1"/>
  <c r="M38" i="1"/>
  <c r="M40" i="1" s="1"/>
  <c r="M58" i="1"/>
  <c r="M60" i="1" s="1"/>
  <c r="N55" i="1"/>
  <c r="N35" i="1"/>
  <c r="P36" i="1"/>
  <c r="P56" i="1"/>
  <c r="N38" i="1" l="1"/>
  <c r="N40" i="1" s="1"/>
  <c r="N58" i="1"/>
  <c r="N60" i="1" s="1"/>
  <c r="O57" i="1"/>
  <c r="O37" i="1"/>
  <c r="O35" i="1"/>
  <c r="O55" i="1"/>
  <c r="Q56" i="1"/>
  <c r="Q36" i="1"/>
  <c r="O58" i="1" l="1"/>
  <c r="O60" i="1" s="1"/>
  <c r="O38" i="1"/>
  <c r="O40" i="1" s="1"/>
  <c r="P37" i="1"/>
  <c r="P57" i="1"/>
  <c r="P35" i="1"/>
  <c r="P55" i="1"/>
  <c r="R56" i="1"/>
  <c r="R36" i="1"/>
  <c r="P38" i="1" l="1"/>
  <c r="P40" i="1" s="1"/>
  <c r="P58" i="1"/>
  <c r="P60" i="1" s="1"/>
  <c r="Q57" i="1"/>
  <c r="Q37" i="1"/>
  <c r="Q35" i="1"/>
  <c r="Q55" i="1"/>
  <c r="S56" i="1"/>
  <c r="S36" i="1"/>
  <c r="Q38" i="1" l="1"/>
  <c r="Q40" i="1" s="1"/>
  <c r="Q58" i="1"/>
  <c r="Q60" i="1" s="1"/>
  <c r="R37" i="1"/>
  <c r="R57" i="1"/>
  <c r="R55" i="1"/>
  <c r="R35" i="1"/>
  <c r="T56" i="1"/>
  <c r="T36" i="1"/>
  <c r="R38" i="1" l="1"/>
  <c r="R40" i="1" s="1"/>
  <c r="R58" i="1"/>
  <c r="R60" i="1" s="1"/>
  <c r="S57" i="1"/>
  <c r="S37" i="1"/>
  <c r="S35" i="1"/>
  <c r="S55" i="1"/>
  <c r="U56" i="1"/>
  <c r="U36" i="1"/>
  <c r="S58" i="1" l="1"/>
  <c r="S60" i="1" s="1"/>
  <c r="S38" i="1"/>
  <c r="S40" i="1" s="1"/>
  <c r="T57" i="1"/>
  <c r="T37" i="1"/>
  <c r="T55" i="1"/>
  <c r="T35" i="1"/>
  <c r="V56" i="1"/>
  <c r="V36" i="1"/>
  <c r="T58" i="1" l="1"/>
  <c r="T60" i="1" s="1"/>
  <c r="T38" i="1"/>
  <c r="T40" i="1" s="1"/>
  <c r="U37" i="1"/>
  <c r="U57" i="1"/>
  <c r="U55" i="1"/>
  <c r="U35" i="1"/>
  <c r="W56" i="1"/>
  <c r="W36" i="1"/>
  <c r="U58" i="1" l="1"/>
  <c r="U60" i="1" s="1"/>
  <c r="U38" i="1"/>
  <c r="U40" i="1" s="1"/>
  <c r="V37" i="1"/>
  <c r="V57" i="1"/>
  <c r="V35" i="1"/>
  <c r="V55" i="1"/>
  <c r="X56" i="1"/>
  <c r="X36" i="1"/>
  <c r="V58" i="1" l="1"/>
  <c r="V60" i="1" s="1"/>
  <c r="V38" i="1"/>
  <c r="V40" i="1" s="1"/>
  <c r="W37" i="1"/>
  <c r="W57" i="1"/>
  <c r="Y56" i="1"/>
  <c r="Y36" i="1"/>
  <c r="W35" i="1"/>
  <c r="W55" i="1"/>
  <c r="W58" i="1" l="1"/>
  <c r="W60" i="1" s="1"/>
  <c r="W38" i="1"/>
  <c r="W40" i="1" s="1"/>
  <c r="X37" i="1"/>
  <c r="X57" i="1"/>
  <c r="Z56" i="1"/>
  <c r="Z36" i="1"/>
  <c r="X55" i="1"/>
  <c r="X35" i="1"/>
  <c r="X38" i="1" l="1"/>
  <c r="X40" i="1" s="1"/>
  <c r="X58" i="1"/>
  <c r="X60" i="1" s="1"/>
  <c r="Y37" i="1"/>
  <c r="Y57" i="1"/>
  <c r="Y55" i="1"/>
  <c r="Y35" i="1"/>
  <c r="AA36" i="1"/>
  <c r="AA56" i="1"/>
  <c r="Y38" i="1" l="1"/>
  <c r="Y40" i="1" s="1"/>
  <c r="Y58" i="1"/>
  <c r="Y60" i="1" s="1"/>
  <c r="Z37" i="1"/>
  <c r="Z57" i="1"/>
  <c r="F9" i="7"/>
  <c r="G9" i="7"/>
  <c r="Z55" i="1"/>
  <c r="Z35" i="1"/>
  <c r="AC56" i="1"/>
  <c r="AC36" i="1"/>
  <c r="G8" i="7"/>
  <c r="F8" i="7"/>
  <c r="AB36" i="1"/>
  <c r="AB56" i="1"/>
  <c r="Z38" i="1" l="1"/>
  <c r="Z40" i="1" s="1"/>
  <c r="Z58" i="1"/>
  <c r="Z60" i="1" s="1"/>
  <c r="AA57" i="1"/>
  <c r="AA37" i="1"/>
  <c r="AA35" i="1"/>
  <c r="AA55" i="1"/>
  <c r="AA38" i="1" l="1"/>
  <c r="AA40" i="1" s="1"/>
  <c r="AA58" i="1"/>
  <c r="AA60" i="1" s="1"/>
  <c r="AB37" i="1"/>
  <c r="AB57" i="1"/>
  <c r="AC37" i="1"/>
  <c r="AC57" i="1"/>
  <c r="AC35" i="1"/>
  <c r="AC55" i="1"/>
  <c r="F7" i="7"/>
  <c r="G7" i="7"/>
  <c r="AB35" i="1"/>
  <c r="AB55" i="1"/>
  <c r="AB38" i="1" l="1"/>
  <c r="AB40" i="1" s="1"/>
  <c r="AB58" i="1"/>
  <c r="AB60" i="1" s="1"/>
  <c r="AC58" i="1"/>
  <c r="C63" i="1" s="1"/>
  <c r="AC38" i="1"/>
  <c r="AC40" i="1" s="1"/>
  <c r="C44" i="1" l="1"/>
  <c r="AC60" i="1"/>
  <c r="C64" i="1" s="1"/>
  <c r="C43" i="1"/>
  <c r="E9" i="1" l="1" a="1"/>
  <c r="E9" i="1" s="1"/>
  <c r="E8" i="1" a="1"/>
  <c r="E8" i="1" s="1"/>
  <c r="C8" i="5" l="1"/>
  <c r="D8" i="1"/>
  <c r="D7" i="1"/>
  <c r="D9" i="1"/>
  <c r="B17" i="5" l="1" a="1"/>
  <c r="C19" i="5" s="1" a="1"/>
  <c r="C19" i="5" s="1"/>
  <c r="C44" i="5" s="1"/>
  <c r="B49" i="5"/>
  <c r="C33" i="5"/>
  <c r="C16" i="5" a="1"/>
  <c r="C16" i="5" s="1"/>
  <c r="C41" i="5" s="1"/>
  <c r="C11" i="5" a="1"/>
  <c r="C11" i="5" s="1"/>
  <c r="C36" i="5" s="1"/>
  <c r="B13" i="5" a="1"/>
  <c r="B13" i="5" s="1"/>
  <c r="C13" i="5" s="1" a="1"/>
  <c r="C13" i="5" s="1"/>
  <c r="C12" i="5"/>
  <c r="C37" i="5" s="1"/>
  <c r="C25" i="5" a="1"/>
  <c r="C21" i="5" a="1"/>
  <c r="C21" i="5" s="1"/>
  <c r="C46" i="5" s="1"/>
  <c r="B24" i="5"/>
  <c r="C18" i="5" l="1" a="1"/>
  <c r="C18" i="5" s="1"/>
  <c r="C43" i="5" s="1"/>
  <c r="B17" i="5"/>
  <c r="C25" i="5"/>
  <c r="G51" i="5"/>
  <c r="G50" i="5"/>
  <c r="G52" i="5"/>
  <c r="D50" i="5"/>
  <c r="F51" i="5"/>
  <c r="E51" i="5"/>
  <c r="C51" i="5"/>
  <c r="F50" i="5"/>
  <c r="E50" i="5"/>
  <c r="F52" i="5"/>
  <c r="D51" i="5"/>
  <c r="C52" i="5"/>
  <c r="E52" i="5"/>
  <c r="D52" i="5"/>
  <c r="C38" i="5"/>
  <c r="B38" i="5"/>
  <c r="B44" i="5"/>
  <c r="B43" i="5"/>
  <c r="D28" i="5"/>
  <c r="D53" i="5" s="1"/>
  <c r="F28" i="5"/>
  <c r="F53" i="5" s="1"/>
  <c r="E28" i="5"/>
  <c r="E53" i="5" s="1"/>
  <c r="G28" i="5"/>
  <c r="G53" i="5" s="1"/>
  <c r="C28" i="5" l="1"/>
  <c r="C53" i="5" s="1"/>
  <c r="C50" i="5"/>
  <c r="C17" i="5" a="1"/>
  <c r="C17" i="5" s="1"/>
  <c r="C42" i="5" s="1"/>
  <c r="D46" i="5" s="1"/>
  <c r="B42" i="5"/>
  <c r="D21" i="5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<sst xmlns="http://schemas.openxmlformats.org/spreadsheetml/2006/main" count="737" uniqueCount="162">
  <si>
    <t>Key:</t>
  </si>
  <si>
    <t>Input</t>
  </si>
  <si>
    <t>Regulation only input</t>
  </si>
  <si>
    <t>Regulatory assumptions</t>
  </si>
  <si>
    <t>Formula do not edit</t>
  </si>
  <si>
    <t>Assumption Types</t>
  </si>
  <si>
    <t>Assumptions</t>
  </si>
  <si>
    <t>Parameters</t>
  </si>
  <si>
    <t>Area Applied</t>
  </si>
  <si>
    <t>Business:</t>
  </si>
  <si>
    <t>Cost inputs from SME:</t>
  </si>
  <si>
    <t>2023/24</t>
  </si>
  <si>
    <t>Real Discount rate:</t>
  </si>
  <si>
    <t>Labour</t>
  </si>
  <si>
    <t>Materials</t>
  </si>
  <si>
    <t>Contracts</t>
  </si>
  <si>
    <t>Escalation: for Regulation use</t>
  </si>
  <si>
    <t>2022/23</t>
  </si>
  <si>
    <t>2024/25</t>
  </si>
  <si>
    <t>2025/26</t>
  </si>
  <si>
    <t>Option 2</t>
  </si>
  <si>
    <t>2026/27</t>
  </si>
  <si>
    <t>2027/28</t>
  </si>
  <si>
    <t>2028/29</t>
  </si>
  <si>
    <t>2029/30</t>
  </si>
  <si>
    <t>2030/31</t>
  </si>
  <si>
    <t>Total</t>
  </si>
  <si>
    <t xml:space="preserve">New Depot Design </t>
  </si>
  <si>
    <t>Staff Relocation / Alternative Accom</t>
  </si>
  <si>
    <t>Land acquisition</t>
  </si>
  <si>
    <t>Civil Works/Demolition works</t>
  </si>
  <si>
    <t xml:space="preserve">Building works </t>
  </si>
  <si>
    <t xml:space="preserve">Services </t>
  </si>
  <si>
    <t>Fixtures, Furniture &amp; equipment</t>
  </si>
  <si>
    <t>Other</t>
  </si>
  <si>
    <t>Project Management</t>
  </si>
  <si>
    <t>Total Property Cost</t>
  </si>
  <si>
    <t>Option 3</t>
  </si>
  <si>
    <t>Material</t>
  </si>
  <si>
    <t>Total Property Costs ($ 2025/26)</t>
  </si>
  <si>
    <t>Option 1</t>
  </si>
  <si>
    <t>Options</t>
  </si>
  <si>
    <t>Do nothing</t>
  </si>
  <si>
    <t>-</t>
  </si>
  <si>
    <t>Model name</t>
  </si>
  <si>
    <t>Preferred option:</t>
  </si>
  <si>
    <t>Cost summary</t>
  </si>
  <si>
    <t>Output for business case:</t>
  </si>
  <si>
    <t>Risk summary</t>
  </si>
  <si>
    <t>Option</t>
  </si>
  <si>
    <t>Cost inputs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</si>
  <si>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</si>
  <si>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</si>
  <si>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</si>
  <si>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</si>
  <si>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</si>
  <si>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</si>
  <si>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</si>
  <si>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</si>
  <si>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</si>
  <si>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</si>
  <si>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</si>
  <si>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</si>
  <si>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2043/44</t>
  </si>
  <si>
    <t>2044/45</t>
  </si>
  <si>
    <t>2045/46</t>
  </si>
  <si>
    <t>2046/47</t>
  </si>
  <si>
    <t>2047/48</t>
  </si>
  <si>
    <t>2048/49</t>
  </si>
  <si>
    <t>2049/50</t>
  </si>
  <si>
    <t>2050/51</t>
  </si>
  <si>
    <t>Risk category</t>
  </si>
  <si>
    <t>Risk calculations</t>
  </si>
  <si>
    <t>Loss of efficiency during redevelopment</t>
  </si>
  <si>
    <t>Input name</t>
  </si>
  <si>
    <t>Unit</t>
  </si>
  <si>
    <t>Value</t>
  </si>
  <si>
    <t>Conversion required</t>
  </si>
  <si>
    <t>#</t>
  </si>
  <si>
    <t>%</t>
  </si>
  <si>
    <t>Unit used for risk calculations</t>
  </si>
  <si>
    <t>Value used for risk calculations</t>
  </si>
  <si>
    <t>2021/22</t>
  </si>
  <si>
    <t>2020/21</t>
  </si>
  <si>
    <t>2019/20</t>
  </si>
  <si>
    <t>$ 2024</t>
  </si>
  <si>
    <t>Staff</t>
  </si>
  <si>
    <t>Average cost per FTE</t>
  </si>
  <si>
    <t>Office staff (FTE)</t>
  </si>
  <si>
    <t>Average cost per FTE p.a.</t>
  </si>
  <si>
    <t>Productivity loss</t>
  </si>
  <si>
    <t>Deterioration in productivity p.a.</t>
  </si>
  <si>
    <t>Productivity loss as at 2024</t>
  </si>
  <si>
    <t>Total office personnel (FTE)</t>
  </si>
  <si>
    <t>Death or serious injury caused by structural failure</t>
  </si>
  <si>
    <t>Safety</t>
  </si>
  <si>
    <t>Value of statistical life</t>
  </si>
  <si>
    <t>Disproportionality factor</t>
  </si>
  <si>
    <t>Probability of major structural failure p.a.</t>
  </si>
  <si>
    <t>Value of statistical life ($ 000)</t>
  </si>
  <si>
    <t>Annual major failure probability</t>
  </si>
  <si>
    <t>Productivity reduction</t>
  </si>
  <si>
    <t>Reduced office productivity during disruption</t>
  </si>
  <si>
    <t>Productivity loss during depot redevelopment</t>
  </si>
  <si>
    <t>NPV</t>
  </si>
  <si>
    <t>Options summary</t>
  </si>
  <si>
    <t>Options Analysis</t>
  </si>
  <si>
    <t>Costs</t>
  </si>
  <si>
    <t>Capex</t>
  </si>
  <si>
    <t>Risks avoided</t>
  </si>
  <si>
    <t>PV costs</t>
  </si>
  <si>
    <t>PV benefits</t>
  </si>
  <si>
    <t>Additional costs</t>
  </si>
  <si>
    <t>Total costs</t>
  </si>
  <si>
    <t>Total benefits</t>
  </si>
  <si>
    <t>Benefits/Risks avoided</t>
  </si>
  <si>
    <t>PV Costs</t>
  </si>
  <si>
    <t>PV Benefits</t>
  </si>
  <si>
    <t>Preferred Option</t>
  </si>
  <si>
    <t>PV of benefits</t>
  </si>
  <si>
    <t>PV of Costs</t>
  </si>
  <si>
    <t>Regulatory proposal 2026-31</t>
  </si>
  <si>
    <t>Model number:</t>
  </si>
  <si>
    <t>$ 2022</t>
  </si>
  <si>
    <t>CPI Lagged conversion to June 24</t>
  </si>
  <si>
    <t>CPI Lagged conversion to June 26</t>
  </si>
  <si>
    <t>Productivity lost as at 2024 in office due to outdated facilities</t>
  </si>
  <si>
    <t>Powercor</t>
  </si>
  <si>
    <t>Upgrade existing site</t>
  </si>
  <si>
    <t>New lease for head office</t>
  </si>
  <si>
    <t>Head office</t>
  </si>
  <si>
    <t>Multiply by (2024 to 2026):</t>
  </si>
  <si>
    <t>Cost summary: Total Citipower, Powercor &amp; United Energy</t>
  </si>
  <si>
    <t>Cost allocation</t>
  </si>
  <si>
    <t>Cost &amp; benefit allocation</t>
  </si>
  <si>
    <t>Citipower</t>
  </si>
  <si>
    <t>United Energy</t>
  </si>
  <si>
    <t>Cost allocation for this business</t>
  </si>
  <si>
    <t>Not fit for purpose</t>
  </si>
  <si>
    <t>Reduced productivity due to insufficient meeting rooms, collaboration spaces, hot desking capability</t>
  </si>
  <si>
    <t>Productivity lost as at 2024 in field due to office not fit for purpose</t>
  </si>
  <si>
    <t>Aged facilities</t>
  </si>
  <si>
    <t>Reduced office productivity due to aged facilities (slow lifts, out of order etc.)</t>
  </si>
  <si>
    <t>Increased maintenance costs</t>
  </si>
  <si>
    <t>Annual office maintenance costs in 2024</t>
  </si>
  <si>
    <t>Annual increase in maintenance costs</t>
  </si>
  <si>
    <t>Maintenance</t>
  </si>
  <si>
    <t>Annual maintenance costs</t>
  </si>
  <si>
    <t>Portion of maintenance costs attributable to aged facilities</t>
  </si>
  <si>
    <t>Annual increase in maintenance costs of aged facilities</t>
  </si>
  <si>
    <t>Maintenance costs attributable to aged facilities</t>
  </si>
  <si>
    <t>Increase in likelihood of major structural failure p.a.</t>
  </si>
  <si>
    <t>Increase in risk with age per annum</t>
  </si>
  <si>
    <t>Reduced employee wellbeing and satisfaction</t>
  </si>
  <si>
    <t>Reduced productivity due to reduced employee wellbeing and satisfaction</t>
  </si>
  <si>
    <t>Productivity lost as at 2024 due to reduced employee wellbeing and satisfaction</t>
  </si>
  <si>
    <t>Productivity lost as at 2024 due to reduced staff retention/increased turnover</t>
  </si>
  <si>
    <t>Deterioration in productivity p.a. due to reduced staff retention/increased turnover</t>
  </si>
  <si>
    <t>Deterioration in productivity p.a. due to reduced employee wellbeing and satisfaction</t>
  </si>
  <si>
    <t>Reduced productivity due to reduced staff retention/increased turnover</t>
  </si>
  <si>
    <t>Productivity loss due to suboptimal site location</t>
  </si>
  <si>
    <t>Suboptimal site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</si>
</sst>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00"/>
    <numFmt numFmtId="165" formatCode="_-* #,##0_-;\-* #,##0_-;_-* &quot;-&quot;??_-;_-@_-"/>
    <numFmt numFmtId="166" formatCode="0.0000"/>
    <numFmt numFmtId="167" formatCode="&quot;$&quot;\ mmmm\ yyyy"/>
    <numFmt numFmtId="168" formatCode="#,##0.00_ ;[Red]\-#,##0.00\ "/>
    <numFmt numFmtId="169" formatCode="#,##0_ ;[Red]\-#,##0\ "/>
    <numFmt numFmtId="171" formatCode="#,##0.00\ ;[Red]\(#,##0.00\);\-"/>
    <numFmt numFmtId="172" formatCode="dd\ mmmm\ yyyy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FF"/>
      <name val="Calibri"/>
      <family val="2"/>
    </font>
    <font>
      <b/>
      <sz val="12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0"/>
      <color rgb="FF0066FF"/>
      <name val="Calibri"/>
      <family val="2"/>
    </font>
    <font>
      <i/>
      <sz val="8"/>
      <color theme="0" tint="-0.34998626667073579"/>
      <name val="Calibri"/>
      <family val="2"/>
    </font>
    <font>
      <b/>
      <i/>
      <sz val="10"/>
      <color theme="0" tint="-0.34998626667073579"/>
      <name val="Calibri"/>
      <family val="2"/>
    </font>
    <font>
      <i/>
      <sz val="10"/>
      <color theme="0" tint="-0.34998626667073579"/>
      <name val="Calibri"/>
      <family val="2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15" fillId="0" borderId="0"/>
    <xf numFmtId="9" fontId="15" fillId="0" borderId="0" applyFont="0" applyFill="0" applyBorder="0" applyAlignment="0" applyProtection="0"/>
    <xf numFmtId="0" fontId="1" fillId="0" borderId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5" fillId="0" borderId="0"/>
  </cellStyleXfs>
  <cellXfs count="155">
    <xf numFmtId="0" fontId="0" fillId="0" borderId="0" xfId="0"/>
    <xf numFmtId="0" fontId="3" fillId="2" borderId="0" xfId="2" applyFont="1" applyFill="1" applyAlignment="1">
      <alignment horizontal="right"/>
    </xf>
    <xf numFmtId="10" fontId="4" fillId="3" borderId="1" xfId="3" applyNumberFormat="1" applyFont="1" applyFill="1" applyBorder="1" applyAlignment="1">
      <alignment horizontal="left"/>
    </xf>
    <xf numFmtId="0" fontId="0" fillId="0" borderId="0" xfId="2" applyFont="1"/>
    <xf numFmtId="10" fontId="5" fillId="2" borderId="0" xfId="2" applyNumberFormat="1" applyFont="1" applyFill="1"/>
    <xf numFmtId="0" fontId="5" fillId="2" borderId="0" xfId="2" applyFont="1" applyFill="1"/>
    <xf numFmtId="10" fontId="4" fillId="4" borderId="1" xfId="3" applyNumberFormat="1" applyFont="1" applyFill="1" applyBorder="1" applyAlignment="1">
      <alignment horizontal="left"/>
    </xf>
    <xf numFmtId="0" fontId="6" fillId="2" borderId="0" xfId="2" applyFont="1" applyFill="1"/>
    <xf numFmtId="0" fontId="7" fillId="2" borderId="0" xfId="2" applyFont="1" applyFill="1"/>
    <xf numFmtId="0" fontId="8" fillId="5" borderId="1" xfId="2" applyFont="1" applyFill="1" applyBorder="1" applyAlignment="1">
      <alignment horizontal="left"/>
    </xf>
    <xf numFmtId="0" fontId="9" fillId="0" borderId="0" xfId="2" applyFont="1"/>
    <xf numFmtId="0" fontId="11" fillId="0" borderId="0" xfId="4" applyFont="1" applyAlignment="1">
      <alignment horizontal="left" vertical="center"/>
    </xf>
    <xf numFmtId="0" fontId="12" fillId="0" borderId="0" xfId="4" applyFont="1" applyAlignment="1">
      <alignment horizontal="left" vertical="center"/>
    </xf>
    <xf numFmtId="0" fontId="13" fillId="0" borderId="0" xfId="2" applyFont="1"/>
    <xf numFmtId="10" fontId="14" fillId="3" borderId="3" xfId="3" applyNumberFormat="1" applyFont="1" applyFill="1" applyBorder="1" applyProtection="1">
      <protection locked="0"/>
    </xf>
    <xf numFmtId="10" fontId="14" fillId="3" borderId="3" xfId="3" applyNumberFormat="1" applyFont="1" applyFill="1" applyBorder="1" applyAlignment="1">
      <alignment horizontal="left"/>
    </xf>
    <xf numFmtId="0" fontId="12" fillId="0" borderId="0" xfId="4" applyFont="1" applyAlignment="1">
      <alignment horizontal="right" vertical="center"/>
    </xf>
    <xf numFmtId="0" fontId="13" fillId="0" borderId="0" xfId="5" applyFont="1" applyAlignment="1">
      <alignment horizontal="left"/>
    </xf>
    <xf numFmtId="0" fontId="13" fillId="0" borderId="0" xfId="5" applyFont="1"/>
    <xf numFmtId="10" fontId="14" fillId="4" borderId="3" xfId="6" applyNumberFormat="1" applyFont="1" applyFill="1" applyBorder="1" applyAlignment="1">
      <alignment horizontal="right"/>
    </xf>
    <xf numFmtId="0" fontId="17" fillId="0" borderId="0" xfId="5" applyFont="1"/>
    <xf numFmtId="0" fontId="17" fillId="0" borderId="0" xfId="5" applyFont="1" applyAlignment="1">
      <alignment horizontal="right"/>
    </xf>
    <xf numFmtId="0" fontId="17" fillId="0" borderId="4" xfId="5" applyFont="1" applyBorder="1" applyAlignment="1">
      <alignment horizontal="right"/>
    </xf>
    <xf numFmtId="0" fontId="18" fillId="0" borderId="5" xfId="5" applyFont="1" applyBorder="1" applyAlignment="1">
      <alignment horizontal="left"/>
    </xf>
    <xf numFmtId="0" fontId="8" fillId="0" borderId="5" xfId="5" applyFont="1" applyBorder="1"/>
    <xf numFmtId="0" fontId="19" fillId="0" borderId="5" xfId="5" applyFont="1" applyBorder="1"/>
    <xf numFmtId="0" fontId="18" fillId="0" borderId="5" xfId="5" applyFont="1" applyBorder="1" applyAlignment="1">
      <alignment horizontal="right"/>
    </xf>
    <xf numFmtId="10" fontId="18" fillId="0" borderId="0" xfId="6" applyNumberFormat="1" applyFont="1"/>
    <xf numFmtId="0" fontId="15" fillId="0" borderId="0" xfId="5"/>
    <xf numFmtId="10" fontId="4" fillId="0" borderId="0" xfId="6" applyNumberFormat="1" applyFont="1"/>
    <xf numFmtId="0" fontId="20" fillId="0" borderId="0" xfId="5" applyFont="1"/>
    <xf numFmtId="164" fontId="13" fillId="0" borderId="3" xfId="5" applyNumberFormat="1" applyFont="1" applyBorder="1"/>
    <xf numFmtId="0" fontId="3" fillId="2" borderId="0" xfId="2" applyFont="1" applyFill="1"/>
    <xf numFmtId="0" fontId="17" fillId="6" borderId="0" xfId="5" applyFont="1" applyFill="1" applyAlignment="1">
      <alignment horizontal="left"/>
    </xf>
    <xf numFmtId="0" fontId="15" fillId="6" borderId="0" xfId="5" applyFill="1"/>
    <xf numFmtId="165" fontId="0" fillId="6" borderId="0" xfId="9" applyNumberFormat="1" applyFont="1" applyFill="1"/>
    <xf numFmtId="10" fontId="17" fillId="0" borderId="4" xfId="5" applyNumberFormat="1" applyFont="1" applyBorder="1" applyProtection="1">
      <protection locked="0"/>
    </xf>
    <xf numFmtId="0" fontId="15" fillId="0" borderId="4" xfId="5" applyBorder="1"/>
    <xf numFmtId="0" fontId="17" fillId="0" borderId="4" xfId="5" applyFont="1" applyBorder="1"/>
    <xf numFmtId="0" fontId="17" fillId="0" borderId="4" xfId="5" applyFont="1" applyBorder="1" applyAlignment="1">
      <alignment horizontal="left"/>
    </xf>
    <xf numFmtId="0" fontId="17" fillId="0" borderId="4" xfId="5" applyFont="1" applyBorder="1" applyAlignment="1">
      <alignment horizontal="center"/>
    </xf>
    <xf numFmtId="0" fontId="21" fillId="0" borderId="0" xfId="5" applyFont="1"/>
    <xf numFmtId="165" fontId="15" fillId="0" borderId="0" xfId="5" applyNumberFormat="1"/>
    <xf numFmtId="9" fontId="15" fillId="3" borderId="0" xfId="5" applyNumberFormat="1" applyFill="1" applyProtection="1">
      <protection locked="0"/>
    </xf>
    <xf numFmtId="9" fontId="15" fillId="0" borderId="0" xfId="5" applyNumberFormat="1"/>
    <xf numFmtId="165" fontId="0" fillId="3" borderId="0" xfId="9" applyNumberFormat="1" applyFont="1" applyFill="1" applyProtection="1">
      <protection locked="0"/>
    </xf>
    <xf numFmtId="165" fontId="15" fillId="0" borderId="0" xfId="5" applyNumberFormat="1" applyAlignment="1">
      <alignment horizontal="right"/>
    </xf>
    <xf numFmtId="0" fontId="15" fillId="7" borderId="0" xfId="5" applyFill="1"/>
    <xf numFmtId="0" fontId="21" fillId="0" borderId="4" xfId="5" applyFont="1" applyBorder="1"/>
    <xf numFmtId="0" fontId="22" fillId="0" borderId="0" xfId="5" applyFont="1"/>
    <xf numFmtId="165" fontId="17" fillId="0" borderId="5" xfId="9" applyNumberFormat="1" applyFont="1" applyBorder="1"/>
    <xf numFmtId="165" fontId="17" fillId="0" borderId="5" xfId="5" applyNumberFormat="1" applyFont="1" applyBorder="1" applyAlignment="1">
      <alignment horizontal="right"/>
    </xf>
    <xf numFmtId="165" fontId="17" fillId="0" borderId="0" xfId="9" applyNumberFormat="1" applyFont="1"/>
    <xf numFmtId="165" fontId="17" fillId="0" borderId="0" xfId="5" applyNumberFormat="1" applyFont="1" applyAlignment="1">
      <alignment horizontal="right"/>
    </xf>
    <xf numFmtId="165" fontId="0" fillId="0" borderId="0" xfId="9" applyNumberFormat="1" applyFont="1"/>
    <xf numFmtId="0" fontId="23" fillId="0" borderId="0" xfId="5" applyFont="1"/>
    <xf numFmtId="0" fontId="17" fillId="0" borderId="5" xfId="5" applyFont="1" applyBorder="1"/>
    <xf numFmtId="0" fontId="15" fillId="0" borderId="5" xfId="5" applyBorder="1"/>
    <xf numFmtId="10" fontId="6" fillId="2" borderId="0" xfId="2" applyNumberFormat="1" applyFont="1" applyFill="1"/>
    <xf numFmtId="167" fontId="14" fillId="3" borderId="3" xfId="6" applyNumberFormat="1" applyFont="1" applyFill="1" applyBorder="1" applyAlignment="1" applyProtection="1">
      <alignment horizontal="right"/>
      <protection locked="0"/>
    </xf>
    <xf numFmtId="0" fontId="24" fillId="0" borderId="0" xfId="4" applyFont="1" applyAlignment="1">
      <alignment horizontal="left" vertical="center"/>
    </xf>
    <xf numFmtId="10" fontId="4" fillId="3" borderId="3" xfId="3" applyNumberFormat="1" applyFont="1" applyFill="1" applyBorder="1" applyAlignment="1">
      <alignment horizontal="left"/>
    </xf>
    <xf numFmtId="0" fontId="8" fillId="5" borderId="3" xfId="2" applyFont="1" applyFill="1" applyBorder="1" applyAlignment="1">
      <alignment horizontal="left"/>
    </xf>
    <xf numFmtId="0" fontId="13" fillId="0" borderId="0" xfId="0" applyFont="1"/>
    <xf numFmtId="0" fontId="25" fillId="0" borderId="0" xfId="0" applyFont="1"/>
    <xf numFmtId="10" fontId="3" fillId="2" borderId="0" xfId="2" applyNumberFormat="1" applyFont="1" applyFill="1"/>
    <xf numFmtId="0" fontId="15" fillId="0" borderId="0" xfId="5" applyFont="1"/>
    <xf numFmtId="10" fontId="26" fillId="2" borderId="0" xfId="2" applyNumberFormat="1" applyFont="1" applyFill="1"/>
    <xf numFmtId="0" fontId="26" fillId="2" borderId="0" xfId="2" applyFont="1" applyFill="1"/>
    <xf numFmtId="0" fontId="16" fillId="0" borderId="4" xfId="0" applyFont="1" applyBorder="1"/>
    <xf numFmtId="0" fontId="16" fillId="0" borderId="4" xfId="0" applyFont="1" applyBorder="1" applyAlignment="1">
      <alignment wrapText="1"/>
    </xf>
    <xf numFmtId="0" fontId="16" fillId="0" borderId="0" xfId="0" applyFont="1"/>
    <xf numFmtId="10" fontId="18" fillId="3" borderId="3" xfId="3" applyNumberFormat="1" applyFont="1" applyFill="1" applyBorder="1" applyAlignment="1">
      <alignment horizontal="left"/>
    </xf>
    <xf numFmtId="10" fontId="18" fillId="3" borderId="3" xfId="3" applyNumberFormat="1" applyFont="1" applyFill="1" applyBorder="1" applyAlignment="1">
      <alignment horizontal="center"/>
    </xf>
    <xf numFmtId="3" fontId="18" fillId="3" borderId="3" xfId="3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10" fontId="18" fillId="3" borderId="3" xfId="3" applyNumberFormat="1" applyFont="1" applyFill="1" applyBorder="1" applyAlignment="1">
      <alignment horizontal="right"/>
    </xf>
    <xf numFmtId="49" fontId="18" fillId="3" borderId="3" xfId="3" applyNumberFormat="1" applyFont="1" applyFill="1" applyBorder="1" applyAlignment="1">
      <alignment horizontal="center"/>
    </xf>
    <xf numFmtId="10" fontId="17" fillId="8" borderId="4" xfId="5" applyNumberFormat="1" applyFont="1" applyFill="1" applyBorder="1" applyProtection="1">
      <protection locked="0"/>
    </xf>
    <xf numFmtId="0" fontId="17" fillId="8" borderId="4" xfId="5" applyFont="1" applyFill="1" applyBorder="1" applyAlignment="1">
      <alignment horizontal="center"/>
    </xf>
    <xf numFmtId="0" fontId="13" fillId="8" borderId="0" xfId="0" applyFont="1" applyFill="1"/>
    <xf numFmtId="0" fontId="13" fillId="9" borderId="0" xfId="0" applyFont="1" applyFill="1"/>
    <xf numFmtId="0" fontId="16" fillId="9" borderId="0" xfId="0" applyFont="1" applyFill="1"/>
    <xf numFmtId="3" fontId="13" fillId="0" borderId="0" xfId="0" applyNumberFormat="1" applyFont="1"/>
    <xf numFmtId="10" fontId="13" fillId="0" borderId="0" xfId="0" applyNumberFormat="1" applyFont="1"/>
    <xf numFmtId="0" fontId="13" fillId="0" borderId="4" xfId="0" applyFont="1" applyBorder="1"/>
    <xf numFmtId="8" fontId="13" fillId="0" borderId="0" xfId="0" applyNumberFormat="1" applyFont="1"/>
    <xf numFmtId="168" fontId="13" fillId="0" borderId="0" xfId="0" applyNumberFormat="1" applyFont="1"/>
    <xf numFmtId="0" fontId="17" fillId="0" borderId="0" xfId="5" applyFont="1" applyBorder="1" applyAlignment="1">
      <alignment horizontal="right"/>
    </xf>
    <xf numFmtId="0" fontId="18" fillId="0" borderId="0" xfId="5" applyFont="1" applyBorder="1" applyAlignment="1">
      <alignment horizontal="left"/>
    </xf>
    <xf numFmtId="0" fontId="8" fillId="0" borderId="0" xfId="5" applyFont="1" applyBorder="1"/>
    <xf numFmtId="0" fontId="19" fillId="0" borderId="0" xfId="5" applyFont="1" applyBorder="1"/>
    <xf numFmtId="0" fontId="18" fillId="0" borderId="0" xfId="5" applyFont="1" applyBorder="1" applyAlignment="1">
      <alignment horizontal="right"/>
    </xf>
    <xf numFmtId="166" fontId="4" fillId="3" borderId="8" xfId="1" applyNumberFormat="1" applyFont="1" applyFill="1" applyBorder="1" applyAlignment="1">
      <alignment horizontal="left"/>
    </xf>
    <xf numFmtId="166" fontId="4" fillId="3" borderId="7" xfId="1" applyNumberFormat="1" applyFont="1" applyFill="1" applyBorder="1" applyAlignment="1">
      <alignment horizontal="left"/>
    </xf>
    <xf numFmtId="3" fontId="13" fillId="0" borderId="0" xfId="0" applyNumberFormat="1" applyFont="1" applyAlignment="1">
      <alignment horizontal="right"/>
    </xf>
    <xf numFmtId="10" fontId="13" fillId="0" borderId="0" xfId="0" applyNumberFormat="1" applyFont="1" applyAlignment="1">
      <alignment horizontal="right"/>
    </xf>
    <xf numFmtId="169" fontId="13" fillId="0" borderId="0" xfId="0" applyNumberFormat="1" applyFont="1"/>
    <xf numFmtId="0" fontId="27" fillId="9" borderId="4" xfId="0" applyFont="1" applyFill="1" applyBorder="1"/>
    <xf numFmtId="169" fontId="28" fillId="9" borderId="0" xfId="0" applyNumberFormat="1" applyFont="1" applyFill="1"/>
    <xf numFmtId="0" fontId="13" fillId="0" borderId="0" xfId="0" applyFont="1" applyBorder="1"/>
    <xf numFmtId="0" fontId="16" fillId="0" borderId="0" xfId="0" applyFont="1" applyBorder="1"/>
    <xf numFmtId="0" fontId="13" fillId="0" borderId="5" xfId="0" applyFont="1" applyBorder="1"/>
    <xf numFmtId="0" fontId="13" fillId="0" borderId="0" xfId="0" applyFont="1" applyAlignment="1">
      <alignment horizontal="right"/>
    </xf>
    <xf numFmtId="0" fontId="13" fillId="0" borderId="4" xfId="0" applyFont="1" applyBorder="1" applyAlignment="1">
      <alignment horizontal="right"/>
    </xf>
    <xf numFmtId="0" fontId="16" fillId="9" borderId="0" xfId="0" applyFont="1" applyFill="1" applyAlignment="1">
      <alignment horizontal="right"/>
    </xf>
    <xf numFmtId="0" fontId="17" fillId="6" borderId="0" xfId="5" applyFont="1" applyFill="1" applyAlignment="1">
      <alignment horizontal="center"/>
    </xf>
    <xf numFmtId="0" fontId="15" fillId="6" borderId="0" xfId="5" applyFont="1" applyFill="1"/>
    <xf numFmtId="165" fontId="13" fillId="6" borderId="0" xfId="9" applyNumberFormat="1" applyFont="1" applyFill="1"/>
    <xf numFmtId="165" fontId="15" fillId="0" borderId="0" xfId="5" applyNumberFormat="1" applyFont="1"/>
    <xf numFmtId="0" fontId="15" fillId="0" borderId="5" xfId="5" applyFont="1" applyBorder="1"/>
    <xf numFmtId="0" fontId="16" fillId="0" borderId="5" xfId="0" applyFont="1" applyBorder="1"/>
    <xf numFmtId="165" fontId="15" fillId="0" borderId="5" xfId="5" applyNumberFormat="1" applyFont="1" applyBorder="1"/>
    <xf numFmtId="171" fontId="13" fillId="0" borderId="0" xfId="0" applyNumberFormat="1" applyFont="1"/>
    <xf numFmtId="0" fontId="13" fillId="0" borderId="9" xfId="0" applyFont="1" applyBorder="1"/>
    <xf numFmtId="171" fontId="13" fillId="0" borderId="9" xfId="0" applyNumberFormat="1" applyFont="1" applyBorder="1"/>
    <xf numFmtId="0" fontId="16" fillId="0" borderId="10" xfId="0" applyFont="1" applyBorder="1"/>
    <xf numFmtId="168" fontId="13" fillId="0" borderId="10" xfId="0" applyNumberFormat="1" applyFont="1" applyBorder="1"/>
    <xf numFmtId="165" fontId="17" fillId="0" borderId="0" xfId="5" applyNumberFormat="1" applyFont="1"/>
    <xf numFmtId="0" fontId="17" fillId="0" borderId="4" xfId="5" applyFont="1" applyBorder="1" applyAlignment="1">
      <alignment horizontal="center" wrapText="1"/>
    </xf>
    <xf numFmtId="171" fontId="13" fillId="0" borderId="0" xfId="0" applyNumberFormat="1" applyFont="1" applyAlignment="1">
      <alignment horizontal="center"/>
    </xf>
    <xf numFmtId="165" fontId="17" fillId="0" borderId="0" xfId="9" applyNumberFormat="1" applyFont="1" applyBorder="1"/>
    <xf numFmtId="165" fontId="17" fillId="0" borderId="0" xfId="5" applyNumberFormat="1" applyFont="1" applyBorder="1" applyAlignment="1">
      <alignment horizontal="right"/>
    </xf>
    <xf numFmtId="0" fontId="29" fillId="0" borderId="0" xfId="5" applyFont="1"/>
    <xf numFmtId="0" fontId="30" fillId="0" borderId="0" xfId="5" applyFont="1"/>
    <xf numFmtId="165" fontId="30" fillId="0" borderId="0" xfId="9" applyNumberFormat="1" applyFont="1" applyBorder="1"/>
    <xf numFmtId="165" fontId="29" fillId="0" borderId="0" xfId="5" applyNumberFormat="1" applyFont="1" applyBorder="1" applyAlignment="1">
      <alignment horizontal="right"/>
    </xf>
    <xf numFmtId="171" fontId="17" fillId="0" borderId="5" xfId="5" applyNumberFormat="1" applyFont="1" applyBorder="1"/>
    <xf numFmtId="168" fontId="13" fillId="0" borderId="0" xfId="0" applyNumberFormat="1" applyFont="1" applyBorder="1"/>
    <xf numFmtId="171" fontId="13" fillId="0" borderId="4" xfId="0" applyNumberFormat="1" applyFont="1" applyBorder="1"/>
    <xf numFmtId="0" fontId="2" fillId="0" borderId="0" xfId="0" applyFont="1"/>
    <xf numFmtId="0" fontId="1" fillId="10" borderId="0" xfId="10" applyFill="1"/>
    <xf numFmtId="0" fontId="1" fillId="0" borderId="0" xfId="10"/>
    <xf numFmtId="0" fontId="15" fillId="0" borderId="0" xfId="11"/>
    <xf numFmtId="0" fontId="31" fillId="0" borderId="0" xfId="10" applyFont="1"/>
    <xf numFmtId="0" fontId="32" fillId="0" borderId="0" xfId="10" applyFont="1"/>
    <xf numFmtId="0" fontId="33" fillId="0" borderId="0" xfId="10" applyFont="1"/>
    <xf numFmtId="0" fontId="34" fillId="0" borderId="0" xfId="10" applyFont="1"/>
    <xf numFmtId="0" fontId="35" fillId="0" borderId="0" xfId="10" applyFont="1"/>
    <xf numFmtId="0" fontId="36" fillId="0" borderId="0" xfId="10" applyFont="1"/>
    <xf numFmtId="172" fontId="37" fillId="0" borderId="0" xfId="10" applyNumberFormat="1" applyFont="1" applyAlignment="1">
      <alignment horizontal="left"/>
    </xf>
    <xf numFmtId="0" fontId="38" fillId="0" borderId="0" xfId="10" applyFont="1"/>
    <xf numFmtId="0" fontId="13" fillId="0" borderId="0" xfId="0" applyFont="1" applyFill="1"/>
    <xf numFmtId="10" fontId="14" fillId="3" borderId="1" xfId="3" applyNumberFormat="1" applyFont="1" applyFill="1" applyBorder="1" applyAlignment="1">
      <alignment horizontal="left"/>
    </xf>
    <xf numFmtId="10" fontId="14" fillId="3" borderId="6" xfId="3" applyNumberFormat="1" applyFont="1" applyFill="1" applyBorder="1" applyAlignment="1">
      <alignment horizontal="left"/>
    </xf>
    <xf numFmtId="10" fontId="14" fillId="3" borderId="2" xfId="3" applyNumberFormat="1" applyFont="1" applyFill="1" applyBorder="1" applyAlignment="1">
      <alignment horizontal="left"/>
    </xf>
    <xf numFmtId="166" fontId="35" fillId="0" borderId="0" xfId="10" applyNumberFormat="1" applyFont="1"/>
    <xf numFmtId="165" fontId="13" fillId="3" borderId="0" xfId="9" applyNumberFormat="1" applyFont="1" applyFill="1" applyProtection="1">
      <protection locked="0"/>
    </xf>
    <xf numFmtId="169" fontId="13" fillId="0" borderId="4" xfId="0" applyNumberFormat="1" applyFont="1" applyBorder="1"/>
    <xf numFmtId="0" fontId="39" fillId="0" borderId="4" xfId="0" applyFont="1" applyBorder="1"/>
    <xf numFmtId="0" fontId="0" fillId="0" borderId="4" xfId="2" applyFont="1" applyBorder="1"/>
    <xf numFmtId="0" fontId="40" fillId="0" borderId="0" xfId="0" applyFont="1"/>
    <xf numFmtId="9" fontId="14" fillId="3" borderId="3" xfId="3" applyNumberFormat="1" applyFont="1" applyFill="1" applyBorder="1" applyAlignment="1">
      <alignment horizontal="right"/>
    </xf>
    <xf numFmtId="9" fontId="13" fillId="0" borderId="3" xfId="1" applyFont="1" applyBorder="1"/>
    <xf numFmtId="10" fontId="18" fillId="3" borderId="3" xfId="1" applyNumberFormat="1" applyFont="1" applyFill="1" applyBorder="1" applyAlignment="1">
      <alignment horizontal="right"/>
    </xf>
  </cellXfs>
  <cellStyles count="12">
    <cellStyle name="Comma 2" xfId="9" xr:uid="{29ACAF46-E5CF-4863-A971-E0C3E971553D}"/>
    <cellStyle name="Currency 2" xfId="8" xr:uid="{F8A6AF19-DD6A-4C09-9156-2C0AA927DE0D}"/>
    <cellStyle name="Normal" xfId="0" builtinId="0"/>
    <cellStyle name="Normal 2" xfId="11" xr:uid="{A92F35C6-8433-418A-9A57-EE40E7EB37D2}"/>
    <cellStyle name="Normal 2 2" xfId="2" xr:uid="{77D75051-9ABA-4732-B399-D4AE86170AA1}"/>
    <cellStyle name="Normal 2 4" xfId="7" xr:uid="{E8FCC4CC-A52E-497F-8B1F-F3EEB1D9D36B}"/>
    <cellStyle name="Normal 3" xfId="5" xr:uid="{680F6498-641F-4505-A3A8-FF4B1D6795CA}"/>
    <cellStyle name="Normal 3 2" xfId="10" xr:uid="{2383E6CA-E8AF-423E-B0C5-E6B08DF5D966}"/>
    <cellStyle name="Normal 5" xfId="4" xr:uid="{5DDB2C1F-567F-4D59-BF0D-46A1AA7A3C42}"/>
    <cellStyle name="Percent" xfId="1" builtinId="5"/>
    <cellStyle name="Percent 2" xfId="3" xr:uid="{6914CC54-D415-4D22-A3FF-427C7001D9DA}"/>
    <cellStyle name="Percent 3" xfId="6" xr:uid="{369AA32A-AB01-4585-8626-DFAF59E1E513}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171450</xdr:rowOff>
    </xdr:from>
    <xdr:ext cx="876300" cy="876300"/>
    <xdr:pic>
      <xdr:nvPicPr>
        <xdr:cNvPr id="2" name="Picture 1">
          <a:extLst>
            <a:ext uri="{FF2B5EF4-FFF2-40B4-BE49-F238E27FC236}">
              <a16:creationId xmlns:a16="http://schemas.microsoft.com/office/drawing/2014/main" id="{6B97E4CE-10A4-40DF-9F62-9B5040BA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714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A672-BA2D-436D-A9F4-4B77FDC42440}">
  <sheetPr>
    <tabColor theme="1" tint="0.34998626667073579"/>
  </sheetPr>
  <dimension ref="A1:K43"/>
  <sheetViews>
    <sheetView showGridLines="0" tabSelected="1" workbookViewId="0">
      <selection activeCell="E9" sqref="E9"/>
    </sheetView>
  </sheetViews>
  <sheetFormatPr defaultColWidth="0" defaultRowHeight="13" customHeight="1" zeroHeight="1" x14ac:dyDescent="0.3"/>
  <cols>
    <col min="1" max="1" width="12.81640625" style="133" customWidth="1"/>
    <col min="2" max="2" width="2.54296875" style="133" customWidth="1"/>
    <col min="3" max="3" width="16.81640625" style="133" customWidth="1"/>
    <col min="4" max="11" width="10.6328125" style="133" customWidth="1"/>
    <col min="12" max="16384" width="10.6328125" style="133" hidden="1"/>
  </cols>
  <sheetData>
    <row r="1" spans="1:11" ht="14.5" x14ac:dyDescent="0.35">
      <c r="A1" s="131"/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3" x14ac:dyDescent="0.5">
      <c r="A2" s="131"/>
      <c r="B2" s="132"/>
      <c r="C2" s="134" t="s">
        <v>127</v>
      </c>
      <c r="D2" s="135"/>
      <c r="E2" s="135"/>
      <c r="F2" s="132"/>
      <c r="G2" s="132"/>
      <c r="H2" s="132"/>
      <c r="I2" s="132"/>
      <c r="J2" s="132"/>
      <c r="K2" s="132"/>
    </row>
    <row r="3" spans="1:11" ht="15.5" x14ac:dyDescent="0.35">
      <c r="A3" s="131"/>
      <c r="B3" s="132"/>
      <c r="C3" s="136" t="s">
        <v>121</v>
      </c>
      <c r="D3" s="135"/>
      <c r="E3" s="135"/>
      <c r="F3" s="132"/>
      <c r="G3" s="132"/>
      <c r="H3" s="132"/>
      <c r="I3" s="132"/>
      <c r="J3" s="132"/>
      <c r="K3" s="132"/>
    </row>
    <row r="4" spans="1:11" ht="14.5" x14ac:dyDescent="0.35">
      <c r="A4" s="131"/>
      <c r="B4" s="132"/>
      <c r="C4" s="132"/>
      <c r="D4" s="135"/>
      <c r="E4" s="135"/>
      <c r="F4" s="132"/>
      <c r="G4" s="132"/>
      <c r="H4" s="132"/>
      <c r="I4" s="132"/>
      <c r="J4" s="132"/>
      <c r="K4" s="132"/>
    </row>
    <row r="5" spans="1:11" ht="14.5" x14ac:dyDescent="0.35">
      <c r="A5" s="131"/>
      <c r="B5" s="132"/>
      <c r="C5" s="137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Head office</v>
      </c>
      <c r="D5" s="132"/>
      <c r="E5" s="132"/>
      <c r="F5" s="132"/>
      <c r="G5" s="132"/>
      <c r="H5" s="132"/>
      <c r="I5" s="132"/>
      <c r="J5" s="132"/>
      <c r="K5" s="132"/>
    </row>
    <row r="6" spans="1:11" ht="14.5" x14ac:dyDescent="0.35">
      <c r="A6" s="131"/>
      <c r="B6" s="132"/>
      <c r="C6" s="138" t="s">
        <v>122</v>
      </c>
      <c r="D6" s="146" t="str" cm="1">
        <f t="array" aca="1" ref="D6" ca="1">LEFT(_xlfn.TEXTAFTER(CELL("filename")," MOD "),FIND(" - ",_xlfn.TEXTAFTER(CELL("filename")," MOD "),1)-1)</f>
        <v>8.01</v>
      </c>
      <c r="E6" s="138"/>
      <c r="F6" s="132"/>
      <c r="G6" s="132"/>
      <c r="H6" s="132"/>
      <c r="I6" s="132"/>
      <c r="J6" s="132"/>
      <c r="K6" s="132"/>
    </row>
    <row r="7" spans="1:11" ht="14.5" x14ac:dyDescent="0.35">
      <c r="A7" s="131"/>
      <c r="B7" s="132"/>
      <c r="C7" s="132"/>
      <c r="D7" s="132"/>
      <c r="E7" s="132"/>
      <c r="F7" s="139"/>
      <c r="G7" s="139"/>
      <c r="H7" s="139"/>
      <c r="I7" s="132"/>
      <c r="J7" s="139"/>
      <c r="K7" s="139"/>
    </row>
    <row r="8" spans="1:11" ht="14.5" x14ac:dyDescent="0.35">
      <c r="A8" s="131"/>
      <c r="B8" s="132"/>
      <c r="C8" s="140">
        <v>45688</v>
      </c>
      <c r="D8" s="132"/>
      <c r="E8" s="132"/>
      <c r="F8" s="139"/>
      <c r="G8" s="139"/>
      <c r="H8" s="139"/>
      <c r="I8" s="132"/>
      <c r="J8" s="139"/>
      <c r="K8" s="139"/>
    </row>
    <row r="9" spans="1:11" ht="14.5" x14ac:dyDescent="0.35">
      <c r="A9" s="131"/>
      <c r="B9" s="132"/>
      <c r="C9" s="141"/>
      <c r="D9" s="141"/>
      <c r="E9" s="132"/>
      <c r="F9" s="139"/>
      <c r="G9" s="139"/>
      <c r="H9" s="139"/>
      <c r="I9" s="139"/>
      <c r="J9" s="139"/>
      <c r="K9" s="139"/>
    </row>
    <row r="10" spans="1:11" ht="14.5" x14ac:dyDescent="0.35">
      <c r="A10" s="131"/>
      <c r="B10" s="132"/>
      <c r="C10" s="141"/>
      <c r="D10" s="141"/>
      <c r="E10" s="132"/>
      <c r="F10" s="139"/>
      <c r="G10" s="139"/>
      <c r="H10" s="139"/>
      <c r="I10" s="139"/>
      <c r="J10" s="139"/>
      <c r="K10" s="139"/>
    </row>
    <row r="11" spans="1:11" ht="14.5" x14ac:dyDescent="0.35">
      <c r="A11" s="131"/>
      <c r="B11" s="132"/>
      <c r="C11" s="141"/>
      <c r="D11" s="141"/>
      <c r="E11" s="132"/>
      <c r="F11" s="139"/>
      <c r="G11" s="139"/>
      <c r="H11" s="139"/>
      <c r="I11" s="139"/>
      <c r="J11" s="139"/>
      <c r="K11" s="139"/>
    </row>
    <row r="12" spans="1:11" ht="14.5" x14ac:dyDescent="0.35">
      <c r="A12" s="131"/>
      <c r="B12" s="132"/>
      <c r="C12" s="141"/>
      <c r="D12" s="141"/>
      <c r="E12" s="132"/>
      <c r="F12" s="139"/>
      <c r="G12" s="139"/>
      <c r="H12" s="139"/>
      <c r="I12" s="139"/>
      <c r="J12" s="139"/>
      <c r="K12" s="139"/>
    </row>
    <row r="13" spans="1:11" ht="14.5" x14ac:dyDescent="0.35">
      <c r="A13" s="131"/>
      <c r="B13" s="132"/>
      <c r="C13" s="141"/>
      <c r="D13" s="141"/>
      <c r="E13" s="132"/>
      <c r="F13" s="139"/>
      <c r="G13" s="139"/>
      <c r="H13" s="139"/>
      <c r="I13" s="139"/>
      <c r="J13" s="139"/>
      <c r="K13" s="139"/>
    </row>
    <row r="14" spans="1:11" ht="14.5" x14ac:dyDescent="0.35">
      <c r="A14" s="131"/>
      <c r="B14" s="132"/>
      <c r="C14" s="139"/>
      <c r="D14" s="139"/>
      <c r="E14" s="139"/>
      <c r="F14" s="139"/>
      <c r="G14" s="139"/>
      <c r="H14" s="139"/>
      <c r="I14" s="139"/>
      <c r="J14" s="139"/>
      <c r="K14" s="139"/>
    </row>
    <row r="15" spans="1:11" ht="14.5" x14ac:dyDescent="0.35">
      <c r="A15" s="131"/>
      <c r="B15" s="132"/>
      <c r="C15" s="137"/>
      <c r="D15" s="139"/>
      <c r="E15" s="139"/>
      <c r="F15" s="139"/>
      <c r="G15" s="139"/>
      <c r="H15" s="139"/>
      <c r="I15" s="139"/>
      <c r="J15" s="139"/>
      <c r="K15" s="139"/>
    </row>
    <row r="16" spans="1:11" ht="14.5" x14ac:dyDescent="0.35">
      <c r="A16" s="131"/>
      <c r="B16" s="132"/>
      <c r="C16" s="137"/>
      <c r="D16" s="139"/>
      <c r="E16" s="139"/>
      <c r="F16" s="139"/>
      <c r="G16" s="139"/>
      <c r="H16" s="139"/>
      <c r="I16" s="139"/>
      <c r="J16" s="139"/>
      <c r="K16" s="139"/>
    </row>
    <row r="17" spans="1:11" ht="14.5" x14ac:dyDescent="0.35">
      <c r="A17" s="131"/>
      <c r="B17" s="132"/>
      <c r="C17" s="139"/>
      <c r="D17" s="139"/>
      <c r="E17" s="139"/>
      <c r="F17" s="139"/>
      <c r="G17" s="139"/>
      <c r="H17" s="139"/>
      <c r="I17" s="139"/>
      <c r="J17" s="139"/>
      <c r="K17" s="139"/>
    </row>
    <row r="18" spans="1:11" ht="14.5" x14ac:dyDescent="0.35">
      <c r="A18" s="131"/>
      <c r="B18" s="132"/>
      <c r="C18" s="139"/>
      <c r="D18" s="139"/>
      <c r="E18" s="139"/>
      <c r="F18" s="139"/>
      <c r="G18" s="139"/>
      <c r="H18" s="139"/>
      <c r="I18" s="139"/>
      <c r="J18" s="139"/>
      <c r="K18" s="139"/>
    </row>
    <row r="19" spans="1:11" ht="14.5" x14ac:dyDescent="0.35">
      <c r="A19" s="131"/>
      <c r="B19" s="132"/>
      <c r="C19" s="139"/>
      <c r="D19" s="139"/>
      <c r="E19" s="139"/>
      <c r="F19" s="139"/>
      <c r="H19" s="139"/>
      <c r="I19" s="139"/>
      <c r="J19" s="139"/>
      <c r="K19" s="139"/>
    </row>
    <row r="20" spans="1:11" ht="14.5" x14ac:dyDescent="0.35">
      <c r="A20" s="131"/>
      <c r="B20" s="132"/>
      <c r="C20" s="139"/>
      <c r="D20" s="139"/>
      <c r="E20" s="139"/>
      <c r="F20" s="139"/>
      <c r="G20" s="139"/>
      <c r="H20" s="139"/>
      <c r="I20" s="139"/>
      <c r="J20" s="139"/>
      <c r="K20" s="139"/>
    </row>
    <row r="21" spans="1:11" ht="14.5" x14ac:dyDescent="0.35">
      <c r="A21" s="131"/>
      <c r="B21" s="132"/>
      <c r="C21" s="139"/>
      <c r="D21" s="139"/>
      <c r="E21" s="139"/>
      <c r="F21" s="139"/>
      <c r="G21" s="139"/>
      <c r="H21" s="139"/>
      <c r="I21" s="139"/>
      <c r="J21" s="139"/>
      <c r="K21" s="139"/>
    </row>
    <row r="22" spans="1:11" ht="14.5" x14ac:dyDescent="0.35">
      <c r="A22" s="131"/>
      <c r="B22" s="132"/>
      <c r="C22" s="139"/>
      <c r="D22" s="139"/>
      <c r="E22" s="139"/>
      <c r="F22" s="139"/>
      <c r="G22" s="139"/>
      <c r="H22" s="139"/>
      <c r="I22" s="139"/>
      <c r="J22" s="139"/>
      <c r="K22" s="139"/>
    </row>
    <row r="23" spans="1:11" ht="14.5" x14ac:dyDescent="0.35">
      <c r="A23" s="131"/>
      <c r="B23" s="132"/>
      <c r="C23" s="139"/>
      <c r="D23" s="139"/>
      <c r="E23" s="139"/>
      <c r="F23" s="139"/>
      <c r="G23" s="139"/>
      <c r="H23" s="139"/>
      <c r="I23" s="139"/>
      <c r="J23" s="139"/>
      <c r="K23" s="139"/>
    </row>
    <row r="24" spans="1:11" ht="14.5" x14ac:dyDescent="0.35">
      <c r="A24" s="131"/>
      <c r="B24" s="132"/>
      <c r="C24" s="139"/>
      <c r="D24" s="139"/>
      <c r="E24" s="139"/>
      <c r="F24" s="139"/>
      <c r="G24" s="139"/>
      <c r="H24" s="139"/>
      <c r="I24" s="139"/>
      <c r="J24" s="139"/>
      <c r="K24" s="139"/>
    </row>
    <row r="25" spans="1:11" ht="14.5" x14ac:dyDescent="0.35">
      <c r="A25" s="131"/>
      <c r="B25" s="132"/>
      <c r="C25" s="139"/>
      <c r="D25" s="139"/>
      <c r="E25" s="139"/>
      <c r="F25" s="139"/>
      <c r="G25" s="139"/>
      <c r="H25" s="139"/>
      <c r="I25" s="139"/>
      <c r="J25" s="139"/>
      <c r="K25" s="139"/>
    </row>
    <row r="26" spans="1:11" ht="14.5" x14ac:dyDescent="0.35">
      <c r="A26" s="131"/>
      <c r="B26" s="132"/>
      <c r="C26" s="139"/>
      <c r="D26" s="139"/>
      <c r="E26" s="139"/>
      <c r="F26" s="139"/>
      <c r="G26" s="139"/>
      <c r="H26" s="139"/>
      <c r="I26" s="139"/>
      <c r="J26" s="139"/>
      <c r="K26" s="139"/>
    </row>
    <row r="27" spans="1:11" ht="14.5" x14ac:dyDescent="0.35">
      <c r="A27" s="131"/>
      <c r="B27" s="132"/>
      <c r="C27" s="139"/>
      <c r="D27" s="139"/>
      <c r="E27" s="139"/>
      <c r="F27" s="139"/>
      <c r="G27" s="139"/>
      <c r="H27" s="139"/>
      <c r="I27" s="139"/>
      <c r="J27" s="139"/>
      <c r="K27" s="139"/>
    </row>
    <row r="28" spans="1:11" ht="14.5" x14ac:dyDescent="0.35">
      <c r="A28" s="131"/>
      <c r="B28" s="132"/>
      <c r="C28" s="139"/>
      <c r="D28" s="139"/>
      <c r="E28" s="139"/>
      <c r="F28" s="139"/>
      <c r="G28" s="139"/>
      <c r="H28" s="139"/>
      <c r="I28" s="139"/>
      <c r="J28" s="139"/>
      <c r="K28" s="139"/>
    </row>
    <row r="29" spans="1:11" ht="14.5" x14ac:dyDescent="0.35">
      <c r="A29" s="131"/>
      <c r="B29" s="132"/>
      <c r="C29" s="139"/>
      <c r="D29" s="139"/>
      <c r="E29" s="139"/>
      <c r="F29" s="139"/>
      <c r="G29" s="139"/>
      <c r="H29" s="139"/>
      <c r="I29" s="139"/>
      <c r="J29" s="139"/>
      <c r="K29" s="139"/>
    </row>
    <row r="30" spans="1:11" ht="14.5" x14ac:dyDescent="0.35">
      <c r="A30" s="131"/>
      <c r="B30" s="132"/>
      <c r="C30" s="139"/>
      <c r="D30" s="132"/>
      <c r="E30" s="139"/>
      <c r="F30" s="139"/>
      <c r="G30" s="139"/>
      <c r="H30" s="139"/>
      <c r="I30" s="139"/>
      <c r="J30" s="139"/>
      <c r="K30" s="139"/>
    </row>
    <row r="31" spans="1:11" ht="14.5" x14ac:dyDescent="0.35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132"/>
    </row>
    <row r="32" spans="1:11" ht="14.5" x14ac:dyDescent="0.35">
      <c r="A32" s="131"/>
      <c r="B32" s="132"/>
      <c r="C32" s="132"/>
      <c r="D32" s="132"/>
      <c r="E32" s="132"/>
      <c r="F32" s="132"/>
      <c r="G32" s="132"/>
      <c r="H32" s="132"/>
      <c r="I32" s="132"/>
      <c r="J32" s="132"/>
      <c r="K32" s="132"/>
    </row>
    <row r="33" spans="1:11" ht="14.5" x14ac:dyDescent="0.35">
      <c r="A33" s="131"/>
      <c r="B33" s="132"/>
      <c r="C33" s="132"/>
      <c r="D33" s="132"/>
      <c r="E33" s="132"/>
      <c r="F33" s="132"/>
      <c r="G33" s="132"/>
      <c r="H33" s="132"/>
      <c r="I33" s="132"/>
      <c r="J33" s="132"/>
      <c r="K33" s="132"/>
    </row>
    <row r="34" spans="1:11" ht="14.5" x14ac:dyDescent="0.35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32"/>
    </row>
    <row r="35" spans="1:11" ht="14.5" x14ac:dyDescent="0.35">
      <c r="A35" s="131"/>
      <c r="B35" s="132"/>
      <c r="C35" s="132"/>
      <c r="D35" s="132"/>
      <c r="E35" s="132"/>
      <c r="F35" s="132"/>
      <c r="G35" s="132"/>
      <c r="H35" s="132"/>
      <c r="I35" s="132"/>
      <c r="J35" s="132"/>
      <c r="K35" s="132"/>
    </row>
    <row r="36" spans="1:11" ht="14.5" x14ac:dyDescent="0.35">
      <c r="A36" s="131"/>
      <c r="B36" s="132"/>
      <c r="C36" s="132"/>
      <c r="D36" s="132"/>
      <c r="E36" s="132"/>
      <c r="F36" s="132"/>
      <c r="G36" s="132"/>
      <c r="H36" s="132"/>
      <c r="I36" s="132"/>
      <c r="J36" s="132"/>
      <c r="K36" s="132"/>
    </row>
    <row r="37" spans="1:11" ht="14.5" x14ac:dyDescent="0.35">
      <c r="A37" s="131"/>
      <c r="B37" s="132"/>
      <c r="C37" s="132"/>
      <c r="D37" s="132"/>
      <c r="E37" s="132"/>
      <c r="F37" s="132"/>
      <c r="G37" s="132"/>
      <c r="H37" s="132"/>
      <c r="I37" s="132"/>
      <c r="J37" s="132"/>
      <c r="K37" s="132"/>
    </row>
    <row r="38" spans="1:11" ht="14.5" x14ac:dyDescent="0.35">
      <c r="A38" s="131"/>
      <c r="B38" s="132"/>
      <c r="C38" s="132"/>
      <c r="D38" s="132"/>
      <c r="E38" s="132"/>
      <c r="F38" s="132"/>
      <c r="G38" s="132"/>
      <c r="H38" s="132"/>
      <c r="I38" s="132"/>
      <c r="J38" s="132"/>
      <c r="K38" s="132"/>
    </row>
    <row r="39" spans="1:11" ht="14.5" x14ac:dyDescent="0.35">
      <c r="A39" s="131"/>
      <c r="B39" s="132"/>
      <c r="C39" s="132"/>
      <c r="D39" s="132"/>
      <c r="E39" s="132"/>
      <c r="F39" s="132"/>
      <c r="G39" s="132"/>
      <c r="H39" s="132"/>
      <c r="I39" s="132"/>
      <c r="J39" s="132"/>
      <c r="K39" s="132"/>
    </row>
    <row r="40" spans="1:11" ht="14.5" x14ac:dyDescent="0.35">
      <c r="A40" s="131"/>
      <c r="B40" s="132"/>
      <c r="C40" s="132"/>
      <c r="D40" s="132"/>
      <c r="E40" s="132"/>
      <c r="F40" s="132"/>
      <c r="G40" s="132"/>
      <c r="H40" s="132"/>
      <c r="I40" s="132"/>
      <c r="J40" s="132"/>
      <c r="K40" s="132"/>
    </row>
    <row r="41" spans="1:11" ht="14.5" x14ac:dyDescent="0.35">
      <c r="A41" s="131"/>
      <c r="B41" s="132"/>
      <c r="C41" s="132"/>
      <c r="D41" s="132"/>
      <c r="E41" s="132"/>
      <c r="F41" s="132"/>
      <c r="G41" s="132"/>
      <c r="H41" s="132"/>
      <c r="I41" s="132"/>
      <c r="J41" s="132"/>
      <c r="K41" s="132"/>
    </row>
    <row r="42" spans="1:11" ht="14.5" x14ac:dyDescent="0.35">
      <c r="A42" s="131"/>
      <c r="B42" s="132"/>
      <c r="C42" s="132"/>
      <c r="D42" s="132"/>
      <c r="E42" s="132"/>
      <c r="F42" s="132"/>
      <c r="G42" s="132"/>
      <c r="H42" s="132"/>
      <c r="I42" s="132"/>
      <c r="J42" s="132"/>
      <c r="K42" s="132"/>
    </row>
    <row r="43" spans="1:11" ht="14.5" x14ac:dyDescent="0.35">
      <c r="A43" s="131"/>
      <c r="B43" s="132"/>
      <c r="C43" s="132"/>
      <c r="D43" s="132"/>
      <c r="E43" s="132"/>
      <c r="F43" s="132"/>
      <c r="G43" s="132"/>
      <c r="H43" s="132"/>
      <c r="I43" s="132"/>
      <c r="J43" s="132"/>
      <c r="K43" s="132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2">
      <formula>LEFT(D6,1)="&lt;"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9F5C3-6A06-4993-8B73-7312427BC8EE}">
  <sheetPr codeName="Sheet5"/>
  <dimension ref="A1:J53"/>
  <sheetViews>
    <sheetView showGridLines="0" workbookViewId="0">
      <selection activeCell="F13" sqref="F13"/>
    </sheetView>
  </sheetViews>
  <sheetFormatPr defaultRowHeight="14.5" x14ac:dyDescent="0.35"/>
  <cols>
    <col min="2" max="2" width="43.54296875" bestFit="1" customWidth="1"/>
    <col min="3" max="3" width="11.1796875" bestFit="1" customWidth="1"/>
    <col min="4" max="5" width="12.08984375" bestFit="1" customWidth="1"/>
    <col min="6" max="7" width="8.81640625" bestFit="1" customWidth="1"/>
  </cols>
  <sheetData>
    <row r="1" spans="1:10" s="28" customFormat="1" ht="15.5" x14ac:dyDescent="0.35">
      <c r="A1" s="4" t="str">
        <f>business</f>
        <v>Powercor</v>
      </c>
      <c r="B1" s="5"/>
      <c r="C1" s="5"/>
      <c r="D1" s="5"/>
      <c r="E1" s="5"/>
      <c r="F1" s="5"/>
      <c r="G1" s="5"/>
      <c r="H1" s="5"/>
      <c r="I1" s="5"/>
      <c r="J1"/>
    </row>
    <row r="2" spans="1:10" s="28" customFormat="1" ht="15.5" x14ac:dyDescent="0.35">
      <c r="A2" s="58" t="str">
        <f>model_name</f>
        <v>Head office</v>
      </c>
      <c r="B2" s="8"/>
      <c r="C2" s="8"/>
      <c r="D2" s="8"/>
      <c r="E2" s="8"/>
      <c r="F2" s="8"/>
      <c r="G2" s="8"/>
      <c r="H2" s="5"/>
      <c r="I2" s="5"/>
      <c r="J2"/>
    </row>
    <row r="3" spans="1:10" s="28" customFormat="1" ht="13" x14ac:dyDescent="0.3">
      <c r="A3" s="63" t="str">
        <f>"All dollar values are in "&amp;TEXT(output_dollars,"$""m"" mmmm yyyy")&amp;" unless otherwise stated"</f>
        <v>All dollar values are in $m June 2026 unless otherwise stated</v>
      </c>
    </row>
    <row r="6" spans="1:10" x14ac:dyDescent="0.35">
      <c r="A6" s="33" t="s">
        <v>132</v>
      </c>
      <c r="B6" s="33"/>
      <c r="C6" s="33"/>
      <c r="D6" s="33"/>
      <c r="E6" s="33"/>
      <c r="F6" s="33"/>
      <c r="G6" s="33"/>
      <c r="H6" s="33"/>
      <c r="I6" s="33"/>
    </row>
    <row r="7" spans="1:10" x14ac:dyDescent="0.35">
      <c r="B7" s="28"/>
      <c r="C7" s="28"/>
    </row>
    <row r="8" spans="1:10" x14ac:dyDescent="0.35">
      <c r="B8" s="28" t="s">
        <v>45</v>
      </c>
      <c r="C8" s="28" t="str">
        <f>INDEX('Options Analysis'!$B$7:$B$9,MATCH(MAX('Options Analysis'!$G$7:$G$9),'Options Analysis'!$G$7:$G$9,0))</f>
        <v>Option 2</v>
      </c>
    </row>
    <row r="9" spans="1:10" x14ac:dyDescent="0.35">
      <c r="B9" s="28"/>
      <c r="C9" s="28"/>
    </row>
    <row r="10" spans="1:10" x14ac:dyDescent="0.35">
      <c r="B10" s="28"/>
      <c r="C10" s="20"/>
    </row>
    <row r="11" spans="1:10" x14ac:dyDescent="0.35">
      <c r="B11" s="69" t="s">
        <v>120</v>
      </c>
      <c r="C11" s="129" cm="1">
        <f t="array" ref="C11">INDEX('Options Analysis'!$E$7:$E$9,MATCH(pref_option,'Options Analysis'!$B$7:$B$9,0),)</f>
        <v>-37.941259344522166</v>
      </c>
    </row>
    <row r="12" spans="1:10" x14ac:dyDescent="0.35">
      <c r="B12" s="64" t="s">
        <v>108</v>
      </c>
      <c r="C12" s="113">
        <f>-INDEX(Costs!$G$7:$G$9,MATCH(pref_option,Costs!$B$7:$B$9,0))*10^-6*esc_24_26</f>
        <v>-28.979434208846868</v>
      </c>
    </row>
    <row r="13" spans="1:10" x14ac:dyDescent="0.35">
      <c r="B13" s="64" t="str" cm="1">
        <f t="array" ref="B13">INDEX(('Options Analysis'!B17,'Options Analysis'!C31,'Options Analysis'!C51),,,MATCH(pref_option,'Reg Assumptions '!$B$14:$B$16,0))</f>
        <v>Loss of efficiency during redevelopment</v>
      </c>
      <c r="C13" s="113" cm="1">
        <f t="array" ref="C13">-SUMPRODUCT((B13=Risks!B10:B11)*Risks!F10:F11)*10^-6*esc_24_26</f>
        <v>-8.961825135675296</v>
      </c>
    </row>
    <row r="15" spans="1:10" x14ac:dyDescent="0.35">
      <c r="B15" s="101"/>
      <c r="C15" s="128"/>
    </row>
    <row r="16" spans="1:10" x14ac:dyDescent="0.35">
      <c r="B16" s="69" t="s">
        <v>119</v>
      </c>
      <c r="C16" s="129" cm="1">
        <f t="array" ref="C16">INDEX('Options Analysis'!$F$7:$F$9,MATCH(pref_option,'Options Analysis'!$B$7:$B$9,0),)</f>
        <v>186.75776453312153</v>
      </c>
    </row>
    <row r="17" spans="1:9" x14ac:dyDescent="0.35">
      <c r="B17" s="64" t="str" cm="1">
        <f t="array" ref="B17:B19">INDEX(('Options Analysis'!B19,'Options Analysis'!C35:C37,'Options Analysis'!C55:C57),,,MATCH(pref_option,'Reg Assumptions '!$B$14:$B$16,0))</f>
        <v>Not fit for purpose</v>
      </c>
      <c r="C17" s="113" cm="1">
        <f t="array" ref="C17">SUMPRODUCT((B17=Risks!$B$7:$B$11)*Risks!$F$7:$F$11)*10^-6*esc_24_26</f>
        <v>82.159451812827584</v>
      </c>
    </row>
    <row r="18" spans="1:9" x14ac:dyDescent="0.35">
      <c r="B18" s="64" t="str">
        <v>Aged facilities</v>
      </c>
      <c r="C18" s="113" cm="1">
        <f t="array" ref="C18">SUMPRODUCT((B18=Risks!$B$7:$B$11)*Risks!$F$7:$F$11)*10^-6*esc_24_26</f>
        <v>55.967598574144446</v>
      </c>
    </row>
    <row r="19" spans="1:9" x14ac:dyDescent="0.35">
      <c r="B19" s="64" t="str">
        <v>Reduced employee wellbeing and satisfaction</v>
      </c>
      <c r="C19" s="113" cm="1">
        <f t="array" ref="C19">SUMPRODUCT((B19=Risks!$B$7:$B$11)*Risks!$F$7:$F$11)*10^-6*esc_24_26</f>
        <v>48.630714146149508</v>
      </c>
    </row>
    <row r="20" spans="1:9" x14ac:dyDescent="0.35">
      <c r="B20" s="63"/>
      <c r="C20" s="87"/>
    </row>
    <row r="21" spans="1:9" ht="15" thickBot="1" x14ac:dyDescent="0.4">
      <c r="B21" s="116" t="s">
        <v>104</v>
      </c>
      <c r="C21" s="117" cm="1">
        <f t="array" ref="C21">INDEX('Options Analysis'!$G$7:$G$9,MATCH(pref_option,'Options Analysis'!$B$7:$B$9,0),)</f>
        <v>148.81650518859936</v>
      </c>
      <c r="D21" s="130" t="str">
        <f>IF(AND(C21-SUM(C16,C11)&lt;0.0000001,C11-SUM(C12:C13)&lt;0.0000001,C16-SUM(C17:C19)&lt;0.0000001),"","CHECK")</f>
        <v/>
      </c>
    </row>
    <row r="22" spans="1:9" ht="15" thickTop="1" x14ac:dyDescent="0.35"/>
    <row r="24" spans="1:9" x14ac:dyDescent="0.35">
      <c r="B24" s="39" t="str">
        <f>pref_option&amp;" capex"</f>
        <v>Option 2 capex</v>
      </c>
      <c r="C24" s="40" t="s">
        <v>21</v>
      </c>
      <c r="D24" s="40" t="s">
        <v>22</v>
      </c>
      <c r="E24" s="40" t="s">
        <v>23</v>
      </c>
      <c r="F24" s="40" t="s">
        <v>24</v>
      </c>
      <c r="G24" s="40" t="s">
        <v>25</v>
      </c>
    </row>
    <row r="25" spans="1:9" x14ac:dyDescent="0.35">
      <c r="B25" s="28" t="s">
        <v>13</v>
      </c>
      <c r="C25" s="113" cm="1">
        <f t="array" ref="C25:G27">INDEX((Costs!J26:N28,Costs!J45:N47,Costs!J64:N66),,,MATCH(pref_option,'Reg Assumptions '!$B$14:$B$16,0))*10^-6*esc_24_26</f>
        <v>0</v>
      </c>
      <c r="D25" s="113">
        <v>0</v>
      </c>
      <c r="E25" s="113">
        <v>0</v>
      </c>
      <c r="F25" s="113">
        <v>0</v>
      </c>
      <c r="G25" s="113">
        <v>0</v>
      </c>
    </row>
    <row r="26" spans="1:9" x14ac:dyDescent="0.35">
      <c r="B26" s="28" t="s">
        <v>38</v>
      </c>
      <c r="C26" s="113">
        <v>0</v>
      </c>
      <c r="D26" s="113">
        <v>0</v>
      </c>
      <c r="E26" s="113">
        <v>5.5223252590620859</v>
      </c>
      <c r="F26" s="113">
        <v>14.816155134861448</v>
      </c>
      <c r="G26" s="113">
        <v>0</v>
      </c>
    </row>
    <row r="27" spans="1:9" x14ac:dyDescent="0.35">
      <c r="B27" s="28" t="s">
        <v>15</v>
      </c>
      <c r="C27" s="113">
        <v>0</v>
      </c>
      <c r="D27" s="113">
        <v>0</v>
      </c>
      <c r="E27" s="113">
        <v>4.3178133134025378</v>
      </c>
      <c r="F27" s="113">
        <v>8.2538687423883861</v>
      </c>
      <c r="G27" s="113">
        <v>0</v>
      </c>
    </row>
    <row r="28" spans="1:9" x14ac:dyDescent="0.35">
      <c r="B28" s="56" t="s">
        <v>39</v>
      </c>
      <c r="C28" s="127">
        <f>SUM(C25:C27)</f>
        <v>0</v>
      </c>
      <c r="D28" s="127">
        <f t="shared" ref="D28:G28" si="0">SUM(D25:D27)</f>
        <v>0</v>
      </c>
      <c r="E28" s="127">
        <f t="shared" si="0"/>
        <v>9.8401385724646246</v>
      </c>
      <c r="F28" s="127">
        <f t="shared" si="0"/>
        <v>23.070023877249834</v>
      </c>
      <c r="G28" s="127">
        <f t="shared" si="0"/>
        <v>0</v>
      </c>
    </row>
    <row r="31" spans="1:9" x14ac:dyDescent="0.35">
      <c r="A31" s="33" t="str">
        <f>"Cost summary: "&amp;business</f>
        <v>Cost summary: Powercor</v>
      </c>
      <c r="B31" s="33"/>
      <c r="C31" s="33"/>
      <c r="D31" s="33"/>
      <c r="E31" s="33"/>
      <c r="F31" s="33"/>
      <c r="G31" s="33"/>
      <c r="H31" s="33"/>
      <c r="I31" s="33"/>
    </row>
    <row r="32" spans="1:9" x14ac:dyDescent="0.35">
      <c r="B32" s="28"/>
      <c r="C32" s="28"/>
    </row>
    <row r="33" spans="2:4" x14ac:dyDescent="0.35">
      <c r="B33" s="28" t="s">
        <v>45</v>
      </c>
      <c r="C33" s="28" t="str">
        <f>pref_option</f>
        <v>Option 2</v>
      </c>
    </row>
    <row r="34" spans="2:4" x14ac:dyDescent="0.35">
      <c r="B34" s="28"/>
      <c r="C34" s="28"/>
    </row>
    <row r="35" spans="2:4" x14ac:dyDescent="0.35">
      <c r="B35" s="28"/>
      <c r="C35" s="20"/>
    </row>
    <row r="36" spans="2:4" x14ac:dyDescent="0.35">
      <c r="B36" s="69" t="s">
        <v>120</v>
      </c>
      <c r="C36" s="129">
        <f>C11*cost_allocation</f>
        <v>-18.591217078815859</v>
      </c>
    </row>
    <row r="37" spans="2:4" x14ac:dyDescent="0.35">
      <c r="B37" s="64" t="s">
        <v>108</v>
      </c>
      <c r="C37" s="113">
        <f>C12*cost_allocation</f>
        <v>-14.199922762334964</v>
      </c>
    </row>
    <row r="38" spans="2:4" x14ac:dyDescent="0.35">
      <c r="B38" s="64" t="str">
        <f>B13</f>
        <v>Loss of efficiency during redevelopment</v>
      </c>
      <c r="C38" s="113">
        <f>C13*cost_allocation</f>
        <v>-4.3912943164808942</v>
      </c>
    </row>
    <row r="40" spans="2:4" x14ac:dyDescent="0.35">
      <c r="B40" s="101"/>
      <c r="C40" s="128"/>
    </row>
    <row r="41" spans="2:4" x14ac:dyDescent="0.35">
      <c r="B41" s="69" t="s">
        <v>119</v>
      </c>
      <c r="C41" s="129">
        <f>C16*cost_allocation</f>
        <v>91.511304621229542</v>
      </c>
    </row>
    <row r="42" spans="2:4" x14ac:dyDescent="0.35">
      <c r="B42" s="64" t="str">
        <f>B17</f>
        <v>Not fit for purpose</v>
      </c>
      <c r="C42" s="113">
        <f>C17*cost_allocation</f>
        <v>40.258131388285513</v>
      </c>
    </row>
    <row r="43" spans="2:4" x14ac:dyDescent="0.35">
      <c r="B43" s="64" t="str">
        <f>B18</f>
        <v>Aged facilities</v>
      </c>
      <c r="C43" s="113">
        <f>C18*cost_allocation</f>
        <v>27.424123301330773</v>
      </c>
    </row>
    <row r="44" spans="2:4" x14ac:dyDescent="0.35">
      <c r="B44" s="64" t="str">
        <f>B19</f>
        <v>Reduced employee wellbeing and satisfaction</v>
      </c>
      <c r="C44" s="113">
        <f>C19*cost_allocation</f>
        <v>23.829049931613255</v>
      </c>
    </row>
    <row r="45" spans="2:4" x14ac:dyDescent="0.35">
      <c r="B45" s="63"/>
      <c r="C45" s="87"/>
    </row>
    <row r="46" spans="2:4" ht="15" thickBot="1" x14ac:dyDescent="0.4">
      <c r="B46" s="116" t="s">
        <v>104</v>
      </c>
      <c r="C46" s="117">
        <f>C21*cost_allocation</f>
        <v>72.920087542413683</v>
      </c>
      <c r="D46" s="130" t="str">
        <f>IF(AND(C46-SUM(C41,C36)&lt;0.0000001,C36-SUM(C37:C38)&lt;0.0000001,C41-SUM(C42:C44)&lt;0.0000001),"","CHECK")</f>
        <v/>
      </c>
    </row>
    <row r="47" spans="2:4" ht="15" thickTop="1" x14ac:dyDescent="0.35"/>
    <row r="49" spans="2:7" x14ac:dyDescent="0.35">
      <c r="B49" s="39" t="str">
        <f>pref_option&amp;" capex"</f>
        <v>Option 2 capex</v>
      </c>
      <c r="C49" s="40" t="s">
        <v>21</v>
      </c>
      <c r="D49" s="40" t="s">
        <v>22</v>
      </c>
      <c r="E49" s="40" t="s">
        <v>23</v>
      </c>
      <c r="F49" s="40" t="s">
        <v>24</v>
      </c>
      <c r="G49" s="40" t="s">
        <v>25</v>
      </c>
    </row>
    <row r="50" spans="2:7" x14ac:dyDescent="0.35">
      <c r="B50" s="28" t="s">
        <v>13</v>
      </c>
      <c r="C50" s="113">
        <f>C25*cost_allocation</f>
        <v>0</v>
      </c>
      <c r="D50" s="113">
        <f>D25*cost_allocation</f>
        <v>0</v>
      </c>
      <c r="E50" s="113">
        <f>E25*cost_allocation</f>
        <v>0</v>
      </c>
      <c r="F50" s="113">
        <f>F25*cost_allocation</f>
        <v>0</v>
      </c>
      <c r="G50" s="113">
        <f>G25*cost_allocation</f>
        <v>0</v>
      </c>
    </row>
    <row r="51" spans="2:7" x14ac:dyDescent="0.35">
      <c r="B51" s="28" t="s">
        <v>38</v>
      </c>
      <c r="C51" s="113">
        <f>C26*cost_allocation</f>
        <v>0</v>
      </c>
      <c r="D51" s="113">
        <f>D26*cost_allocation</f>
        <v>0</v>
      </c>
      <c r="E51" s="113">
        <f>E26*cost_allocation</f>
        <v>2.7059393769404219</v>
      </c>
      <c r="F51" s="113">
        <f>F26*cost_allocation</f>
        <v>7.2599160160821086</v>
      </c>
      <c r="G51" s="113">
        <f>G26*cost_allocation</f>
        <v>0</v>
      </c>
    </row>
    <row r="52" spans="2:7" x14ac:dyDescent="0.35">
      <c r="B52" s="28" t="s">
        <v>15</v>
      </c>
      <c r="C52" s="113">
        <f>C27*cost_allocation</f>
        <v>0</v>
      </c>
      <c r="D52" s="113">
        <f>D27*cost_allocation</f>
        <v>0</v>
      </c>
      <c r="E52" s="113">
        <f>E27*cost_allocation</f>
        <v>2.1157285235672432</v>
      </c>
      <c r="F52" s="113">
        <f>F27*cost_allocation</f>
        <v>4.0443956837703086</v>
      </c>
      <c r="G52" s="113">
        <f>G27*cost_allocation</f>
        <v>0</v>
      </c>
    </row>
    <row r="53" spans="2:7" x14ac:dyDescent="0.35">
      <c r="B53" s="56" t="s">
        <v>39</v>
      </c>
      <c r="C53" s="127">
        <f>C28*cost_allocation</f>
        <v>0</v>
      </c>
      <c r="D53" s="127">
        <f>D28*cost_allocation</f>
        <v>0</v>
      </c>
      <c r="E53" s="127">
        <f>E28*cost_allocation</f>
        <v>4.8216679005076655</v>
      </c>
      <c r="F53" s="127">
        <f>F28*cost_allocation</f>
        <v>11.304311699852418</v>
      </c>
      <c r="G53" s="127">
        <f>G28*cost_allocation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04DB8-3969-49CB-A921-55646D198638}">
  <sheetPr codeName="Sheet1"/>
  <dimension ref="A1:AD65"/>
  <sheetViews>
    <sheetView showGridLines="0" workbookViewId="0">
      <selection activeCell="D21" sqref="D21"/>
    </sheetView>
  </sheetViews>
  <sheetFormatPr defaultRowHeight="13" x14ac:dyDescent="0.3"/>
  <cols>
    <col min="1" max="2" width="8.7265625" style="63"/>
    <col min="3" max="3" width="31.453125" style="63" bestFit="1" customWidth="1"/>
    <col min="4" max="4" width="8.7265625" style="63" customWidth="1"/>
    <col min="5" max="5" width="15.81640625" style="63" bestFit="1" customWidth="1"/>
    <col min="6" max="16384" width="8.7265625" style="63"/>
  </cols>
  <sheetData>
    <row r="1" spans="1:30" s="66" customFormat="1" x14ac:dyDescent="0.3">
      <c r="A1" s="65" t="str">
        <f>business</f>
        <v>Powercor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2" t="s">
        <v>1</v>
      </c>
    </row>
    <row r="2" spans="1:30" s="66" customFormat="1" x14ac:dyDescent="0.3">
      <c r="A2" s="67" t="str">
        <f>model_name</f>
        <v>Head office</v>
      </c>
      <c r="B2" s="68"/>
      <c r="C2" s="68"/>
      <c r="D2" s="68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9" t="s">
        <v>4</v>
      </c>
    </row>
    <row r="3" spans="1:30" s="66" customFormat="1" x14ac:dyDescent="0.3">
      <c r="A3" s="63" t="str">
        <f>"All dollar values are in "&amp;TEXT(output_dollars,"$""m"" mmmm yyyy")&amp;" unless otherwise stated"</f>
        <v>All dollar values are in $m June 2026 unless otherwise stated</v>
      </c>
    </row>
    <row r="4" spans="1:30" s="66" customFormat="1" x14ac:dyDescent="0.3">
      <c r="A4" s="63"/>
    </row>
    <row r="5" spans="1:30" s="66" customFormat="1" x14ac:dyDescent="0.3">
      <c r="A5" s="33" t="s">
        <v>105</v>
      </c>
      <c r="B5" s="33"/>
      <c r="C5" s="33"/>
      <c r="D5" s="107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</row>
    <row r="6" spans="1:30" s="66" customFormat="1" ht="26" x14ac:dyDescent="0.3">
      <c r="B6" s="36" t="s">
        <v>49</v>
      </c>
      <c r="C6" s="36"/>
      <c r="D6" s="119" t="s">
        <v>118</v>
      </c>
      <c r="E6" s="40" t="s">
        <v>116</v>
      </c>
      <c r="F6" s="40" t="s">
        <v>117</v>
      </c>
      <c r="G6" s="40" t="s">
        <v>104</v>
      </c>
    </row>
    <row r="7" spans="1:30" s="66" customFormat="1" x14ac:dyDescent="0.3">
      <c r="B7" s="66" t="s">
        <v>40</v>
      </c>
      <c r="D7" s="120" t="str">
        <f>IF(G7=MAX($G$7:$G$9),"*","")</f>
        <v/>
      </c>
      <c r="E7" s="113" cm="1">
        <f t="array" ref="E7:G7">TRANSPOSE(C22:C24)</f>
        <v>0</v>
      </c>
      <c r="F7" s="113">
        <v>0</v>
      </c>
      <c r="G7" s="113">
        <v>0</v>
      </c>
    </row>
    <row r="8" spans="1:30" s="66" customFormat="1" x14ac:dyDescent="0.3">
      <c r="B8" s="66" t="s">
        <v>20</v>
      </c>
      <c r="D8" s="120" t="str">
        <f>IF(G8=MAX($G$7:$G$9),"*","")</f>
        <v>*</v>
      </c>
      <c r="E8" s="113" cm="1">
        <f t="array" ref="E8:G8">TRANSPOSE(C42:C44)</f>
        <v>-37.941259344522166</v>
      </c>
      <c r="F8" s="113">
        <v>186.75776453312153</v>
      </c>
      <c r="G8" s="113">
        <v>148.81650518859936</v>
      </c>
    </row>
    <row r="9" spans="1:30" s="66" customFormat="1" x14ac:dyDescent="0.3">
      <c r="B9" s="66" t="s">
        <v>37</v>
      </c>
      <c r="D9" s="120" t="str">
        <f>IF(G9=MAX($G$7:$G$9),"*","")</f>
        <v/>
      </c>
      <c r="E9" s="113" cm="1">
        <f t="array" ref="E9:G9">TRANSPOSE(C62:C64)</f>
        <v>-77.121050618588612</v>
      </c>
      <c r="F9" s="113">
        <v>186.75776453312153</v>
      </c>
      <c r="G9" s="113">
        <v>109.63671391453295</v>
      </c>
    </row>
    <row r="10" spans="1:30" s="66" customFormat="1" x14ac:dyDescent="0.3">
      <c r="B10" s="110"/>
      <c r="C10" s="110"/>
      <c r="D10" s="110"/>
      <c r="E10" s="110"/>
      <c r="F10" s="110"/>
      <c r="G10" s="110"/>
    </row>
    <row r="11" spans="1:30" s="66" customFormat="1" x14ac:dyDescent="0.3"/>
    <row r="12" spans="1:30" s="66" customFormat="1" x14ac:dyDescent="0.3">
      <c r="A12" s="33" t="s">
        <v>106</v>
      </c>
      <c r="B12" s="33"/>
      <c r="C12" s="33"/>
      <c r="D12" s="107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</row>
    <row r="14" spans="1:30" x14ac:dyDescent="0.3">
      <c r="B14" s="38" t="s">
        <v>40</v>
      </c>
      <c r="C14" s="38" t="str">
        <f>INDEX('Reg Assumptions '!$C$14:$C$16,MATCH(B14,'Reg Assumptions '!$B$14:$B$16,0))</f>
        <v>Do nothing</v>
      </c>
      <c r="D14" s="38"/>
      <c r="E14" s="40" t="s">
        <v>21</v>
      </c>
      <c r="F14" s="40" t="s">
        <v>22</v>
      </c>
      <c r="G14" s="40" t="s">
        <v>23</v>
      </c>
      <c r="H14" s="40" t="s">
        <v>24</v>
      </c>
      <c r="I14" s="40" t="s">
        <v>25</v>
      </c>
      <c r="J14" s="40" t="s">
        <v>51</v>
      </c>
      <c r="K14" s="40" t="s">
        <v>52</v>
      </c>
      <c r="L14" s="40" t="s">
        <v>53</v>
      </c>
      <c r="M14" s="40" t="s">
        <v>54</v>
      </c>
      <c r="N14" s="40" t="s">
        <v>55</v>
      </c>
      <c r="O14" s="40" t="s">
        <v>56</v>
      </c>
      <c r="P14" s="40" t="s">
        <v>57</v>
      </c>
      <c r="Q14" s="40" t="s">
        <v>58</v>
      </c>
      <c r="R14" s="40" t="s">
        <v>59</v>
      </c>
      <c r="S14" s="40" t="s">
        <v>60</v>
      </c>
      <c r="T14" s="40" t="s">
        <v>61</v>
      </c>
      <c r="U14" s="40" t="s">
        <v>62</v>
      </c>
      <c r="V14" s="40" t="s">
        <v>63</v>
      </c>
      <c r="W14" s="40" t="s">
        <v>64</v>
      </c>
      <c r="X14" s="40" t="s">
        <v>65</v>
      </c>
      <c r="Y14" s="40" t="s">
        <v>66</v>
      </c>
      <c r="Z14" s="40" t="s">
        <v>67</v>
      </c>
      <c r="AA14" s="40" t="s">
        <v>68</v>
      </c>
      <c r="AB14" s="40" t="s">
        <v>69</v>
      </c>
      <c r="AC14" s="40" t="s">
        <v>70</v>
      </c>
    </row>
    <row r="16" spans="1:30" x14ac:dyDescent="0.3">
      <c r="B16" s="63" t="s">
        <v>107</v>
      </c>
      <c r="E16" s="118">
        <f>Costs!J24*10^-6*esc_24_26</f>
        <v>0</v>
      </c>
      <c r="F16" s="118">
        <f>Costs!K24*10^-6*esc_24_26</f>
        <v>0</v>
      </c>
      <c r="G16" s="118">
        <f>Costs!L24*10^-6*esc_24_26</f>
        <v>0</v>
      </c>
      <c r="H16" s="118">
        <f>Costs!M24*10^-6*esc_24_26</f>
        <v>0</v>
      </c>
      <c r="I16" s="118">
        <f>Costs!N24*10^-6*esc_24_26</f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0</v>
      </c>
      <c r="W16" s="109">
        <v>0</v>
      </c>
      <c r="X16" s="109">
        <v>0</v>
      </c>
      <c r="Y16" s="109">
        <v>0</v>
      </c>
      <c r="Z16" s="109">
        <v>0</v>
      </c>
      <c r="AA16" s="109">
        <v>0</v>
      </c>
      <c r="AB16" s="109">
        <v>0</v>
      </c>
      <c r="AC16" s="109">
        <v>0</v>
      </c>
    </row>
    <row r="18" spans="2:29" x14ac:dyDescent="0.3">
      <c r="B18" s="63" t="s">
        <v>115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0</v>
      </c>
      <c r="W18" s="109">
        <v>0</v>
      </c>
      <c r="X18" s="109">
        <v>0</v>
      </c>
      <c r="Y18" s="109">
        <v>0</v>
      </c>
      <c r="Z18" s="109">
        <v>0</v>
      </c>
      <c r="AA18" s="109">
        <v>0</v>
      </c>
      <c r="AB18" s="109">
        <v>0</v>
      </c>
      <c r="AC18" s="109">
        <v>0</v>
      </c>
    </row>
    <row r="20" spans="2:29" x14ac:dyDescent="0.3">
      <c r="B20" s="111" t="str">
        <f>"Total cost of "&amp;INDEX('Reg Assumptions '!$C$14:$C$16,MATCH(B14,'Reg Assumptions '!$B$14:$B$16,0))</f>
        <v>Total cost of Do nothing</v>
      </c>
      <c r="C20" s="102"/>
      <c r="D20" s="102"/>
      <c r="E20" s="112">
        <f>E16+E18</f>
        <v>0</v>
      </c>
      <c r="F20" s="112">
        <f t="shared" ref="F20:AC20" si="0">F16+F18</f>
        <v>0</v>
      </c>
      <c r="G20" s="112">
        <f t="shared" si="0"/>
        <v>0</v>
      </c>
      <c r="H20" s="112">
        <f t="shared" si="0"/>
        <v>0</v>
      </c>
      <c r="I20" s="112">
        <f t="shared" si="0"/>
        <v>0</v>
      </c>
      <c r="J20" s="112">
        <f t="shared" si="0"/>
        <v>0</v>
      </c>
      <c r="K20" s="112">
        <f t="shared" si="0"/>
        <v>0</v>
      </c>
      <c r="L20" s="112">
        <f t="shared" si="0"/>
        <v>0</v>
      </c>
      <c r="M20" s="112">
        <f t="shared" si="0"/>
        <v>0</v>
      </c>
      <c r="N20" s="112">
        <f t="shared" si="0"/>
        <v>0</v>
      </c>
      <c r="O20" s="112">
        <f t="shared" si="0"/>
        <v>0</v>
      </c>
      <c r="P20" s="112">
        <f t="shared" si="0"/>
        <v>0</v>
      </c>
      <c r="Q20" s="112">
        <f t="shared" si="0"/>
        <v>0</v>
      </c>
      <c r="R20" s="112">
        <f t="shared" si="0"/>
        <v>0</v>
      </c>
      <c r="S20" s="112">
        <f t="shared" si="0"/>
        <v>0</v>
      </c>
      <c r="T20" s="112">
        <f t="shared" si="0"/>
        <v>0</v>
      </c>
      <c r="U20" s="112">
        <f t="shared" si="0"/>
        <v>0</v>
      </c>
      <c r="V20" s="112">
        <f t="shared" si="0"/>
        <v>0</v>
      </c>
      <c r="W20" s="112">
        <f t="shared" si="0"/>
        <v>0</v>
      </c>
      <c r="X20" s="112">
        <f t="shared" si="0"/>
        <v>0</v>
      </c>
      <c r="Y20" s="112">
        <f t="shared" si="0"/>
        <v>0</v>
      </c>
      <c r="Z20" s="112">
        <f t="shared" si="0"/>
        <v>0</v>
      </c>
      <c r="AA20" s="112">
        <f t="shared" si="0"/>
        <v>0</v>
      </c>
      <c r="AB20" s="112">
        <f t="shared" si="0"/>
        <v>0</v>
      </c>
      <c r="AC20" s="112">
        <f t="shared" si="0"/>
        <v>0</v>
      </c>
    </row>
    <row r="22" spans="2:29" x14ac:dyDescent="0.3">
      <c r="B22" s="71" t="s">
        <v>110</v>
      </c>
      <c r="C22" s="86">
        <f>NPV(real_disc,E16:AC16)</f>
        <v>0</v>
      </c>
    </row>
    <row r="23" spans="2:29" x14ac:dyDescent="0.3">
      <c r="B23" s="71" t="s">
        <v>111</v>
      </c>
      <c r="C23" s="86">
        <f>NPV(real_disc,E18:AC18)</f>
        <v>0</v>
      </c>
    </row>
    <row r="24" spans="2:29" x14ac:dyDescent="0.3">
      <c r="B24" s="71" t="s">
        <v>104</v>
      </c>
      <c r="C24" s="86">
        <f>NPV(real_disc,E20:AC20)</f>
        <v>0</v>
      </c>
    </row>
    <row r="27" spans="2:29" x14ac:dyDescent="0.3">
      <c r="B27" s="38" t="s">
        <v>20</v>
      </c>
      <c r="C27" s="38" t="str">
        <f>INDEX('Reg Assumptions '!$C$14:$C$16,MATCH(B27,'Reg Assumptions '!$B$14:$B$16,0))</f>
        <v>Upgrade existing site</v>
      </c>
      <c r="D27" s="38"/>
      <c r="E27" s="40" t="s">
        <v>21</v>
      </c>
      <c r="F27" s="40" t="s">
        <v>22</v>
      </c>
      <c r="G27" s="40" t="s">
        <v>23</v>
      </c>
      <c r="H27" s="40" t="s">
        <v>24</v>
      </c>
      <c r="I27" s="40" t="s">
        <v>25</v>
      </c>
      <c r="J27" s="40" t="s">
        <v>51</v>
      </c>
      <c r="K27" s="40" t="s">
        <v>52</v>
      </c>
      <c r="L27" s="40" t="s">
        <v>53</v>
      </c>
      <c r="M27" s="40" t="s">
        <v>54</v>
      </c>
      <c r="N27" s="40" t="s">
        <v>55</v>
      </c>
      <c r="O27" s="40" t="s">
        <v>56</v>
      </c>
      <c r="P27" s="40" t="s">
        <v>57</v>
      </c>
      <c r="Q27" s="40" t="s">
        <v>58</v>
      </c>
      <c r="R27" s="40" t="s">
        <v>59</v>
      </c>
      <c r="S27" s="40" t="s">
        <v>60</v>
      </c>
      <c r="T27" s="40" t="s">
        <v>61</v>
      </c>
      <c r="U27" s="40" t="s">
        <v>62</v>
      </c>
      <c r="V27" s="40" t="s">
        <v>63</v>
      </c>
      <c r="W27" s="40" t="s">
        <v>64</v>
      </c>
      <c r="X27" s="40" t="s">
        <v>65</v>
      </c>
      <c r="Y27" s="40" t="s">
        <v>66</v>
      </c>
      <c r="Z27" s="40" t="s">
        <v>67</v>
      </c>
      <c r="AA27" s="40" t="s">
        <v>68</v>
      </c>
      <c r="AB27" s="40" t="s">
        <v>69</v>
      </c>
      <c r="AC27" s="40" t="s">
        <v>70</v>
      </c>
    </row>
    <row r="29" spans="2:29" x14ac:dyDescent="0.3">
      <c r="B29" s="63" t="s">
        <v>108</v>
      </c>
      <c r="E29" s="113">
        <f>-Costs!J43*10^-6*esc_24_26</f>
        <v>0</v>
      </c>
      <c r="F29" s="113">
        <f>-Costs!K43*10^-6*esc_24_26</f>
        <v>0</v>
      </c>
      <c r="G29" s="113">
        <f>-Costs!L43*10^-6*esc_24_26</f>
        <v>-9.8401385724646229</v>
      </c>
      <c r="H29" s="113">
        <f>-Costs!M43*10^-6*esc_24_26</f>
        <v>-23.070023877249834</v>
      </c>
      <c r="I29" s="113">
        <f>-Costs!N43*10^-6*esc_24_26</f>
        <v>0</v>
      </c>
      <c r="J29" s="113">
        <f>-Costs!O43*10^-6*esc_24_26</f>
        <v>0</v>
      </c>
      <c r="K29" s="113"/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  <c r="T29" s="113">
        <v>0</v>
      </c>
      <c r="U29" s="113">
        <v>0</v>
      </c>
      <c r="V29" s="113">
        <v>0</v>
      </c>
      <c r="W29" s="113">
        <v>0</v>
      </c>
      <c r="X29" s="113">
        <v>0</v>
      </c>
      <c r="Y29" s="113">
        <v>0</v>
      </c>
      <c r="Z29" s="113">
        <v>0</v>
      </c>
      <c r="AA29" s="113">
        <v>0</v>
      </c>
      <c r="AB29" s="113">
        <v>0</v>
      </c>
      <c r="AC29" s="113">
        <v>0</v>
      </c>
    </row>
    <row r="30" spans="2:29" x14ac:dyDescent="0.3">
      <c r="B30" s="63" t="s">
        <v>112</v>
      </c>
    </row>
    <row r="31" spans="2:29" x14ac:dyDescent="0.3">
      <c r="B31" s="103" t="s">
        <v>43</v>
      </c>
      <c r="C31" s="63" t="s">
        <v>73</v>
      </c>
      <c r="E31" s="113">
        <f>-INDEX(Risks!I$7:I$11,MATCH('Options Analysis'!$C31,Risks!$B$7:$B$11,0))*10^-6*esc_24_26</f>
        <v>0</v>
      </c>
      <c r="F31" s="113">
        <f>-INDEX(Risks!J$7:J$11,MATCH('Options Analysis'!$C31,Risks!$B$7:$B$11,0))*10^-6*esc_24_26</f>
        <v>0</v>
      </c>
      <c r="G31" s="113">
        <f>-INDEX(Risks!K$7:K$11,MATCH('Options Analysis'!$C31,Risks!$B$7:$B$11,0))*10^-6*esc_24_26</f>
        <v>-5.0535137448484821</v>
      </c>
      <c r="H31" s="113">
        <f>-INDEX(Risks!L$7:L$11,MATCH('Options Analysis'!$C31,Risks!$B$7:$B$11,0))*10^-6*esc_24_26</f>
        <v>-5.0535137448484821</v>
      </c>
      <c r="I31" s="113">
        <f>-INDEX(Risks!M$7:M$11,MATCH('Options Analysis'!$C31,Risks!$B$7:$B$11,0))*10^-6*esc_24_26</f>
        <v>0</v>
      </c>
      <c r="J31" s="113">
        <f>-INDEX(Risks!N$7:N$11,MATCH('Options Analysis'!$C31,Risks!$B$7:$B$11,0))*10^-6*esc_24_26</f>
        <v>0</v>
      </c>
      <c r="K31" s="113">
        <f>-INDEX(Risks!O$7:O$11,MATCH('Options Analysis'!$C31,Risks!$B$7:$B$11,0))*10^-6*esc_24_26</f>
        <v>0</v>
      </c>
      <c r="L31" s="113">
        <f>-INDEX(Risks!P$7:P$11,MATCH('Options Analysis'!$C31,Risks!$B$7:$B$11,0))*10^-6*esc_24_26</f>
        <v>0</v>
      </c>
      <c r="M31" s="113">
        <f>-INDEX(Risks!Q$7:Q$11,MATCH('Options Analysis'!$C31,Risks!$B$7:$B$11,0))*10^-6*esc_24_26</f>
        <v>0</v>
      </c>
      <c r="N31" s="113">
        <f>-INDEX(Risks!R$7:R$11,MATCH('Options Analysis'!$C31,Risks!$B$7:$B$11,0))*10^-6*esc_24_26</f>
        <v>0</v>
      </c>
      <c r="O31" s="113">
        <f>-INDEX(Risks!S$7:S$11,MATCH('Options Analysis'!$C31,Risks!$B$7:$B$11,0))*10^-6*esc_24_26</f>
        <v>0</v>
      </c>
      <c r="P31" s="113">
        <f>-INDEX(Risks!T$7:T$11,MATCH('Options Analysis'!$C31,Risks!$B$7:$B$11,0))*10^-6*esc_24_26</f>
        <v>0</v>
      </c>
      <c r="Q31" s="113">
        <f>-INDEX(Risks!U$7:U$11,MATCH('Options Analysis'!$C31,Risks!$B$7:$B$11,0))*10^-6*esc_24_26</f>
        <v>0</v>
      </c>
      <c r="R31" s="113">
        <f>-INDEX(Risks!V$7:V$11,MATCH('Options Analysis'!$C31,Risks!$B$7:$B$11,0))*10^-6*esc_24_26</f>
        <v>0</v>
      </c>
      <c r="S31" s="113">
        <f>-INDEX(Risks!W$7:W$11,MATCH('Options Analysis'!$C31,Risks!$B$7:$B$11,0))*10^-6*esc_24_26</f>
        <v>0</v>
      </c>
      <c r="T31" s="113">
        <f>-INDEX(Risks!X$7:X$11,MATCH('Options Analysis'!$C31,Risks!$B$7:$B$11,0))*10^-6*esc_24_26</f>
        <v>0</v>
      </c>
      <c r="U31" s="113">
        <f>-INDEX(Risks!Y$7:Y$11,MATCH('Options Analysis'!$C31,Risks!$B$7:$B$11,0))*10^-6*esc_24_26</f>
        <v>0</v>
      </c>
      <c r="V31" s="113">
        <f>-INDEX(Risks!Z$7:Z$11,MATCH('Options Analysis'!$C31,Risks!$B$7:$B$11,0))*10^-6*esc_24_26</f>
        <v>0</v>
      </c>
      <c r="W31" s="113">
        <f>-INDEX(Risks!AA$7:AA$11,MATCH('Options Analysis'!$C31,Risks!$B$7:$B$11,0))*10^-6*esc_24_26</f>
        <v>0</v>
      </c>
      <c r="X31" s="113">
        <f>-INDEX(Risks!AB$7:AB$11,MATCH('Options Analysis'!$C31,Risks!$B$7:$B$11,0))*10^-6*esc_24_26</f>
        <v>0</v>
      </c>
      <c r="Y31" s="113">
        <f>-INDEX(Risks!AC$7:AC$11,MATCH('Options Analysis'!$C31,Risks!$B$7:$B$11,0))*10^-6*esc_24_26</f>
        <v>0</v>
      </c>
      <c r="Z31" s="113">
        <f>-INDEX(Risks!AD$7:AD$11,MATCH('Options Analysis'!$C31,Risks!$B$7:$B$11,0))*10^-6*esc_24_26</f>
        <v>0</v>
      </c>
      <c r="AA31" s="113">
        <f>-INDEX(Risks!AE$7:AE$11,MATCH('Options Analysis'!$C31,Risks!$B$7:$B$11,0))*10^-6*esc_24_26</f>
        <v>0</v>
      </c>
      <c r="AB31" s="113">
        <f>-INDEX(Risks!AF$7:AF$11,MATCH('Options Analysis'!$C31,Risks!$B$7:$B$11,0))*10^-6*esc_24_26</f>
        <v>0</v>
      </c>
      <c r="AC31" s="113">
        <f>-INDEX(Risks!AG$7:AG$11,MATCH('Options Analysis'!$C31,Risks!$B$7:$B$11,0))*10^-6*esc_24_26</f>
        <v>0</v>
      </c>
    </row>
    <row r="32" spans="2:29" x14ac:dyDescent="0.3">
      <c r="B32" s="114" t="s">
        <v>113</v>
      </c>
      <c r="C32" s="114"/>
      <c r="D32" s="114"/>
      <c r="E32" s="115">
        <f>E29+E31</f>
        <v>0</v>
      </c>
      <c r="F32" s="115">
        <f t="shared" ref="F32:AC32" si="1">F29+F31</f>
        <v>0</v>
      </c>
      <c r="G32" s="115">
        <f t="shared" si="1"/>
        <v>-14.893652317313105</v>
      </c>
      <c r="H32" s="115">
        <f t="shared" si="1"/>
        <v>-28.123537622098318</v>
      </c>
      <c r="I32" s="115">
        <f t="shared" si="1"/>
        <v>0</v>
      </c>
      <c r="J32" s="115">
        <f t="shared" si="1"/>
        <v>0</v>
      </c>
      <c r="K32" s="115">
        <f t="shared" si="1"/>
        <v>0</v>
      </c>
      <c r="L32" s="115">
        <f t="shared" si="1"/>
        <v>0</v>
      </c>
      <c r="M32" s="115">
        <f t="shared" si="1"/>
        <v>0</v>
      </c>
      <c r="N32" s="115">
        <f t="shared" si="1"/>
        <v>0</v>
      </c>
      <c r="O32" s="115">
        <f t="shared" si="1"/>
        <v>0</v>
      </c>
      <c r="P32" s="115">
        <f t="shared" si="1"/>
        <v>0</v>
      </c>
      <c r="Q32" s="115">
        <f t="shared" si="1"/>
        <v>0</v>
      </c>
      <c r="R32" s="115">
        <f t="shared" si="1"/>
        <v>0</v>
      </c>
      <c r="S32" s="115">
        <f t="shared" si="1"/>
        <v>0</v>
      </c>
      <c r="T32" s="115">
        <f t="shared" si="1"/>
        <v>0</v>
      </c>
      <c r="U32" s="115">
        <f t="shared" si="1"/>
        <v>0</v>
      </c>
      <c r="V32" s="115">
        <f t="shared" si="1"/>
        <v>0</v>
      </c>
      <c r="W32" s="115">
        <f t="shared" si="1"/>
        <v>0</v>
      </c>
      <c r="X32" s="115">
        <f t="shared" si="1"/>
        <v>0</v>
      </c>
      <c r="Y32" s="115">
        <f t="shared" si="1"/>
        <v>0</v>
      </c>
      <c r="Z32" s="115">
        <f t="shared" si="1"/>
        <v>0</v>
      </c>
      <c r="AA32" s="115">
        <f t="shared" si="1"/>
        <v>0</v>
      </c>
      <c r="AB32" s="115">
        <f t="shared" si="1"/>
        <v>0</v>
      </c>
      <c r="AC32" s="115">
        <f t="shared" si="1"/>
        <v>0</v>
      </c>
    </row>
    <row r="34" spans="2:29" x14ac:dyDescent="0.3">
      <c r="B34" s="63" t="s">
        <v>115</v>
      </c>
    </row>
    <row r="35" spans="2:29" x14ac:dyDescent="0.3">
      <c r="B35" s="103" t="s">
        <v>43</v>
      </c>
      <c r="C35" s="63" t="s">
        <v>138</v>
      </c>
      <c r="E35" s="113">
        <f>INDEX(Risks!I$7:I$11,MATCH('Options Analysis'!$C35,Risks!$B$7:$B$11,0))*10^-6*esc_24_26</f>
        <v>0</v>
      </c>
      <c r="F35" s="113">
        <f>INDEX(Risks!J$7:J$11,MATCH('Options Analysis'!$C35,Risks!$B$7:$B$11,0))*10^-6*esc_24_26</f>
        <v>0</v>
      </c>
      <c r="G35" s="113">
        <f>INDEX(Risks!K$7:K$11,MATCH('Options Analysis'!$C35,Risks!$B$7:$B$11,0))*10^-6*esc_24_26</f>
        <v>0</v>
      </c>
      <c r="H35" s="113">
        <f>INDEX(Risks!L$7:L$11,MATCH('Options Analysis'!$C35,Risks!$B$7:$B$11,0))*10^-6*esc_24_26</f>
        <v>0</v>
      </c>
      <c r="I35" s="113">
        <f>INDEX(Risks!M$7:M$11,MATCH('Options Analysis'!$C35,Risks!$B$7:$B$11,0))*10^-6*esc_24_26</f>
        <v>5.6086165219993065</v>
      </c>
      <c r="J35" s="113">
        <f>INDEX(Risks!N$7:N$11,MATCH('Options Analysis'!$C35,Risks!$B$7:$B$11,0))*10^-6*esc_24_26</f>
        <v>5.6927457698292967</v>
      </c>
      <c r="K35" s="113">
        <f>INDEX(Risks!O$7:O$11,MATCH('Options Analysis'!$C35,Risks!$B$7:$B$11,0))*10^-6*esc_24_26</f>
        <v>5.778136956376736</v>
      </c>
      <c r="L35" s="113">
        <f>INDEX(Risks!P$7:P$11,MATCH('Options Analysis'!$C35,Risks!$B$7:$B$11,0))*10^-6*esc_24_26</f>
        <v>5.8648090107223867</v>
      </c>
      <c r="M35" s="113">
        <f>INDEX(Risks!Q$7:Q$11,MATCH('Options Analysis'!$C35,Risks!$B$7:$B$11,0))*10^-6*esc_24_26</f>
        <v>5.9527811458832218</v>
      </c>
      <c r="N35" s="113">
        <f>INDEX(Risks!R$7:R$11,MATCH('Options Analysis'!$C35,Risks!$B$7:$B$11,0))*10^-6*esc_24_26</f>
        <v>6.0420728630714695</v>
      </c>
      <c r="O35" s="113">
        <f>INDEX(Risks!S$7:S$11,MATCH('Options Analysis'!$C35,Risks!$B$7:$B$11,0))*10^-6*esc_24_26</f>
        <v>6.1327039560175427</v>
      </c>
      <c r="P35" s="113">
        <f>INDEX(Risks!T$7:T$11,MATCH('Options Analysis'!$C35,Risks!$B$7:$B$11,0))*10^-6*esc_24_26</f>
        <v>6.2246945153578048</v>
      </c>
      <c r="Q35" s="113">
        <f>INDEX(Risks!U$7:U$11,MATCH('Options Analysis'!$C35,Risks!$B$7:$B$11,0))*10^-6*esc_24_26</f>
        <v>6.31806493308817</v>
      </c>
      <c r="R35" s="113">
        <f>INDEX(Risks!V$7:V$11,MATCH('Options Analysis'!$C35,Risks!$B$7:$B$11,0))*10^-6*esc_24_26</f>
        <v>6.4128359070844922</v>
      </c>
      <c r="S35" s="113">
        <f>INDEX(Risks!W$7:W$11,MATCH('Options Analysis'!$C35,Risks!$B$7:$B$11,0))*10^-6*esc_24_26</f>
        <v>6.5090284456907597</v>
      </c>
      <c r="T35" s="113">
        <f>INDEX(Risks!X$7:X$11,MATCH('Options Analysis'!$C35,Risks!$B$7:$B$11,0))*10^-6*esc_24_26</f>
        <v>6.60666387237612</v>
      </c>
      <c r="U35" s="113">
        <f>INDEX(Risks!Y$7:Y$11,MATCH('Options Analysis'!$C35,Risks!$B$7:$B$11,0))*10^-6*esc_24_26</f>
        <v>6.7057638304617599</v>
      </c>
      <c r="V35" s="113">
        <f>INDEX(Risks!Z$7:Z$11,MATCH('Options Analysis'!$C35,Risks!$B$7:$B$11,0))*10^-6*esc_24_26</f>
        <v>6.8063502879186863</v>
      </c>
      <c r="W35" s="113">
        <f>INDEX(Risks!AA$7:AA$11,MATCH('Options Analysis'!$C35,Risks!$B$7:$B$11,0))*10^-6*esc_24_26</f>
        <v>6.908445542237466</v>
      </c>
      <c r="X35" s="113">
        <f>INDEX(Risks!AB$7:AB$11,MATCH('Options Analysis'!$C35,Risks!$B$7:$B$11,0))*10^-6*esc_24_26</f>
        <v>7.0120722253710275</v>
      </c>
      <c r="Y35" s="113">
        <f>INDEX(Risks!AC$7:AC$11,MATCH('Options Analysis'!$C35,Risks!$B$7:$B$11,0))*10^-6*esc_24_26</f>
        <v>7.1172533087515921</v>
      </c>
      <c r="Z35" s="113">
        <f>INDEX(Risks!AD$7:AD$11,MATCH('Options Analysis'!$C35,Risks!$B$7:$B$11,0))*10^-6*esc_24_26</f>
        <v>7.2240121083828646</v>
      </c>
      <c r="AA35" s="113">
        <f>INDEX(Risks!AE$7:AE$11,MATCH('Options Analysis'!$C35,Risks!$B$7:$B$11,0))*10^-6*esc_24_26</f>
        <v>7.3323722900086068</v>
      </c>
      <c r="AB35" s="113">
        <f>INDEX(Risks!AF$7:AF$11,MATCH('Options Analysis'!$C35,Risks!$B$7:$B$11,0))*10^-6*esc_24_26</f>
        <v>7.4423578743587351</v>
      </c>
      <c r="AC35" s="113">
        <f>INDEX(Risks!AG$7:AG$11,MATCH('Options Analysis'!$C35,Risks!$B$7:$B$11,0))*10^-6*esc_24_26</f>
        <v>7.5539932424741165</v>
      </c>
    </row>
    <row r="36" spans="2:29" x14ac:dyDescent="0.3">
      <c r="B36" s="103" t="s">
        <v>43</v>
      </c>
      <c r="C36" s="63" t="s">
        <v>141</v>
      </c>
      <c r="E36" s="113">
        <f>INDEX(Risks!I$7:I$11,MATCH('Options Analysis'!$C36,Risks!$B$7:$B$11,0))*10^-6*esc_24_26</f>
        <v>0</v>
      </c>
      <c r="F36" s="113">
        <f>INDEX(Risks!J$7:J$11,MATCH('Options Analysis'!$C36,Risks!$B$7:$B$11,0))*10^-6*esc_24_26</f>
        <v>0</v>
      </c>
      <c r="G36" s="113">
        <f>INDEX(Risks!K$7:K$11,MATCH('Options Analysis'!$C36,Risks!$B$7:$B$11,0))*10^-6*esc_24_26</f>
        <v>0</v>
      </c>
      <c r="H36" s="113">
        <f>INDEX(Risks!L$7:L$11,MATCH('Options Analysis'!$C36,Risks!$B$7:$B$11,0))*10^-6*esc_24_26</f>
        <v>0</v>
      </c>
      <c r="I36" s="113">
        <f>INDEX(Risks!M$7:M$11,MATCH('Options Analysis'!$C36,Risks!$B$7:$B$11,0))*10^-6*esc_24_26</f>
        <v>3.8116935855327472</v>
      </c>
      <c r="J36" s="113">
        <f>INDEX(Risks!N$7:N$11,MATCH('Options Analysis'!$C36,Risks!$B$7:$B$11,0))*10^-6*esc_24_26</f>
        <v>3.8697018627932831</v>
      </c>
      <c r="K36" s="113">
        <f>INDEX(Risks!O$7:O$11,MATCH('Options Analysis'!$C36,Risks!$B$7:$B$11,0))*10^-6*esc_24_26</f>
        <v>3.9286133644707566</v>
      </c>
      <c r="L36" s="113">
        <f>INDEX(Risks!P$7:P$11,MATCH('Options Analysis'!$C36,Risks!$B$7:$B$11,0))*10^-6*esc_24_26</f>
        <v>3.9884431230760065</v>
      </c>
      <c r="M36" s="113">
        <f>INDEX(Risks!Q$7:Q$11,MATCH('Options Analysis'!$C36,Risks!$B$7:$B$11,0))*10^-6*esc_24_26</f>
        <v>4.049206467397398</v>
      </c>
      <c r="N36" s="113">
        <f>INDEX(Risks!R$7:R$11,MATCH('Options Analysis'!$C36,Risks!$B$7:$B$11,0))*10^-6*esc_24_26</f>
        <v>4.1109190304161283</v>
      </c>
      <c r="O36" s="113">
        <f>INDEX(Risks!S$7:S$11,MATCH('Options Analysis'!$C36,Risks!$B$7:$B$11,0))*10^-6*esc_24_26</f>
        <v>4.1735967575124588</v>
      </c>
      <c r="P36" s="113">
        <f>INDEX(Risks!T$7:T$11,MATCH('Options Analysis'!$C36,Risks!$B$7:$B$11,0))*10^-6*esc_24_26</f>
        <v>4.2372559149758082</v>
      </c>
      <c r="Q36" s="113">
        <f>INDEX(Risks!U$7:U$11,MATCH('Options Analysis'!$C36,Risks!$B$7:$B$11,0))*10^-6*esc_24_26</f>
        <v>4.3019130988322809</v>
      </c>
      <c r="R36" s="113">
        <f>INDEX(Risks!V$7:V$11,MATCH('Options Analysis'!$C36,Risks!$B$7:$B$11,0))*10^-6*esc_24_26</f>
        <v>4.3675852440038572</v>
      </c>
      <c r="S36" s="113">
        <f>INDEX(Risks!W$7:W$11,MATCH('Options Analysis'!$C36,Risks!$B$7:$B$11,0))*10^-6*esc_24_26</f>
        <v>4.4342896338141378</v>
      </c>
      <c r="T36" s="113">
        <f>INDEX(Risks!X$7:X$11,MATCH('Options Analysis'!$C36,Risks!$B$7:$B$11,0))*10^-6*esc_24_26</f>
        <v>4.5020439098562939</v>
      </c>
      <c r="U36" s="113">
        <f>INDEX(Risks!Y$7:Y$11,MATCH('Options Analysis'!$C36,Risks!$B$7:$B$11,0))*10^-6*esc_24_26</f>
        <v>4.5708660822395837</v>
      </c>
      <c r="V36" s="113">
        <f>INDEX(Risks!Z$7:Z$11,MATCH('Options Analysis'!$C36,Risks!$B$7:$B$11,0))*10^-6*esc_24_26</f>
        <v>4.6407745402316252</v>
      </c>
      <c r="W36" s="113">
        <f>INDEX(Risks!AA$7:AA$11,MATCH('Options Analysis'!$C36,Risks!$B$7:$B$11,0))*10^-6*esc_24_26</f>
        <v>4.7117880633144242</v>
      </c>
      <c r="X36" s="113">
        <f>INDEX(Risks!AB$7:AB$11,MATCH('Options Analysis'!$C36,Risks!$B$7:$B$11,0))*10^-6*esc_24_26</f>
        <v>4.7839258326730434</v>
      </c>
      <c r="Y36" s="113">
        <f>INDEX(Risks!AC$7:AC$11,MATCH('Options Analysis'!$C36,Risks!$B$7:$B$11,0))*10^-6*esc_24_26</f>
        <v>4.8572074431367147</v>
      </c>
      <c r="Z36" s="113">
        <f>INDEX(Risks!AD$7:AD$11,MATCH('Options Analysis'!$C36,Risks!$B$7:$B$11,0))*10^-6*esc_24_26</f>
        <v>4.9316529155931281</v>
      </c>
      <c r="AA36" s="113">
        <f>INDEX(Risks!AE$7:AE$11,MATCH('Options Analysis'!$C36,Risks!$B$7:$B$11,0))*10^-6*esc_24_26</f>
        <v>5.0072827098977086</v>
      </c>
      <c r="AB36" s="113">
        <f>INDEX(Risks!AF$7:AF$11,MATCH('Options Analysis'!$C36,Risks!$B$7:$B$11,0))*10^-6*esc_24_26</f>
        <v>5.0841177383006624</v>
      </c>
      <c r="AC36" s="113">
        <f>INDEX(Risks!AG$7:AG$11,MATCH('Options Analysis'!$C36,Risks!$B$7:$B$11,0))*10^-6*esc_24_26</f>
        <v>5.1621793794157593</v>
      </c>
    </row>
    <row r="37" spans="2:29" x14ac:dyDescent="0.3">
      <c r="B37" s="103" t="s">
        <v>43</v>
      </c>
      <c r="C37" s="63" t="s">
        <v>153</v>
      </c>
      <c r="E37" s="113">
        <f>INDEX(Risks!I$7:I$11,MATCH('Options Analysis'!$C37,Risks!$B$7:$B$11,0))*10^-6*esc_24_26</f>
        <v>0</v>
      </c>
      <c r="F37" s="113">
        <f>INDEX(Risks!J$7:J$11,MATCH('Options Analysis'!$C37,Risks!$B$7:$B$11,0))*10^-6*esc_24_26</f>
        <v>0</v>
      </c>
      <c r="G37" s="113">
        <f>INDEX(Risks!K$7:K$11,MATCH('Options Analysis'!$C37,Risks!$B$7:$B$11,0))*10^-6*esc_24_26</f>
        <v>0</v>
      </c>
      <c r="H37" s="113">
        <f>INDEX(Risks!L$7:L$11,MATCH('Options Analysis'!$C37,Risks!$B$7:$B$11,0))*10^-6*esc_24_26</f>
        <v>0</v>
      </c>
      <c r="I37" s="113">
        <f>INDEX(Risks!M$7:M$11,MATCH('Options Analysis'!$C37,Risks!$B$7:$B$11,0))*10^-6*esc_24_26</f>
        <v>3.5503709262817997</v>
      </c>
      <c r="J37" s="113">
        <f>INDEX(Risks!N$7:N$11,MATCH('Options Analysis'!$C37,Risks!$B$7:$B$11,0))*10^-6*esc_24_26</f>
        <v>3.5771528654768923</v>
      </c>
      <c r="K37" s="113">
        <f>INDEX(Risks!O$7:O$11,MATCH('Options Analysis'!$C37,Risks!$B$7:$B$11,0))*10^-6*esc_24_26</f>
        <v>3.6041590152135985</v>
      </c>
      <c r="L37" s="113">
        <f>INDEX(Risks!P$7:P$11,MATCH('Options Analysis'!$C37,Risks!$B$7:$B$11,0))*10^-6*esc_24_26</f>
        <v>3.6313913995530811</v>
      </c>
      <c r="M37" s="113">
        <f>INDEX(Risks!Q$7:Q$11,MATCH('Options Analysis'!$C37,Risks!$B$7:$B$11,0))*10^-6*esc_24_26</f>
        <v>3.6588520617068951</v>
      </c>
      <c r="N37" s="113">
        <f>INDEX(Risks!R$7:R$11,MATCH('Options Analysis'!$C37,Risks!$B$7:$B$11,0))*10^-6*esc_24_26</f>
        <v>3.6865430642230388</v>
      </c>
      <c r="O37" s="113">
        <f>INDEX(Risks!S$7:S$11,MATCH('Options Analysis'!$C37,Risks!$B$7:$B$11,0))*10^-6*esc_24_26</f>
        <v>3.7144664891738386</v>
      </c>
      <c r="P37" s="113">
        <f>INDEX(Risks!T$7:T$11,MATCH('Options Analysis'!$C37,Risks!$B$7:$B$11,0))*10^-6*esc_24_26</f>
        <v>3.7426244383456906</v>
      </c>
      <c r="Q37" s="113">
        <f>INDEX(Risks!U$7:U$11,MATCH('Options Analysis'!$C37,Risks!$B$7:$B$11,0))*10^-6*esc_24_26</f>
        <v>3.7710190334306612</v>
      </c>
      <c r="R37" s="113">
        <f>INDEX(Risks!V$7:V$11,MATCH('Options Analysis'!$C37,Risks!$B$7:$B$11,0))*10^-6*esc_24_26</f>
        <v>3.7996524162199883</v>
      </c>
      <c r="S37" s="113">
        <f>INDEX(Risks!W$7:W$11,MATCH('Options Analysis'!$C37,Risks!$B$7:$B$11,0))*10^-6*esc_24_26</f>
        <v>3.8285267487994843</v>
      </c>
      <c r="T37" s="113">
        <f>INDEX(Risks!X$7:X$11,MATCH('Options Analysis'!$C37,Risks!$B$7:$B$11,0))*10^-6*esc_24_26</f>
        <v>3.8576442137468616</v>
      </c>
      <c r="U37" s="113">
        <f>INDEX(Risks!Y$7:Y$11,MATCH('Options Analysis'!$C37,Risks!$B$7:$B$11,0))*10^-6*esc_24_26</f>
        <v>3.8870070143310098</v>
      </c>
      <c r="V37" s="113">
        <f>INDEX(Risks!Z$7:Z$11,MATCH('Options Analysis'!$C37,Risks!$B$7:$B$11,0))*10^-6*esc_24_26</f>
        <v>3.9166173747132329</v>
      </c>
      <c r="W37" s="113">
        <f>INDEX(Risks!AA$7:AA$11,MATCH('Options Analysis'!$C37,Risks!$B$7:$B$11,0))*10^-6*esc_24_26</f>
        <v>3.9464775401504726</v>
      </c>
      <c r="X37" s="113">
        <f>INDEX(Risks!AB$7:AB$11,MATCH('Options Analysis'!$C37,Risks!$B$7:$B$11,0))*10^-6*esc_24_26</f>
        <v>3.9765897772005352</v>
      </c>
      <c r="Y37" s="113">
        <f>INDEX(Risks!AC$7:AC$11,MATCH('Options Analysis'!$C37,Risks!$B$7:$B$11,0))*10^-6*esc_24_26</f>
        <v>4.0069563739293415</v>
      </c>
      <c r="Z37" s="113">
        <f>INDEX(Risks!AD$7:AD$11,MATCH('Options Analysis'!$C37,Risks!$B$7:$B$11,0))*10^-6*esc_24_26</f>
        <v>4.03757964012022</v>
      </c>
      <c r="AA37" s="113">
        <f>INDEX(Risks!AE$7:AE$11,MATCH('Options Analysis'!$C37,Risks!$B$7:$B$11,0))*10^-6*esc_24_26</f>
        <v>4.0684619074852639</v>
      </c>
      <c r="AB37" s="113">
        <f>INDEX(Risks!AF$7:AF$11,MATCH('Options Analysis'!$C37,Risks!$B$7:$B$11,0))*10^-6*esc_24_26</f>
        <v>4.0996055298787795</v>
      </c>
      <c r="AC37" s="113">
        <f>INDEX(Risks!AG$7:AG$11,MATCH('Options Analysis'!$C37,Risks!$B$7:$B$11,0))*10^-6*esc_24_26</f>
        <v>4.1310128835128221</v>
      </c>
    </row>
    <row r="38" spans="2:29" x14ac:dyDescent="0.3">
      <c r="B38" s="114" t="s">
        <v>114</v>
      </c>
      <c r="C38" s="114"/>
      <c r="D38" s="114"/>
      <c r="E38" s="115">
        <f>SUM(E35:E37)</f>
        <v>0</v>
      </c>
      <c r="F38" s="115">
        <f>SUM(F35:F37)</f>
        <v>0</v>
      </c>
      <c r="G38" s="115">
        <f>SUM(G35:G37)</f>
        <v>0</v>
      </c>
      <c r="H38" s="115">
        <f>SUM(H35:H37)</f>
        <v>0</v>
      </c>
      <c r="I38" s="115">
        <f>SUM(I35:I37)</f>
        <v>12.970681033813854</v>
      </c>
      <c r="J38" s="115">
        <f>SUM(J35:J37)</f>
        <v>13.139600498099471</v>
      </c>
      <c r="K38" s="115">
        <f>SUM(K35:K37)</f>
        <v>13.310909336061091</v>
      </c>
      <c r="L38" s="115">
        <f>SUM(L35:L37)</f>
        <v>13.484643533351473</v>
      </c>
      <c r="M38" s="115">
        <f>SUM(M35:M37)</f>
        <v>13.660839674987514</v>
      </c>
      <c r="N38" s="115">
        <f>SUM(N35:N37)</f>
        <v>13.839534957710637</v>
      </c>
      <c r="O38" s="115">
        <f>SUM(O35:O37)</f>
        <v>14.020767202703841</v>
      </c>
      <c r="P38" s="115">
        <f>SUM(P35:P37)</f>
        <v>14.204574868679302</v>
      </c>
      <c r="Q38" s="115">
        <f>SUM(Q35:Q37)</f>
        <v>14.390997065351112</v>
      </c>
      <c r="R38" s="115">
        <f>SUM(R35:R37)</f>
        <v>14.580073567308338</v>
      </c>
      <c r="S38" s="115">
        <f>SUM(S35:S37)</f>
        <v>14.771844828304383</v>
      </c>
      <c r="T38" s="115">
        <f>SUM(T35:T37)</f>
        <v>14.966351995979277</v>
      </c>
      <c r="U38" s="115">
        <f>SUM(U35:U37)</f>
        <v>15.163636927032353</v>
      </c>
      <c r="V38" s="115">
        <f>SUM(V35:V37)</f>
        <v>15.363742202863545</v>
      </c>
      <c r="W38" s="115">
        <f>SUM(W35:W37)</f>
        <v>15.566711145702364</v>
      </c>
      <c r="X38" s="115">
        <f>SUM(X35:X37)</f>
        <v>15.772587835244606</v>
      </c>
      <c r="Y38" s="115">
        <f>SUM(Y35:Y37)</f>
        <v>15.981417125817648</v>
      </c>
      <c r="Z38" s="115">
        <f>SUM(Z35:Z37)</f>
        <v>16.193244664096213</v>
      </c>
      <c r="AA38" s="115">
        <f>SUM(AA35:AA37)</f>
        <v>16.40811690739158</v>
      </c>
      <c r="AB38" s="115">
        <f>SUM(AB35:AB37)</f>
        <v>16.626081142538176</v>
      </c>
      <c r="AC38" s="115">
        <f>SUM(AC35:AC37)</f>
        <v>16.847185505402699</v>
      </c>
    </row>
    <row r="40" spans="2:29" x14ac:dyDescent="0.3">
      <c r="B40" s="111" t="str">
        <f>"Total cost of "&amp;INDEX('Reg Assumptions '!$C$14:$C$16,MATCH(B27,'Reg Assumptions '!$B$14:$B$16,0))</f>
        <v>Total cost of Upgrade existing site</v>
      </c>
      <c r="C40" s="102"/>
      <c r="D40" s="102"/>
      <c r="E40" s="115">
        <f>E32+E38</f>
        <v>0</v>
      </c>
      <c r="F40" s="115">
        <f>F32+F38</f>
        <v>0</v>
      </c>
      <c r="G40" s="115">
        <f>G32+G38</f>
        <v>-14.893652317313105</v>
      </c>
      <c r="H40" s="115">
        <f>H32+H38</f>
        <v>-28.123537622098318</v>
      </c>
      <c r="I40" s="115">
        <f>I32+I38</f>
        <v>12.970681033813854</v>
      </c>
      <c r="J40" s="115">
        <f>J32+J38</f>
        <v>13.139600498099471</v>
      </c>
      <c r="K40" s="115">
        <f>K32+K38</f>
        <v>13.310909336061091</v>
      </c>
      <c r="L40" s="115">
        <f>L32+L38</f>
        <v>13.484643533351473</v>
      </c>
      <c r="M40" s="115">
        <f>M32+M38</f>
        <v>13.660839674987514</v>
      </c>
      <c r="N40" s="115">
        <f>N32+N38</f>
        <v>13.839534957710637</v>
      </c>
      <c r="O40" s="115">
        <f>O32+O38</f>
        <v>14.020767202703841</v>
      </c>
      <c r="P40" s="115">
        <f>P32+P38</f>
        <v>14.204574868679302</v>
      </c>
      <c r="Q40" s="115">
        <f>Q32+Q38</f>
        <v>14.390997065351112</v>
      </c>
      <c r="R40" s="115">
        <f>R32+R38</f>
        <v>14.580073567308338</v>
      </c>
      <c r="S40" s="115">
        <f>S32+S38</f>
        <v>14.771844828304383</v>
      </c>
      <c r="T40" s="115">
        <f>T32+T38</f>
        <v>14.966351995979277</v>
      </c>
      <c r="U40" s="115">
        <f>U32+U38</f>
        <v>15.163636927032353</v>
      </c>
      <c r="V40" s="115">
        <f>V32+V38</f>
        <v>15.363742202863545</v>
      </c>
      <c r="W40" s="115">
        <f>W32+W38</f>
        <v>15.566711145702364</v>
      </c>
      <c r="X40" s="115">
        <f>X32+X38</f>
        <v>15.772587835244606</v>
      </c>
      <c r="Y40" s="115">
        <f>Y32+Y38</f>
        <v>15.981417125817648</v>
      </c>
      <c r="Z40" s="115">
        <f>Z32+Z38</f>
        <v>16.193244664096213</v>
      </c>
      <c r="AA40" s="115">
        <f>AA32+AA38</f>
        <v>16.40811690739158</v>
      </c>
      <c r="AB40" s="115">
        <f>AB32+AB38</f>
        <v>16.626081142538176</v>
      </c>
      <c r="AC40" s="115">
        <f>AC32+AC38</f>
        <v>16.847185505402699</v>
      </c>
    </row>
    <row r="42" spans="2:29" x14ac:dyDescent="0.3">
      <c r="B42" s="71" t="s">
        <v>110</v>
      </c>
      <c r="C42" s="87">
        <f>NPV(real_disc,E32:AC32)</f>
        <v>-37.941259344522166</v>
      </c>
    </row>
    <row r="43" spans="2:29" x14ac:dyDescent="0.3">
      <c r="B43" s="71" t="s">
        <v>111</v>
      </c>
      <c r="C43" s="87">
        <f>NPV(real_disc,E38:AC38)</f>
        <v>186.75776453312153</v>
      </c>
    </row>
    <row r="44" spans="2:29" ht="13.5" thickBot="1" x14ac:dyDescent="0.35">
      <c r="B44" s="116" t="s">
        <v>104</v>
      </c>
      <c r="C44" s="117">
        <f>NPV(real_disc,E40:AC40)</f>
        <v>148.81650518859936</v>
      </c>
    </row>
    <row r="45" spans="2:29" ht="13.5" thickTop="1" x14ac:dyDescent="0.3"/>
    <row r="47" spans="2:29" x14ac:dyDescent="0.3">
      <c r="B47" s="38" t="s">
        <v>37</v>
      </c>
      <c r="C47" s="38" t="str">
        <f>INDEX('Reg Assumptions '!$C$14:$C$16,MATCH(B47,'Reg Assumptions '!$B$14:$B$16,0))</f>
        <v>New lease for head office</v>
      </c>
      <c r="D47" s="38"/>
      <c r="E47" s="40" t="s">
        <v>21</v>
      </c>
      <c r="F47" s="40" t="s">
        <v>22</v>
      </c>
      <c r="G47" s="40" t="s">
        <v>23</v>
      </c>
      <c r="H47" s="40" t="s">
        <v>24</v>
      </c>
      <c r="I47" s="40" t="s">
        <v>25</v>
      </c>
      <c r="J47" s="40" t="s">
        <v>51</v>
      </c>
      <c r="K47" s="40" t="s">
        <v>52</v>
      </c>
      <c r="L47" s="40" t="s">
        <v>53</v>
      </c>
      <c r="M47" s="40" t="s">
        <v>54</v>
      </c>
      <c r="N47" s="40" t="s">
        <v>55</v>
      </c>
      <c r="O47" s="40" t="s">
        <v>56</v>
      </c>
      <c r="P47" s="40" t="s">
        <v>57</v>
      </c>
      <c r="Q47" s="40" t="s">
        <v>58</v>
      </c>
      <c r="R47" s="40" t="s">
        <v>59</v>
      </c>
      <c r="S47" s="40" t="s">
        <v>60</v>
      </c>
      <c r="T47" s="40" t="s">
        <v>61</v>
      </c>
      <c r="U47" s="40" t="s">
        <v>62</v>
      </c>
      <c r="V47" s="40" t="s">
        <v>63</v>
      </c>
      <c r="W47" s="40" t="s">
        <v>64</v>
      </c>
      <c r="X47" s="40" t="s">
        <v>65</v>
      </c>
      <c r="Y47" s="40" t="s">
        <v>66</v>
      </c>
      <c r="Z47" s="40" t="s">
        <v>67</v>
      </c>
      <c r="AA47" s="40" t="s">
        <v>68</v>
      </c>
      <c r="AB47" s="40" t="s">
        <v>69</v>
      </c>
      <c r="AC47" s="40" t="s">
        <v>70</v>
      </c>
    </row>
    <row r="49" spans="2:29" x14ac:dyDescent="0.3">
      <c r="B49" s="63" t="s">
        <v>108</v>
      </c>
      <c r="E49" s="113">
        <f>-Costs!J62*10^-6*esc_24_26</f>
        <v>0</v>
      </c>
      <c r="F49" s="113">
        <f>-Costs!K62*10^-6*esc_24_26</f>
        <v>0</v>
      </c>
      <c r="G49" s="113">
        <f>-Costs!L62*10^-6*esc_24_26</f>
        <v>-11.598540553802847</v>
      </c>
      <c r="H49" s="113">
        <f>-Costs!M62*10^-6*esc_24_26</f>
        <v>-26.976080167136949</v>
      </c>
      <c r="I49" s="113">
        <f>-Costs!N62*10^-6*esc_24_26</f>
        <v>0</v>
      </c>
      <c r="J49" s="113">
        <v>0</v>
      </c>
      <c r="K49" s="113">
        <v>0</v>
      </c>
      <c r="L49" s="113">
        <v>0</v>
      </c>
      <c r="M49" s="113">
        <v>0</v>
      </c>
      <c r="N49" s="113">
        <v>0</v>
      </c>
      <c r="O49" s="113">
        <v>0</v>
      </c>
      <c r="P49" s="113">
        <v>0</v>
      </c>
      <c r="Q49" s="113">
        <v>0</v>
      </c>
      <c r="R49" s="113">
        <v>0</v>
      </c>
      <c r="S49" s="113">
        <v>0</v>
      </c>
      <c r="T49" s="113">
        <v>0</v>
      </c>
      <c r="U49" s="113">
        <v>0</v>
      </c>
      <c r="V49" s="113">
        <v>0</v>
      </c>
      <c r="W49" s="113">
        <v>0</v>
      </c>
      <c r="X49" s="113">
        <v>0</v>
      </c>
      <c r="Y49" s="113">
        <v>0</v>
      </c>
      <c r="Z49" s="113">
        <v>0</v>
      </c>
      <c r="AA49" s="113">
        <v>0</v>
      </c>
      <c r="AB49" s="113">
        <v>0</v>
      </c>
      <c r="AC49" s="113">
        <v>0</v>
      </c>
    </row>
    <row r="50" spans="2:29" x14ac:dyDescent="0.3">
      <c r="B50" s="63" t="s">
        <v>112</v>
      </c>
    </row>
    <row r="51" spans="2:29" x14ac:dyDescent="0.3">
      <c r="B51" s="103" t="s">
        <v>43</v>
      </c>
      <c r="C51" s="63" t="s">
        <v>161</v>
      </c>
      <c r="E51" s="113">
        <f>-INDEX(Risks!I$7:I$11,MATCH('Options Analysis'!$C51,Risks!$B$7:$B$11,0))*10^-6*esc_24_26</f>
        <v>0</v>
      </c>
      <c r="F51" s="113">
        <f>-INDEX(Risks!J$7:J$11,MATCH('Options Analysis'!$C51,Risks!$B$7:$B$11,0))*10^-6*esc_24_26</f>
        <v>0</v>
      </c>
      <c r="G51" s="113">
        <f>-INDEX(Risks!K$7:K$11,MATCH('Options Analysis'!$C51,Risks!$B$7:$B$11,0))*10^-6*esc_24_26</f>
        <v>0</v>
      </c>
      <c r="H51" s="113">
        <f>-INDEX(Risks!L$7:L$11,MATCH('Options Analysis'!$C51,Risks!$B$7:$B$11,0))*10^-6*esc_24_26</f>
        <v>0</v>
      </c>
      <c r="I51" s="113">
        <f>-INDEX(Risks!M$7:M$11,MATCH('Options Analysis'!$C51,Risks!$B$7:$B$11,0))*10^-6*esc_24_26</f>
        <v>-3.3690091632323207</v>
      </c>
      <c r="J51" s="113">
        <f>-INDEX(Risks!N$7:N$11,MATCH('Options Analysis'!$C51,Risks!$B$7:$B$11,0))*10^-6*esc_24_26</f>
        <v>-3.3690091632323207</v>
      </c>
      <c r="K51" s="113">
        <f>-INDEX(Risks!O$7:O$11,MATCH('Options Analysis'!$C51,Risks!$B$7:$B$11,0))*10^-6*esc_24_26</f>
        <v>-3.3690091632323207</v>
      </c>
      <c r="L51" s="113">
        <f>-INDEX(Risks!P$7:P$11,MATCH('Options Analysis'!$C51,Risks!$B$7:$B$11,0))*10^-6*esc_24_26</f>
        <v>-3.3690091632323207</v>
      </c>
      <c r="M51" s="113">
        <f>-INDEX(Risks!Q$7:Q$11,MATCH('Options Analysis'!$C51,Risks!$B$7:$B$11,0))*10^-6*esc_24_26</f>
        <v>-3.3690091632323207</v>
      </c>
      <c r="N51" s="113">
        <f>-INDEX(Risks!R$7:R$11,MATCH('Options Analysis'!$C51,Risks!$B$7:$B$11,0))*10^-6*esc_24_26</f>
        <v>-3.3690091632323207</v>
      </c>
      <c r="O51" s="113">
        <f>-INDEX(Risks!S$7:S$11,MATCH('Options Analysis'!$C51,Risks!$B$7:$B$11,0))*10^-6*esc_24_26</f>
        <v>-3.3690091632323207</v>
      </c>
      <c r="P51" s="113">
        <f>-INDEX(Risks!T$7:T$11,MATCH('Options Analysis'!$C51,Risks!$B$7:$B$11,0))*10^-6*esc_24_26</f>
        <v>-3.3690091632323207</v>
      </c>
      <c r="Q51" s="113">
        <f>-INDEX(Risks!U$7:U$11,MATCH('Options Analysis'!$C51,Risks!$B$7:$B$11,0))*10^-6*esc_24_26</f>
        <v>-3.3690091632323207</v>
      </c>
      <c r="R51" s="113">
        <f>-INDEX(Risks!V$7:V$11,MATCH('Options Analysis'!$C51,Risks!$B$7:$B$11,0))*10^-6*esc_24_26</f>
        <v>-3.3690091632323207</v>
      </c>
      <c r="S51" s="113">
        <f>-INDEX(Risks!W$7:W$11,MATCH('Options Analysis'!$C51,Risks!$B$7:$B$11,0))*10^-6*esc_24_26</f>
        <v>-3.3690091632323207</v>
      </c>
      <c r="T51" s="113">
        <f>-INDEX(Risks!X$7:X$11,MATCH('Options Analysis'!$C51,Risks!$B$7:$B$11,0))*10^-6*esc_24_26</f>
        <v>-3.3690091632323207</v>
      </c>
      <c r="U51" s="113">
        <f>-INDEX(Risks!Y$7:Y$11,MATCH('Options Analysis'!$C51,Risks!$B$7:$B$11,0))*10^-6*esc_24_26</f>
        <v>-3.3690091632323207</v>
      </c>
      <c r="V51" s="113">
        <f>-INDEX(Risks!Z$7:Z$11,MATCH('Options Analysis'!$C51,Risks!$B$7:$B$11,0))*10^-6*esc_24_26</f>
        <v>-3.3690091632323207</v>
      </c>
      <c r="W51" s="113">
        <f>-INDEX(Risks!AA$7:AA$11,MATCH('Options Analysis'!$C51,Risks!$B$7:$B$11,0))*10^-6*esc_24_26</f>
        <v>-3.3690091632323207</v>
      </c>
      <c r="X51" s="113">
        <f>-INDEX(Risks!AB$7:AB$11,MATCH('Options Analysis'!$C51,Risks!$B$7:$B$11,0))*10^-6*esc_24_26</f>
        <v>-3.3690091632323207</v>
      </c>
      <c r="Y51" s="113">
        <f>-INDEX(Risks!AC$7:AC$11,MATCH('Options Analysis'!$C51,Risks!$B$7:$B$11,0))*10^-6*esc_24_26</f>
        <v>-3.3690091632323207</v>
      </c>
      <c r="Z51" s="113">
        <f>-INDEX(Risks!AD$7:AD$11,MATCH('Options Analysis'!$C51,Risks!$B$7:$B$11,0))*10^-6*esc_24_26</f>
        <v>-3.3690091632323207</v>
      </c>
      <c r="AA51" s="113">
        <f>-INDEX(Risks!AE$7:AE$11,MATCH('Options Analysis'!$C51,Risks!$B$7:$B$11,0))*10^-6*esc_24_26</f>
        <v>-3.3690091632323207</v>
      </c>
      <c r="AB51" s="113">
        <f>-INDEX(Risks!AF$7:AF$11,MATCH('Options Analysis'!$C51,Risks!$B$7:$B$11,0))*10^-6*esc_24_26</f>
        <v>-3.3690091632323207</v>
      </c>
      <c r="AC51" s="113">
        <f>-INDEX(Risks!AG$7:AG$11,MATCH('Options Analysis'!$C51,Risks!$B$7:$B$11,0))*10^-6*esc_24_26</f>
        <v>-3.3690091632323207</v>
      </c>
    </row>
    <row r="52" spans="2:29" x14ac:dyDescent="0.3">
      <c r="B52" s="114" t="s">
        <v>113</v>
      </c>
      <c r="C52" s="114"/>
      <c r="D52" s="114"/>
      <c r="E52" s="115">
        <f>E49+E51</f>
        <v>0</v>
      </c>
      <c r="F52" s="115">
        <f t="shared" ref="F52" si="2">F49+F51</f>
        <v>0</v>
      </c>
      <c r="G52" s="115">
        <f t="shared" ref="G52" si="3">G49+G51</f>
        <v>-11.598540553802847</v>
      </c>
      <c r="H52" s="115">
        <f t="shared" ref="H52" si="4">H49+H51</f>
        <v>-26.976080167136949</v>
      </c>
      <c r="I52" s="115">
        <f t="shared" ref="I52" si="5">I49+I51</f>
        <v>-3.3690091632323207</v>
      </c>
      <c r="J52" s="115">
        <f t="shared" ref="J52" si="6">J49+J51</f>
        <v>-3.3690091632323207</v>
      </c>
      <c r="K52" s="115">
        <f t="shared" ref="K52" si="7">K49+K51</f>
        <v>-3.3690091632323207</v>
      </c>
      <c r="L52" s="115">
        <f t="shared" ref="L52" si="8">L49+L51</f>
        <v>-3.3690091632323207</v>
      </c>
      <c r="M52" s="115">
        <f t="shared" ref="M52" si="9">M49+M51</f>
        <v>-3.3690091632323207</v>
      </c>
      <c r="N52" s="115">
        <f t="shared" ref="N52" si="10">N49+N51</f>
        <v>-3.3690091632323207</v>
      </c>
      <c r="O52" s="115">
        <f t="shared" ref="O52" si="11">O49+O51</f>
        <v>-3.3690091632323207</v>
      </c>
      <c r="P52" s="115">
        <f t="shared" ref="P52" si="12">P49+P51</f>
        <v>-3.3690091632323207</v>
      </c>
      <c r="Q52" s="115">
        <f t="shared" ref="Q52" si="13">Q49+Q51</f>
        <v>-3.3690091632323207</v>
      </c>
      <c r="R52" s="115">
        <f t="shared" ref="R52" si="14">R49+R51</f>
        <v>-3.3690091632323207</v>
      </c>
      <c r="S52" s="115">
        <f t="shared" ref="S52" si="15">S49+S51</f>
        <v>-3.3690091632323207</v>
      </c>
      <c r="T52" s="115">
        <f t="shared" ref="T52" si="16">T49+T51</f>
        <v>-3.3690091632323207</v>
      </c>
      <c r="U52" s="115">
        <f t="shared" ref="U52" si="17">U49+U51</f>
        <v>-3.3690091632323207</v>
      </c>
      <c r="V52" s="115">
        <f t="shared" ref="V52" si="18">V49+V51</f>
        <v>-3.3690091632323207</v>
      </c>
      <c r="W52" s="115">
        <f t="shared" ref="W52" si="19">W49+W51</f>
        <v>-3.3690091632323207</v>
      </c>
      <c r="X52" s="115">
        <f t="shared" ref="X52" si="20">X49+X51</f>
        <v>-3.3690091632323207</v>
      </c>
      <c r="Y52" s="115">
        <f t="shared" ref="Y52" si="21">Y49+Y51</f>
        <v>-3.3690091632323207</v>
      </c>
      <c r="Z52" s="115">
        <f t="shared" ref="Z52" si="22">Z49+Z51</f>
        <v>-3.3690091632323207</v>
      </c>
      <c r="AA52" s="115">
        <f t="shared" ref="AA52" si="23">AA49+AA51</f>
        <v>-3.3690091632323207</v>
      </c>
      <c r="AB52" s="115">
        <f t="shared" ref="AB52" si="24">AB49+AB51</f>
        <v>-3.3690091632323207</v>
      </c>
      <c r="AC52" s="115">
        <f t="shared" ref="AC52" si="25">AC49+AC51</f>
        <v>-3.3690091632323207</v>
      </c>
    </row>
    <row r="54" spans="2:29" x14ac:dyDescent="0.3">
      <c r="B54" s="63" t="s">
        <v>109</v>
      </c>
    </row>
    <row r="55" spans="2:29" x14ac:dyDescent="0.3">
      <c r="B55" s="103" t="s">
        <v>43</v>
      </c>
      <c r="C55" s="63" t="s">
        <v>138</v>
      </c>
      <c r="E55" s="113">
        <f>INDEX(Risks!I$7:I$11,MATCH('Options Analysis'!$C55,Risks!$B$7:$B$11,0))*10^-6*esc_24_26</f>
        <v>0</v>
      </c>
      <c r="F55" s="113">
        <f>INDEX(Risks!J$7:J$11,MATCH('Options Analysis'!$C55,Risks!$B$7:$B$11,0))*10^-6*esc_24_26</f>
        <v>0</v>
      </c>
      <c r="G55" s="113">
        <f>INDEX(Risks!K$7:K$11,MATCH('Options Analysis'!$C55,Risks!$B$7:$B$11,0))*10^-6*esc_24_26</f>
        <v>0</v>
      </c>
      <c r="H55" s="113">
        <f>INDEX(Risks!L$7:L$11,MATCH('Options Analysis'!$C55,Risks!$B$7:$B$11,0))*10^-6*esc_24_26</f>
        <v>0</v>
      </c>
      <c r="I55" s="113">
        <f>INDEX(Risks!M$7:M$11,MATCH('Options Analysis'!$C55,Risks!$B$7:$B$11,0))*10^-6*esc_24_26</f>
        <v>5.6086165219993065</v>
      </c>
      <c r="J55" s="113">
        <f>INDEX(Risks!N$7:N$11,MATCH('Options Analysis'!$C55,Risks!$B$7:$B$11,0))*10^-6*esc_24_26</f>
        <v>5.6927457698292967</v>
      </c>
      <c r="K55" s="113">
        <f>INDEX(Risks!O$7:O$11,MATCH('Options Analysis'!$C55,Risks!$B$7:$B$11,0))*10^-6*esc_24_26</f>
        <v>5.778136956376736</v>
      </c>
      <c r="L55" s="113">
        <f>INDEX(Risks!P$7:P$11,MATCH('Options Analysis'!$C55,Risks!$B$7:$B$11,0))*10^-6*esc_24_26</f>
        <v>5.8648090107223867</v>
      </c>
      <c r="M55" s="113">
        <f>INDEX(Risks!Q$7:Q$11,MATCH('Options Analysis'!$C55,Risks!$B$7:$B$11,0))*10^-6*esc_24_26</f>
        <v>5.9527811458832218</v>
      </c>
      <c r="N55" s="113">
        <f>INDEX(Risks!R$7:R$11,MATCH('Options Analysis'!$C55,Risks!$B$7:$B$11,0))*10^-6*esc_24_26</f>
        <v>6.0420728630714695</v>
      </c>
      <c r="O55" s="113">
        <f>INDEX(Risks!S$7:S$11,MATCH('Options Analysis'!$C55,Risks!$B$7:$B$11,0))*10^-6*esc_24_26</f>
        <v>6.1327039560175427</v>
      </c>
      <c r="P55" s="113">
        <f>INDEX(Risks!T$7:T$11,MATCH('Options Analysis'!$C55,Risks!$B$7:$B$11,0))*10^-6*esc_24_26</f>
        <v>6.2246945153578048</v>
      </c>
      <c r="Q55" s="113">
        <f>INDEX(Risks!U$7:U$11,MATCH('Options Analysis'!$C55,Risks!$B$7:$B$11,0))*10^-6*esc_24_26</f>
        <v>6.31806493308817</v>
      </c>
      <c r="R55" s="113">
        <f>INDEX(Risks!V$7:V$11,MATCH('Options Analysis'!$C55,Risks!$B$7:$B$11,0))*10^-6*esc_24_26</f>
        <v>6.4128359070844922</v>
      </c>
      <c r="S55" s="113">
        <f>INDEX(Risks!W$7:W$11,MATCH('Options Analysis'!$C55,Risks!$B$7:$B$11,0))*10^-6*esc_24_26</f>
        <v>6.5090284456907597</v>
      </c>
      <c r="T55" s="113">
        <f>INDEX(Risks!X$7:X$11,MATCH('Options Analysis'!$C55,Risks!$B$7:$B$11,0))*10^-6*esc_24_26</f>
        <v>6.60666387237612</v>
      </c>
      <c r="U55" s="113">
        <f>INDEX(Risks!Y$7:Y$11,MATCH('Options Analysis'!$C55,Risks!$B$7:$B$11,0))*10^-6*esc_24_26</f>
        <v>6.7057638304617599</v>
      </c>
      <c r="V55" s="113">
        <f>INDEX(Risks!Z$7:Z$11,MATCH('Options Analysis'!$C55,Risks!$B$7:$B$11,0))*10^-6*esc_24_26</f>
        <v>6.8063502879186863</v>
      </c>
      <c r="W55" s="113">
        <f>INDEX(Risks!AA$7:AA$11,MATCH('Options Analysis'!$C55,Risks!$B$7:$B$11,0))*10^-6*esc_24_26</f>
        <v>6.908445542237466</v>
      </c>
      <c r="X55" s="113">
        <f>INDEX(Risks!AB$7:AB$11,MATCH('Options Analysis'!$C55,Risks!$B$7:$B$11,0))*10^-6*esc_24_26</f>
        <v>7.0120722253710275</v>
      </c>
      <c r="Y55" s="113">
        <f>INDEX(Risks!AC$7:AC$11,MATCH('Options Analysis'!$C55,Risks!$B$7:$B$11,0))*10^-6*esc_24_26</f>
        <v>7.1172533087515921</v>
      </c>
      <c r="Z55" s="113">
        <f>INDEX(Risks!AD$7:AD$11,MATCH('Options Analysis'!$C55,Risks!$B$7:$B$11,0))*10^-6*esc_24_26</f>
        <v>7.2240121083828646</v>
      </c>
      <c r="AA55" s="113">
        <f>INDEX(Risks!AE$7:AE$11,MATCH('Options Analysis'!$C55,Risks!$B$7:$B$11,0))*10^-6*esc_24_26</f>
        <v>7.3323722900086068</v>
      </c>
      <c r="AB55" s="113">
        <f>INDEX(Risks!AF$7:AF$11,MATCH('Options Analysis'!$C55,Risks!$B$7:$B$11,0))*10^-6*esc_24_26</f>
        <v>7.4423578743587351</v>
      </c>
      <c r="AC55" s="113">
        <f>INDEX(Risks!AG$7:AG$11,MATCH('Options Analysis'!$C55,Risks!$B$7:$B$11,0))*10^-6*esc_24_26</f>
        <v>7.5539932424741165</v>
      </c>
    </row>
    <row r="56" spans="2:29" x14ac:dyDescent="0.3">
      <c r="B56" s="103" t="s">
        <v>43</v>
      </c>
      <c r="C56" s="63" t="s">
        <v>141</v>
      </c>
      <c r="E56" s="113">
        <f>INDEX(Risks!I$7:I$11,MATCH('Options Analysis'!$C56,Risks!$B$7:$B$11,0))*10^-6*esc_24_26</f>
        <v>0</v>
      </c>
      <c r="F56" s="113">
        <f>INDEX(Risks!J$7:J$11,MATCH('Options Analysis'!$C56,Risks!$B$7:$B$11,0))*10^-6*esc_24_26</f>
        <v>0</v>
      </c>
      <c r="G56" s="113">
        <f>INDEX(Risks!K$7:K$11,MATCH('Options Analysis'!$C56,Risks!$B$7:$B$11,0))*10^-6*esc_24_26</f>
        <v>0</v>
      </c>
      <c r="H56" s="113">
        <f>INDEX(Risks!L$7:L$11,MATCH('Options Analysis'!$C56,Risks!$B$7:$B$11,0))*10^-6*esc_24_26</f>
        <v>0</v>
      </c>
      <c r="I56" s="113">
        <f>INDEX(Risks!M$7:M$11,MATCH('Options Analysis'!$C56,Risks!$B$7:$B$11,0))*10^-6*esc_24_26</f>
        <v>3.8116935855327472</v>
      </c>
      <c r="J56" s="113">
        <f>INDEX(Risks!N$7:N$11,MATCH('Options Analysis'!$C56,Risks!$B$7:$B$11,0))*10^-6*esc_24_26</f>
        <v>3.8697018627932831</v>
      </c>
      <c r="K56" s="113">
        <f>INDEX(Risks!O$7:O$11,MATCH('Options Analysis'!$C56,Risks!$B$7:$B$11,0))*10^-6*esc_24_26</f>
        <v>3.9286133644707566</v>
      </c>
      <c r="L56" s="113">
        <f>INDEX(Risks!P$7:P$11,MATCH('Options Analysis'!$C56,Risks!$B$7:$B$11,0))*10^-6*esc_24_26</f>
        <v>3.9884431230760065</v>
      </c>
      <c r="M56" s="113">
        <f>INDEX(Risks!Q$7:Q$11,MATCH('Options Analysis'!$C56,Risks!$B$7:$B$11,0))*10^-6*esc_24_26</f>
        <v>4.049206467397398</v>
      </c>
      <c r="N56" s="113">
        <f>INDEX(Risks!R$7:R$11,MATCH('Options Analysis'!$C56,Risks!$B$7:$B$11,0))*10^-6*esc_24_26</f>
        <v>4.1109190304161283</v>
      </c>
      <c r="O56" s="113">
        <f>INDEX(Risks!S$7:S$11,MATCH('Options Analysis'!$C56,Risks!$B$7:$B$11,0))*10^-6*esc_24_26</f>
        <v>4.1735967575124588</v>
      </c>
      <c r="P56" s="113">
        <f>INDEX(Risks!T$7:T$11,MATCH('Options Analysis'!$C56,Risks!$B$7:$B$11,0))*10^-6*esc_24_26</f>
        <v>4.2372559149758082</v>
      </c>
      <c r="Q56" s="113">
        <f>INDEX(Risks!U$7:U$11,MATCH('Options Analysis'!$C56,Risks!$B$7:$B$11,0))*10^-6*esc_24_26</f>
        <v>4.3019130988322809</v>
      </c>
      <c r="R56" s="113">
        <f>INDEX(Risks!V$7:V$11,MATCH('Options Analysis'!$C56,Risks!$B$7:$B$11,0))*10^-6*esc_24_26</f>
        <v>4.3675852440038572</v>
      </c>
      <c r="S56" s="113">
        <f>INDEX(Risks!W$7:W$11,MATCH('Options Analysis'!$C56,Risks!$B$7:$B$11,0))*10^-6*esc_24_26</f>
        <v>4.4342896338141378</v>
      </c>
      <c r="T56" s="113">
        <f>INDEX(Risks!X$7:X$11,MATCH('Options Analysis'!$C56,Risks!$B$7:$B$11,0))*10^-6*esc_24_26</f>
        <v>4.5020439098562939</v>
      </c>
      <c r="U56" s="113">
        <f>INDEX(Risks!Y$7:Y$11,MATCH('Options Analysis'!$C56,Risks!$B$7:$B$11,0))*10^-6*esc_24_26</f>
        <v>4.5708660822395837</v>
      </c>
      <c r="V56" s="113">
        <f>INDEX(Risks!Z$7:Z$11,MATCH('Options Analysis'!$C56,Risks!$B$7:$B$11,0))*10^-6*esc_24_26</f>
        <v>4.6407745402316252</v>
      </c>
      <c r="W56" s="113">
        <f>INDEX(Risks!AA$7:AA$11,MATCH('Options Analysis'!$C56,Risks!$B$7:$B$11,0))*10^-6*esc_24_26</f>
        <v>4.7117880633144242</v>
      </c>
      <c r="X56" s="113">
        <f>INDEX(Risks!AB$7:AB$11,MATCH('Options Analysis'!$C56,Risks!$B$7:$B$11,0))*10^-6*esc_24_26</f>
        <v>4.7839258326730434</v>
      </c>
      <c r="Y56" s="113">
        <f>INDEX(Risks!AC$7:AC$11,MATCH('Options Analysis'!$C56,Risks!$B$7:$B$11,0))*10^-6*esc_24_26</f>
        <v>4.8572074431367147</v>
      </c>
      <c r="Z56" s="113">
        <f>INDEX(Risks!AD$7:AD$11,MATCH('Options Analysis'!$C56,Risks!$B$7:$B$11,0))*10^-6*esc_24_26</f>
        <v>4.9316529155931281</v>
      </c>
      <c r="AA56" s="113">
        <f>INDEX(Risks!AE$7:AE$11,MATCH('Options Analysis'!$C56,Risks!$B$7:$B$11,0))*10^-6*esc_24_26</f>
        <v>5.0072827098977086</v>
      </c>
      <c r="AB56" s="113">
        <f>INDEX(Risks!AF$7:AF$11,MATCH('Options Analysis'!$C56,Risks!$B$7:$B$11,0))*10^-6*esc_24_26</f>
        <v>5.0841177383006624</v>
      </c>
      <c r="AC56" s="113">
        <f>INDEX(Risks!AG$7:AG$11,MATCH('Options Analysis'!$C56,Risks!$B$7:$B$11,0))*10^-6*esc_24_26</f>
        <v>5.1621793794157593</v>
      </c>
    </row>
    <row r="57" spans="2:29" x14ac:dyDescent="0.3">
      <c r="B57" s="103" t="s">
        <v>43</v>
      </c>
      <c r="C57" s="63" t="s">
        <v>153</v>
      </c>
      <c r="E57" s="113">
        <f>INDEX(Risks!I$7:I$11,MATCH('Options Analysis'!$C57,Risks!$B$7:$B$11,0))*10^-6*esc_24_26</f>
        <v>0</v>
      </c>
      <c r="F57" s="113">
        <f>INDEX(Risks!J$7:J$11,MATCH('Options Analysis'!$C57,Risks!$B$7:$B$11,0))*10^-6*esc_24_26</f>
        <v>0</v>
      </c>
      <c r="G57" s="113">
        <f>INDEX(Risks!K$7:K$11,MATCH('Options Analysis'!$C57,Risks!$B$7:$B$11,0))*10^-6*esc_24_26</f>
        <v>0</v>
      </c>
      <c r="H57" s="113">
        <f>INDEX(Risks!L$7:L$11,MATCH('Options Analysis'!$C57,Risks!$B$7:$B$11,0))*10^-6*esc_24_26</f>
        <v>0</v>
      </c>
      <c r="I57" s="113">
        <f>INDEX(Risks!M$7:M$11,MATCH('Options Analysis'!$C57,Risks!$B$7:$B$11,0))*10^-6*esc_24_26</f>
        <v>3.5503709262817997</v>
      </c>
      <c r="J57" s="113">
        <f>INDEX(Risks!N$7:N$11,MATCH('Options Analysis'!$C57,Risks!$B$7:$B$11,0))*10^-6*esc_24_26</f>
        <v>3.5771528654768923</v>
      </c>
      <c r="K57" s="113">
        <f>INDEX(Risks!O$7:O$11,MATCH('Options Analysis'!$C57,Risks!$B$7:$B$11,0))*10^-6*esc_24_26</f>
        <v>3.6041590152135985</v>
      </c>
      <c r="L57" s="113">
        <f>INDEX(Risks!P$7:P$11,MATCH('Options Analysis'!$C57,Risks!$B$7:$B$11,0))*10^-6*esc_24_26</f>
        <v>3.6313913995530811</v>
      </c>
      <c r="M57" s="113">
        <f>INDEX(Risks!Q$7:Q$11,MATCH('Options Analysis'!$C57,Risks!$B$7:$B$11,0))*10^-6*esc_24_26</f>
        <v>3.6588520617068951</v>
      </c>
      <c r="N57" s="113">
        <f>INDEX(Risks!R$7:R$11,MATCH('Options Analysis'!$C57,Risks!$B$7:$B$11,0))*10^-6*esc_24_26</f>
        <v>3.6865430642230388</v>
      </c>
      <c r="O57" s="113">
        <f>INDEX(Risks!S$7:S$11,MATCH('Options Analysis'!$C57,Risks!$B$7:$B$11,0))*10^-6*esc_24_26</f>
        <v>3.7144664891738386</v>
      </c>
      <c r="P57" s="113">
        <f>INDEX(Risks!T$7:T$11,MATCH('Options Analysis'!$C57,Risks!$B$7:$B$11,0))*10^-6*esc_24_26</f>
        <v>3.7426244383456906</v>
      </c>
      <c r="Q57" s="113">
        <f>INDEX(Risks!U$7:U$11,MATCH('Options Analysis'!$C57,Risks!$B$7:$B$11,0))*10^-6*esc_24_26</f>
        <v>3.7710190334306612</v>
      </c>
      <c r="R57" s="113">
        <f>INDEX(Risks!V$7:V$11,MATCH('Options Analysis'!$C57,Risks!$B$7:$B$11,0))*10^-6*esc_24_26</f>
        <v>3.7996524162199883</v>
      </c>
      <c r="S57" s="113">
        <f>INDEX(Risks!W$7:W$11,MATCH('Options Analysis'!$C57,Risks!$B$7:$B$11,0))*10^-6*esc_24_26</f>
        <v>3.8285267487994843</v>
      </c>
      <c r="T57" s="113">
        <f>INDEX(Risks!X$7:X$11,MATCH('Options Analysis'!$C57,Risks!$B$7:$B$11,0))*10^-6*esc_24_26</f>
        <v>3.8576442137468616</v>
      </c>
      <c r="U57" s="113">
        <f>INDEX(Risks!Y$7:Y$11,MATCH('Options Analysis'!$C57,Risks!$B$7:$B$11,0))*10^-6*esc_24_26</f>
        <v>3.8870070143310098</v>
      </c>
      <c r="V57" s="113">
        <f>INDEX(Risks!Z$7:Z$11,MATCH('Options Analysis'!$C57,Risks!$B$7:$B$11,0))*10^-6*esc_24_26</f>
        <v>3.9166173747132329</v>
      </c>
      <c r="W57" s="113">
        <f>INDEX(Risks!AA$7:AA$11,MATCH('Options Analysis'!$C57,Risks!$B$7:$B$11,0))*10^-6*esc_24_26</f>
        <v>3.9464775401504726</v>
      </c>
      <c r="X57" s="113">
        <f>INDEX(Risks!AB$7:AB$11,MATCH('Options Analysis'!$C57,Risks!$B$7:$B$11,0))*10^-6*esc_24_26</f>
        <v>3.9765897772005352</v>
      </c>
      <c r="Y57" s="113">
        <f>INDEX(Risks!AC$7:AC$11,MATCH('Options Analysis'!$C57,Risks!$B$7:$B$11,0))*10^-6*esc_24_26</f>
        <v>4.0069563739293415</v>
      </c>
      <c r="Z57" s="113">
        <f>INDEX(Risks!AD$7:AD$11,MATCH('Options Analysis'!$C57,Risks!$B$7:$B$11,0))*10^-6*esc_24_26</f>
        <v>4.03757964012022</v>
      </c>
      <c r="AA57" s="113">
        <f>INDEX(Risks!AE$7:AE$11,MATCH('Options Analysis'!$C57,Risks!$B$7:$B$11,0))*10^-6*esc_24_26</f>
        <v>4.0684619074852639</v>
      </c>
      <c r="AB57" s="113">
        <f>INDEX(Risks!AF$7:AF$11,MATCH('Options Analysis'!$C57,Risks!$B$7:$B$11,0))*10^-6*esc_24_26</f>
        <v>4.0996055298787795</v>
      </c>
      <c r="AC57" s="113">
        <f>INDEX(Risks!AG$7:AG$11,MATCH('Options Analysis'!$C57,Risks!$B$7:$B$11,0))*10^-6*esc_24_26</f>
        <v>4.1310128835128221</v>
      </c>
    </row>
    <row r="58" spans="2:29" x14ac:dyDescent="0.3">
      <c r="B58" s="114" t="s">
        <v>114</v>
      </c>
      <c r="C58" s="114"/>
      <c r="D58" s="114"/>
      <c r="E58" s="115">
        <f>SUM(E55:E57)</f>
        <v>0</v>
      </c>
      <c r="F58" s="115">
        <f>SUM(F55:F57)</f>
        <v>0</v>
      </c>
      <c r="G58" s="115">
        <f>SUM(G55:G57)</f>
        <v>0</v>
      </c>
      <c r="H58" s="115">
        <f>SUM(H55:H57)</f>
        <v>0</v>
      </c>
      <c r="I58" s="115">
        <f>SUM(I55:I57)</f>
        <v>12.970681033813854</v>
      </c>
      <c r="J58" s="115">
        <f>SUM(J55:J57)</f>
        <v>13.139600498099471</v>
      </c>
      <c r="K58" s="115">
        <f>SUM(K55:K57)</f>
        <v>13.310909336061091</v>
      </c>
      <c r="L58" s="115">
        <f>SUM(L55:L57)</f>
        <v>13.484643533351473</v>
      </c>
      <c r="M58" s="115">
        <f>SUM(M55:M57)</f>
        <v>13.660839674987514</v>
      </c>
      <c r="N58" s="115">
        <f>SUM(N55:N57)</f>
        <v>13.839534957710637</v>
      </c>
      <c r="O58" s="115">
        <f>SUM(O55:O57)</f>
        <v>14.020767202703841</v>
      </c>
      <c r="P58" s="115">
        <f>SUM(P55:P57)</f>
        <v>14.204574868679302</v>
      </c>
      <c r="Q58" s="115">
        <f>SUM(Q55:Q57)</f>
        <v>14.390997065351112</v>
      </c>
      <c r="R58" s="115">
        <f>SUM(R55:R57)</f>
        <v>14.580073567308338</v>
      </c>
      <c r="S58" s="115">
        <f>SUM(S55:S57)</f>
        <v>14.771844828304383</v>
      </c>
      <c r="T58" s="115">
        <f>SUM(T55:T57)</f>
        <v>14.966351995979277</v>
      </c>
      <c r="U58" s="115">
        <f>SUM(U55:U57)</f>
        <v>15.163636927032353</v>
      </c>
      <c r="V58" s="115">
        <f>SUM(V55:V57)</f>
        <v>15.363742202863545</v>
      </c>
      <c r="W58" s="115">
        <f>SUM(W55:W57)</f>
        <v>15.566711145702364</v>
      </c>
      <c r="X58" s="115">
        <f>SUM(X55:X57)</f>
        <v>15.772587835244606</v>
      </c>
      <c r="Y58" s="115">
        <f>SUM(Y55:Y57)</f>
        <v>15.981417125817648</v>
      </c>
      <c r="Z58" s="115">
        <f>SUM(Z55:Z57)</f>
        <v>16.193244664096213</v>
      </c>
      <c r="AA58" s="115">
        <f>SUM(AA55:AA57)</f>
        <v>16.40811690739158</v>
      </c>
      <c r="AB58" s="115">
        <f>SUM(AB55:AB57)</f>
        <v>16.626081142538176</v>
      </c>
      <c r="AC58" s="115">
        <f>SUM(AC55:AC57)</f>
        <v>16.847185505402699</v>
      </c>
    </row>
    <row r="60" spans="2:29" x14ac:dyDescent="0.3">
      <c r="B60" s="111" t="str">
        <f>"Total cost of "&amp;INDEX('Reg Assumptions '!$C$14:$C$16,MATCH(B47,'Reg Assumptions '!$B$14:$B$16,0))</f>
        <v>Total cost of New lease for head office</v>
      </c>
      <c r="C60" s="102"/>
      <c r="D60" s="102"/>
      <c r="E60" s="115">
        <f>E52+E58</f>
        <v>0</v>
      </c>
      <c r="F60" s="115">
        <f>F52+F58</f>
        <v>0</v>
      </c>
      <c r="G60" s="115">
        <f>G52+G58</f>
        <v>-11.598540553802847</v>
      </c>
      <c r="H60" s="115">
        <f>H52+H58</f>
        <v>-26.976080167136949</v>
      </c>
      <c r="I60" s="115">
        <f>I52+I58</f>
        <v>9.6016718705815336</v>
      </c>
      <c r="J60" s="115">
        <f>J52+J58</f>
        <v>9.7705913348671505</v>
      </c>
      <c r="K60" s="115">
        <f>K52+K58</f>
        <v>9.9419001728287704</v>
      </c>
      <c r="L60" s="115">
        <f>L52+L58</f>
        <v>10.115634370119153</v>
      </c>
      <c r="M60" s="115">
        <f>M52+M58</f>
        <v>10.291830511755194</v>
      </c>
      <c r="N60" s="115">
        <f>N52+N58</f>
        <v>10.470525794478316</v>
      </c>
      <c r="O60" s="115">
        <f>O52+O58</f>
        <v>10.65175803947152</v>
      </c>
      <c r="P60" s="115">
        <f>P52+P58</f>
        <v>10.835565705446982</v>
      </c>
      <c r="Q60" s="115">
        <f>Q52+Q58</f>
        <v>11.021987902118791</v>
      </c>
      <c r="R60" s="115">
        <f>R52+R58</f>
        <v>11.211064404076017</v>
      </c>
      <c r="S60" s="115">
        <f>S52+S58</f>
        <v>11.402835665072063</v>
      </c>
      <c r="T60" s="115">
        <f>T52+T58</f>
        <v>11.597342832746957</v>
      </c>
      <c r="U60" s="115">
        <f>U52+U58</f>
        <v>11.794627763800033</v>
      </c>
      <c r="V60" s="115">
        <f>V52+V58</f>
        <v>11.994733039631225</v>
      </c>
      <c r="W60" s="115">
        <f>W52+W58</f>
        <v>12.197701982470043</v>
      </c>
      <c r="X60" s="115">
        <f>X52+X58</f>
        <v>12.403578672012285</v>
      </c>
      <c r="Y60" s="115">
        <f>Y52+Y58</f>
        <v>12.612407962585328</v>
      </c>
      <c r="Z60" s="115">
        <f>Z52+Z58</f>
        <v>12.824235500863892</v>
      </c>
      <c r="AA60" s="115">
        <f>AA52+AA58</f>
        <v>13.03910774415926</v>
      </c>
      <c r="AB60" s="115">
        <f>AB52+AB58</f>
        <v>13.257071979305856</v>
      </c>
      <c r="AC60" s="115">
        <f>AC52+AC58</f>
        <v>13.478176342170379</v>
      </c>
    </row>
    <row r="62" spans="2:29" x14ac:dyDescent="0.3">
      <c r="B62" s="71" t="s">
        <v>110</v>
      </c>
      <c r="C62" s="87">
        <f>NPV(real_disc,E52:AC52)</f>
        <v>-77.121050618588612</v>
      </c>
    </row>
    <row r="63" spans="2:29" x14ac:dyDescent="0.3">
      <c r="B63" s="71" t="s">
        <v>111</v>
      </c>
      <c r="C63" s="87">
        <f>NPV(real_disc,E58:AC58)</f>
        <v>186.75776453312153</v>
      </c>
    </row>
    <row r="64" spans="2:29" ht="13.5" thickBot="1" x14ac:dyDescent="0.35">
      <c r="B64" s="116" t="s">
        <v>104</v>
      </c>
      <c r="C64" s="117">
        <f>NPV(real_disc,E60:AC60)</f>
        <v>109.63671391453295</v>
      </c>
    </row>
    <row r="65" ht="13.5" thickTop="1" x14ac:dyDescent="0.3"/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641E31-E5D6-464D-ACD2-E7AA06E674CE}">
          <x14:formula1>
            <xm:f>Risks!$B$10:$B$11</xm:f>
          </x14:formula1>
          <xm:sqref>C31 C51</xm:sqref>
        </x14:dataValidation>
        <x14:dataValidation type="list" allowBlank="1" showInputMessage="1" showErrorMessage="1" xr:uid="{AFC9B020-2721-4D04-8973-4860D0B26679}">
          <x14:formula1>
            <xm:f>Risks!$B$7:$B$9</xm:f>
          </x14:formula1>
          <xm:sqref>C35:C37 C55:C57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FD846-6229-4353-B298-8FEC50899DC5}">
  <sheetPr codeName="Sheet3"/>
  <dimension ref="A1:P66"/>
  <sheetViews>
    <sheetView showGridLines="0" workbookViewId="0">
      <selection activeCell="L28" sqref="L28"/>
    </sheetView>
  </sheetViews>
  <sheetFormatPr defaultColWidth="9" defaultRowHeight="13" x14ac:dyDescent="0.3"/>
  <cols>
    <col min="1" max="1" width="3.54296875" style="28" customWidth="1"/>
    <col min="2" max="2" width="30" style="28" customWidth="1"/>
    <col min="3" max="3" width="29" style="28" bestFit="1" customWidth="1"/>
    <col min="4" max="4" width="3.54296875" style="28" customWidth="1"/>
    <col min="5" max="5" width="2.26953125" style="28" customWidth="1"/>
    <col min="6" max="6" width="8.7265625" style="28" customWidth="1"/>
    <col min="7" max="8" width="10.453125" style="28" bestFit="1" customWidth="1"/>
    <col min="9" max="9" width="4.1796875" style="28" customWidth="1"/>
    <col min="10" max="12" width="12.453125" style="28" customWidth="1"/>
    <col min="13" max="13" width="11" style="28" bestFit="1" customWidth="1"/>
    <col min="14" max="14" width="10.26953125" style="28" customWidth="1"/>
    <col min="15" max="15" width="4.81640625" style="28" customWidth="1"/>
    <col min="16" max="16" width="11" style="28" customWidth="1"/>
    <col min="17" max="16384" width="9" style="28"/>
  </cols>
  <sheetData>
    <row r="1" spans="1:16" ht="15.5" x14ac:dyDescent="0.35">
      <c r="A1" s="4" t="str">
        <f>business</f>
        <v>Powercor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32"/>
      <c r="P1" s="2" t="s">
        <v>1</v>
      </c>
    </row>
    <row r="2" spans="1:16" ht="15.5" x14ac:dyDescent="0.35">
      <c r="A2" s="58" t="str">
        <f>model_name</f>
        <v>Head office</v>
      </c>
      <c r="B2" s="8"/>
      <c r="C2" s="8"/>
      <c r="D2" s="8"/>
      <c r="E2" s="8"/>
      <c r="F2" s="8"/>
      <c r="G2" s="8"/>
      <c r="H2" s="5"/>
      <c r="I2" s="5"/>
      <c r="J2" s="5"/>
      <c r="K2" s="5"/>
      <c r="L2" s="5"/>
      <c r="M2" s="5"/>
      <c r="N2" s="5"/>
      <c r="O2" s="32"/>
      <c r="P2" s="9" t="s">
        <v>4</v>
      </c>
    </row>
    <row r="3" spans="1:16" x14ac:dyDescent="0.3">
      <c r="A3" s="64" t="str">
        <f>"All dollar values are in "&amp;TEXT(input_dollars,"$ mmmm yyyy")&amp;" unless otherwise stated"</f>
        <v>All dollar values are in $ June 2024 unless otherwise stated</v>
      </c>
    </row>
    <row r="4" spans="1:16" x14ac:dyDescent="0.3">
      <c r="A4" s="64"/>
    </row>
    <row r="5" spans="1:16" ht="14.5" x14ac:dyDescent="0.35">
      <c r="A5" s="33" t="s">
        <v>46</v>
      </c>
      <c r="B5" s="33"/>
      <c r="C5" s="33"/>
      <c r="D5" s="33"/>
      <c r="E5" s="34"/>
      <c r="F5" s="33"/>
      <c r="G5" s="34"/>
      <c r="H5" s="34"/>
      <c r="I5" s="34"/>
      <c r="J5" s="35"/>
      <c r="K5" s="35"/>
      <c r="L5" s="35"/>
      <c r="M5" s="35"/>
      <c r="N5" s="35"/>
      <c r="O5" s="35"/>
      <c r="P5" s="35"/>
    </row>
    <row r="6" spans="1:16" x14ac:dyDescent="0.3">
      <c r="B6" s="36" t="s">
        <v>49</v>
      </c>
      <c r="C6" s="36"/>
      <c r="D6" s="36"/>
      <c r="E6" s="36"/>
      <c r="F6" s="36"/>
      <c r="G6" s="36" t="s">
        <v>104</v>
      </c>
      <c r="H6" s="36" t="s">
        <v>26</v>
      </c>
      <c r="I6" s="36"/>
      <c r="J6" s="40" t="s">
        <v>21</v>
      </c>
      <c r="K6" s="40" t="s">
        <v>22</v>
      </c>
      <c r="L6" s="40" t="s">
        <v>23</v>
      </c>
      <c r="M6" s="40" t="s">
        <v>24</v>
      </c>
      <c r="N6" s="40" t="s">
        <v>25</v>
      </c>
    </row>
    <row r="7" spans="1:16" x14ac:dyDescent="0.3">
      <c r="B7" s="28" t="s">
        <v>40</v>
      </c>
      <c r="G7" s="42">
        <f>NPV(real_disc,J7:N7)</f>
        <v>0</v>
      </c>
      <c r="H7" s="42">
        <f>SUM(J7:N7)</f>
        <v>0</v>
      </c>
      <c r="J7" s="42">
        <f>J24</f>
        <v>0</v>
      </c>
      <c r="K7" s="42">
        <f t="shared" ref="K7:N7" si="0">K24</f>
        <v>0</v>
      </c>
      <c r="L7" s="42">
        <f t="shared" si="0"/>
        <v>0</v>
      </c>
      <c r="M7" s="42">
        <f t="shared" si="0"/>
        <v>0</v>
      </c>
      <c r="N7" s="42">
        <f t="shared" si="0"/>
        <v>0</v>
      </c>
    </row>
    <row r="8" spans="1:16" x14ac:dyDescent="0.3">
      <c r="B8" s="28" t="s">
        <v>20</v>
      </c>
      <c r="G8" s="42">
        <f>NPV(real_disc,J8:N8)</f>
        <v>26039271.188224953</v>
      </c>
      <c r="H8" s="42">
        <f>SUM(J8:N8)</f>
        <v>29571200</v>
      </c>
      <c r="J8" s="42">
        <f>J43</f>
        <v>0</v>
      </c>
      <c r="K8" s="42">
        <f t="shared" ref="K8:N8" si="1">K43</f>
        <v>0</v>
      </c>
      <c r="L8" s="42">
        <f t="shared" si="1"/>
        <v>8841788.8000000007</v>
      </c>
      <c r="M8" s="42">
        <f t="shared" si="1"/>
        <v>20729411.199999999</v>
      </c>
      <c r="N8" s="42">
        <f t="shared" si="1"/>
        <v>0</v>
      </c>
    </row>
    <row r="9" spans="1:16" x14ac:dyDescent="0.3">
      <c r="B9" s="28" t="s">
        <v>37</v>
      </c>
      <c r="G9" s="42">
        <f>NPV(real_disc,J9:N9)</f>
        <v>30522893.736267768</v>
      </c>
      <c r="H9" s="42">
        <f>SUM(J9:N9)</f>
        <v>34660960</v>
      </c>
      <c r="J9" s="42">
        <f>J62</f>
        <v>0</v>
      </c>
      <c r="K9" s="42">
        <f t="shared" ref="K9:N9" si="2">K62</f>
        <v>0</v>
      </c>
      <c r="L9" s="42">
        <f t="shared" si="2"/>
        <v>10421788.800000001</v>
      </c>
      <c r="M9" s="42">
        <f t="shared" si="2"/>
        <v>24239171.199999999</v>
      </c>
      <c r="N9" s="42">
        <f t="shared" si="2"/>
        <v>0</v>
      </c>
    </row>
    <row r="10" spans="1:16" x14ac:dyDescent="0.3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2" spans="1:16" ht="14.5" x14ac:dyDescent="0.35">
      <c r="A12" s="33" t="s">
        <v>50</v>
      </c>
      <c r="B12" s="33"/>
      <c r="C12" s="33"/>
      <c r="D12" s="33"/>
      <c r="E12" s="34"/>
      <c r="F12" s="33"/>
      <c r="G12" s="34"/>
      <c r="H12" s="34"/>
      <c r="I12" s="34"/>
      <c r="J12" s="35"/>
      <c r="K12" s="35"/>
      <c r="L12" s="35"/>
      <c r="M12" s="35"/>
      <c r="N12" s="35"/>
      <c r="O12" s="35"/>
      <c r="P12" s="35"/>
    </row>
    <row r="13" spans="1:16" x14ac:dyDescent="0.3">
      <c r="B13" s="20"/>
    </row>
    <row r="14" spans="1:16" x14ac:dyDescent="0.3">
      <c r="B14" s="38" t="s">
        <v>40</v>
      </c>
      <c r="C14" s="38"/>
      <c r="D14" s="39"/>
      <c r="F14" s="40" t="s">
        <v>13</v>
      </c>
      <c r="G14" s="40" t="s">
        <v>14</v>
      </c>
      <c r="H14" s="40" t="s">
        <v>15</v>
      </c>
      <c r="J14" s="40" t="s">
        <v>21</v>
      </c>
      <c r="K14" s="40" t="s">
        <v>22</v>
      </c>
      <c r="L14" s="40" t="s">
        <v>23</v>
      </c>
      <c r="M14" s="40" t="s">
        <v>24</v>
      </c>
      <c r="N14" s="40" t="s">
        <v>25</v>
      </c>
      <c r="P14" s="40" t="s">
        <v>26</v>
      </c>
    </row>
    <row r="15" spans="1:16" ht="14.5" x14ac:dyDescent="0.35">
      <c r="B15" s="28" t="s">
        <v>27</v>
      </c>
      <c r="C15" s="41" t="str">
        <f t="shared" ref="C15:C23" si="3">$B$33&amp;" "&amp;B15</f>
        <v xml:space="preserve">Option 2 New Depot Design </v>
      </c>
      <c r="E15" s="42"/>
      <c r="F15" s="43">
        <v>0</v>
      </c>
      <c r="G15" s="44">
        <f>1-SUM(F15,H15)</f>
        <v>0</v>
      </c>
      <c r="H15" s="43">
        <v>1</v>
      </c>
      <c r="I15" s="42"/>
      <c r="J15" s="45">
        <v>0</v>
      </c>
      <c r="K15" s="45"/>
      <c r="L15" s="45">
        <v>0</v>
      </c>
      <c r="M15" s="45">
        <v>0</v>
      </c>
      <c r="N15" s="45">
        <v>0</v>
      </c>
      <c r="P15" s="46">
        <f t="shared" ref="P15:P23" si="4">SUM(J15:N15)</f>
        <v>0</v>
      </c>
    </row>
    <row r="16" spans="1:16" ht="14.5" x14ac:dyDescent="0.35">
      <c r="B16" s="28" t="s">
        <v>28</v>
      </c>
      <c r="C16" s="41" t="str">
        <f t="shared" si="3"/>
        <v>Option 2 Staff Relocation / Alternative Accom</v>
      </c>
      <c r="E16" s="42"/>
      <c r="F16" s="43">
        <v>0</v>
      </c>
      <c r="G16" s="44">
        <f>1-SUM(F16,H16)</f>
        <v>9.9999999999999978E-2</v>
      </c>
      <c r="H16" s="43">
        <v>0.9</v>
      </c>
      <c r="I16" s="42"/>
      <c r="J16" s="45">
        <v>0</v>
      </c>
      <c r="K16" s="45">
        <v>0</v>
      </c>
      <c r="L16" s="45">
        <v>0</v>
      </c>
      <c r="M16" s="45">
        <v>0</v>
      </c>
      <c r="N16" s="45">
        <v>0</v>
      </c>
      <c r="P16" s="46">
        <f t="shared" si="4"/>
        <v>0</v>
      </c>
    </row>
    <row r="17" spans="2:16" ht="14.5" x14ac:dyDescent="0.35">
      <c r="B17" s="28" t="s">
        <v>29</v>
      </c>
      <c r="C17" s="41" t="str">
        <f t="shared" si="3"/>
        <v>Option 2 Land acquisition</v>
      </c>
      <c r="E17" s="42"/>
      <c r="F17" s="47"/>
      <c r="G17" s="43">
        <v>1</v>
      </c>
      <c r="H17" s="47"/>
      <c r="I17" s="42"/>
      <c r="J17" s="45">
        <v>0</v>
      </c>
      <c r="K17" s="45">
        <v>0</v>
      </c>
      <c r="L17" s="45">
        <v>0</v>
      </c>
      <c r="M17" s="45">
        <v>0</v>
      </c>
      <c r="N17" s="45">
        <v>0</v>
      </c>
      <c r="P17" s="46">
        <f t="shared" si="4"/>
        <v>0</v>
      </c>
    </row>
    <row r="18" spans="2:16" ht="14.5" x14ac:dyDescent="0.35">
      <c r="B18" s="28" t="s">
        <v>30</v>
      </c>
      <c r="C18" s="41" t="str">
        <f t="shared" si="3"/>
        <v>Option 2 Civil Works/Demolition works</v>
      </c>
      <c r="E18" s="42"/>
      <c r="F18" s="43">
        <v>0</v>
      </c>
      <c r="G18" s="44">
        <f t="shared" ref="G18:G23" si="5">1-SUM(F18,H18)</f>
        <v>0.5</v>
      </c>
      <c r="H18" s="43">
        <v>0.5</v>
      </c>
      <c r="I18" s="42"/>
      <c r="J18" s="45">
        <v>0</v>
      </c>
      <c r="K18" s="45">
        <v>0</v>
      </c>
      <c r="L18" s="45">
        <v>0</v>
      </c>
      <c r="M18" s="45">
        <v>0</v>
      </c>
      <c r="N18" s="45">
        <v>0</v>
      </c>
      <c r="P18" s="46">
        <f t="shared" si="4"/>
        <v>0</v>
      </c>
    </row>
    <row r="19" spans="2:16" ht="14.5" x14ac:dyDescent="0.35">
      <c r="B19" s="28" t="s">
        <v>31</v>
      </c>
      <c r="C19" s="41" t="str">
        <f t="shared" si="3"/>
        <v xml:space="preserve">Option 2 Building works </v>
      </c>
      <c r="E19" s="42"/>
      <c r="F19" s="43">
        <v>0</v>
      </c>
      <c r="G19" s="44">
        <f t="shared" si="5"/>
        <v>0.7</v>
      </c>
      <c r="H19" s="43">
        <v>0.3</v>
      </c>
      <c r="I19" s="42"/>
      <c r="J19" s="45">
        <v>0</v>
      </c>
      <c r="K19" s="45">
        <v>0</v>
      </c>
      <c r="L19" s="45">
        <v>0</v>
      </c>
      <c r="M19" s="45">
        <v>0</v>
      </c>
      <c r="N19" s="45">
        <v>0</v>
      </c>
      <c r="P19" s="46">
        <f t="shared" si="4"/>
        <v>0</v>
      </c>
    </row>
    <row r="20" spans="2:16" ht="14.5" x14ac:dyDescent="0.35">
      <c r="B20" s="28" t="s">
        <v>32</v>
      </c>
      <c r="C20" s="41" t="str">
        <f t="shared" si="3"/>
        <v xml:space="preserve">Option 2 Services </v>
      </c>
      <c r="E20" s="42"/>
      <c r="F20" s="43">
        <v>0</v>
      </c>
      <c r="G20" s="44">
        <f t="shared" si="5"/>
        <v>0.19999999999999996</v>
      </c>
      <c r="H20" s="43">
        <v>0.8</v>
      </c>
      <c r="I20" s="42"/>
      <c r="J20" s="45">
        <v>0</v>
      </c>
      <c r="K20" s="45">
        <v>0</v>
      </c>
      <c r="L20" s="45">
        <v>0</v>
      </c>
      <c r="M20" s="45">
        <v>0</v>
      </c>
      <c r="N20" s="45">
        <v>0</v>
      </c>
      <c r="P20" s="46">
        <f t="shared" si="4"/>
        <v>0</v>
      </c>
    </row>
    <row r="21" spans="2:16" ht="14.5" x14ac:dyDescent="0.35">
      <c r="B21" s="28" t="s">
        <v>33</v>
      </c>
      <c r="C21" s="41" t="str">
        <f t="shared" si="3"/>
        <v>Option 2 Fixtures, Furniture &amp; equipment</v>
      </c>
      <c r="E21" s="42"/>
      <c r="F21" s="43">
        <v>0</v>
      </c>
      <c r="G21" s="44">
        <f t="shared" si="5"/>
        <v>1</v>
      </c>
      <c r="H21" s="43">
        <v>0</v>
      </c>
      <c r="I21" s="42"/>
      <c r="J21" s="45">
        <v>0</v>
      </c>
      <c r="K21" s="45">
        <v>0</v>
      </c>
      <c r="L21" s="45">
        <v>0</v>
      </c>
      <c r="M21" s="45">
        <v>0</v>
      </c>
      <c r="N21" s="45">
        <v>0</v>
      </c>
      <c r="P21" s="46">
        <f t="shared" si="4"/>
        <v>0</v>
      </c>
    </row>
    <row r="22" spans="2:16" ht="14.5" x14ac:dyDescent="0.35">
      <c r="B22" s="28" t="s">
        <v>34</v>
      </c>
      <c r="C22" s="41" t="str">
        <f t="shared" si="3"/>
        <v>Option 2 Other</v>
      </c>
      <c r="E22" s="42"/>
      <c r="F22" s="43">
        <v>0</v>
      </c>
      <c r="G22" s="44">
        <f t="shared" si="5"/>
        <v>1</v>
      </c>
      <c r="H22" s="43">
        <v>0</v>
      </c>
      <c r="I22" s="42"/>
      <c r="J22" s="45">
        <v>0</v>
      </c>
      <c r="K22" s="45">
        <v>0</v>
      </c>
      <c r="L22" s="45">
        <v>0</v>
      </c>
      <c r="M22" s="45">
        <v>0</v>
      </c>
      <c r="N22" s="45">
        <v>0</v>
      </c>
      <c r="P22" s="46">
        <f t="shared" si="4"/>
        <v>0</v>
      </c>
    </row>
    <row r="23" spans="2:16" ht="14.5" x14ac:dyDescent="0.35">
      <c r="B23" s="37" t="s">
        <v>35</v>
      </c>
      <c r="C23" s="48" t="str">
        <f t="shared" si="3"/>
        <v>Option 2 Project Management</v>
      </c>
      <c r="D23" s="37"/>
      <c r="E23" s="42"/>
      <c r="F23" s="43">
        <v>0.5</v>
      </c>
      <c r="G23" s="44">
        <f t="shared" si="5"/>
        <v>0</v>
      </c>
      <c r="H23" s="43">
        <v>0.5</v>
      </c>
      <c r="I23" s="42"/>
      <c r="J23" s="45">
        <v>0</v>
      </c>
      <c r="K23" s="45">
        <v>0</v>
      </c>
      <c r="L23" s="45">
        <v>0</v>
      </c>
      <c r="M23" s="45">
        <v>0</v>
      </c>
      <c r="N23" s="45">
        <v>0</v>
      </c>
      <c r="P23" s="46">
        <f t="shared" si="4"/>
        <v>0</v>
      </c>
    </row>
    <row r="24" spans="2:16" x14ac:dyDescent="0.3">
      <c r="B24" s="20" t="s">
        <v>36</v>
      </c>
      <c r="C24" s="49"/>
      <c r="D24" s="20"/>
      <c r="F24" s="50"/>
      <c r="G24" s="50"/>
      <c r="H24" s="50"/>
      <c r="J24" s="51">
        <f>SUM(J15:J23)</f>
        <v>0</v>
      </c>
      <c r="K24" s="51">
        <f>SUM(K15:K23)</f>
        <v>0</v>
      </c>
      <c r="L24" s="51">
        <f>SUM(L15:L23)</f>
        <v>0</v>
      </c>
      <c r="M24" s="51">
        <f>SUM(M15:M23)</f>
        <v>0</v>
      </c>
      <c r="N24" s="51">
        <f>SUM(N15:N23)</f>
        <v>0</v>
      </c>
      <c r="P24" s="51">
        <f>SUM(P15:P23)</f>
        <v>0</v>
      </c>
    </row>
    <row r="25" spans="2:16" x14ac:dyDescent="0.3">
      <c r="B25" s="20"/>
      <c r="C25" s="49"/>
      <c r="D25" s="20"/>
      <c r="F25" s="121"/>
      <c r="G25" s="121"/>
      <c r="H25" s="121"/>
      <c r="J25" s="122"/>
      <c r="K25" s="122"/>
      <c r="L25" s="122"/>
      <c r="M25" s="122"/>
      <c r="N25" s="122"/>
      <c r="P25" s="122"/>
    </row>
    <row r="26" spans="2:16" x14ac:dyDescent="0.3">
      <c r="B26" s="123" t="s">
        <v>13</v>
      </c>
      <c r="C26" s="49"/>
      <c r="D26" s="124"/>
      <c r="E26" s="123"/>
      <c r="F26" s="125"/>
      <c r="G26" s="125"/>
      <c r="H26" s="125"/>
      <c r="I26" s="123"/>
      <c r="J26" s="126">
        <f>SUMPRODUCT($F15:$F23,J$15:J$23)</f>
        <v>0</v>
      </c>
      <c r="K26" s="126">
        <f t="shared" ref="K26:N26" si="6">SUMPRODUCT($F15:$F23,K$15:K$23)</f>
        <v>0</v>
      </c>
      <c r="L26" s="126">
        <f t="shared" si="6"/>
        <v>0</v>
      </c>
      <c r="M26" s="126">
        <f t="shared" si="6"/>
        <v>0</v>
      </c>
      <c r="N26" s="126">
        <f t="shared" si="6"/>
        <v>0</v>
      </c>
      <c r="O26" s="123"/>
      <c r="P26" s="46">
        <f t="shared" ref="P26:P28" si="7">SUM(J26:N26)</f>
        <v>0</v>
      </c>
    </row>
    <row r="27" spans="2:16" x14ac:dyDescent="0.3">
      <c r="B27" s="123" t="s">
        <v>38</v>
      </c>
      <c r="C27" s="49"/>
      <c r="D27" s="124"/>
      <c r="E27" s="123"/>
      <c r="F27" s="125"/>
      <c r="G27" s="125"/>
      <c r="H27" s="125"/>
      <c r="I27" s="123"/>
      <c r="J27" s="126">
        <f>SUMPRODUCT($G15:$G23,J$15:J$23)</f>
        <v>0</v>
      </c>
      <c r="K27" s="126">
        <f t="shared" ref="K27:N27" si="8">SUMPRODUCT($G15:$G23,K$15:K$23)</f>
        <v>0</v>
      </c>
      <c r="L27" s="126">
        <f t="shared" si="8"/>
        <v>0</v>
      </c>
      <c r="M27" s="126">
        <f t="shared" si="8"/>
        <v>0</v>
      </c>
      <c r="N27" s="126">
        <f t="shared" si="8"/>
        <v>0</v>
      </c>
      <c r="O27" s="123"/>
      <c r="P27" s="46">
        <f t="shared" si="7"/>
        <v>0</v>
      </c>
    </row>
    <row r="28" spans="2:16" x14ac:dyDescent="0.3">
      <c r="B28" s="123" t="s">
        <v>15</v>
      </c>
      <c r="C28" s="49"/>
      <c r="D28" s="124"/>
      <c r="E28" s="123"/>
      <c r="F28" s="125"/>
      <c r="G28" s="125"/>
      <c r="H28" s="125"/>
      <c r="I28" s="123"/>
      <c r="J28" s="126">
        <f>SUMPRODUCT($H15:$H23,J$15:J$23)</f>
        <v>0</v>
      </c>
      <c r="K28" s="126">
        <f t="shared" ref="K28:N28" si="9">SUMPRODUCT($H15:$H23,K$15:K$23)</f>
        <v>0</v>
      </c>
      <c r="L28" s="126">
        <f t="shared" si="9"/>
        <v>0</v>
      </c>
      <c r="M28" s="126">
        <f t="shared" si="9"/>
        <v>0</v>
      </c>
      <c r="N28" s="126">
        <f t="shared" si="9"/>
        <v>0</v>
      </c>
      <c r="O28" s="123"/>
      <c r="P28" s="46">
        <f t="shared" si="7"/>
        <v>0</v>
      </c>
    </row>
    <row r="29" spans="2:16" x14ac:dyDescent="0.3">
      <c r="B29" s="123"/>
      <c r="C29" s="49"/>
      <c r="D29" s="124"/>
      <c r="E29" s="123"/>
      <c r="F29" s="125"/>
      <c r="G29" s="125"/>
      <c r="H29" s="125"/>
      <c r="I29" s="123"/>
      <c r="J29" s="126"/>
      <c r="K29" s="126"/>
      <c r="L29" s="126"/>
      <c r="M29" s="126"/>
      <c r="N29" s="126"/>
      <c r="O29" s="123"/>
      <c r="P29" s="46"/>
    </row>
    <row r="30" spans="2:16" x14ac:dyDescent="0.3">
      <c r="B30" s="123"/>
      <c r="C30" s="49"/>
      <c r="D30" s="124"/>
      <c r="E30" s="123"/>
      <c r="F30" s="125"/>
      <c r="G30" s="125"/>
      <c r="H30" s="125"/>
      <c r="I30" s="123"/>
      <c r="J30" s="126"/>
      <c r="K30" s="126"/>
      <c r="L30" s="126"/>
      <c r="M30" s="126"/>
      <c r="N30" s="126"/>
      <c r="O30" s="123"/>
      <c r="P30" s="46"/>
    </row>
    <row r="31" spans="2:16" x14ac:dyDescent="0.3">
      <c r="B31" s="20"/>
      <c r="C31" s="49"/>
      <c r="D31" s="20"/>
      <c r="F31" s="52"/>
      <c r="G31" s="52"/>
      <c r="H31" s="52"/>
      <c r="J31" s="53"/>
      <c r="K31" s="53"/>
      <c r="L31" s="53"/>
      <c r="M31" s="53"/>
      <c r="N31" s="53"/>
      <c r="P31" s="53"/>
    </row>
    <row r="32" spans="2:16" ht="14.5" x14ac:dyDescent="0.35">
      <c r="B32" s="20"/>
      <c r="C32" s="49"/>
      <c r="J32" s="54"/>
      <c r="K32" s="54"/>
      <c r="L32" s="54"/>
      <c r="M32" s="54"/>
    </row>
    <row r="33" spans="2:16" x14ac:dyDescent="0.3">
      <c r="B33" s="38" t="s">
        <v>20</v>
      </c>
      <c r="C33" s="38"/>
      <c r="D33" s="39"/>
      <c r="F33" s="40" t="s">
        <v>13</v>
      </c>
      <c r="G33" s="40" t="s">
        <v>14</v>
      </c>
      <c r="H33" s="40" t="s">
        <v>15</v>
      </c>
      <c r="J33" s="40" t="s">
        <v>21</v>
      </c>
      <c r="K33" s="40" t="s">
        <v>22</v>
      </c>
      <c r="L33" s="40" t="s">
        <v>23</v>
      </c>
      <c r="M33" s="40" t="s">
        <v>24</v>
      </c>
      <c r="N33" s="40" t="s">
        <v>25</v>
      </c>
      <c r="P33" s="40" t="s">
        <v>26</v>
      </c>
    </row>
    <row r="34" spans="2:16" x14ac:dyDescent="0.3">
      <c r="B34" s="28" t="s">
        <v>27</v>
      </c>
      <c r="C34" s="41" t="str">
        <f t="shared" ref="C34:C42" si="10">$B$33&amp;" "&amp;B34</f>
        <v xml:space="preserve">Option 2 New Depot Design </v>
      </c>
      <c r="E34" s="42"/>
      <c r="F34" s="43">
        <v>0</v>
      </c>
      <c r="G34" s="44">
        <v>0</v>
      </c>
      <c r="H34" s="43">
        <v>1</v>
      </c>
      <c r="I34" s="42"/>
      <c r="J34" s="147"/>
      <c r="K34" s="147"/>
      <c r="L34" s="147">
        <v>1330704</v>
      </c>
      <c r="M34" s="147"/>
      <c r="N34" s="147"/>
      <c r="P34" s="46">
        <f t="shared" ref="P34:P42" si="11">SUM(J34:N34)</f>
        <v>1330704</v>
      </c>
    </row>
    <row r="35" spans="2:16" x14ac:dyDescent="0.3">
      <c r="B35" s="28" t="s">
        <v>28</v>
      </c>
      <c r="C35" s="41" t="str">
        <f t="shared" si="10"/>
        <v>Option 2 Staff Relocation / Alternative Accom</v>
      </c>
      <c r="E35" s="42"/>
      <c r="F35" s="43">
        <v>0</v>
      </c>
      <c r="G35" s="44">
        <v>9.9999999999999978E-2</v>
      </c>
      <c r="H35" s="43">
        <v>0.9</v>
      </c>
      <c r="I35" s="42"/>
      <c r="J35" s="147"/>
      <c r="K35" s="147"/>
      <c r="L35" s="147"/>
      <c r="M35" s="147">
        <v>887136</v>
      </c>
      <c r="N35" s="147"/>
      <c r="P35" s="46">
        <f t="shared" si="11"/>
        <v>887136</v>
      </c>
    </row>
    <row r="36" spans="2:16" x14ac:dyDescent="0.3">
      <c r="B36" s="28" t="s">
        <v>29</v>
      </c>
      <c r="C36" s="41" t="str">
        <f t="shared" si="10"/>
        <v>Option 2 Land acquisition</v>
      </c>
      <c r="E36" s="42"/>
      <c r="F36" s="47"/>
      <c r="G36" s="43">
        <v>1</v>
      </c>
      <c r="H36" s="47"/>
      <c r="I36" s="42"/>
      <c r="J36" s="147">
        <v>0</v>
      </c>
      <c r="K36" s="147">
        <v>0</v>
      </c>
      <c r="L36" s="147"/>
      <c r="M36" s="147">
        <v>0</v>
      </c>
      <c r="N36" s="147">
        <v>0</v>
      </c>
      <c r="P36" s="46">
        <f t="shared" si="11"/>
        <v>0</v>
      </c>
    </row>
    <row r="37" spans="2:16" x14ac:dyDescent="0.3">
      <c r="B37" s="28" t="s">
        <v>30</v>
      </c>
      <c r="C37" s="41" t="str">
        <f t="shared" si="10"/>
        <v>Option 2 Civil Works/Demolition works</v>
      </c>
      <c r="E37" s="42"/>
      <c r="F37" s="43">
        <v>0</v>
      </c>
      <c r="G37" s="44">
        <v>0.5</v>
      </c>
      <c r="H37" s="43">
        <v>0.5</v>
      </c>
      <c r="I37" s="42"/>
      <c r="J37" s="147"/>
      <c r="K37" s="147"/>
      <c r="L37" s="147">
        <v>1478560</v>
      </c>
      <c r="M37" s="147"/>
      <c r="N37" s="147"/>
      <c r="P37" s="46">
        <f t="shared" si="11"/>
        <v>1478560</v>
      </c>
    </row>
    <row r="38" spans="2:16" x14ac:dyDescent="0.3">
      <c r="B38" s="28" t="s">
        <v>31</v>
      </c>
      <c r="C38" s="41" t="str">
        <f t="shared" si="10"/>
        <v xml:space="preserve">Option 2 Building works </v>
      </c>
      <c r="E38" s="42"/>
      <c r="F38" s="43">
        <v>0</v>
      </c>
      <c r="G38" s="44">
        <v>0.7</v>
      </c>
      <c r="H38" s="43">
        <v>0.3</v>
      </c>
      <c r="I38" s="42"/>
      <c r="J38" s="147"/>
      <c r="K38" s="147"/>
      <c r="L38" s="147">
        <v>6032524.8000000007</v>
      </c>
      <c r="M38" s="147">
        <v>9048787.1999999993</v>
      </c>
      <c r="N38" s="147"/>
      <c r="P38" s="46">
        <f t="shared" si="11"/>
        <v>15081312</v>
      </c>
    </row>
    <row r="39" spans="2:16" x14ac:dyDescent="0.3">
      <c r="B39" s="28" t="s">
        <v>32</v>
      </c>
      <c r="C39" s="41" t="str">
        <f t="shared" si="10"/>
        <v xml:space="preserve">Option 2 Services </v>
      </c>
      <c r="E39" s="42"/>
      <c r="F39" s="43">
        <v>0</v>
      </c>
      <c r="G39" s="44">
        <v>0.19999999999999996</v>
      </c>
      <c r="H39" s="43">
        <v>0.8</v>
      </c>
      <c r="I39" s="42"/>
      <c r="J39" s="147"/>
      <c r="K39" s="147"/>
      <c r="L39" s="147"/>
      <c r="M39" s="147">
        <v>4879248</v>
      </c>
      <c r="N39" s="147"/>
      <c r="P39" s="46">
        <f t="shared" si="11"/>
        <v>4879248</v>
      </c>
    </row>
    <row r="40" spans="2:16" x14ac:dyDescent="0.3">
      <c r="B40" s="28" t="s">
        <v>33</v>
      </c>
      <c r="C40" s="41" t="str">
        <f t="shared" si="10"/>
        <v>Option 2 Fixtures, Furniture &amp; equipment</v>
      </c>
      <c r="E40" s="42"/>
      <c r="F40" s="43">
        <v>0</v>
      </c>
      <c r="G40" s="44">
        <v>1</v>
      </c>
      <c r="H40" s="43">
        <v>0</v>
      </c>
      <c r="I40" s="42"/>
      <c r="J40" s="147"/>
      <c r="K40" s="147"/>
      <c r="L40" s="147"/>
      <c r="M40" s="147">
        <v>5914240</v>
      </c>
      <c r="N40" s="147"/>
      <c r="P40" s="46">
        <f t="shared" si="11"/>
        <v>5914240</v>
      </c>
    </row>
    <row r="41" spans="2:16" x14ac:dyDescent="0.3">
      <c r="B41" s="28" t="s">
        <v>34</v>
      </c>
      <c r="C41" s="41" t="str">
        <f t="shared" si="10"/>
        <v>Option 2 Other</v>
      </c>
      <c r="E41" s="42"/>
      <c r="F41" s="43">
        <v>0</v>
      </c>
      <c r="G41" s="44">
        <v>1</v>
      </c>
      <c r="H41" s="43">
        <v>0</v>
      </c>
      <c r="I41" s="42"/>
      <c r="J41" s="147"/>
      <c r="K41" s="147"/>
      <c r="L41" s="147"/>
      <c r="M41" s="147"/>
      <c r="N41" s="147"/>
      <c r="P41" s="46">
        <f t="shared" si="11"/>
        <v>0</v>
      </c>
    </row>
    <row r="42" spans="2:16" x14ac:dyDescent="0.3">
      <c r="B42" s="37" t="s">
        <v>35</v>
      </c>
      <c r="C42" s="48" t="str">
        <f t="shared" si="10"/>
        <v>Option 2 Project Management</v>
      </c>
      <c r="D42" s="37"/>
      <c r="E42" s="42"/>
      <c r="F42" s="43">
        <v>0.5</v>
      </c>
      <c r="G42" s="44">
        <v>0</v>
      </c>
      <c r="H42" s="43">
        <v>0.5</v>
      </c>
      <c r="I42" s="42"/>
      <c r="J42" s="147"/>
      <c r="K42" s="147"/>
      <c r="L42" s="147"/>
      <c r="M42" s="147"/>
      <c r="N42" s="147"/>
      <c r="P42" s="46">
        <f t="shared" si="11"/>
        <v>0</v>
      </c>
    </row>
    <row r="43" spans="2:16" x14ac:dyDescent="0.3">
      <c r="B43" s="20" t="s">
        <v>36</v>
      </c>
      <c r="C43" s="49"/>
      <c r="D43" s="20"/>
      <c r="F43" s="50"/>
      <c r="G43" s="50"/>
      <c r="H43" s="50"/>
      <c r="J43" s="51">
        <f>SUM(J34:J42)</f>
        <v>0</v>
      </c>
      <c r="K43" s="51">
        <f>SUM(K34:K42)</f>
        <v>0</v>
      </c>
      <c r="L43" s="51">
        <f>SUM(L34:L42)</f>
        <v>8841788.8000000007</v>
      </c>
      <c r="M43" s="51">
        <f>SUM(M34:M42)</f>
        <v>20729411.199999999</v>
      </c>
      <c r="N43" s="51">
        <f>SUM(N34:N42)</f>
        <v>0</v>
      </c>
      <c r="P43" s="51">
        <f>SUM(P34:P42)</f>
        <v>29571200</v>
      </c>
    </row>
    <row r="44" spans="2:16" x14ac:dyDescent="0.3">
      <c r="B44" s="20"/>
      <c r="C44" s="49"/>
      <c r="D44" s="20"/>
      <c r="F44" s="121"/>
      <c r="G44" s="121"/>
      <c r="H44" s="121"/>
      <c r="J44" s="122"/>
      <c r="K44" s="122"/>
      <c r="L44" s="122"/>
      <c r="M44" s="122"/>
      <c r="N44" s="122"/>
      <c r="P44" s="122"/>
    </row>
    <row r="45" spans="2:16" x14ac:dyDescent="0.3">
      <c r="B45" s="123" t="s">
        <v>13</v>
      </c>
      <c r="C45" s="49"/>
      <c r="D45" s="124"/>
      <c r="E45" s="123"/>
      <c r="F45" s="125"/>
      <c r="G45" s="125"/>
      <c r="H45" s="125"/>
      <c r="I45" s="123"/>
      <c r="J45" s="126">
        <f>SUMPRODUCT($F34:$F42,J$34:J$42)</f>
        <v>0</v>
      </c>
      <c r="K45" s="126">
        <f t="shared" ref="K45:N45" si="12">SUMPRODUCT($F34:$F42,K$34:K$42)</f>
        <v>0</v>
      </c>
      <c r="L45" s="126">
        <f t="shared" si="12"/>
        <v>0</v>
      </c>
      <c r="M45" s="126">
        <f t="shared" si="12"/>
        <v>0</v>
      </c>
      <c r="N45" s="126">
        <f t="shared" si="12"/>
        <v>0</v>
      </c>
      <c r="O45" s="123"/>
      <c r="P45" s="46">
        <f t="shared" ref="P45:P47" si="13">SUM(J45:N45)</f>
        <v>0</v>
      </c>
    </row>
    <row r="46" spans="2:16" x14ac:dyDescent="0.3">
      <c r="B46" s="123" t="s">
        <v>38</v>
      </c>
      <c r="C46" s="49"/>
      <c r="D46" s="124"/>
      <c r="E46" s="123"/>
      <c r="F46" s="125"/>
      <c r="G46" s="125"/>
      <c r="H46" s="125"/>
      <c r="I46" s="123"/>
      <c r="J46" s="126">
        <f>SUMPRODUCT($G34:$G42,J$34:J$42)</f>
        <v>0</v>
      </c>
      <c r="K46" s="126">
        <f t="shared" ref="K46:N46" si="14">SUMPRODUCT($G34:$G42,K$34:K$42)</f>
        <v>0</v>
      </c>
      <c r="L46" s="126">
        <f t="shared" si="14"/>
        <v>4962047.3600000003</v>
      </c>
      <c r="M46" s="126">
        <f t="shared" si="14"/>
        <v>13312954.239999998</v>
      </c>
      <c r="N46" s="126">
        <f t="shared" si="14"/>
        <v>0</v>
      </c>
      <c r="O46" s="123"/>
      <c r="P46" s="46">
        <f t="shared" si="13"/>
        <v>18275001.599999998</v>
      </c>
    </row>
    <row r="47" spans="2:16" x14ac:dyDescent="0.3">
      <c r="B47" s="123" t="s">
        <v>15</v>
      </c>
      <c r="C47" s="49"/>
      <c r="D47" s="124"/>
      <c r="E47" s="123"/>
      <c r="F47" s="125"/>
      <c r="G47" s="125"/>
      <c r="H47" s="125"/>
      <c r="I47" s="123"/>
      <c r="J47" s="126">
        <f>SUMPRODUCT($H34:$H42,J$34:J$42)</f>
        <v>0</v>
      </c>
      <c r="K47" s="126">
        <f t="shared" ref="K47:N47" si="15">SUMPRODUCT($H34:$H42,K$34:K$42)</f>
        <v>0</v>
      </c>
      <c r="L47" s="126">
        <f t="shared" si="15"/>
        <v>3879741.4400000004</v>
      </c>
      <c r="M47" s="126">
        <f t="shared" si="15"/>
        <v>7416456.96</v>
      </c>
      <c r="N47" s="126">
        <f t="shared" si="15"/>
        <v>0</v>
      </c>
      <c r="O47" s="123"/>
      <c r="P47" s="46">
        <f t="shared" si="13"/>
        <v>11296198.4</v>
      </c>
    </row>
    <row r="48" spans="2:16" x14ac:dyDescent="0.3">
      <c r="B48" s="123"/>
      <c r="C48" s="49"/>
      <c r="D48" s="124"/>
      <c r="E48" s="123"/>
      <c r="F48" s="125"/>
      <c r="G48" s="125"/>
      <c r="H48" s="125"/>
      <c r="I48" s="123"/>
      <c r="J48" s="126"/>
      <c r="K48" s="126"/>
      <c r="L48" s="126"/>
      <c r="M48" s="126"/>
      <c r="N48" s="126"/>
      <c r="O48" s="123"/>
      <c r="P48" s="46"/>
    </row>
    <row r="49" spans="2:16" x14ac:dyDescent="0.3">
      <c r="B49" s="123"/>
      <c r="C49" s="49"/>
      <c r="D49" s="124"/>
      <c r="E49" s="123"/>
      <c r="F49" s="125"/>
      <c r="G49" s="125"/>
      <c r="H49" s="125"/>
      <c r="I49" s="123"/>
      <c r="J49" s="126"/>
      <c r="K49" s="126"/>
      <c r="L49" s="126"/>
      <c r="M49" s="126"/>
      <c r="N49" s="126"/>
      <c r="O49" s="123"/>
      <c r="P49" s="46"/>
    </row>
    <row r="50" spans="2:16" x14ac:dyDescent="0.3">
      <c r="B50" s="20"/>
      <c r="C50" s="49"/>
      <c r="D50" s="20"/>
      <c r="F50" s="52"/>
      <c r="G50" s="52"/>
      <c r="H50" s="52"/>
      <c r="J50" s="53"/>
      <c r="K50" s="53"/>
      <c r="L50" s="53"/>
      <c r="M50" s="53"/>
      <c r="N50" s="53"/>
    </row>
    <row r="51" spans="2:16" ht="14.5" x14ac:dyDescent="0.35">
      <c r="B51" s="20"/>
      <c r="C51" s="49"/>
      <c r="J51" s="54"/>
      <c r="K51" s="54"/>
      <c r="L51" s="54"/>
      <c r="M51" s="54"/>
    </row>
    <row r="52" spans="2:16" x14ac:dyDescent="0.3">
      <c r="B52" s="38" t="s">
        <v>37</v>
      </c>
      <c r="C52" s="38"/>
      <c r="D52" s="39"/>
      <c r="F52" s="40" t="s">
        <v>13</v>
      </c>
      <c r="G52" s="40" t="s">
        <v>14</v>
      </c>
      <c r="H52" s="40" t="s">
        <v>15</v>
      </c>
      <c r="J52" s="40" t="s">
        <v>21</v>
      </c>
      <c r="K52" s="40" t="s">
        <v>22</v>
      </c>
      <c r="L52" s="40" t="s">
        <v>23</v>
      </c>
      <c r="M52" s="40" t="s">
        <v>24</v>
      </c>
      <c r="N52" s="40" t="s">
        <v>25</v>
      </c>
      <c r="P52" s="40" t="s">
        <v>26</v>
      </c>
    </row>
    <row r="53" spans="2:16" x14ac:dyDescent="0.3">
      <c r="B53" s="28" t="s">
        <v>27</v>
      </c>
      <c r="C53" s="41" t="str">
        <f t="shared" ref="C53:C61" si="16">$B$52&amp;" "&amp;B53</f>
        <v xml:space="preserve">Option 3 New Depot Design </v>
      </c>
      <c r="E53" s="42"/>
      <c r="F53" s="43">
        <v>0</v>
      </c>
      <c r="G53" s="44">
        <v>0</v>
      </c>
      <c r="H53" s="43">
        <v>1</v>
      </c>
      <c r="I53" s="42"/>
      <c r="J53" s="147"/>
      <c r="K53" s="147"/>
      <c r="L53" s="147">
        <v>1330704</v>
      </c>
      <c r="M53" s="147"/>
      <c r="N53" s="147"/>
      <c r="P53" s="46">
        <f t="shared" ref="P53:P61" si="17">SUM(J53:N53)</f>
        <v>1330704</v>
      </c>
    </row>
    <row r="54" spans="2:16" x14ac:dyDescent="0.3">
      <c r="B54" s="28" t="s">
        <v>28</v>
      </c>
      <c r="C54" s="41" t="str">
        <f t="shared" si="16"/>
        <v>Option 3 Staff Relocation / Alternative Accom</v>
      </c>
      <c r="E54" s="42"/>
      <c r="F54" s="43">
        <v>0</v>
      </c>
      <c r="G54" s="44">
        <v>9.9999999999999978E-2</v>
      </c>
      <c r="H54" s="43">
        <v>0.9</v>
      </c>
      <c r="I54" s="42"/>
      <c r="J54" s="147"/>
      <c r="K54" s="147"/>
      <c r="L54" s="147"/>
      <c r="M54" s="147">
        <v>1477136</v>
      </c>
      <c r="N54" s="147"/>
      <c r="P54" s="46">
        <f t="shared" si="17"/>
        <v>1477136</v>
      </c>
    </row>
    <row r="55" spans="2:16" x14ac:dyDescent="0.3">
      <c r="B55" s="28" t="s">
        <v>29</v>
      </c>
      <c r="C55" s="41" t="str">
        <f t="shared" si="16"/>
        <v>Option 3 Land acquisition</v>
      </c>
      <c r="E55" s="42"/>
      <c r="F55" s="47"/>
      <c r="G55" s="43">
        <v>1</v>
      </c>
      <c r="H55" s="47"/>
      <c r="I55" s="42"/>
      <c r="J55" s="147"/>
      <c r="K55" s="147"/>
      <c r="L55" s="147"/>
      <c r="M55" s="147"/>
      <c r="N55" s="147"/>
      <c r="P55" s="46">
        <f t="shared" si="17"/>
        <v>0</v>
      </c>
    </row>
    <row r="56" spans="2:16" x14ac:dyDescent="0.3">
      <c r="B56" s="28" t="s">
        <v>30</v>
      </c>
      <c r="C56" s="41" t="str">
        <f t="shared" si="16"/>
        <v>Option 3 Civil Works/Demolition works</v>
      </c>
      <c r="E56" s="42"/>
      <c r="F56" s="43">
        <v>0</v>
      </c>
      <c r="G56" s="44">
        <v>0.5</v>
      </c>
      <c r="H56" s="43">
        <v>0.5</v>
      </c>
      <c r="I56" s="42"/>
      <c r="J56" s="147"/>
      <c r="K56" s="147"/>
      <c r="L56" s="147">
        <v>1478560</v>
      </c>
      <c r="M56" s="147"/>
      <c r="N56" s="147"/>
      <c r="P56" s="46">
        <f t="shared" si="17"/>
        <v>1478560</v>
      </c>
    </row>
    <row r="57" spans="2:16" x14ac:dyDescent="0.3">
      <c r="B57" s="28" t="s">
        <v>31</v>
      </c>
      <c r="C57" s="41" t="str">
        <f t="shared" si="16"/>
        <v xml:space="preserve">Option 3 Building works </v>
      </c>
      <c r="E57" s="42"/>
      <c r="F57" s="43">
        <v>0</v>
      </c>
      <c r="G57" s="44">
        <v>0.7</v>
      </c>
      <c r="H57" s="43">
        <v>0.3</v>
      </c>
      <c r="I57" s="42"/>
      <c r="J57" s="147"/>
      <c r="K57" s="147"/>
      <c r="L57" s="147">
        <v>7612524.8000000007</v>
      </c>
      <c r="M57" s="147">
        <v>11418787.199999999</v>
      </c>
      <c r="N57" s="147"/>
      <c r="P57" s="46">
        <f t="shared" si="17"/>
        <v>19031312</v>
      </c>
    </row>
    <row r="58" spans="2:16" x14ac:dyDescent="0.3">
      <c r="B58" s="28" t="s">
        <v>32</v>
      </c>
      <c r="C58" s="41" t="str">
        <f t="shared" si="16"/>
        <v xml:space="preserve">Option 3 Services </v>
      </c>
      <c r="E58" s="42"/>
      <c r="F58" s="43">
        <v>0</v>
      </c>
      <c r="G58" s="44">
        <v>0.19999999999999996</v>
      </c>
      <c r="H58" s="43">
        <v>0.8</v>
      </c>
      <c r="I58" s="42"/>
      <c r="J58" s="147"/>
      <c r="K58" s="147"/>
      <c r="L58" s="147"/>
      <c r="M58" s="147">
        <v>4879248</v>
      </c>
      <c r="N58" s="147"/>
      <c r="P58" s="46">
        <f t="shared" si="17"/>
        <v>4879248</v>
      </c>
    </row>
    <row r="59" spans="2:16" x14ac:dyDescent="0.3">
      <c r="B59" s="28" t="s">
        <v>33</v>
      </c>
      <c r="C59" s="41" t="str">
        <f t="shared" si="16"/>
        <v>Option 3 Fixtures, Furniture &amp; equipment</v>
      </c>
      <c r="E59" s="42"/>
      <c r="F59" s="43">
        <v>0</v>
      </c>
      <c r="G59" s="44">
        <v>1</v>
      </c>
      <c r="H59" s="43">
        <v>0</v>
      </c>
      <c r="I59" s="42"/>
      <c r="J59" s="147"/>
      <c r="K59" s="147"/>
      <c r="L59" s="147"/>
      <c r="M59" s="147">
        <v>6464000</v>
      </c>
      <c r="N59" s="147"/>
      <c r="P59" s="46">
        <f t="shared" si="17"/>
        <v>6464000</v>
      </c>
    </row>
    <row r="60" spans="2:16" x14ac:dyDescent="0.3">
      <c r="B60" s="28" t="s">
        <v>34</v>
      </c>
      <c r="C60" s="41" t="str">
        <f t="shared" si="16"/>
        <v>Option 3 Other</v>
      </c>
      <c r="E60" s="42"/>
      <c r="F60" s="43">
        <v>0</v>
      </c>
      <c r="G60" s="44">
        <v>1</v>
      </c>
      <c r="H60" s="43">
        <v>0</v>
      </c>
      <c r="I60" s="42"/>
      <c r="J60" s="147"/>
      <c r="K60" s="147"/>
      <c r="L60" s="147"/>
      <c r="M60" s="147"/>
      <c r="N60" s="147"/>
      <c r="P60" s="46">
        <f t="shared" si="17"/>
        <v>0</v>
      </c>
    </row>
    <row r="61" spans="2:16" x14ac:dyDescent="0.3">
      <c r="B61" s="37" t="s">
        <v>35</v>
      </c>
      <c r="C61" s="48" t="str">
        <f t="shared" si="16"/>
        <v>Option 3 Project Management</v>
      </c>
      <c r="D61" s="37"/>
      <c r="E61" s="42"/>
      <c r="F61" s="43">
        <v>0.5</v>
      </c>
      <c r="G61" s="44">
        <v>0</v>
      </c>
      <c r="H61" s="43">
        <v>0.5</v>
      </c>
      <c r="I61" s="42"/>
      <c r="J61" s="147"/>
      <c r="K61" s="147"/>
      <c r="L61" s="147"/>
      <c r="M61" s="147"/>
      <c r="N61" s="147"/>
      <c r="P61" s="46">
        <f t="shared" si="17"/>
        <v>0</v>
      </c>
    </row>
    <row r="62" spans="2:16" x14ac:dyDescent="0.3">
      <c r="B62" s="20" t="s">
        <v>36</v>
      </c>
      <c r="C62" s="49"/>
      <c r="D62" s="20"/>
      <c r="F62" s="50"/>
      <c r="G62" s="50"/>
      <c r="H62" s="50"/>
      <c r="J62" s="51">
        <f>SUM(J53:J61)</f>
        <v>0</v>
      </c>
      <c r="K62" s="51">
        <f>SUM(K53:K61)</f>
        <v>0</v>
      </c>
      <c r="L62" s="51">
        <f>SUM(L53:L61)</f>
        <v>10421788.800000001</v>
      </c>
      <c r="M62" s="51">
        <f>SUM(M53:M61)</f>
        <v>24239171.199999999</v>
      </c>
      <c r="N62" s="51">
        <f>SUM(N53:N61)</f>
        <v>0</v>
      </c>
      <c r="P62" s="51">
        <f>SUM(P53:P61)</f>
        <v>34660960</v>
      </c>
    </row>
    <row r="63" spans="2:16" ht="14.5" x14ac:dyDescent="0.35">
      <c r="C63" s="55"/>
      <c r="J63" s="54"/>
      <c r="K63" s="54"/>
      <c r="L63" s="54"/>
      <c r="M63" s="54"/>
    </row>
    <row r="64" spans="2:16" x14ac:dyDescent="0.3">
      <c r="B64" s="123" t="s">
        <v>13</v>
      </c>
      <c r="C64" s="49"/>
      <c r="D64" s="124"/>
      <c r="E64" s="123"/>
      <c r="F64" s="125"/>
      <c r="G64" s="125"/>
      <c r="H64" s="125"/>
      <c r="I64" s="123"/>
      <c r="J64" s="126">
        <f>SUMPRODUCT($F53:$F61,J$53:J$61)</f>
        <v>0</v>
      </c>
      <c r="K64" s="126">
        <f t="shared" ref="K64:N64" si="18">SUMPRODUCT($F53:$F61,K$53:K$61)</f>
        <v>0</v>
      </c>
      <c r="L64" s="126">
        <f t="shared" si="18"/>
        <v>0</v>
      </c>
      <c r="M64" s="126">
        <f t="shared" si="18"/>
        <v>0</v>
      </c>
      <c r="N64" s="126">
        <f t="shared" si="18"/>
        <v>0</v>
      </c>
      <c r="O64" s="123"/>
      <c r="P64" s="46">
        <f t="shared" ref="P64:P66" si="19">SUM(J64:N64)</f>
        <v>0</v>
      </c>
    </row>
    <row r="65" spans="2:16" x14ac:dyDescent="0.3">
      <c r="B65" s="123" t="s">
        <v>38</v>
      </c>
      <c r="C65" s="49"/>
      <c r="D65" s="124"/>
      <c r="E65" s="123"/>
      <c r="F65" s="125"/>
      <c r="G65" s="125"/>
      <c r="H65" s="125"/>
      <c r="I65" s="123"/>
      <c r="J65" s="126">
        <f>SUMPRODUCT($G53:$G61,J$53:J$61)</f>
        <v>0</v>
      </c>
      <c r="K65" s="126">
        <f t="shared" ref="K65:N65" si="20">SUMPRODUCT($G53:$G61,K$53:K$61)</f>
        <v>0</v>
      </c>
      <c r="L65" s="126">
        <f t="shared" si="20"/>
        <v>6068047.3600000003</v>
      </c>
      <c r="M65" s="126">
        <f t="shared" si="20"/>
        <v>15580714.239999998</v>
      </c>
      <c r="N65" s="126">
        <f t="shared" si="20"/>
        <v>0</v>
      </c>
      <c r="O65" s="123"/>
      <c r="P65" s="46">
        <f t="shared" si="19"/>
        <v>21648761.599999998</v>
      </c>
    </row>
    <row r="66" spans="2:16" x14ac:dyDescent="0.3">
      <c r="B66" s="123" t="s">
        <v>15</v>
      </c>
      <c r="C66" s="49"/>
      <c r="D66" s="124"/>
      <c r="E66" s="123"/>
      <c r="F66" s="125"/>
      <c r="G66" s="125"/>
      <c r="H66" s="125"/>
      <c r="I66" s="123"/>
      <c r="J66" s="126">
        <f>SUMPRODUCT($H53:$H61,J$53:J$61)</f>
        <v>0</v>
      </c>
      <c r="K66" s="126">
        <f t="shared" ref="K66:N66" si="21">SUMPRODUCT($H53:$H61,K$53:K$61)</f>
        <v>0</v>
      </c>
      <c r="L66" s="126">
        <f t="shared" si="21"/>
        <v>4353741.4399999995</v>
      </c>
      <c r="M66" s="126">
        <f t="shared" si="21"/>
        <v>8658456.9600000009</v>
      </c>
      <c r="N66" s="126">
        <f t="shared" si="21"/>
        <v>0</v>
      </c>
      <c r="O66" s="123"/>
      <c r="P66" s="46">
        <f t="shared" si="19"/>
        <v>13012198.4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2768-9BA9-47B1-B8C9-1CA2DD7D8BDE}">
  <sheetPr codeName="Sheet7"/>
  <dimension ref="A1:BB117"/>
  <sheetViews>
    <sheetView showGridLines="0" zoomScaleNormal="100" workbookViewId="0">
      <selection activeCell="B91" sqref="B91"/>
    </sheetView>
  </sheetViews>
  <sheetFormatPr defaultRowHeight="14.5" outlineLevelRow="1" x14ac:dyDescent="0.35"/>
  <cols>
    <col min="2" max="2" width="37.453125" bestFit="1" customWidth="1"/>
    <col min="3" max="3" width="9.81640625" bestFit="1" customWidth="1"/>
    <col min="4" max="4" width="12.08984375" bestFit="1" customWidth="1"/>
    <col min="5" max="5" width="12.81640625" bestFit="1" customWidth="1"/>
    <col min="6" max="6" width="12.54296875" customWidth="1"/>
    <col min="7" max="7" width="10.7265625" bestFit="1" customWidth="1"/>
    <col min="8" max="8" width="9.90625" bestFit="1" customWidth="1"/>
    <col min="9" max="21" width="8.81640625" bestFit="1" customWidth="1"/>
    <col min="22" max="33" width="10.1796875" bestFit="1" customWidth="1"/>
  </cols>
  <sheetData>
    <row r="1" spans="1:54" x14ac:dyDescent="0.35">
      <c r="A1" s="65" t="str">
        <f>business</f>
        <v>Powercor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61" t="s">
        <v>1</v>
      </c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</row>
    <row r="2" spans="1:54" x14ac:dyDescent="0.35">
      <c r="A2" s="67" t="str">
        <f>model_name</f>
        <v>Head office</v>
      </c>
      <c r="B2" s="68"/>
      <c r="C2" s="68"/>
      <c r="D2" s="68"/>
      <c r="E2" s="68"/>
      <c r="F2" s="68"/>
      <c r="G2" s="32"/>
      <c r="H2" s="32"/>
      <c r="I2" s="32"/>
      <c r="J2" s="32"/>
      <c r="K2" s="32"/>
      <c r="L2" s="32"/>
      <c r="M2" s="68"/>
      <c r="N2" s="68"/>
      <c r="O2" s="68"/>
      <c r="P2" s="68"/>
      <c r="Q2" s="68"/>
      <c r="R2" s="32"/>
      <c r="S2" s="32"/>
      <c r="T2" s="32"/>
      <c r="U2" s="32"/>
      <c r="V2" s="32"/>
      <c r="W2" s="32"/>
      <c r="X2" s="68"/>
      <c r="Y2" s="32"/>
      <c r="Z2" s="32"/>
      <c r="AA2" s="32"/>
      <c r="AB2" s="32"/>
      <c r="AC2" s="32"/>
      <c r="AD2" s="32"/>
      <c r="AE2" s="32"/>
      <c r="AF2" s="32"/>
      <c r="AG2" s="32"/>
      <c r="AH2" s="62" t="s">
        <v>4</v>
      </c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</row>
    <row r="3" spans="1:54" x14ac:dyDescent="0.35">
      <c r="A3" s="63" t="str">
        <f>"All dollar values are in "&amp;TEXT(input_dollars,"$ mmmm yyyy")&amp;" unless otherwise stated"</f>
        <v>All dollar values are in $ June 2024 unless otherwise stated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54" x14ac:dyDescent="0.3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</row>
    <row r="5" spans="1:54" x14ac:dyDescent="0.35">
      <c r="A5" s="33" t="s">
        <v>48</v>
      </c>
      <c r="B5" s="33"/>
      <c r="C5" s="33"/>
      <c r="D5" s="33"/>
      <c r="E5" s="106"/>
      <c r="F5" s="33"/>
      <c r="G5" s="106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</row>
    <row r="6" spans="1:54" x14ac:dyDescent="0.35">
      <c r="A6" s="63"/>
      <c r="B6" s="36" t="s">
        <v>71</v>
      </c>
      <c r="C6" s="36"/>
      <c r="D6" s="36"/>
      <c r="E6" s="36"/>
      <c r="F6" s="36" t="s">
        <v>104</v>
      </c>
      <c r="G6" s="36" t="s">
        <v>26</v>
      </c>
      <c r="H6" s="40"/>
      <c r="I6" s="40" t="s">
        <v>21</v>
      </c>
      <c r="J6" s="40" t="s">
        <v>22</v>
      </c>
      <c r="K6" s="40" t="s">
        <v>23</v>
      </c>
      <c r="L6" s="40" t="s">
        <v>24</v>
      </c>
      <c r="M6" s="40" t="s">
        <v>25</v>
      </c>
      <c r="N6" s="40" t="s">
        <v>51</v>
      </c>
      <c r="O6" s="40" t="s">
        <v>52</v>
      </c>
      <c r="P6" s="40" t="s">
        <v>53</v>
      </c>
      <c r="Q6" s="40" t="s">
        <v>54</v>
      </c>
      <c r="R6" s="40" t="s">
        <v>55</v>
      </c>
      <c r="S6" s="40" t="s">
        <v>56</v>
      </c>
      <c r="T6" s="40" t="s">
        <v>57</v>
      </c>
      <c r="U6" s="40" t="s">
        <v>58</v>
      </c>
      <c r="V6" s="40" t="s">
        <v>59</v>
      </c>
      <c r="W6" s="40" t="s">
        <v>60</v>
      </c>
      <c r="X6" s="40" t="s">
        <v>61</v>
      </c>
      <c r="Y6" s="40" t="s">
        <v>62</v>
      </c>
      <c r="Z6" s="40" t="s">
        <v>63</v>
      </c>
      <c r="AA6" s="40" t="s">
        <v>64</v>
      </c>
      <c r="AB6" s="40" t="s">
        <v>65</v>
      </c>
      <c r="AC6" s="40" t="s">
        <v>66</v>
      </c>
      <c r="AD6" s="40" t="s">
        <v>67</v>
      </c>
      <c r="AE6" s="40" t="s">
        <v>68</v>
      </c>
      <c r="AF6" s="40" t="s">
        <v>69</v>
      </c>
      <c r="AG6" s="40" t="s">
        <v>70</v>
      </c>
      <c r="AH6" s="63"/>
    </row>
    <row r="7" spans="1:54" x14ac:dyDescent="0.35">
      <c r="A7" s="63"/>
      <c r="B7" s="84" t="str">
        <f>B16</f>
        <v>Not fit for purpose</v>
      </c>
      <c r="C7" s="63"/>
      <c r="D7" s="63"/>
      <c r="E7" s="97"/>
      <c r="F7" s="97">
        <f t="shared" ref="F7:F11" si="0">NPV(real_disc,I7:AG7)</f>
        <v>73823810.051371127</v>
      </c>
      <c r="G7" s="97">
        <f>SUM(I7:AG7)</f>
        <v>123321246.32546133</v>
      </c>
      <c r="H7" s="63"/>
      <c r="I7" s="97">
        <v>0</v>
      </c>
      <c r="J7" s="97">
        <v>0</v>
      </c>
      <c r="K7" s="97">
        <v>0</v>
      </c>
      <c r="L7" s="97">
        <v>0</v>
      </c>
      <c r="M7" s="97">
        <f t="shared" ref="J7:AG7" si="1">M29</f>
        <v>5039583.780504399</v>
      </c>
      <c r="N7" s="97">
        <f t="shared" si="1"/>
        <v>5115177.5372119648</v>
      </c>
      <c r="O7" s="97">
        <f t="shared" si="1"/>
        <v>5191905.2002701443</v>
      </c>
      <c r="P7" s="97">
        <f t="shared" si="1"/>
        <v>5269783.7782741962</v>
      </c>
      <c r="Q7" s="97">
        <f t="shared" si="1"/>
        <v>5348830.534948309</v>
      </c>
      <c r="R7" s="97">
        <f t="shared" si="1"/>
        <v>5429062.9929725332</v>
      </c>
      <c r="S7" s="97">
        <f t="shared" si="1"/>
        <v>5510498.9378671208</v>
      </c>
      <c r="T7" s="97">
        <f t="shared" si="1"/>
        <v>5593156.4219351271</v>
      </c>
      <c r="U7" s="97">
        <f t="shared" si="1"/>
        <v>5677053.768264153</v>
      </c>
      <c r="V7" s="97">
        <f t="shared" si="1"/>
        <v>5762209.574788115</v>
      </c>
      <c r="W7" s="97">
        <f t="shared" si="1"/>
        <v>5848642.7184099359</v>
      </c>
      <c r="X7" s="97">
        <f t="shared" si="1"/>
        <v>5936372.359186084</v>
      </c>
      <c r="Y7" s="97">
        <f t="shared" si="1"/>
        <v>6025417.9445738746</v>
      </c>
      <c r="Z7" s="97">
        <f t="shared" si="1"/>
        <v>6115799.2137424825</v>
      </c>
      <c r="AA7" s="97">
        <f t="shared" si="1"/>
        <v>6207536.2019486194</v>
      </c>
      <c r="AB7" s="97">
        <f t="shared" si="1"/>
        <v>6300649.2449778477</v>
      </c>
      <c r="AC7" s="97">
        <f t="shared" si="1"/>
        <v>6395158.9836525144</v>
      </c>
      <c r="AD7" s="97">
        <f t="shared" si="1"/>
        <v>6491086.3684073016</v>
      </c>
      <c r="AE7" s="97">
        <f t="shared" si="1"/>
        <v>6588452.6639334103</v>
      </c>
      <c r="AF7" s="97">
        <f t="shared" si="1"/>
        <v>6687279.4538924107</v>
      </c>
      <c r="AG7" s="97">
        <f t="shared" si="1"/>
        <v>6787588.6457007965</v>
      </c>
      <c r="AH7" s="63"/>
    </row>
    <row r="8" spans="1:54" x14ac:dyDescent="0.35">
      <c r="A8" s="63"/>
      <c r="B8" s="84" t="str">
        <f>B32</f>
        <v>Aged facilities</v>
      </c>
      <c r="C8" s="63"/>
      <c r="D8" s="63"/>
      <c r="E8" s="97"/>
      <c r="F8" s="97">
        <f t="shared" si="0"/>
        <v>50289300.561325543</v>
      </c>
      <c r="G8" s="97">
        <f t="shared" ref="G8:G11" si="2">SUM(I8:AG8)</f>
        <v>84036296.108791426</v>
      </c>
      <c r="H8" s="63"/>
      <c r="I8" s="97">
        <v>0</v>
      </c>
      <c r="J8" s="97">
        <v>0</v>
      </c>
      <c r="K8" s="97">
        <v>0</v>
      </c>
      <c r="L8" s="97">
        <v>0</v>
      </c>
      <c r="M8" s="97">
        <f t="shared" ref="J8:AG8" si="3">M62</f>
        <v>3424971.0413533351</v>
      </c>
      <c r="N8" s="97">
        <f t="shared" si="3"/>
        <v>3477093.9797055172</v>
      </c>
      <c r="O8" s="97">
        <f t="shared" si="3"/>
        <v>3530028.5041420572</v>
      </c>
      <c r="P8" s="97">
        <f t="shared" si="3"/>
        <v>3583788.122022124</v>
      </c>
      <c r="Q8" s="97">
        <f t="shared" si="3"/>
        <v>3638386.6069230186</v>
      </c>
      <c r="R8" s="97">
        <f t="shared" si="3"/>
        <v>3693838.0057524191</v>
      </c>
      <c r="S8" s="97">
        <f t="shared" si="3"/>
        <v>3750156.6461220323</v>
      </c>
      <c r="T8" s="97">
        <f t="shared" si="3"/>
        <v>3807357.1439942792</v>
      </c>
      <c r="U8" s="97">
        <f t="shared" si="3"/>
        <v>3865454.4116142122</v>
      </c>
      <c r="V8" s="97">
        <f t="shared" si="3"/>
        <v>3924463.665739439</v>
      </c>
      <c r="W8" s="97">
        <f t="shared" si="3"/>
        <v>3984400.4361814484</v>
      </c>
      <c r="X8" s="97">
        <f t="shared" si="3"/>
        <v>4045280.5746723842</v>
      </c>
      <c r="Y8" s="97">
        <f t="shared" si="3"/>
        <v>4107120.2640719851</v>
      </c>
      <c r="Z8" s="97">
        <f t="shared" si="3"/>
        <v>4169936.0279301242</v>
      </c>
      <c r="AA8" s="97">
        <f t="shared" si="3"/>
        <v>4233744.7404211275</v>
      </c>
      <c r="AB8" s="97">
        <f t="shared" si="3"/>
        <v>4298563.6366668409</v>
      </c>
      <c r="AC8" s="97">
        <f t="shared" si="3"/>
        <v>4364410.3234662283</v>
      </c>
      <c r="AD8" s="97">
        <f t="shared" si="3"/>
        <v>4431302.790450152</v>
      </c>
      <c r="AE8" s="97">
        <f t="shared" si="3"/>
        <v>4499259.4216809114</v>
      </c>
      <c r="AF8" s="97">
        <f t="shared" si="3"/>
        <v>4568299.0077170217</v>
      </c>
      <c r="AG8" s="97">
        <f t="shared" si="3"/>
        <v>4638440.75816477</v>
      </c>
      <c r="AH8" s="63"/>
    </row>
    <row r="9" spans="1:54" x14ac:dyDescent="0.35">
      <c r="A9" s="63"/>
      <c r="B9" s="84" t="str">
        <f>B65</f>
        <v>Reduced employee wellbeing and satisfaction</v>
      </c>
      <c r="C9" s="63"/>
      <c r="D9" s="63"/>
      <c r="E9" s="97"/>
      <c r="F9" s="97">
        <f t="shared" si="0"/>
        <v>43696793.546854511</v>
      </c>
      <c r="G9" s="97">
        <f t="shared" si="2"/>
        <v>72326171.306137413</v>
      </c>
      <c r="H9" s="63"/>
      <c r="I9" s="97">
        <v>0</v>
      </c>
      <c r="J9" s="97">
        <v>0</v>
      </c>
      <c r="K9" s="97">
        <v>0</v>
      </c>
      <c r="L9" s="97">
        <v>0</v>
      </c>
      <c r="M9" s="97">
        <f t="shared" ref="J9:AG9" si="4">M87</f>
        <v>3190161.3641586648</v>
      </c>
      <c r="N9" s="97">
        <f t="shared" si="4"/>
        <v>3214226.0913242036</v>
      </c>
      <c r="O9" s="97">
        <f t="shared" si="4"/>
        <v>3238492.2813290181</v>
      </c>
      <c r="P9" s="97">
        <f t="shared" si="4"/>
        <v>3262961.7528793383</v>
      </c>
      <c r="Q9" s="97">
        <f t="shared" si="4"/>
        <v>3287636.3418888468</v>
      </c>
      <c r="R9" s="97">
        <f t="shared" si="4"/>
        <v>3312517.9016458541</v>
      </c>
      <c r="S9" s="97">
        <f t="shared" si="4"/>
        <v>3337608.3029821217</v>
      </c>
      <c r="T9" s="97">
        <f t="shared" si="4"/>
        <v>3362909.4344433518</v>
      </c>
      <c r="U9" s="97">
        <f t="shared" si="4"/>
        <v>3388423.2024613507</v>
      </c>
      <c r="V9" s="97">
        <f t="shared" si="4"/>
        <v>3414151.5315278973</v>
      </c>
      <c r="W9" s="97">
        <f t="shared" si="4"/>
        <v>3440096.3643703191</v>
      </c>
      <c r="X9" s="97">
        <f t="shared" si="4"/>
        <v>3466259.662128801</v>
      </c>
      <c r="Y9" s="97">
        <f t="shared" si="4"/>
        <v>3492643.4045354417</v>
      </c>
      <c r="Z9" s="97">
        <f t="shared" si="4"/>
        <v>3519249.5900950753</v>
      </c>
      <c r="AA9" s="97">
        <f t="shared" si="4"/>
        <v>3546080.2362678768</v>
      </c>
      <c r="AB9" s="97">
        <f t="shared" si="4"/>
        <v>3573137.3796537654</v>
      </c>
      <c r="AC9" s="97">
        <f t="shared" si="4"/>
        <v>3600423.076178629</v>
      </c>
      <c r="AD9" s="97">
        <f t="shared" si="4"/>
        <v>3627939.4012823831</v>
      </c>
      <c r="AE9" s="97">
        <f t="shared" si="4"/>
        <v>3655688.4501088839</v>
      </c>
      <c r="AF9" s="97">
        <f t="shared" si="4"/>
        <v>3683672.3376977188</v>
      </c>
      <c r="AG9" s="97">
        <f t="shared" si="4"/>
        <v>3711893.1991778808</v>
      </c>
      <c r="AH9" s="63"/>
    </row>
    <row r="10" spans="1:54" x14ac:dyDescent="0.35">
      <c r="A10" s="63"/>
      <c r="B10" s="84" t="str">
        <f>B90</f>
        <v>Loss of efficiency during redevelopment</v>
      </c>
      <c r="C10" s="63"/>
      <c r="D10" s="63"/>
      <c r="E10" s="97"/>
      <c r="F10" s="97">
        <f t="shared" si="0"/>
        <v>8052586.3054310335</v>
      </c>
      <c r="G10" s="97">
        <f t="shared" si="2"/>
        <v>9081600</v>
      </c>
      <c r="H10" s="63"/>
      <c r="I10" s="97">
        <f>I102</f>
        <v>0</v>
      </c>
      <c r="J10" s="97">
        <f t="shared" ref="J10:AG10" si="5">J102</f>
        <v>0</v>
      </c>
      <c r="K10" s="97">
        <f t="shared" si="5"/>
        <v>4540800</v>
      </c>
      <c r="L10" s="97">
        <f t="shared" si="5"/>
        <v>4540800</v>
      </c>
      <c r="M10" s="97">
        <f t="shared" si="5"/>
        <v>0</v>
      </c>
      <c r="N10" s="97">
        <f t="shared" si="5"/>
        <v>0</v>
      </c>
      <c r="O10" s="97">
        <f t="shared" si="5"/>
        <v>0</v>
      </c>
      <c r="P10" s="97">
        <f t="shared" si="5"/>
        <v>0</v>
      </c>
      <c r="Q10" s="97">
        <f t="shared" si="5"/>
        <v>0</v>
      </c>
      <c r="R10" s="97">
        <f t="shared" si="5"/>
        <v>0</v>
      </c>
      <c r="S10" s="97">
        <f t="shared" si="5"/>
        <v>0</v>
      </c>
      <c r="T10" s="97">
        <f t="shared" si="5"/>
        <v>0</v>
      </c>
      <c r="U10" s="97">
        <f t="shared" si="5"/>
        <v>0</v>
      </c>
      <c r="V10" s="97">
        <f t="shared" si="5"/>
        <v>0</v>
      </c>
      <c r="W10" s="97">
        <f t="shared" si="5"/>
        <v>0</v>
      </c>
      <c r="X10" s="97">
        <f t="shared" si="5"/>
        <v>0</v>
      </c>
      <c r="Y10" s="97">
        <f t="shared" si="5"/>
        <v>0</v>
      </c>
      <c r="Z10" s="97">
        <f t="shared" si="5"/>
        <v>0</v>
      </c>
      <c r="AA10" s="97">
        <f t="shared" si="5"/>
        <v>0</v>
      </c>
      <c r="AB10" s="97">
        <f t="shared" si="5"/>
        <v>0</v>
      </c>
      <c r="AC10" s="97">
        <f t="shared" si="5"/>
        <v>0</v>
      </c>
      <c r="AD10" s="97">
        <f t="shared" si="5"/>
        <v>0</v>
      </c>
      <c r="AE10" s="97">
        <f t="shared" si="5"/>
        <v>0</v>
      </c>
      <c r="AF10" s="97">
        <f t="shared" si="5"/>
        <v>0</v>
      </c>
      <c r="AG10" s="97">
        <f t="shared" si="5"/>
        <v>0</v>
      </c>
      <c r="AH10" s="63"/>
    </row>
    <row r="11" spans="1:54" x14ac:dyDescent="0.35">
      <c r="A11" s="63"/>
      <c r="B11" s="84" t="str">
        <f>B105</f>
        <v>Suboptimal site location</v>
      </c>
      <c r="C11" s="63"/>
      <c r="D11" s="63"/>
      <c r="E11" s="97"/>
      <c r="F11" s="97">
        <f t="shared" si="0"/>
        <v>38773695.593457475</v>
      </c>
      <c r="G11" s="97">
        <f t="shared" si="2"/>
        <v>63571200</v>
      </c>
      <c r="H11" s="63"/>
      <c r="I11" s="97">
        <f>I117</f>
        <v>0</v>
      </c>
      <c r="J11" s="97">
        <f t="shared" ref="J11:AG11" si="6">J117</f>
        <v>0</v>
      </c>
      <c r="K11" s="97">
        <f t="shared" si="6"/>
        <v>0</v>
      </c>
      <c r="L11" s="97">
        <f t="shared" si="6"/>
        <v>0</v>
      </c>
      <c r="M11" s="97">
        <f t="shared" si="6"/>
        <v>3027200</v>
      </c>
      <c r="N11" s="97">
        <f t="shared" si="6"/>
        <v>3027200</v>
      </c>
      <c r="O11" s="97">
        <f t="shared" si="6"/>
        <v>3027200</v>
      </c>
      <c r="P11" s="97">
        <f t="shared" si="6"/>
        <v>3027200</v>
      </c>
      <c r="Q11" s="97">
        <f t="shared" si="6"/>
        <v>3027200</v>
      </c>
      <c r="R11" s="97">
        <f t="shared" si="6"/>
        <v>3027200</v>
      </c>
      <c r="S11" s="97">
        <f t="shared" si="6"/>
        <v>3027200</v>
      </c>
      <c r="T11" s="97">
        <f t="shared" si="6"/>
        <v>3027200</v>
      </c>
      <c r="U11" s="97">
        <f t="shared" si="6"/>
        <v>3027200</v>
      </c>
      <c r="V11" s="97">
        <f t="shared" si="6"/>
        <v>3027200</v>
      </c>
      <c r="W11" s="97">
        <f t="shared" si="6"/>
        <v>3027200</v>
      </c>
      <c r="X11" s="97">
        <f t="shared" si="6"/>
        <v>3027200</v>
      </c>
      <c r="Y11" s="97">
        <f t="shared" si="6"/>
        <v>3027200</v>
      </c>
      <c r="Z11" s="97">
        <f t="shared" si="6"/>
        <v>3027200</v>
      </c>
      <c r="AA11" s="97">
        <f t="shared" si="6"/>
        <v>3027200</v>
      </c>
      <c r="AB11" s="97">
        <f t="shared" si="6"/>
        <v>3027200</v>
      </c>
      <c r="AC11" s="97">
        <f t="shared" si="6"/>
        <v>3027200</v>
      </c>
      <c r="AD11" s="97">
        <f t="shared" si="6"/>
        <v>3027200</v>
      </c>
      <c r="AE11" s="97">
        <f t="shared" si="6"/>
        <v>3027200</v>
      </c>
      <c r="AF11" s="97">
        <f t="shared" si="6"/>
        <v>3027200</v>
      </c>
      <c r="AG11" s="97">
        <f t="shared" si="6"/>
        <v>3027200</v>
      </c>
      <c r="AH11" s="63"/>
    </row>
    <row r="12" spans="1:54" x14ac:dyDescent="0.3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</row>
    <row r="13" spans="1:54" x14ac:dyDescent="0.3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</row>
    <row r="14" spans="1:54" x14ac:dyDescent="0.35">
      <c r="A14" s="33" t="s">
        <v>72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</row>
    <row r="15" spans="1:54" x14ac:dyDescent="0.3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</row>
    <row r="16" spans="1:54" x14ac:dyDescent="0.35">
      <c r="A16" s="80"/>
      <c r="B16" s="78" t="s">
        <v>138</v>
      </c>
      <c r="C16" s="78"/>
      <c r="D16" s="78"/>
      <c r="E16" s="78"/>
      <c r="F16" s="78"/>
      <c r="G16" s="78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80"/>
    </row>
    <row r="17" spans="1:34" x14ac:dyDescent="0.3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</row>
    <row r="18" spans="1:34" hidden="1" outlineLevel="1" x14ac:dyDescent="0.35">
      <c r="A18" s="63"/>
      <c r="B18" s="82" t="s">
        <v>139</v>
      </c>
      <c r="C18" s="82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63"/>
    </row>
    <row r="19" spans="1:34" hidden="1" outlineLevel="1" x14ac:dyDescent="0.35">
      <c r="A19" s="63"/>
      <c r="B19" s="63" t="s">
        <v>93</v>
      </c>
      <c r="C19" s="95" t="str">
        <f>'Risk Assumptions'!F22</f>
        <v>#</v>
      </c>
      <c r="D19" s="83">
        <f>'Risk Assumptions'!G22</f>
        <v>946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</row>
    <row r="20" spans="1:34" hidden="1" outlineLevel="1" x14ac:dyDescent="0.35">
      <c r="A20" s="63"/>
      <c r="B20" s="63" t="s">
        <v>89</v>
      </c>
      <c r="C20" s="95" t="str">
        <f>'Risk Assumptions'!F23</f>
        <v>$ June 2024</v>
      </c>
      <c r="D20" s="83">
        <f>'Risk Assumptions'!G23</f>
        <v>160000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</row>
    <row r="21" spans="1:34" hidden="1" outlineLevel="1" x14ac:dyDescent="0.35">
      <c r="A21" s="63"/>
      <c r="B21" s="63" t="s">
        <v>92</v>
      </c>
      <c r="C21" s="96" t="str">
        <f>'Risk Assumptions'!F9</f>
        <v>%</v>
      </c>
      <c r="D21" s="84">
        <f>'Risk Assumptions'!G9</f>
        <v>0.03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</row>
    <row r="22" spans="1:34" hidden="1" outlineLevel="1" x14ac:dyDescent="0.35">
      <c r="A22" s="63"/>
      <c r="B22" s="63" t="s">
        <v>91</v>
      </c>
      <c r="C22" s="96" t="str">
        <f>'Risk Assumptions'!F8</f>
        <v>%</v>
      </c>
      <c r="D22" s="84">
        <f>'Risk Assumptions'!G8</f>
        <v>1.4999999999999999E-2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</row>
    <row r="23" spans="1:34" hidden="1" outlineLevel="1" x14ac:dyDescent="0.35">
      <c r="A23" s="63"/>
      <c r="B23" s="63"/>
      <c r="C23" s="10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</row>
    <row r="24" spans="1:34" hidden="1" outlineLevel="1" x14ac:dyDescent="0.35">
      <c r="A24" s="63"/>
      <c r="B24" s="85"/>
      <c r="C24" s="104"/>
      <c r="D24" s="85"/>
      <c r="E24" s="85"/>
      <c r="F24" s="85"/>
      <c r="G24" s="85"/>
      <c r="H24" s="98" t="s">
        <v>19</v>
      </c>
      <c r="I24" s="69" t="s">
        <v>21</v>
      </c>
      <c r="J24" s="69" t="s">
        <v>22</v>
      </c>
      <c r="K24" s="69" t="s">
        <v>23</v>
      </c>
      <c r="L24" s="69" t="s">
        <v>24</v>
      </c>
      <c r="M24" s="69" t="s">
        <v>25</v>
      </c>
      <c r="N24" s="69" t="s">
        <v>51</v>
      </c>
      <c r="O24" s="69" t="s">
        <v>52</v>
      </c>
      <c r="P24" s="69" t="s">
        <v>53</v>
      </c>
      <c r="Q24" s="69" t="s">
        <v>54</v>
      </c>
      <c r="R24" s="69" t="s">
        <v>55</v>
      </c>
      <c r="S24" s="69" t="s">
        <v>56</v>
      </c>
      <c r="T24" s="69" t="s">
        <v>57</v>
      </c>
      <c r="U24" s="69" t="s">
        <v>58</v>
      </c>
      <c r="V24" s="69" t="s">
        <v>59</v>
      </c>
      <c r="W24" s="69" t="s">
        <v>60</v>
      </c>
      <c r="X24" s="69" t="s">
        <v>61</v>
      </c>
      <c r="Y24" s="69" t="s">
        <v>62</v>
      </c>
      <c r="Z24" s="69" t="s">
        <v>63</v>
      </c>
      <c r="AA24" s="69" t="s">
        <v>64</v>
      </c>
      <c r="AB24" s="69" t="s">
        <v>65</v>
      </c>
      <c r="AC24" s="69" t="s">
        <v>66</v>
      </c>
      <c r="AD24" s="69" t="s">
        <v>67</v>
      </c>
      <c r="AE24" s="69" t="s">
        <v>68</v>
      </c>
      <c r="AF24" s="69" t="s">
        <v>69</v>
      </c>
      <c r="AG24" s="69" t="s">
        <v>70</v>
      </c>
      <c r="AH24" s="63"/>
    </row>
    <row r="25" spans="1:34" hidden="1" outlineLevel="1" x14ac:dyDescent="0.35">
      <c r="A25" s="63"/>
      <c r="B25" s="63" t="str">
        <f>B18</f>
        <v>Reduced productivity due to insufficient meeting rooms, collaboration spaces, hot desking capability</v>
      </c>
      <c r="C25" s="103"/>
      <c r="D25" s="63"/>
      <c r="E25" s="63"/>
      <c r="F25" s="63"/>
      <c r="G25" s="63"/>
      <c r="H25" s="99">
        <f>D19*D20*D21*(1+D22)^2</f>
        <v>4678045.6799999988</v>
      </c>
      <c r="I25" s="97">
        <f>H25*(1+$D$38)</f>
        <v>4748216.365199998</v>
      </c>
      <c r="J25" s="97">
        <f>I25*(1+$D$38)</f>
        <v>4819439.6106779976</v>
      </c>
      <c r="K25" s="97">
        <f>J25*(1+$D$38)</f>
        <v>4891731.2048381669</v>
      </c>
      <c r="L25" s="97">
        <f>K25*(1+$D$38)</f>
        <v>4965107.1729107387</v>
      </c>
      <c r="M25" s="97">
        <f>L25*(1+$D$38)</f>
        <v>5039583.780504399</v>
      </c>
      <c r="N25" s="97">
        <f>M25*(1+$D$38)</f>
        <v>5115177.5372119648</v>
      </c>
      <c r="O25" s="97">
        <f>N25*(1+$D$38)</f>
        <v>5191905.2002701443</v>
      </c>
      <c r="P25" s="97">
        <f>O25*(1+$D$38)</f>
        <v>5269783.7782741962</v>
      </c>
      <c r="Q25" s="97">
        <f>P25*(1+$D$38)</f>
        <v>5348830.534948309</v>
      </c>
      <c r="R25" s="97">
        <f>Q25*(1+$D$38)</f>
        <v>5429062.9929725332</v>
      </c>
      <c r="S25" s="97">
        <f>R25*(1+$D$38)</f>
        <v>5510498.9378671208</v>
      </c>
      <c r="T25" s="97">
        <f>S25*(1+$D$38)</f>
        <v>5593156.4219351271</v>
      </c>
      <c r="U25" s="97">
        <f>T25*(1+$D$38)</f>
        <v>5677053.768264153</v>
      </c>
      <c r="V25" s="97">
        <f>U25*(1+$D$38)</f>
        <v>5762209.574788115</v>
      </c>
      <c r="W25" s="97">
        <f>V25*(1+$D$38)</f>
        <v>5848642.7184099359</v>
      </c>
      <c r="X25" s="97">
        <f>W25*(1+$D$38)</f>
        <v>5936372.359186084</v>
      </c>
      <c r="Y25" s="97">
        <f>X25*(1+$D$38)</f>
        <v>6025417.9445738746</v>
      </c>
      <c r="Z25" s="97">
        <f>Y25*(1+$D$38)</f>
        <v>6115799.2137424825</v>
      </c>
      <c r="AA25" s="97">
        <f>Z25*(1+$D$38)</f>
        <v>6207536.2019486194</v>
      </c>
      <c r="AB25" s="97">
        <f>AA25*(1+$D$38)</f>
        <v>6300649.2449778477</v>
      </c>
      <c r="AC25" s="97">
        <f>AB25*(1+$D$38)</f>
        <v>6395158.9836525144</v>
      </c>
      <c r="AD25" s="97">
        <f>AC25*(1+$D$38)</f>
        <v>6491086.3684073016</v>
      </c>
      <c r="AE25" s="97">
        <f>AD25*(1+$D$38)</f>
        <v>6588452.6639334103</v>
      </c>
      <c r="AF25" s="97">
        <f>AE25*(1+$D$38)</f>
        <v>6687279.4538924107</v>
      </c>
      <c r="AG25" s="97">
        <f>AF25*(1+$D$38)</f>
        <v>6787588.6457007965</v>
      </c>
      <c r="AH25" s="63"/>
    </row>
    <row r="26" spans="1:34" hidden="1" outlineLevel="1" x14ac:dyDescent="0.35"/>
    <row r="27" spans="1:34" hidden="1" outlineLevel="1" x14ac:dyDescent="0.35"/>
    <row r="28" spans="1:34" collapsed="1" x14ac:dyDescent="0.35">
      <c r="A28" s="63"/>
      <c r="B28" s="85"/>
      <c r="C28" s="85"/>
      <c r="D28" s="85"/>
      <c r="E28" s="85"/>
      <c r="F28" s="85"/>
      <c r="G28" s="85"/>
      <c r="H28" s="69"/>
      <c r="I28" s="69" t="s">
        <v>21</v>
      </c>
      <c r="J28" s="69" t="s">
        <v>22</v>
      </c>
      <c r="K28" s="69" t="s">
        <v>23</v>
      </c>
      <c r="L28" s="69" t="s">
        <v>24</v>
      </c>
      <c r="M28" s="69" t="s">
        <v>25</v>
      </c>
      <c r="N28" s="69" t="s">
        <v>51</v>
      </c>
      <c r="O28" s="69" t="s">
        <v>52</v>
      </c>
      <c r="P28" s="69" t="s">
        <v>53</v>
      </c>
      <c r="Q28" s="69" t="s">
        <v>54</v>
      </c>
      <c r="R28" s="69" t="s">
        <v>55</v>
      </c>
      <c r="S28" s="69" t="s">
        <v>56</v>
      </c>
      <c r="T28" s="69" t="s">
        <v>57</v>
      </c>
      <c r="U28" s="69" t="s">
        <v>58</v>
      </c>
      <c r="V28" s="69" t="s">
        <v>59</v>
      </c>
      <c r="W28" s="69" t="s">
        <v>60</v>
      </c>
      <c r="X28" s="69" t="s">
        <v>61</v>
      </c>
      <c r="Y28" s="69" t="s">
        <v>62</v>
      </c>
      <c r="Z28" s="69" t="s">
        <v>63</v>
      </c>
      <c r="AA28" s="69" t="s">
        <v>64</v>
      </c>
      <c r="AB28" s="69" t="s">
        <v>65</v>
      </c>
      <c r="AC28" s="69" t="s">
        <v>66</v>
      </c>
      <c r="AD28" s="69" t="s">
        <v>67</v>
      </c>
      <c r="AE28" s="69" t="s">
        <v>68</v>
      </c>
      <c r="AF28" s="69" t="s">
        <v>69</v>
      </c>
      <c r="AG28" s="69" t="s">
        <v>70</v>
      </c>
      <c r="AH28" s="63"/>
    </row>
    <row r="29" spans="1:34" x14ac:dyDescent="0.35">
      <c r="A29" s="63"/>
      <c r="B29" s="71" t="str">
        <f>"Total risk due to "&amp;B16</f>
        <v>Total risk due to Not fit for purpose</v>
      </c>
      <c r="C29" s="63"/>
      <c r="D29" s="63"/>
      <c r="E29" s="63"/>
      <c r="F29" s="63"/>
      <c r="G29" s="63"/>
      <c r="H29" s="97"/>
      <c r="I29" s="97">
        <f>I25</f>
        <v>4748216.365199998</v>
      </c>
      <c r="J29" s="97">
        <f t="shared" ref="J29:AG29" si="7">J25</f>
        <v>4819439.6106779976</v>
      </c>
      <c r="K29" s="97">
        <f t="shared" si="7"/>
        <v>4891731.2048381669</v>
      </c>
      <c r="L29" s="97">
        <f t="shared" si="7"/>
        <v>4965107.1729107387</v>
      </c>
      <c r="M29" s="97">
        <f t="shared" si="7"/>
        <v>5039583.780504399</v>
      </c>
      <c r="N29" s="97">
        <f t="shared" si="7"/>
        <v>5115177.5372119648</v>
      </c>
      <c r="O29" s="97">
        <f t="shared" si="7"/>
        <v>5191905.2002701443</v>
      </c>
      <c r="P29" s="97">
        <f t="shared" si="7"/>
        <v>5269783.7782741962</v>
      </c>
      <c r="Q29" s="97">
        <f t="shared" si="7"/>
        <v>5348830.534948309</v>
      </c>
      <c r="R29" s="97">
        <f t="shared" si="7"/>
        <v>5429062.9929725332</v>
      </c>
      <c r="S29" s="97">
        <f t="shared" si="7"/>
        <v>5510498.9378671208</v>
      </c>
      <c r="T29" s="97">
        <f t="shared" si="7"/>
        <v>5593156.4219351271</v>
      </c>
      <c r="U29" s="97">
        <f t="shared" si="7"/>
        <v>5677053.768264153</v>
      </c>
      <c r="V29" s="97">
        <f t="shared" si="7"/>
        <v>5762209.574788115</v>
      </c>
      <c r="W29" s="97">
        <f t="shared" si="7"/>
        <v>5848642.7184099359</v>
      </c>
      <c r="X29" s="97">
        <f t="shared" si="7"/>
        <v>5936372.359186084</v>
      </c>
      <c r="Y29" s="97">
        <f t="shared" si="7"/>
        <v>6025417.9445738746</v>
      </c>
      <c r="Z29" s="97">
        <f t="shared" si="7"/>
        <v>6115799.2137424825</v>
      </c>
      <c r="AA29" s="97">
        <f t="shared" si="7"/>
        <v>6207536.2019486194</v>
      </c>
      <c r="AB29" s="97">
        <f t="shared" si="7"/>
        <v>6300649.2449778477</v>
      </c>
      <c r="AC29" s="97">
        <f t="shared" si="7"/>
        <v>6395158.9836525144</v>
      </c>
      <c r="AD29" s="97">
        <f t="shared" si="7"/>
        <v>6491086.3684073016</v>
      </c>
      <c r="AE29" s="97">
        <f t="shared" si="7"/>
        <v>6588452.6639334103</v>
      </c>
      <c r="AF29" s="97">
        <f t="shared" si="7"/>
        <v>6687279.4538924107</v>
      </c>
      <c r="AG29" s="97">
        <f t="shared" si="7"/>
        <v>6787588.6457007965</v>
      </c>
      <c r="AH29" s="63"/>
    </row>
    <row r="32" spans="1:34" x14ac:dyDescent="0.35">
      <c r="A32" s="80"/>
      <c r="B32" s="78" t="s">
        <v>141</v>
      </c>
      <c r="C32" s="78"/>
      <c r="D32" s="78"/>
      <c r="E32" s="78"/>
      <c r="F32" s="78"/>
      <c r="G32" s="78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80"/>
    </row>
    <row r="33" spans="1:34" x14ac:dyDescent="0.3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</row>
    <row r="34" spans="1:34" hidden="1" outlineLevel="1" x14ac:dyDescent="0.35">
      <c r="A34" s="63"/>
      <c r="B34" s="82" t="s">
        <v>142</v>
      </c>
      <c r="C34" s="82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63"/>
    </row>
    <row r="35" spans="1:34" hidden="1" outlineLevel="1" x14ac:dyDescent="0.35">
      <c r="A35" s="63"/>
      <c r="B35" s="63" t="s">
        <v>93</v>
      </c>
      <c r="C35" s="95" t="str">
        <f>'Risk Assumptions'!F22</f>
        <v>#</v>
      </c>
      <c r="D35" s="83">
        <f>'Risk Assumptions'!G22</f>
        <v>946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</row>
    <row r="36" spans="1:34" hidden="1" outlineLevel="1" x14ac:dyDescent="0.35">
      <c r="A36" s="63"/>
      <c r="B36" s="63" t="s">
        <v>89</v>
      </c>
      <c r="C36" s="95" t="str">
        <f>'Risk Assumptions'!F23</f>
        <v>$ June 2024</v>
      </c>
      <c r="D36" s="83">
        <f>'Risk Assumptions'!G23</f>
        <v>160000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</row>
    <row r="37" spans="1:34" hidden="1" outlineLevel="1" x14ac:dyDescent="0.35">
      <c r="A37" s="63"/>
      <c r="B37" s="63" t="s">
        <v>92</v>
      </c>
      <c r="C37" s="96" t="str">
        <f>'Risk Assumptions'!F10</f>
        <v>%</v>
      </c>
      <c r="D37" s="84">
        <f>'Risk Assumptions'!G10</f>
        <v>0.02</v>
      </c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</row>
    <row r="38" spans="1:34" hidden="1" outlineLevel="1" x14ac:dyDescent="0.35">
      <c r="A38" s="63"/>
      <c r="B38" s="63" t="s">
        <v>91</v>
      </c>
      <c r="C38" s="96" t="str">
        <f>'Risk Assumptions'!F8</f>
        <v>%</v>
      </c>
      <c r="D38" s="84">
        <f>'Risk Assumptions'!G8</f>
        <v>1.4999999999999999E-2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</row>
    <row r="39" spans="1:34" hidden="1" outlineLevel="1" x14ac:dyDescent="0.35">
      <c r="A39" s="63"/>
      <c r="B39" s="63"/>
      <c r="C39" s="10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</row>
    <row r="40" spans="1:34" hidden="1" outlineLevel="1" x14ac:dyDescent="0.35">
      <c r="A40" s="63"/>
      <c r="B40" s="85"/>
      <c r="C40" s="104"/>
      <c r="D40" s="85"/>
      <c r="E40" s="85"/>
      <c r="F40" s="85"/>
      <c r="G40" s="85"/>
      <c r="H40" s="98" t="s">
        <v>19</v>
      </c>
      <c r="I40" s="69" t="s">
        <v>21</v>
      </c>
      <c r="J40" s="69" t="s">
        <v>22</v>
      </c>
      <c r="K40" s="69" t="s">
        <v>23</v>
      </c>
      <c r="L40" s="69" t="s">
        <v>24</v>
      </c>
      <c r="M40" s="69" t="s">
        <v>25</v>
      </c>
      <c r="N40" s="69" t="s">
        <v>51</v>
      </c>
      <c r="O40" s="69" t="s">
        <v>52</v>
      </c>
      <c r="P40" s="69" t="s">
        <v>53</v>
      </c>
      <c r="Q40" s="69" t="s">
        <v>54</v>
      </c>
      <c r="R40" s="69" t="s">
        <v>55</v>
      </c>
      <c r="S40" s="69" t="s">
        <v>56</v>
      </c>
      <c r="T40" s="69" t="s">
        <v>57</v>
      </c>
      <c r="U40" s="69" t="s">
        <v>58</v>
      </c>
      <c r="V40" s="69" t="s">
        <v>59</v>
      </c>
      <c r="W40" s="69" t="s">
        <v>60</v>
      </c>
      <c r="X40" s="69" t="s">
        <v>61</v>
      </c>
      <c r="Y40" s="69" t="s">
        <v>62</v>
      </c>
      <c r="Z40" s="69" t="s">
        <v>63</v>
      </c>
      <c r="AA40" s="69" t="s">
        <v>64</v>
      </c>
      <c r="AB40" s="69" t="s">
        <v>65</v>
      </c>
      <c r="AC40" s="69" t="s">
        <v>66</v>
      </c>
      <c r="AD40" s="69" t="s">
        <v>67</v>
      </c>
      <c r="AE40" s="69" t="s">
        <v>68</v>
      </c>
      <c r="AF40" s="69" t="s">
        <v>69</v>
      </c>
      <c r="AG40" s="69" t="s">
        <v>70</v>
      </c>
      <c r="AH40" s="63"/>
    </row>
    <row r="41" spans="1:34" hidden="1" outlineLevel="1" x14ac:dyDescent="0.35">
      <c r="A41" s="63"/>
      <c r="B41" s="63" t="str">
        <f>B34</f>
        <v>Reduced office productivity due to aged facilities (slow lifts, out of order etc.)</v>
      </c>
      <c r="C41" s="103"/>
      <c r="D41" s="63"/>
      <c r="E41" s="63"/>
      <c r="F41" s="63"/>
      <c r="G41" s="63"/>
      <c r="H41" s="99">
        <f>D35*D36*D37*(1+D38)^2</f>
        <v>3118697.1199999992</v>
      </c>
      <c r="I41" s="97">
        <f>H41*(1+$D$38)</f>
        <v>3165477.576799999</v>
      </c>
      <c r="J41" s="97">
        <f t="shared" ref="J41:AG41" si="8">I41*(1+$D$38)</f>
        <v>3212959.7404519985</v>
      </c>
      <c r="K41" s="97">
        <f t="shared" si="8"/>
        <v>3261154.1365587781</v>
      </c>
      <c r="L41" s="97">
        <f t="shared" si="8"/>
        <v>3310071.4486071593</v>
      </c>
      <c r="M41" s="97">
        <f t="shared" si="8"/>
        <v>3359722.5203362666</v>
      </c>
      <c r="N41" s="97">
        <f t="shared" si="8"/>
        <v>3410118.35814131</v>
      </c>
      <c r="O41" s="97">
        <f t="shared" si="8"/>
        <v>3461270.1335134292</v>
      </c>
      <c r="P41" s="97">
        <f t="shared" si="8"/>
        <v>3513189.1855161302</v>
      </c>
      <c r="Q41" s="97">
        <f t="shared" si="8"/>
        <v>3565887.0232988717</v>
      </c>
      <c r="R41" s="97">
        <f t="shared" si="8"/>
        <v>3619375.3286483544</v>
      </c>
      <c r="S41" s="97">
        <f t="shared" si="8"/>
        <v>3673665.9585780795</v>
      </c>
      <c r="T41" s="97">
        <f t="shared" si="8"/>
        <v>3728770.9479567502</v>
      </c>
      <c r="U41" s="97">
        <f t="shared" si="8"/>
        <v>3784702.5121761011</v>
      </c>
      <c r="V41" s="97">
        <f t="shared" si="8"/>
        <v>3841473.0498587424</v>
      </c>
      <c r="W41" s="97">
        <f t="shared" si="8"/>
        <v>3899095.145606623</v>
      </c>
      <c r="X41" s="97">
        <f t="shared" si="8"/>
        <v>3957581.5727907219</v>
      </c>
      <c r="Y41" s="97">
        <f t="shared" si="8"/>
        <v>4016945.2963825823</v>
      </c>
      <c r="Z41" s="97">
        <f t="shared" si="8"/>
        <v>4077199.4758283207</v>
      </c>
      <c r="AA41" s="97">
        <f t="shared" si="8"/>
        <v>4138357.4679657449</v>
      </c>
      <c r="AB41" s="97">
        <f t="shared" si="8"/>
        <v>4200432.8299852302</v>
      </c>
      <c r="AC41" s="97">
        <f t="shared" si="8"/>
        <v>4263439.3224350084</v>
      </c>
      <c r="AD41" s="97">
        <f t="shared" si="8"/>
        <v>4327390.9122715332</v>
      </c>
      <c r="AE41" s="97">
        <f t="shared" si="8"/>
        <v>4392301.7759556053</v>
      </c>
      <c r="AF41" s="97">
        <f t="shared" si="8"/>
        <v>4458186.3025949392</v>
      </c>
      <c r="AG41" s="97">
        <f t="shared" si="8"/>
        <v>4525059.0971338628</v>
      </c>
      <c r="AH41" s="63"/>
    </row>
    <row r="42" spans="1:34" hidden="1" outlineLevel="1" x14ac:dyDescent="0.35">
      <c r="A42" s="63"/>
      <c r="B42" s="63"/>
      <c r="C42" s="10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</row>
    <row r="43" spans="1:34" hidden="1" outlineLevel="1" x14ac:dyDescent="0.35">
      <c r="A43" s="63"/>
      <c r="B43" s="82" t="s">
        <v>143</v>
      </c>
      <c r="C43" s="105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63"/>
    </row>
    <row r="44" spans="1:34" hidden="1" outlineLevel="1" x14ac:dyDescent="0.35">
      <c r="A44" s="63"/>
      <c r="B44" s="63" t="s">
        <v>144</v>
      </c>
      <c r="C44" s="95" t="str">
        <f>'Risk Assumptions'!F18</f>
        <v>$ June 2024</v>
      </c>
      <c r="D44" s="83">
        <f>'Risk Assumptions'!G18</f>
        <v>400000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</row>
    <row r="45" spans="1:34" hidden="1" outlineLevel="1" x14ac:dyDescent="0.35">
      <c r="A45" s="63"/>
      <c r="B45" s="63" t="s">
        <v>150</v>
      </c>
      <c r="C45" s="96" t="str">
        <f>'Risk Assumptions'!F19</f>
        <v>%</v>
      </c>
      <c r="D45" s="84">
        <f>'Risk Assumptions'!G19</f>
        <v>0.5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</row>
    <row r="46" spans="1:34" hidden="1" outlineLevel="1" x14ac:dyDescent="0.35">
      <c r="A46" s="63"/>
      <c r="B46" s="63" t="s">
        <v>145</v>
      </c>
      <c r="C46" s="96" t="str">
        <f>'Risk Assumptions'!F20</f>
        <v>%</v>
      </c>
      <c r="D46" s="84">
        <f>'Risk Assumptions'!G20</f>
        <v>0.05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</row>
    <row r="47" spans="1:34" hidden="1" outlineLevel="1" x14ac:dyDescent="0.3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</row>
    <row r="48" spans="1:34" hidden="1" outlineLevel="1" x14ac:dyDescent="0.35">
      <c r="A48" s="63"/>
      <c r="B48" s="85"/>
      <c r="C48" s="85"/>
      <c r="D48" s="85"/>
      <c r="E48" s="85"/>
      <c r="F48" s="85"/>
      <c r="G48" s="85"/>
      <c r="H48" s="98" t="s">
        <v>19</v>
      </c>
      <c r="I48" s="69" t="s">
        <v>21</v>
      </c>
      <c r="J48" s="69" t="s">
        <v>22</v>
      </c>
      <c r="K48" s="69" t="s">
        <v>23</v>
      </c>
      <c r="L48" s="69" t="s">
        <v>24</v>
      </c>
      <c r="M48" s="69" t="s">
        <v>25</v>
      </c>
      <c r="N48" s="69" t="s">
        <v>51</v>
      </c>
      <c r="O48" s="69" t="s">
        <v>52</v>
      </c>
      <c r="P48" s="69" t="s">
        <v>53</v>
      </c>
      <c r="Q48" s="69" t="s">
        <v>54</v>
      </c>
      <c r="R48" s="69" t="s">
        <v>55</v>
      </c>
      <c r="S48" s="69" t="s">
        <v>56</v>
      </c>
      <c r="T48" s="69" t="s">
        <v>57</v>
      </c>
      <c r="U48" s="69" t="s">
        <v>58</v>
      </c>
      <c r="V48" s="69" t="s">
        <v>59</v>
      </c>
      <c r="W48" s="69" t="s">
        <v>60</v>
      </c>
      <c r="X48" s="69" t="s">
        <v>61</v>
      </c>
      <c r="Y48" s="69" t="s">
        <v>62</v>
      </c>
      <c r="Z48" s="69" t="s">
        <v>63</v>
      </c>
      <c r="AA48" s="69" t="s">
        <v>64</v>
      </c>
      <c r="AB48" s="69" t="s">
        <v>65</v>
      </c>
      <c r="AC48" s="69" t="s">
        <v>66</v>
      </c>
      <c r="AD48" s="69" t="s">
        <v>67</v>
      </c>
      <c r="AE48" s="69" t="s">
        <v>68</v>
      </c>
      <c r="AF48" s="69" t="s">
        <v>69</v>
      </c>
      <c r="AG48" s="69" t="s">
        <v>70</v>
      </c>
      <c r="AH48" s="63"/>
    </row>
    <row r="49" spans="1:34" hidden="1" outlineLevel="1" x14ac:dyDescent="0.35">
      <c r="A49" s="63"/>
      <c r="B49" s="63" t="str">
        <f>B43</f>
        <v>Increased maintenance costs</v>
      </c>
      <c r="C49" s="63"/>
      <c r="D49" s="63"/>
      <c r="E49" s="63"/>
      <c r="F49" s="63"/>
      <c r="G49" s="63"/>
      <c r="H49" s="99">
        <f>D44*D46*D45*(1+D46)^2</f>
        <v>11025</v>
      </c>
      <c r="I49" s="97">
        <f>H49*(1+$D$46)</f>
        <v>11576.25</v>
      </c>
      <c r="J49" s="97">
        <f t="shared" ref="J49:AG49" si="9">I49*(1+$D$46)</f>
        <v>12155.0625</v>
      </c>
      <c r="K49" s="97">
        <f t="shared" si="9"/>
        <v>12762.815625000001</v>
      </c>
      <c r="L49" s="97">
        <f t="shared" si="9"/>
        <v>13400.956406250001</v>
      </c>
      <c r="M49" s="97">
        <f t="shared" si="9"/>
        <v>14071.004226562502</v>
      </c>
      <c r="N49" s="97">
        <f t="shared" si="9"/>
        <v>14774.554437890627</v>
      </c>
      <c r="O49" s="97">
        <f t="shared" si="9"/>
        <v>15513.28215978516</v>
      </c>
      <c r="P49" s="97">
        <f t="shared" si="9"/>
        <v>16288.946267774418</v>
      </c>
      <c r="Q49" s="97">
        <f t="shared" si="9"/>
        <v>17103.393581163138</v>
      </c>
      <c r="R49" s="97">
        <f t="shared" si="9"/>
        <v>17958.563260221297</v>
      </c>
      <c r="S49" s="97">
        <f t="shared" si="9"/>
        <v>18856.491423232364</v>
      </c>
      <c r="T49" s="97">
        <f t="shared" si="9"/>
        <v>19799.315994393983</v>
      </c>
      <c r="U49" s="97">
        <f t="shared" si="9"/>
        <v>20789.281794113682</v>
      </c>
      <c r="V49" s="97">
        <f t="shared" si="9"/>
        <v>21828.745883819367</v>
      </c>
      <c r="W49" s="97">
        <f t="shared" si="9"/>
        <v>22920.183178010335</v>
      </c>
      <c r="X49" s="97">
        <f t="shared" si="9"/>
        <v>24066.192336910852</v>
      </c>
      <c r="Y49" s="97">
        <f t="shared" si="9"/>
        <v>25269.501953756397</v>
      </c>
      <c r="Z49" s="97">
        <f t="shared" si="9"/>
        <v>26532.977051444217</v>
      </c>
      <c r="AA49" s="97">
        <f t="shared" si="9"/>
        <v>27859.62590401643</v>
      </c>
      <c r="AB49" s="97">
        <f t="shared" si="9"/>
        <v>29252.607199217251</v>
      </c>
      <c r="AC49" s="97">
        <f t="shared" si="9"/>
        <v>30715.237559178116</v>
      </c>
      <c r="AD49" s="97">
        <f t="shared" si="9"/>
        <v>32250.999437137023</v>
      </c>
      <c r="AE49" s="97">
        <f t="shared" si="9"/>
        <v>33863.549408993873</v>
      </c>
      <c r="AF49" s="97">
        <f t="shared" si="9"/>
        <v>35556.726879443566</v>
      </c>
      <c r="AG49" s="97">
        <f t="shared" si="9"/>
        <v>37334.563223415746</v>
      </c>
      <c r="AH49" s="63"/>
    </row>
    <row r="50" spans="1:34" hidden="1" outlineLevel="1" x14ac:dyDescent="0.3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</row>
    <row r="51" spans="1:34" hidden="1" outlineLevel="1" x14ac:dyDescent="0.35">
      <c r="A51" s="63"/>
      <c r="B51" s="82" t="s">
        <v>94</v>
      </c>
      <c r="C51" s="82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63"/>
    </row>
    <row r="52" spans="1:34" hidden="1" outlineLevel="1" x14ac:dyDescent="0.35">
      <c r="A52" s="63"/>
      <c r="B52" s="63" t="s">
        <v>99</v>
      </c>
      <c r="C52" s="95" t="e">
        <f>'Risk Assumptions'!#REF!</f>
        <v>#REF!</v>
      </c>
      <c r="D52" s="83">
        <f>'Risk Assumptions'!G25</f>
        <v>5940414.4210879449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</row>
    <row r="53" spans="1:34" hidden="1" outlineLevel="1" x14ac:dyDescent="0.35">
      <c r="A53" s="63"/>
      <c r="B53" s="63" t="s">
        <v>97</v>
      </c>
      <c r="C53" s="95"/>
      <c r="D53" s="83">
        <f>'Risk Assumptions'!G26</f>
        <v>3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</row>
    <row r="54" spans="1:34" hidden="1" outlineLevel="1" x14ac:dyDescent="0.35">
      <c r="A54" s="63"/>
      <c r="B54" s="63" t="s">
        <v>100</v>
      </c>
      <c r="C54" s="96" t="str">
        <f>'Risk Assumptions'!F10</f>
        <v>%</v>
      </c>
      <c r="D54" s="84">
        <f>'Risk Assumptions'!G27</f>
        <v>2.5000000000000001E-3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</row>
    <row r="55" spans="1:34" hidden="1" outlineLevel="1" x14ac:dyDescent="0.35">
      <c r="A55" s="63"/>
      <c r="B55" s="63" t="s">
        <v>152</v>
      </c>
      <c r="C55" s="96" t="str">
        <f>'Risk Assumptions'!F11</f>
        <v>%</v>
      </c>
      <c r="D55" s="84">
        <f>'Risk Assumptions'!G28</f>
        <v>0.02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</row>
    <row r="56" spans="1:34" hidden="1" outlineLevel="1" x14ac:dyDescent="0.3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</row>
    <row r="57" spans="1:34" hidden="1" outlineLevel="1" x14ac:dyDescent="0.35">
      <c r="A57" s="63"/>
      <c r="B57" s="85"/>
      <c r="C57" s="85"/>
      <c r="D57" s="85"/>
      <c r="E57" s="85"/>
      <c r="F57" s="85"/>
      <c r="G57" s="85"/>
      <c r="H57" s="98" t="s">
        <v>19</v>
      </c>
      <c r="I57" s="69" t="s">
        <v>21</v>
      </c>
      <c r="J57" s="69" t="s">
        <v>22</v>
      </c>
      <c r="K57" s="69" t="s">
        <v>23</v>
      </c>
      <c r="L57" s="69" t="s">
        <v>24</v>
      </c>
      <c r="M57" s="69" t="s">
        <v>25</v>
      </c>
      <c r="N57" s="69" t="s">
        <v>51</v>
      </c>
      <c r="O57" s="69" t="s">
        <v>52</v>
      </c>
      <c r="P57" s="69" t="s">
        <v>53</v>
      </c>
      <c r="Q57" s="69" t="s">
        <v>54</v>
      </c>
      <c r="R57" s="69" t="s">
        <v>55</v>
      </c>
      <c r="S57" s="69" t="s">
        <v>56</v>
      </c>
      <c r="T57" s="69" t="s">
        <v>57</v>
      </c>
      <c r="U57" s="69" t="s">
        <v>58</v>
      </c>
      <c r="V57" s="69" t="s">
        <v>59</v>
      </c>
      <c r="W57" s="69" t="s">
        <v>60</v>
      </c>
      <c r="X57" s="69" t="s">
        <v>61</v>
      </c>
      <c r="Y57" s="69" t="s">
        <v>62</v>
      </c>
      <c r="Z57" s="69" t="s">
        <v>63</v>
      </c>
      <c r="AA57" s="69" t="s">
        <v>64</v>
      </c>
      <c r="AB57" s="69" t="s">
        <v>65</v>
      </c>
      <c r="AC57" s="69" t="s">
        <v>66</v>
      </c>
      <c r="AD57" s="69" t="s">
        <v>67</v>
      </c>
      <c r="AE57" s="69" t="s">
        <v>68</v>
      </c>
      <c r="AF57" s="69" t="s">
        <v>69</v>
      </c>
      <c r="AG57" s="69" t="s">
        <v>70</v>
      </c>
      <c r="AH57" s="63"/>
    </row>
    <row r="58" spans="1:34" hidden="1" outlineLevel="1" x14ac:dyDescent="0.35">
      <c r="A58" s="63"/>
      <c r="B58" s="100" t="str">
        <f>B51</f>
        <v>Death or serious injury caused by structural failure</v>
      </c>
      <c r="C58" s="100"/>
      <c r="D58" s="100"/>
      <c r="E58" s="100"/>
      <c r="F58" s="100"/>
      <c r="G58" s="100"/>
      <c r="H58" s="97">
        <f>$D52*$D53*$D54*(1+D55)^2</f>
        <v>46353.05372774924</v>
      </c>
      <c r="I58" s="97">
        <f>H58*(1+$D55)</f>
        <v>47280.114802304226</v>
      </c>
      <c r="J58" s="97">
        <f t="shared" ref="J58:AG58" si="10">I58*(1+$D55)</f>
        <v>48225.717098350309</v>
      </c>
      <c r="K58" s="97">
        <f t="shared" si="10"/>
        <v>49190.231440317315</v>
      </c>
      <c r="L58" s="97">
        <f t="shared" si="10"/>
        <v>50174.036069123664</v>
      </c>
      <c r="M58" s="97">
        <f t="shared" si="10"/>
        <v>51177.516790506139</v>
      </c>
      <c r="N58" s="97">
        <f t="shared" si="10"/>
        <v>52201.067126316266</v>
      </c>
      <c r="O58" s="97">
        <f t="shared" si="10"/>
        <v>53245.088468842594</v>
      </c>
      <c r="P58" s="97">
        <f t="shared" si="10"/>
        <v>54309.990238219449</v>
      </c>
      <c r="Q58" s="97">
        <f t="shared" si="10"/>
        <v>55396.190042983835</v>
      </c>
      <c r="R58" s="97">
        <f t="shared" si="10"/>
        <v>56504.113843843515</v>
      </c>
      <c r="S58" s="97">
        <f t="shared" si="10"/>
        <v>57634.196120720386</v>
      </c>
      <c r="T58" s="97">
        <f t="shared" si="10"/>
        <v>58786.880043134792</v>
      </c>
      <c r="U58" s="97">
        <f t="shared" si="10"/>
        <v>59962.617643997488</v>
      </c>
      <c r="V58" s="97">
        <f t="shared" si="10"/>
        <v>61161.869996877438</v>
      </c>
      <c r="W58" s="97">
        <f t="shared" si="10"/>
        <v>62385.107396814987</v>
      </c>
      <c r="X58" s="97">
        <f t="shared" si="10"/>
        <v>63632.80954475129</v>
      </c>
      <c r="Y58" s="97">
        <f t="shared" si="10"/>
        <v>64905.465735646314</v>
      </c>
      <c r="Z58" s="97">
        <f t="shared" si="10"/>
        <v>66203.575050359243</v>
      </c>
      <c r="AA58" s="97">
        <f t="shared" si="10"/>
        <v>67527.64655136643</v>
      </c>
      <c r="AB58" s="97">
        <f t="shared" si="10"/>
        <v>68878.199482393757</v>
      </c>
      <c r="AC58" s="97">
        <f t="shared" si="10"/>
        <v>70255.763472041639</v>
      </c>
      <c r="AD58" s="97">
        <f t="shared" si="10"/>
        <v>71660.878741482476</v>
      </c>
      <c r="AE58" s="97">
        <f t="shared" si="10"/>
        <v>73094.096316312134</v>
      </c>
      <c r="AF58" s="97">
        <f t="shared" si="10"/>
        <v>74555.978242638375</v>
      </c>
      <c r="AG58" s="97">
        <f t="shared" si="10"/>
        <v>76047.09780749114</v>
      </c>
      <c r="AH58" s="63"/>
    </row>
    <row r="59" spans="1:34" hidden="1" outlineLevel="1" x14ac:dyDescent="0.35"/>
    <row r="60" spans="1:34" hidden="1" outlineLevel="1" x14ac:dyDescent="0.35"/>
    <row r="61" spans="1:34" collapsed="1" x14ac:dyDescent="0.35">
      <c r="A61" s="63"/>
      <c r="B61" s="85"/>
      <c r="C61" s="85"/>
      <c r="D61" s="85"/>
      <c r="E61" s="85"/>
      <c r="F61" s="85"/>
      <c r="G61" s="85"/>
      <c r="H61" s="69"/>
      <c r="I61" s="69" t="s">
        <v>21</v>
      </c>
      <c r="J61" s="69" t="s">
        <v>22</v>
      </c>
      <c r="K61" s="69" t="s">
        <v>23</v>
      </c>
      <c r="L61" s="69" t="s">
        <v>24</v>
      </c>
      <c r="M61" s="69" t="s">
        <v>25</v>
      </c>
      <c r="N61" s="69" t="s">
        <v>51</v>
      </c>
      <c r="O61" s="69" t="s">
        <v>52</v>
      </c>
      <c r="P61" s="69" t="s">
        <v>53</v>
      </c>
      <c r="Q61" s="69" t="s">
        <v>54</v>
      </c>
      <c r="R61" s="69" t="s">
        <v>55</v>
      </c>
      <c r="S61" s="69" t="s">
        <v>56</v>
      </c>
      <c r="T61" s="69" t="s">
        <v>57</v>
      </c>
      <c r="U61" s="69" t="s">
        <v>58</v>
      </c>
      <c r="V61" s="69" t="s">
        <v>59</v>
      </c>
      <c r="W61" s="69" t="s">
        <v>60</v>
      </c>
      <c r="X61" s="69" t="s">
        <v>61</v>
      </c>
      <c r="Y61" s="69" t="s">
        <v>62</v>
      </c>
      <c r="Z61" s="69" t="s">
        <v>63</v>
      </c>
      <c r="AA61" s="69" t="s">
        <v>64</v>
      </c>
      <c r="AB61" s="69" t="s">
        <v>65</v>
      </c>
      <c r="AC61" s="69" t="s">
        <v>66</v>
      </c>
      <c r="AD61" s="69" t="s">
        <v>67</v>
      </c>
      <c r="AE61" s="69" t="s">
        <v>68</v>
      </c>
      <c r="AF61" s="69" t="s">
        <v>69</v>
      </c>
      <c r="AG61" s="69" t="s">
        <v>70</v>
      </c>
      <c r="AH61" s="63"/>
    </row>
    <row r="62" spans="1:34" x14ac:dyDescent="0.35">
      <c r="A62" s="63"/>
      <c r="B62" s="71" t="str">
        <f>"Total risk due to "&amp;B32</f>
        <v>Total risk due to Aged facilities</v>
      </c>
      <c r="C62" s="63"/>
      <c r="D62" s="63"/>
      <c r="E62" s="63"/>
      <c r="F62" s="63"/>
      <c r="G62" s="63"/>
      <c r="H62" s="97"/>
      <c r="I62" s="97">
        <f>I41+I49+I58</f>
        <v>3224333.9416023032</v>
      </c>
      <c r="J62" s="97">
        <f t="shared" ref="J62:AG62" si="11">J41+J49+J58</f>
        <v>3273340.5200503487</v>
      </c>
      <c r="K62" s="97">
        <f t="shared" si="11"/>
        <v>3323107.1836240953</v>
      </c>
      <c r="L62" s="97">
        <f t="shared" si="11"/>
        <v>3373646.441082533</v>
      </c>
      <c r="M62" s="97">
        <f t="shared" si="11"/>
        <v>3424971.0413533351</v>
      </c>
      <c r="N62" s="97">
        <f t="shared" si="11"/>
        <v>3477093.9797055172</v>
      </c>
      <c r="O62" s="97">
        <f t="shared" si="11"/>
        <v>3530028.5041420572</v>
      </c>
      <c r="P62" s="97">
        <f t="shared" si="11"/>
        <v>3583788.122022124</v>
      </c>
      <c r="Q62" s="97">
        <f t="shared" si="11"/>
        <v>3638386.6069230186</v>
      </c>
      <c r="R62" s="97">
        <f t="shared" si="11"/>
        <v>3693838.0057524191</v>
      </c>
      <c r="S62" s="97">
        <f t="shared" si="11"/>
        <v>3750156.6461220323</v>
      </c>
      <c r="T62" s="97">
        <f t="shared" si="11"/>
        <v>3807357.1439942792</v>
      </c>
      <c r="U62" s="97">
        <f t="shared" si="11"/>
        <v>3865454.4116142122</v>
      </c>
      <c r="V62" s="97">
        <f t="shared" si="11"/>
        <v>3924463.665739439</v>
      </c>
      <c r="W62" s="97">
        <f t="shared" si="11"/>
        <v>3984400.4361814484</v>
      </c>
      <c r="X62" s="97">
        <f t="shared" si="11"/>
        <v>4045280.5746723842</v>
      </c>
      <c r="Y62" s="97">
        <f t="shared" si="11"/>
        <v>4107120.2640719851</v>
      </c>
      <c r="Z62" s="97">
        <f t="shared" si="11"/>
        <v>4169936.0279301242</v>
      </c>
      <c r="AA62" s="97">
        <f t="shared" si="11"/>
        <v>4233744.7404211275</v>
      </c>
      <c r="AB62" s="97">
        <f t="shared" si="11"/>
        <v>4298563.6366668409</v>
      </c>
      <c r="AC62" s="97">
        <f t="shared" si="11"/>
        <v>4364410.3234662283</v>
      </c>
      <c r="AD62" s="97">
        <f t="shared" si="11"/>
        <v>4431302.790450152</v>
      </c>
      <c r="AE62" s="97">
        <f t="shared" si="11"/>
        <v>4499259.4216809114</v>
      </c>
      <c r="AF62" s="97">
        <f t="shared" si="11"/>
        <v>4568299.0077170217</v>
      </c>
      <c r="AG62" s="97">
        <f t="shared" si="11"/>
        <v>4638440.75816477</v>
      </c>
      <c r="AH62" s="63"/>
    </row>
    <row r="65" spans="1:34" x14ac:dyDescent="0.35">
      <c r="A65" s="80"/>
      <c r="B65" s="78" t="s">
        <v>153</v>
      </c>
      <c r="C65" s="78"/>
      <c r="D65" s="78"/>
      <c r="E65" s="78"/>
      <c r="F65" s="78"/>
      <c r="G65" s="78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80"/>
    </row>
    <row r="66" spans="1:34" x14ac:dyDescent="0.3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</row>
    <row r="67" spans="1:34" hidden="1" outlineLevel="1" x14ac:dyDescent="0.35">
      <c r="A67" s="63"/>
      <c r="B67" s="82" t="s">
        <v>154</v>
      </c>
      <c r="C67" s="82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63"/>
    </row>
    <row r="68" spans="1:34" hidden="1" outlineLevel="1" x14ac:dyDescent="0.35">
      <c r="A68" s="63"/>
      <c r="B68" s="63" t="s">
        <v>93</v>
      </c>
      <c r="C68" s="95" t="str">
        <f>'Risk Assumptions'!F$22</f>
        <v>#</v>
      </c>
      <c r="D68" s="83">
        <f>'Risk Assumptions'!G$22</f>
        <v>946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</row>
    <row r="69" spans="1:34" hidden="1" outlineLevel="1" x14ac:dyDescent="0.35">
      <c r="A69" s="63"/>
      <c r="B69" s="63" t="s">
        <v>89</v>
      </c>
      <c r="C69" s="95" t="str">
        <f>'Risk Assumptions'!F$23</f>
        <v>$ June 2024</v>
      </c>
      <c r="D69" s="83">
        <f>'Risk Assumptions'!G$23</f>
        <v>160000</v>
      </c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</row>
    <row r="70" spans="1:34" hidden="1" outlineLevel="1" x14ac:dyDescent="0.35">
      <c r="A70" s="63"/>
      <c r="B70" s="63" t="s">
        <v>92</v>
      </c>
      <c r="C70" s="96" t="str">
        <f>'Risk Assumptions'!F11</f>
        <v>%</v>
      </c>
      <c r="D70" s="84">
        <f>'Risk Assumptions'!G11</f>
        <v>0.01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</row>
    <row r="71" spans="1:34" hidden="1" outlineLevel="1" x14ac:dyDescent="0.35">
      <c r="A71" s="63"/>
      <c r="B71" s="63" t="s">
        <v>91</v>
      </c>
      <c r="C71" s="96" t="str">
        <f>'Risk Assumptions'!F12</f>
        <v>%</v>
      </c>
      <c r="D71" s="84">
        <f>'Risk Assumptions'!G12</f>
        <v>0.01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</row>
    <row r="72" spans="1:34" hidden="1" outlineLevel="1" x14ac:dyDescent="0.35">
      <c r="A72" s="63"/>
      <c r="B72" s="63"/>
      <c r="C72" s="10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</row>
    <row r="73" spans="1:34" hidden="1" outlineLevel="1" x14ac:dyDescent="0.35">
      <c r="A73" s="63"/>
      <c r="B73" s="85"/>
      <c r="C73" s="104"/>
      <c r="D73" s="85"/>
      <c r="E73" s="85"/>
      <c r="F73" s="85"/>
      <c r="G73" s="85"/>
      <c r="H73" s="98" t="s">
        <v>19</v>
      </c>
      <c r="I73" s="69" t="s">
        <v>21</v>
      </c>
      <c r="J73" s="69" t="s">
        <v>22</v>
      </c>
      <c r="K73" s="69" t="s">
        <v>23</v>
      </c>
      <c r="L73" s="69" t="s">
        <v>24</v>
      </c>
      <c r="M73" s="69" t="s">
        <v>25</v>
      </c>
      <c r="N73" s="69" t="s">
        <v>51</v>
      </c>
      <c r="O73" s="69" t="s">
        <v>52</v>
      </c>
      <c r="P73" s="69" t="s">
        <v>53</v>
      </c>
      <c r="Q73" s="69" t="s">
        <v>54</v>
      </c>
      <c r="R73" s="69" t="s">
        <v>55</v>
      </c>
      <c r="S73" s="69" t="s">
        <v>56</v>
      </c>
      <c r="T73" s="69" t="s">
        <v>57</v>
      </c>
      <c r="U73" s="69" t="s">
        <v>58</v>
      </c>
      <c r="V73" s="69" t="s">
        <v>59</v>
      </c>
      <c r="W73" s="69" t="s">
        <v>60</v>
      </c>
      <c r="X73" s="69" t="s">
        <v>61</v>
      </c>
      <c r="Y73" s="69" t="s">
        <v>62</v>
      </c>
      <c r="Z73" s="69" t="s">
        <v>63</v>
      </c>
      <c r="AA73" s="69" t="s">
        <v>64</v>
      </c>
      <c r="AB73" s="69" t="s">
        <v>65</v>
      </c>
      <c r="AC73" s="69" t="s">
        <v>66</v>
      </c>
      <c r="AD73" s="69" t="s">
        <v>67</v>
      </c>
      <c r="AE73" s="69" t="s">
        <v>68</v>
      </c>
      <c r="AF73" s="69" t="s">
        <v>69</v>
      </c>
      <c r="AG73" s="69" t="s">
        <v>70</v>
      </c>
      <c r="AH73" s="63"/>
    </row>
    <row r="74" spans="1:34" hidden="1" outlineLevel="1" x14ac:dyDescent="0.35">
      <c r="A74" s="63"/>
      <c r="B74" s="63" t="str">
        <f>B67</f>
        <v>Reduced productivity due to reduced employee wellbeing and satisfaction</v>
      </c>
      <c r="C74" s="103"/>
      <c r="D74" s="63"/>
      <c r="E74" s="63"/>
      <c r="F74" s="63"/>
      <c r="G74" s="63"/>
      <c r="H74" s="99">
        <f>D68*D69*D70*(1+D71)^2</f>
        <v>1544023.36</v>
      </c>
      <c r="I74" s="97">
        <f>H74*(1+$D71)</f>
        <v>1559463.5936</v>
      </c>
      <c r="J74" s="97">
        <f t="shared" ref="J74:AG74" si="12">I74*(1+$D71)</f>
        <v>1575058.2295359999</v>
      </c>
      <c r="K74" s="97">
        <f t="shared" si="12"/>
        <v>1590808.81183136</v>
      </c>
      <c r="L74" s="97">
        <f t="shared" si="12"/>
        <v>1606716.8999496736</v>
      </c>
      <c r="M74" s="97">
        <f t="shared" si="12"/>
        <v>1622784.0689491704</v>
      </c>
      <c r="N74" s="97">
        <f t="shared" si="12"/>
        <v>1639011.9096386621</v>
      </c>
      <c r="O74" s="97">
        <f t="shared" si="12"/>
        <v>1655402.0287350488</v>
      </c>
      <c r="P74" s="97">
        <f t="shared" si="12"/>
        <v>1671956.0490223994</v>
      </c>
      <c r="Q74" s="97">
        <f t="shared" si="12"/>
        <v>1688675.6095126234</v>
      </c>
      <c r="R74" s="97">
        <f t="shared" si="12"/>
        <v>1705562.3656077497</v>
      </c>
      <c r="S74" s="97">
        <f t="shared" si="12"/>
        <v>1722617.9892638272</v>
      </c>
      <c r="T74" s="97">
        <f t="shared" si="12"/>
        <v>1739844.1691564654</v>
      </c>
      <c r="U74" s="97">
        <f t="shared" si="12"/>
        <v>1757242.6108480301</v>
      </c>
      <c r="V74" s="97">
        <f t="shared" si="12"/>
        <v>1774815.0369565105</v>
      </c>
      <c r="W74" s="97">
        <f t="shared" si="12"/>
        <v>1792563.1873260757</v>
      </c>
      <c r="X74" s="97">
        <f t="shared" si="12"/>
        <v>1810488.8191993365</v>
      </c>
      <c r="Y74" s="97">
        <f t="shared" si="12"/>
        <v>1828593.7073913298</v>
      </c>
      <c r="Z74" s="97">
        <f t="shared" si="12"/>
        <v>1846879.6444652432</v>
      </c>
      <c r="AA74" s="97">
        <f t="shared" si="12"/>
        <v>1865348.4409098956</v>
      </c>
      <c r="AB74" s="97">
        <f t="shared" si="12"/>
        <v>1884001.9253189946</v>
      </c>
      <c r="AC74" s="97">
        <f t="shared" si="12"/>
        <v>1902841.9445721845</v>
      </c>
      <c r="AD74" s="97">
        <f t="shared" si="12"/>
        <v>1921870.3640179064</v>
      </c>
      <c r="AE74" s="97">
        <f t="shared" si="12"/>
        <v>1941089.0676580854</v>
      </c>
      <c r="AF74" s="97">
        <f t="shared" si="12"/>
        <v>1960499.9583346662</v>
      </c>
      <c r="AG74" s="97">
        <f t="shared" si="12"/>
        <v>1980104.957918013</v>
      </c>
      <c r="AH74" s="63"/>
    </row>
    <row r="75" spans="1:34" hidden="1" outlineLevel="1" x14ac:dyDescent="0.3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</row>
    <row r="76" spans="1:34" hidden="1" outlineLevel="1" x14ac:dyDescent="0.35">
      <c r="A76" s="63"/>
      <c r="B76" s="82" t="s">
        <v>159</v>
      </c>
      <c r="C76" s="82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63"/>
    </row>
    <row r="77" spans="1:34" hidden="1" outlineLevel="1" x14ac:dyDescent="0.35">
      <c r="A77" s="63"/>
      <c r="B77" s="63" t="s">
        <v>93</v>
      </c>
      <c r="C77" s="95" t="str">
        <f>'Risk Assumptions'!F$22</f>
        <v>#</v>
      </c>
      <c r="D77" s="83">
        <f>'Risk Assumptions'!G$22</f>
        <v>946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</row>
    <row r="78" spans="1:34" hidden="1" outlineLevel="1" x14ac:dyDescent="0.35">
      <c r="A78" s="63"/>
      <c r="B78" s="63" t="s">
        <v>89</v>
      </c>
      <c r="C78" s="95" t="str">
        <f>'Risk Assumptions'!F$23</f>
        <v>$ June 2024</v>
      </c>
      <c r="D78" s="83">
        <f>'Risk Assumptions'!G$23</f>
        <v>160000</v>
      </c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</row>
    <row r="79" spans="1:34" hidden="1" outlineLevel="1" x14ac:dyDescent="0.35">
      <c r="A79" s="63"/>
      <c r="B79" s="63" t="s">
        <v>92</v>
      </c>
      <c r="C79" s="96" t="str">
        <f>'Risk Assumptions'!F13</f>
        <v>%</v>
      </c>
      <c r="D79" s="84">
        <f>'Risk Assumptions'!G13</f>
        <v>0.01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</row>
    <row r="80" spans="1:34" hidden="1" outlineLevel="1" x14ac:dyDescent="0.35">
      <c r="A80" s="63"/>
      <c r="B80" s="63" t="s">
        <v>91</v>
      </c>
      <c r="C80" s="96" t="str">
        <f>'Risk Assumptions'!F14</f>
        <v>%</v>
      </c>
      <c r="D80" s="84">
        <f>'Risk Assumptions'!G14</f>
        <v>5.0000000000000001E-3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</row>
    <row r="81" spans="1:34" hidden="1" outlineLevel="1" x14ac:dyDescent="0.35">
      <c r="A81" s="63"/>
      <c r="B81" s="63"/>
      <c r="C81" s="10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</row>
    <row r="82" spans="1:34" hidden="1" outlineLevel="1" x14ac:dyDescent="0.35">
      <c r="A82" s="63"/>
      <c r="B82" s="85"/>
      <c r="C82" s="104"/>
      <c r="D82" s="85"/>
      <c r="E82" s="85"/>
      <c r="F82" s="85"/>
      <c r="G82" s="85"/>
      <c r="H82" s="98" t="s">
        <v>19</v>
      </c>
      <c r="I82" s="69" t="s">
        <v>21</v>
      </c>
      <c r="J82" s="69" t="s">
        <v>22</v>
      </c>
      <c r="K82" s="69" t="s">
        <v>23</v>
      </c>
      <c r="L82" s="69" t="s">
        <v>24</v>
      </c>
      <c r="M82" s="69" t="s">
        <v>25</v>
      </c>
      <c r="N82" s="69" t="s">
        <v>51</v>
      </c>
      <c r="O82" s="69" t="s">
        <v>52</v>
      </c>
      <c r="P82" s="69" t="s">
        <v>53</v>
      </c>
      <c r="Q82" s="69" t="s">
        <v>54</v>
      </c>
      <c r="R82" s="69" t="s">
        <v>55</v>
      </c>
      <c r="S82" s="69" t="s">
        <v>56</v>
      </c>
      <c r="T82" s="69" t="s">
        <v>57</v>
      </c>
      <c r="U82" s="69" t="s">
        <v>58</v>
      </c>
      <c r="V82" s="69" t="s">
        <v>59</v>
      </c>
      <c r="W82" s="69" t="s">
        <v>60</v>
      </c>
      <c r="X82" s="69" t="s">
        <v>61</v>
      </c>
      <c r="Y82" s="69" t="s">
        <v>62</v>
      </c>
      <c r="Z82" s="69" t="s">
        <v>63</v>
      </c>
      <c r="AA82" s="69" t="s">
        <v>64</v>
      </c>
      <c r="AB82" s="69" t="s">
        <v>65</v>
      </c>
      <c r="AC82" s="69" t="s">
        <v>66</v>
      </c>
      <c r="AD82" s="69" t="s">
        <v>67</v>
      </c>
      <c r="AE82" s="69" t="s">
        <v>68</v>
      </c>
      <c r="AF82" s="69" t="s">
        <v>69</v>
      </c>
      <c r="AG82" s="69" t="s">
        <v>70</v>
      </c>
      <c r="AH82" s="63"/>
    </row>
    <row r="83" spans="1:34" hidden="1" outlineLevel="1" x14ac:dyDescent="0.35">
      <c r="A83" s="63"/>
      <c r="B83" s="63" t="str">
        <f>B76</f>
        <v>Reduced productivity due to reduced staff retention/increased turnover</v>
      </c>
      <c r="C83" s="103"/>
      <c r="D83" s="63"/>
      <c r="E83" s="63"/>
      <c r="F83" s="63"/>
      <c r="G83" s="63"/>
      <c r="H83" s="99">
        <f>D77*D78*D79*(1+D80)^2</f>
        <v>1528773.8399999996</v>
      </c>
      <c r="I83" s="97">
        <f>H83*(1+$D80)</f>
        <v>1536417.7091999995</v>
      </c>
      <c r="J83" s="97">
        <f t="shared" ref="J83:AG83" si="13">I83*(1+$D80)</f>
        <v>1544099.7977459992</v>
      </c>
      <c r="K83" s="97">
        <f t="shared" si="13"/>
        <v>1551820.2967347291</v>
      </c>
      <c r="L83" s="97">
        <f t="shared" si="13"/>
        <v>1559579.3982184026</v>
      </c>
      <c r="M83" s="97">
        <f t="shared" si="13"/>
        <v>1567377.2952094944</v>
      </c>
      <c r="N83" s="97">
        <f t="shared" si="13"/>
        <v>1575214.1816855418</v>
      </c>
      <c r="O83" s="97">
        <f t="shared" si="13"/>
        <v>1583090.2525939692</v>
      </c>
      <c r="P83" s="97">
        <f t="shared" si="13"/>
        <v>1591005.703856939</v>
      </c>
      <c r="Q83" s="97">
        <f t="shared" si="13"/>
        <v>1598960.7323762234</v>
      </c>
      <c r="R83" s="97">
        <f t="shared" si="13"/>
        <v>1606955.5360381044</v>
      </c>
      <c r="S83" s="97">
        <f t="shared" si="13"/>
        <v>1614990.3137182947</v>
      </c>
      <c r="T83" s="97">
        <f t="shared" si="13"/>
        <v>1623065.2652868861</v>
      </c>
      <c r="U83" s="97">
        <f t="shared" si="13"/>
        <v>1631180.5916133204</v>
      </c>
      <c r="V83" s="97">
        <f t="shared" si="13"/>
        <v>1639336.4945713868</v>
      </c>
      <c r="W83" s="97">
        <f t="shared" si="13"/>
        <v>1647533.1770442436</v>
      </c>
      <c r="X83" s="97">
        <f t="shared" si="13"/>
        <v>1655770.8429294645</v>
      </c>
      <c r="Y83" s="97">
        <f t="shared" si="13"/>
        <v>1664049.6971441116</v>
      </c>
      <c r="Z83" s="97">
        <f t="shared" si="13"/>
        <v>1672369.9456298321</v>
      </c>
      <c r="AA83" s="97">
        <f t="shared" si="13"/>
        <v>1680731.795357981</v>
      </c>
      <c r="AB83" s="97">
        <f t="shared" si="13"/>
        <v>1689135.4543347708</v>
      </c>
      <c r="AC83" s="97">
        <f t="shared" si="13"/>
        <v>1697581.1316064445</v>
      </c>
      <c r="AD83" s="97">
        <f t="shared" si="13"/>
        <v>1706069.0372644765</v>
      </c>
      <c r="AE83" s="97">
        <f t="shared" si="13"/>
        <v>1714599.3824507988</v>
      </c>
      <c r="AF83" s="97">
        <f t="shared" si="13"/>
        <v>1723172.3793630525</v>
      </c>
      <c r="AG83" s="97">
        <f t="shared" si="13"/>
        <v>1731788.2412598676</v>
      </c>
      <c r="AH83" s="63"/>
    </row>
    <row r="84" spans="1:34" hidden="1" outlineLevel="1" x14ac:dyDescent="0.35"/>
    <row r="85" spans="1:34" hidden="1" outlineLevel="1" x14ac:dyDescent="0.35"/>
    <row r="86" spans="1:34" collapsed="1" x14ac:dyDescent="0.35">
      <c r="A86" s="63"/>
      <c r="B86" s="85"/>
      <c r="C86" s="85"/>
      <c r="D86" s="85"/>
      <c r="E86" s="85"/>
      <c r="F86" s="85"/>
      <c r="G86" s="85"/>
      <c r="H86" s="69"/>
      <c r="I86" s="69" t="s">
        <v>21</v>
      </c>
      <c r="J86" s="69" t="s">
        <v>22</v>
      </c>
      <c r="K86" s="69" t="s">
        <v>23</v>
      </c>
      <c r="L86" s="69" t="s">
        <v>24</v>
      </c>
      <c r="M86" s="69" t="s">
        <v>25</v>
      </c>
      <c r="N86" s="69" t="s">
        <v>51</v>
      </c>
      <c r="O86" s="69" t="s">
        <v>52</v>
      </c>
      <c r="P86" s="69" t="s">
        <v>53</v>
      </c>
      <c r="Q86" s="69" t="s">
        <v>54</v>
      </c>
      <c r="R86" s="69" t="s">
        <v>55</v>
      </c>
      <c r="S86" s="69" t="s">
        <v>56</v>
      </c>
      <c r="T86" s="69" t="s">
        <v>57</v>
      </c>
      <c r="U86" s="69" t="s">
        <v>58</v>
      </c>
      <c r="V86" s="69" t="s">
        <v>59</v>
      </c>
      <c r="W86" s="69" t="s">
        <v>60</v>
      </c>
      <c r="X86" s="69" t="s">
        <v>61</v>
      </c>
      <c r="Y86" s="69" t="s">
        <v>62</v>
      </c>
      <c r="Z86" s="69" t="s">
        <v>63</v>
      </c>
      <c r="AA86" s="69" t="s">
        <v>64</v>
      </c>
      <c r="AB86" s="69" t="s">
        <v>65</v>
      </c>
      <c r="AC86" s="69" t="s">
        <v>66</v>
      </c>
      <c r="AD86" s="69" t="s">
        <v>67</v>
      </c>
      <c r="AE86" s="69" t="s">
        <v>68</v>
      </c>
      <c r="AF86" s="69" t="s">
        <v>69</v>
      </c>
      <c r="AG86" s="69" t="s">
        <v>70</v>
      </c>
      <c r="AH86" s="63"/>
    </row>
    <row r="87" spans="1:34" x14ac:dyDescent="0.35">
      <c r="A87" s="63"/>
      <c r="B87" s="71" t="str">
        <f>"Total risk due to "&amp;B65</f>
        <v>Total risk due to Reduced employee wellbeing and satisfaction</v>
      </c>
      <c r="C87" s="63"/>
      <c r="D87" s="63"/>
      <c r="E87" s="63"/>
      <c r="F87" s="63"/>
      <c r="G87" s="63"/>
      <c r="H87" s="97"/>
      <c r="I87" s="97">
        <f>I74+I83</f>
        <v>3095881.3027999997</v>
      </c>
      <c r="J87" s="97">
        <f t="shared" ref="J87:AG87" si="14">J74+J83</f>
        <v>3119158.0272819991</v>
      </c>
      <c r="K87" s="97">
        <f t="shared" si="14"/>
        <v>3142629.1085660891</v>
      </c>
      <c r="L87" s="97">
        <f t="shared" si="14"/>
        <v>3166296.2981680762</v>
      </c>
      <c r="M87" s="97">
        <f t="shared" si="14"/>
        <v>3190161.3641586648</v>
      </c>
      <c r="N87" s="97">
        <f t="shared" si="14"/>
        <v>3214226.0913242036</v>
      </c>
      <c r="O87" s="97">
        <f t="shared" si="14"/>
        <v>3238492.2813290181</v>
      </c>
      <c r="P87" s="97">
        <f t="shared" si="14"/>
        <v>3262961.7528793383</v>
      </c>
      <c r="Q87" s="97">
        <f t="shared" si="14"/>
        <v>3287636.3418888468</v>
      </c>
      <c r="R87" s="97">
        <f t="shared" si="14"/>
        <v>3312517.9016458541</v>
      </c>
      <c r="S87" s="97">
        <f t="shared" si="14"/>
        <v>3337608.3029821217</v>
      </c>
      <c r="T87" s="97">
        <f t="shared" si="14"/>
        <v>3362909.4344433518</v>
      </c>
      <c r="U87" s="97">
        <f t="shared" si="14"/>
        <v>3388423.2024613507</v>
      </c>
      <c r="V87" s="97">
        <f t="shared" si="14"/>
        <v>3414151.5315278973</v>
      </c>
      <c r="W87" s="97">
        <f t="shared" si="14"/>
        <v>3440096.3643703191</v>
      </c>
      <c r="X87" s="97">
        <f t="shared" si="14"/>
        <v>3466259.662128801</v>
      </c>
      <c r="Y87" s="97">
        <f t="shared" si="14"/>
        <v>3492643.4045354417</v>
      </c>
      <c r="Z87" s="97">
        <f t="shared" si="14"/>
        <v>3519249.5900950753</v>
      </c>
      <c r="AA87" s="97">
        <f t="shared" si="14"/>
        <v>3546080.2362678768</v>
      </c>
      <c r="AB87" s="97">
        <f t="shared" si="14"/>
        <v>3573137.3796537654</v>
      </c>
      <c r="AC87" s="97">
        <f t="shared" si="14"/>
        <v>3600423.076178629</v>
      </c>
      <c r="AD87" s="97">
        <f t="shared" si="14"/>
        <v>3627939.4012823831</v>
      </c>
      <c r="AE87" s="97">
        <f t="shared" si="14"/>
        <v>3655688.4501088839</v>
      </c>
      <c r="AF87" s="97">
        <f t="shared" si="14"/>
        <v>3683672.3376977188</v>
      </c>
      <c r="AG87" s="97">
        <f t="shared" si="14"/>
        <v>3711893.1991778808</v>
      </c>
      <c r="AH87" s="63"/>
    </row>
    <row r="90" spans="1:34" x14ac:dyDescent="0.35">
      <c r="A90" s="80"/>
      <c r="B90" s="78" t="s">
        <v>73</v>
      </c>
      <c r="C90" s="78"/>
      <c r="D90" s="78"/>
      <c r="E90" s="78"/>
      <c r="F90" s="78"/>
      <c r="G90" s="78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80"/>
    </row>
    <row r="91" spans="1:34" x14ac:dyDescent="0.35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</row>
    <row r="92" spans="1:34" hidden="1" outlineLevel="1" x14ac:dyDescent="0.35">
      <c r="A92" s="63"/>
      <c r="B92" s="82" t="s">
        <v>102</v>
      </c>
      <c r="C92" s="82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63"/>
    </row>
    <row r="93" spans="1:34" hidden="1" outlineLevel="1" x14ac:dyDescent="0.35">
      <c r="A93" s="63"/>
      <c r="B93" s="63" t="s">
        <v>93</v>
      </c>
      <c r="C93" s="95" t="str">
        <f>'Risk Assumptions'!F22</f>
        <v>#</v>
      </c>
      <c r="D93" s="83">
        <f>'Risk Assumptions'!G22</f>
        <v>946</v>
      </c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</row>
    <row r="94" spans="1:34" hidden="1" outlineLevel="1" x14ac:dyDescent="0.35">
      <c r="A94" s="63"/>
      <c r="B94" s="63" t="s">
        <v>89</v>
      </c>
      <c r="C94" s="95" t="str">
        <f>'Risk Assumptions'!F23</f>
        <v>$ June 2024</v>
      </c>
      <c r="D94" s="83">
        <f>'Risk Assumptions'!G23</f>
        <v>160000</v>
      </c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</row>
    <row r="95" spans="1:34" hidden="1" outlineLevel="1" x14ac:dyDescent="0.35">
      <c r="A95" s="63"/>
      <c r="B95" s="63" t="s">
        <v>101</v>
      </c>
      <c r="C95" s="96" t="str">
        <f>'Risk Assumptions'!C15</f>
        <v>%</v>
      </c>
      <c r="D95" s="84">
        <f>'Risk Assumptions'!G15</f>
        <v>0.03</v>
      </c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</row>
    <row r="96" spans="1:34" hidden="1" outlineLevel="1" x14ac:dyDescent="0.35">
      <c r="A96" s="63"/>
      <c r="B96" s="63"/>
      <c r="C96" s="10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</row>
    <row r="97" spans="1:34" hidden="1" outlineLevel="1" x14ac:dyDescent="0.35">
      <c r="A97" s="63"/>
      <c r="B97" s="85"/>
      <c r="C97" s="104"/>
      <c r="D97" s="85"/>
      <c r="E97" s="85"/>
      <c r="F97" s="85"/>
      <c r="G97" s="85"/>
      <c r="H97" s="98" t="s">
        <v>19</v>
      </c>
      <c r="I97" s="69" t="s">
        <v>21</v>
      </c>
      <c r="J97" s="69" t="s">
        <v>22</v>
      </c>
      <c r="K97" s="69" t="s">
        <v>23</v>
      </c>
      <c r="L97" s="69" t="s">
        <v>24</v>
      </c>
      <c r="M97" s="69" t="s">
        <v>25</v>
      </c>
      <c r="N97" s="69" t="s">
        <v>51</v>
      </c>
      <c r="O97" s="69" t="s">
        <v>52</v>
      </c>
      <c r="P97" s="69" t="s">
        <v>53</v>
      </c>
      <c r="Q97" s="69" t="s">
        <v>54</v>
      </c>
      <c r="R97" s="69" t="s">
        <v>55</v>
      </c>
      <c r="S97" s="69" t="s">
        <v>56</v>
      </c>
      <c r="T97" s="69" t="s">
        <v>57</v>
      </c>
      <c r="U97" s="69" t="s">
        <v>58</v>
      </c>
      <c r="V97" s="69" t="s">
        <v>59</v>
      </c>
      <c r="W97" s="69" t="s">
        <v>60</v>
      </c>
      <c r="X97" s="69" t="s">
        <v>61</v>
      </c>
      <c r="Y97" s="69" t="s">
        <v>62</v>
      </c>
      <c r="Z97" s="69" t="s">
        <v>63</v>
      </c>
      <c r="AA97" s="69" t="s">
        <v>64</v>
      </c>
      <c r="AB97" s="69" t="s">
        <v>65</v>
      </c>
      <c r="AC97" s="69" t="s">
        <v>66</v>
      </c>
      <c r="AD97" s="69" t="s">
        <v>67</v>
      </c>
      <c r="AE97" s="69" t="s">
        <v>68</v>
      </c>
      <c r="AF97" s="69" t="s">
        <v>69</v>
      </c>
      <c r="AG97" s="69" t="s">
        <v>70</v>
      </c>
      <c r="AH97" s="63"/>
    </row>
    <row r="98" spans="1:34" hidden="1" outlineLevel="1" x14ac:dyDescent="0.35">
      <c r="A98" s="63"/>
      <c r="B98" s="63" t="str">
        <f>B92</f>
        <v>Reduced office productivity during disruption</v>
      </c>
      <c r="C98" s="103"/>
      <c r="D98" s="63"/>
      <c r="E98" s="63"/>
      <c r="F98" s="63"/>
      <c r="G98" s="63"/>
      <c r="H98" s="99"/>
      <c r="I98" s="97">
        <v>0</v>
      </c>
      <c r="J98" s="97">
        <v>0</v>
      </c>
      <c r="K98" s="97">
        <f t="shared" ref="J98:L98" si="15">$D93*$D94*$D95</f>
        <v>4540800</v>
      </c>
      <c r="L98" s="97">
        <f t="shared" si="15"/>
        <v>4540800</v>
      </c>
      <c r="M98" s="97">
        <v>0</v>
      </c>
      <c r="N98" s="97">
        <v>0</v>
      </c>
      <c r="O98" s="97">
        <v>0</v>
      </c>
      <c r="P98" s="97">
        <v>0</v>
      </c>
      <c r="Q98" s="97">
        <v>0</v>
      </c>
      <c r="R98" s="97">
        <v>0</v>
      </c>
      <c r="S98" s="97">
        <v>0</v>
      </c>
      <c r="T98" s="97">
        <v>0</v>
      </c>
      <c r="U98" s="97">
        <v>0</v>
      </c>
      <c r="V98" s="97">
        <v>0</v>
      </c>
      <c r="W98" s="97">
        <v>0</v>
      </c>
      <c r="X98" s="97">
        <v>0</v>
      </c>
      <c r="Y98" s="97">
        <v>0</v>
      </c>
      <c r="Z98" s="97">
        <v>0</v>
      </c>
      <c r="AA98" s="97">
        <v>0</v>
      </c>
      <c r="AB98" s="97">
        <v>0</v>
      </c>
      <c r="AC98" s="97">
        <v>0</v>
      </c>
      <c r="AD98" s="97">
        <v>0</v>
      </c>
      <c r="AE98" s="97">
        <v>0</v>
      </c>
      <c r="AF98" s="97">
        <v>0</v>
      </c>
      <c r="AG98" s="97">
        <v>0</v>
      </c>
      <c r="AH98" s="63"/>
    </row>
    <row r="99" spans="1:34" hidden="1" outlineLevel="1" x14ac:dyDescent="0.35"/>
    <row r="100" spans="1:34" hidden="1" outlineLevel="1" x14ac:dyDescent="0.35"/>
    <row r="101" spans="1:34" collapsed="1" x14ac:dyDescent="0.35">
      <c r="A101" s="63"/>
      <c r="B101" s="85"/>
      <c r="C101" s="85"/>
      <c r="D101" s="85"/>
      <c r="E101" s="85"/>
      <c r="F101" s="85"/>
      <c r="G101" s="85"/>
      <c r="H101" s="69"/>
      <c r="I101" s="69" t="s">
        <v>21</v>
      </c>
      <c r="J101" s="69" t="s">
        <v>22</v>
      </c>
      <c r="K101" s="69" t="s">
        <v>23</v>
      </c>
      <c r="L101" s="69" t="s">
        <v>24</v>
      </c>
      <c r="M101" s="69" t="s">
        <v>25</v>
      </c>
      <c r="N101" s="69" t="s">
        <v>51</v>
      </c>
      <c r="O101" s="69" t="s">
        <v>52</v>
      </c>
      <c r="P101" s="69" t="s">
        <v>53</v>
      </c>
      <c r="Q101" s="69" t="s">
        <v>54</v>
      </c>
      <c r="R101" s="69" t="s">
        <v>55</v>
      </c>
      <c r="S101" s="69" t="s">
        <v>56</v>
      </c>
      <c r="T101" s="69" t="s">
        <v>57</v>
      </c>
      <c r="U101" s="69" t="s">
        <v>58</v>
      </c>
      <c r="V101" s="69" t="s">
        <v>59</v>
      </c>
      <c r="W101" s="69" t="s">
        <v>60</v>
      </c>
      <c r="X101" s="69" t="s">
        <v>61</v>
      </c>
      <c r="Y101" s="69" t="s">
        <v>62</v>
      </c>
      <c r="Z101" s="69" t="s">
        <v>63</v>
      </c>
      <c r="AA101" s="69" t="s">
        <v>64</v>
      </c>
      <c r="AB101" s="69" t="s">
        <v>65</v>
      </c>
      <c r="AC101" s="69" t="s">
        <v>66</v>
      </c>
      <c r="AD101" s="69" t="s">
        <v>67</v>
      </c>
      <c r="AE101" s="69" t="s">
        <v>68</v>
      </c>
      <c r="AF101" s="69" t="s">
        <v>69</v>
      </c>
      <c r="AG101" s="69" t="s">
        <v>70</v>
      </c>
      <c r="AH101" s="63"/>
    </row>
    <row r="102" spans="1:34" x14ac:dyDescent="0.35">
      <c r="A102" s="63"/>
      <c r="B102" s="71" t="str">
        <f>"Total risk due to "&amp;B90</f>
        <v>Total risk due to Loss of efficiency during redevelopment</v>
      </c>
      <c r="C102" s="63"/>
      <c r="D102" s="63"/>
      <c r="E102" s="63"/>
      <c r="F102" s="63"/>
      <c r="G102" s="63"/>
      <c r="H102" s="97"/>
      <c r="I102" s="97">
        <f>I98</f>
        <v>0</v>
      </c>
      <c r="J102" s="97">
        <f t="shared" ref="J102:AG102" si="16">J98</f>
        <v>0</v>
      </c>
      <c r="K102" s="97">
        <f t="shared" si="16"/>
        <v>4540800</v>
      </c>
      <c r="L102" s="97">
        <f t="shared" si="16"/>
        <v>4540800</v>
      </c>
      <c r="M102" s="97">
        <f t="shared" si="16"/>
        <v>0</v>
      </c>
      <c r="N102" s="97">
        <f t="shared" si="16"/>
        <v>0</v>
      </c>
      <c r="O102" s="97">
        <f t="shared" si="16"/>
        <v>0</v>
      </c>
      <c r="P102" s="97">
        <f t="shared" si="16"/>
        <v>0</v>
      </c>
      <c r="Q102" s="97">
        <f t="shared" si="16"/>
        <v>0</v>
      </c>
      <c r="R102" s="97">
        <f t="shared" si="16"/>
        <v>0</v>
      </c>
      <c r="S102" s="97">
        <f t="shared" si="16"/>
        <v>0</v>
      </c>
      <c r="T102" s="97">
        <f t="shared" si="16"/>
        <v>0</v>
      </c>
      <c r="U102" s="97">
        <f t="shared" si="16"/>
        <v>0</v>
      </c>
      <c r="V102" s="97">
        <f t="shared" si="16"/>
        <v>0</v>
      </c>
      <c r="W102" s="97">
        <f t="shared" si="16"/>
        <v>0</v>
      </c>
      <c r="X102" s="97">
        <f t="shared" si="16"/>
        <v>0</v>
      </c>
      <c r="Y102" s="97">
        <f t="shared" si="16"/>
        <v>0</v>
      </c>
      <c r="Z102" s="97">
        <f t="shared" si="16"/>
        <v>0</v>
      </c>
      <c r="AA102" s="97">
        <f t="shared" si="16"/>
        <v>0</v>
      </c>
      <c r="AB102" s="97">
        <f t="shared" si="16"/>
        <v>0</v>
      </c>
      <c r="AC102" s="97">
        <f t="shared" si="16"/>
        <v>0</v>
      </c>
      <c r="AD102" s="97">
        <f t="shared" si="16"/>
        <v>0</v>
      </c>
      <c r="AE102" s="97">
        <f t="shared" si="16"/>
        <v>0</v>
      </c>
      <c r="AF102" s="97">
        <f t="shared" si="16"/>
        <v>0</v>
      </c>
      <c r="AG102" s="97">
        <f t="shared" si="16"/>
        <v>0</v>
      </c>
      <c r="AH102" s="63"/>
    </row>
    <row r="105" spans="1:34" x14ac:dyDescent="0.35">
      <c r="A105" s="80"/>
      <c r="B105" s="78" t="s">
        <v>161</v>
      </c>
      <c r="C105" s="78"/>
      <c r="D105" s="78"/>
      <c r="E105" s="78"/>
      <c r="F105" s="78"/>
      <c r="G105" s="78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80"/>
    </row>
    <row r="106" spans="1:34" x14ac:dyDescent="0.35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</row>
    <row r="107" spans="1:34" hidden="1" outlineLevel="1" x14ac:dyDescent="0.35">
      <c r="A107" s="63"/>
      <c r="B107" s="82" t="s">
        <v>102</v>
      </c>
      <c r="C107" s="82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63"/>
    </row>
    <row r="108" spans="1:34" hidden="1" outlineLevel="1" x14ac:dyDescent="0.35">
      <c r="A108" s="63"/>
      <c r="B108" s="63" t="s">
        <v>93</v>
      </c>
      <c r="C108" s="95" t="str">
        <f>'Risk Assumptions'!F22</f>
        <v>#</v>
      </c>
      <c r="D108" s="83">
        <f>'Risk Assumptions'!G22</f>
        <v>946</v>
      </c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</row>
    <row r="109" spans="1:34" hidden="1" outlineLevel="1" x14ac:dyDescent="0.35">
      <c r="A109" s="63"/>
      <c r="B109" s="63" t="s">
        <v>89</v>
      </c>
      <c r="C109" s="95" t="str">
        <f>'Risk Assumptions'!F23</f>
        <v>$ June 2024</v>
      </c>
      <c r="D109" s="83">
        <f>'Risk Assumptions'!G23</f>
        <v>160000</v>
      </c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</row>
    <row r="110" spans="1:34" hidden="1" outlineLevel="1" x14ac:dyDescent="0.35">
      <c r="A110" s="63"/>
      <c r="B110" s="63" t="s">
        <v>101</v>
      </c>
      <c r="C110" s="96" t="str">
        <f>'Risk Assumptions'!F16</f>
        <v>%</v>
      </c>
      <c r="D110" s="84">
        <f>'Risk Assumptions'!G16</f>
        <v>0.02</v>
      </c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</row>
    <row r="111" spans="1:34" hidden="1" outlineLevel="1" x14ac:dyDescent="0.35">
      <c r="A111" s="63"/>
      <c r="B111" s="63"/>
      <c r="C111" s="10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</row>
    <row r="112" spans="1:34" hidden="1" outlineLevel="1" x14ac:dyDescent="0.35">
      <c r="A112" s="63"/>
      <c r="B112" s="85"/>
      <c r="C112" s="104"/>
      <c r="D112" s="85"/>
      <c r="E112" s="85"/>
      <c r="F112" s="85"/>
      <c r="G112" s="85"/>
      <c r="H112" s="98" t="s">
        <v>19</v>
      </c>
      <c r="I112" s="69" t="s">
        <v>21</v>
      </c>
      <c r="J112" s="69" t="s">
        <v>22</v>
      </c>
      <c r="K112" s="69" t="s">
        <v>23</v>
      </c>
      <c r="L112" s="69" t="s">
        <v>24</v>
      </c>
      <c r="M112" s="69" t="s">
        <v>25</v>
      </c>
      <c r="N112" s="69" t="s">
        <v>51</v>
      </c>
      <c r="O112" s="69" t="s">
        <v>52</v>
      </c>
      <c r="P112" s="69" t="s">
        <v>53</v>
      </c>
      <c r="Q112" s="69" t="s">
        <v>54</v>
      </c>
      <c r="R112" s="69" t="s">
        <v>55</v>
      </c>
      <c r="S112" s="69" t="s">
        <v>56</v>
      </c>
      <c r="T112" s="69" t="s">
        <v>57</v>
      </c>
      <c r="U112" s="69" t="s">
        <v>58</v>
      </c>
      <c r="V112" s="69" t="s">
        <v>59</v>
      </c>
      <c r="W112" s="69" t="s">
        <v>60</v>
      </c>
      <c r="X112" s="69" t="s">
        <v>61</v>
      </c>
      <c r="Y112" s="69" t="s">
        <v>62</v>
      </c>
      <c r="Z112" s="69" t="s">
        <v>63</v>
      </c>
      <c r="AA112" s="69" t="s">
        <v>64</v>
      </c>
      <c r="AB112" s="69" t="s">
        <v>65</v>
      </c>
      <c r="AC112" s="69" t="s">
        <v>66</v>
      </c>
      <c r="AD112" s="69" t="s">
        <v>67</v>
      </c>
      <c r="AE112" s="69" t="s">
        <v>68</v>
      </c>
      <c r="AF112" s="69" t="s">
        <v>69</v>
      </c>
      <c r="AG112" s="69" t="s">
        <v>70</v>
      </c>
      <c r="AH112" s="63"/>
    </row>
    <row r="113" spans="1:34" hidden="1" outlineLevel="1" x14ac:dyDescent="0.35">
      <c r="A113" s="63"/>
      <c r="B113" s="63" t="str">
        <f>B107</f>
        <v>Reduced office productivity during disruption</v>
      </c>
      <c r="C113" s="103"/>
      <c r="D113" s="63"/>
      <c r="E113" s="63"/>
      <c r="F113" s="63"/>
      <c r="G113" s="63"/>
      <c r="H113" s="99"/>
      <c r="I113" s="97">
        <v>0</v>
      </c>
      <c r="J113" s="97">
        <v>0</v>
      </c>
      <c r="K113" s="97">
        <v>0</v>
      </c>
      <c r="L113" s="97">
        <v>0</v>
      </c>
      <c r="M113" s="97">
        <f t="shared" ref="M113:AG113" si="17">$D108*$D109*$D110</f>
        <v>3027200</v>
      </c>
      <c r="N113" s="97">
        <f t="shared" si="17"/>
        <v>3027200</v>
      </c>
      <c r="O113" s="97">
        <f t="shared" si="17"/>
        <v>3027200</v>
      </c>
      <c r="P113" s="97">
        <f t="shared" si="17"/>
        <v>3027200</v>
      </c>
      <c r="Q113" s="97">
        <f t="shared" si="17"/>
        <v>3027200</v>
      </c>
      <c r="R113" s="97">
        <f t="shared" si="17"/>
        <v>3027200</v>
      </c>
      <c r="S113" s="97">
        <f t="shared" si="17"/>
        <v>3027200</v>
      </c>
      <c r="T113" s="97">
        <f t="shared" si="17"/>
        <v>3027200</v>
      </c>
      <c r="U113" s="97">
        <f t="shared" si="17"/>
        <v>3027200</v>
      </c>
      <c r="V113" s="97">
        <f t="shared" si="17"/>
        <v>3027200</v>
      </c>
      <c r="W113" s="97">
        <f t="shared" si="17"/>
        <v>3027200</v>
      </c>
      <c r="X113" s="97">
        <f t="shared" si="17"/>
        <v>3027200</v>
      </c>
      <c r="Y113" s="97">
        <f t="shared" si="17"/>
        <v>3027200</v>
      </c>
      <c r="Z113" s="97">
        <f t="shared" si="17"/>
        <v>3027200</v>
      </c>
      <c r="AA113" s="97">
        <f t="shared" si="17"/>
        <v>3027200</v>
      </c>
      <c r="AB113" s="97">
        <f t="shared" si="17"/>
        <v>3027200</v>
      </c>
      <c r="AC113" s="97">
        <f t="shared" si="17"/>
        <v>3027200</v>
      </c>
      <c r="AD113" s="97">
        <f t="shared" si="17"/>
        <v>3027200</v>
      </c>
      <c r="AE113" s="97">
        <f t="shared" si="17"/>
        <v>3027200</v>
      </c>
      <c r="AF113" s="97">
        <f t="shared" si="17"/>
        <v>3027200</v>
      </c>
      <c r="AG113" s="97">
        <f t="shared" si="17"/>
        <v>3027200</v>
      </c>
      <c r="AH113" s="63"/>
    </row>
    <row r="114" spans="1:34" hidden="1" outlineLevel="1" x14ac:dyDescent="0.35"/>
    <row r="115" spans="1:34" hidden="1" outlineLevel="1" x14ac:dyDescent="0.35"/>
    <row r="116" spans="1:34" collapsed="1" x14ac:dyDescent="0.35">
      <c r="A116" s="63"/>
      <c r="B116" s="85"/>
      <c r="C116" s="85"/>
      <c r="D116" s="85"/>
      <c r="E116" s="85"/>
      <c r="F116" s="85"/>
      <c r="G116" s="85"/>
      <c r="H116" s="69"/>
      <c r="I116" s="69" t="s">
        <v>21</v>
      </c>
      <c r="J116" s="69" t="s">
        <v>22</v>
      </c>
      <c r="K116" s="69" t="s">
        <v>23</v>
      </c>
      <c r="L116" s="69" t="s">
        <v>24</v>
      </c>
      <c r="M116" s="69" t="s">
        <v>25</v>
      </c>
      <c r="N116" s="69" t="s">
        <v>51</v>
      </c>
      <c r="O116" s="69" t="s">
        <v>52</v>
      </c>
      <c r="P116" s="69" t="s">
        <v>53</v>
      </c>
      <c r="Q116" s="69" t="s">
        <v>54</v>
      </c>
      <c r="R116" s="69" t="s">
        <v>55</v>
      </c>
      <c r="S116" s="69" t="s">
        <v>56</v>
      </c>
      <c r="T116" s="69" t="s">
        <v>57</v>
      </c>
      <c r="U116" s="69" t="s">
        <v>58</v>
      </c>
      <c r="V116" s="69" t="s">
        <v>59</v>
      </c>
      <c r="W116" s="69" t="s">
        <v>60</v>
      </c>
      <c r="X116" s="69" t="s">
        <v>61</v>
      </c>
      <c r="Y116" s="69" t="s">
        <v>62</v>
      </c>
      <c r="Z116" s="69" t="s">
        <v>63</v>
      </c>
      <c r="AA116" s="69" t="s">
        <v>64</v>
      </c>
      <c r="AB116" s="69" t="s">
        <v>65</v>
      </c>
      <c r="AC116" s="69" t="s">
        <v>66</v>
      </c>
      <c r="AD116" s="69" t="s">
        <v>67</v>
      </c>
      <c r="AE116" s="69" t="s">
        <v>68</v>
      </c>
      <c r="AF116" s="69" t="s">
        <v>69</v>
      </c>
      <c r="AG116" s="69" t="s">
        <v>70</v>
      </c>
      <c r="AH116" s="63"/>
    </row>
    <row r="117" spans="1:34" x14ac:dyDescent="0.35">
      <c r="A117" s="63"/>
      <c r="B117" s="71" t="str">
        <f>"Total risk due to "&amp;B105</f>
        <v>Total risk due to Suboptimal site location</v>
      </c>
      <c r="C117" s="63"/>
      <c r="D117" s="63"/>
      <c r="E117" s="63"/>
      <c r="F117" s="63"/>
      <c r="G117" s="63"/>
      <c r="H117" s="97"/>
      <c r="I117" s="97">
        <f>I113</f>
        <v>0</v>
      </c>
      <c r="J117" s="97">
        <f t="shared" ref="J117:AG117" si="18">J113</f>
        <v>0</v>
      </c>
      <c r="K117" s="97">
        <f t="shared" si="18"/>
        <v>0</v>
      </c>
      <c r="L117" s="97">
        <f t="shared" si="18"/>
        <v>0</v>
      </c>
      <c r="M117" s="97">
        <f t="shared" si="18"/>
        <v>3027200</v>
      </c>
      <c r="N117" s="97">
        <f t="shared" si="18"/>
        <v>3027200</v>
      </c>
      <c r="O117" s="97">
        <f t="shared" si="18"/>
        <v>3027200</v>
      </c>
      <c r="P117" s="97">
        <f t="shared" si="18"/>
        <v>3027200</v>
      </c>
      <c r="Q117" s="97">
        <f t="shared" si="18"/>
        <v>3027200</v>
      </c>
      <c r="R117" s="97">
        <f t="shared" si="18"/>
        <v>3027200</v>
      </c>
      <c r="S117" s="97">
        <f t="shared" si="18"/>
        <v>3027200</v>
      </c>
      <c r="T117" s="97">
        <f t="shared" si="18"/>
        <v>3027200</v>
      </c>
      <c r="U117" s="97">
        <f t="shared" si="18"/>
        <v>3027200</v>
      </c>
      <c r="V117" s="97">
        <f t="shared" si="18"/>
        <v>3027200</v>
      </c>
      <c r="W117" s="97">
        <f t="shared" si="18"/>
        <v>3027200</v>
      </c>
      <c r="X117" s="97">
        <f t="shared" si="18"/>
        <v>3027200</v>
      </c>
      <c r="Y117" s="97">
        <f t="shared" si="18"/>
        <v>3027200</v>
      </c>
      <c r="Z117" s="97">
        <f t="shared" si="18"/>
        <v>3027200</v>
      </c>
      <c r="AA117" s="97">
        <f t="shared" si="18"/>
        <v>3027200</v>
      </c>
      <c r="AB117" s="97">
        <f t="shared" si="18"/>
        <v>3027200</v>
      </c>
      <c r="AC117" s="97">
        <f t="shared" si="18"/>
        <v>3027200</v>
      </c>
      <c r="AD117" s="97">
        <f t="shared" si="18"/>
        <v>3027200</v>
      </c>
      <c r="AE117" s="97">
        <f t="shared" si="18"/>
        <v>3027200</v>
      </c>
      <c r="AF117" s="97">
        <f t="shared" si="18"/>
        <v>3027200</v>
      </c>
      <c r="AG117" s="97">
        <f t="shared" si="18"/>
        <v>3027200</v>
      </c>
      <c r="AH117" s="6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48F64-2AE1-4D5D-854F-47BF758A8B33}">
  <sheetPr codeName="Sheet6"/>
  <dimension ref="A1:M30"/>
  <sheetViews>
    <sheetView showGridLines="0" workbookViewId="0">
      <selection activeCell="G13" sqref="G13"/>
    </sheetView>
  </sheetViews>
  <sheetFormatPr defaultRowHeight="13" x14ac:dyDescent="0.3"/>
  <cols>
    <col min="1" max="1" width="8.7265625" style="63"/>
    <col min="2" max="2" width="71.26953125" style="63" bestFit="1" customWidth="1"/>
    <col min="3" max="3" width="9.26953125" style="63" bestFit="1" customWidth="1"/>
    <col min="4" max="4" width="10.453125" style="63" bestFit="1" customWidth="1"/>
    <col min="5" max="5" width="19.453125" style="63" bestFit="1" customWidth="1"/>
    <col min="6" max="6" width="17.1796875" style="63" customWidth="1"/>
    <col min="7" max="8" width="29" style="63" bestFit="1" customWidth="1"/>
    <col min="9" max="9" width="8.7265625" style="63"/>
    <col min="10" max="10" width="9" style="63" bestFit="1" customWidth="1"/>
    <col min="11" max="16384" width="8.7265625" style="63"/>
  </cols>
  <sheetData>
    <row r="1" spans="1:13" s="66" customFormat="1" x14ac:dyDescent="0.3">
      <c r="A1" s="65" t="str">
        <f>business</f>
        <v>Powercor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61" t="s">
        <v>1</v>
      </c>
    </row>
    <row r="2" spans="1:13" s="66" customFormat="1" x14ac:dyDescent="0.3">
      <c r="A2" s="67" t="str">
        <f>model_name</f>
        <v>Head office</v>
      </c>
      <c r="B2" s="68"/>
      <c r="C2" s="68"/>
      <c r="D2" s="68"/>
      <c r="E2" s="68"/>
      <c r="F2" s="68"/>
      <c r="G2" s="68"/>
      <c r="H2" s="68"/>
      <c r="I2" s="32"/>
      <c r="J2" s="32"/>
      <c r="K2" s="32"/>
      <c r="L2" s="32"/>
      <c r="M2" s="62" t="s">
        <v>4</v>
      </c>
    </row>
    <row r="3" spans="1:13" x14ac:dyDescent="0.3">
      <c r="A3" s="63" t="str">
        <f>"All dollar values are in "&amp;TEXT(input_dollars,"$ mmmm yyyy")&amp;" unless otherwise stated"</f>
        <v>All dollar values are in $ June 2024 unless otherwise stated</v>
      </c>
    </row>
    <row r="6" spans="1:13" ht="26" x14ac:dyDescent="0.3">
      <c r="B6" s="69" t="s">
        <v>74</v>
      </c>
      <c r="C6" s="69" t="s">
        <v>75</v>
      </c>
      <c r="D6" s="69" t="s">
        <v>76</v>
      </c>
      <c r="E6" s="70" t="s">
        <v>77</v>
      </c>
      <c r="F6" s="70" t="s">
        <v>80</v>
      </c>
      <c r="G6" s="69" t="s">
        <v>81</v>
      </c>
      <c r="H6" s="69"/>
    </row>
    <row r="7" spans="1:13" x14ac:dyDescent="0.3">
      <c r="B7" s="71" t="s">
        <v>90</v>
      </c>
      <c r="H7" s="142"/>
    </row>
    <row r="8" spans="1:13" x14ac:dyDescent="0.3">
      <c r="B8" s="72" t="s">
        <v>91</v>
      </c>
      <c r="C8" s="73" t="s">
        <v>79</v>
      </c>
      <c r="D8" s="76">
        <v>1.4999999999999999E-2</v>
      </c>
      <c r="E8" s="75" t="b">
        <f>AND(LEFT(C8,1)="$",RIGHT(C8,2)&lt;&gt;"24")</f>
        <v>0</v>
      </c>
      <c r="F8" s="75" t="str">
        <f t="shared" ref="F8:F11" si="0">IF(OR(E8,LEFT(C8,1)="$"),"$ June 2024",C8)</f>
        <v>%</v>
      </c>
      <c r="G8" s="76" cm="1">
        <f t="array" ref="G8">IF(E8,D8*INDEX('Reg Assumptions '!$E$23:$K$23,,MATCH(RIGHT(C8,2),RIGHT('Reg Assumptions '!$E$22:$K$22,2),0)),D8)</f>
        <v>1.4999999999999999E-2</v>
      </c>
      <c r="H8" s="142"/>
    </row>
    <row r="9" spans="1:13" x14ac:dyDescent="0.3">
      <c r="B9" s="72" t="s">
        <v>140</v>
      </c>
      <c r="C9" s="73" t="s">
        <v>79</v>
      </c>
      <c r="D9" s="76">
        <v>0.03</v>
      </c>
      <c r="E9" s="75" t="b">
        <f t="shared" ref="E9" si="1">AND(LEFT(C9,1)="$",RIGHT(C9,2)&lt;&gt;"24")</f>
        <v>0</v>
      </c>
      <c r="F9" s="75" t="str">
        <f t="shared" ref="F9" si="2">IF(OR(E9,LEFT(C9,1)="$"),"$ June 2024",C9)</f>
        <v>%</v>
      </c>
      <c r="G9" s="76" cm="1">
        <f t="array" ref="G9">IF(E9,D9*INDEX('Reg Assumptions '!$E$23:$K$23,,MATCH(RIGHT(C9,2),RIGHT('Reg Assumptions '!$E$22:$K$22,2),0)),D9)</f>
        <v>0.03</v>
      </c>
      <c r="H9" s="142"/>
    </row>
    <row r="10" spans="1:13" x14ac:dyDescent="0.3">
      <c r="B10" s="72" t="s">
        <v>126</v>
      </c>
      <c r="C10" s="73" t="s">
        <v>79</v>
      </c>
      <c r="D10" s="76">
        <v>0.02</v>
      </c>
      <c r="E10" s="75" t="b">
        <f t="shared" ref="E10:E11" si="3">AND(LEFT(C10,1)="$",RIGHT(C10,2)&lt;&gt;"24")</f>
        <v>0</v>
      </c>
      <c r="F10" s="75" t="str">
        <f t="shared" si="0"/>
        <v>%</v>
      </c>
      <c r="G10" s="76" cm="1">
        <f t="array" ref="G10">IF(E10,D10*INDEX('Reg Assumptions '!$E$23:$K$23,,MATCH(RIGHT(C10,2),RIGHT('Reg Assumptions '!$E$22:$K$22,2),0)),D10)</f>
        <v>0.02</v>
      </c>
      <c r="H10" s="142"/>
    </row>
    <row r="11" spans="1:13" x14ac:dyDescent="0.3">
      <c r="B11" s="72" t="s">
        <v>155</v>
      </c>
      <c r="C11" s="73" t="s">
        <v>79</v>
      </c>
      <c r="D11" s="76">
        <v>0.01</v>
      </c>
      <c r="E11" s="75" t="b">
        <f t="shared" si="3"/>
        <v>0</v>
      </c>
      <c r="F11" s="75" t="str">
        <f t="shared" si="0"/>
        <v>%</v>
      </c>
      <c r="G11" s="76" cm="1">
        <f t="array" ref="G11">IF(E11,D11*INDEX('Reg Assumptions '!$E$23:$K$23,,MATCH(RIGHT(C11,2),RIGHT('Reg Assumptions '!$E$22:$K$22,2),0)),D11)</f>
        <v>0.01</v>
      </c>
      <c r="H11" s="142"/>
    </row>
    <row r="12" spans="1:13" x14ac:dyDescent="0.3">
      <c r="B12" s="72" t="s">
        <v>158</v>
      </c>
      <c r="C12" s="73" t="s">
        <v>79</v>
      </c>
      <c r="D12" s="76">
        <v>0.01</v>
      </c>
      <c r="E12" s="75" t="b">
        <f>AND(LEFT(C12,1)="$",RIGHT(C12,2)&lt;&gt;"24")</f>
        <v>0</v>
      </c>
      <c r="F12" s="75" t="str">
        <f t="shared" ref="F12" si="4">IF(OR(E12,LEFT(C12,1)="$"),"$ June 2024",C12)</f>
        <v>%</v>
      </c>
      <c r="G12" s="76" cm="1">
        <f t="array" ref="G12">IF(E12,D12*INDEX('Reg Assumptions '!$E$23:$K$23,,MATCH(RIGHT(C12,2),RIGHT('Reg Assumptions '!$E$22:$K$22,2),0)),D12)</f>
        <v>0.01</v>
      </c>
      <c r="H12" s="142"/>
    </row>
    <row r="13" spans="1:13" x14ac:dyDescent="0.3">
      <c r="B13" s="72" t="s">
        <v>156</v>
      </c>
      <c r="C13" s="73" t="s">
        <v>79</v>
      </c>
      <c r="D13" s="76">
        <v>0.01</v>
      </c>
      <c r="E13" s="75" t="b">
        <f t="shared" ref="E13" si="5">AND(LEFT(C13,1)="$",RIGHT(C13,2)&lt;&gt;"24")</f>
        <v>0</v>
      </c>
      <c r="F13" s="75" t="str">
        <f t="shared" ref="F13:F14" si="6">IF(OR(E13,LEFT(C13,1)="$"),"$ June 2024",C13)</f>
        <v>%</v>
      </c>
      <c r="G13" s="76" cm="1">
        <f t="array" ref="G13">IF(E13,D13*INDEX('Reg Assumptions '!$E$23:$K$23,,MATCH(RIGHT(C13,2),RIGHT('Reg Assumptions '!$E$22:$K$22,2),0)),D13)</f>
        <v>0.01</v>
      </c>
      <c r="H13" s="142"/>
    </row>
    <row r="14" spans="1:13" x14ac:dyDescent="0.3">
      <c r="B14" s="72" t="s">
        <v>157</v>
      </c>
      <c r="C14" s="73" t="s">
        <v>79</v>
      </c>
      <c r="D14" s="76">
        <v>5.0000000000000001E-3</v>
      </c>
      <c r="E14" s="75" t="b">
        <f>AND(LEFT(C14,1)="$",RIGHT(C14,2)&lt;&gt;"24")</f>
        <v>0</v>
      </c>
      <c r="F14" s="75" t="str">
        <f t="shared" si="6"/>
        <v>%</v>
      </c>
      <c r="G14" s="76" cm="1">
        <f t="array" ref="G14">IF(E14,D14*INDEX('Reg Assumptions '!$E$23:$K$23,,MATCH(RIGHT(C14,2),RIGHT('Reg Assumptions '!$E$22:$K$22,2),0)),D14)</f>
        <v>5.0000000000000001E-3</v>
      </c>
      <c r="H14" s="142"/>
    </row>
    <row r="15" spans="1:13" x14ac:dyDescent="0.3">
      <c r="B15" s="72" t="s">
        <v>103</v>
      </c>
      <c r="C15" s="73" t="s">
        <v>79</v>
      </c>
      <c r="D15" s="76">
        <v>0.03</v>
      </c>
      <c r="E15" s="75" t="b">
        <f t="shared" ref="E15" si="7">AND(LEFT(C15,1)="$",RIGHT(C15,2)&lt;&gt;"24")</f>
        <v>0</v>
      </c>
      <c r="F15" s="75" t="str">
        <f t="shared" ref="F15" si="8">IF(OR(E15,LEFT(C15,1)="$"),"$ June 2024",C15)</f>
        <v>%</v>
      </c>
      <c r="G15" s="76" cm="1">
        <f t="array" ref="G15">IF(E15,D15*INDEX('Reg Assumptions '!$E$23:$K$23,,MATCH(RIGHT(C15,2),RIGHT('Reg Assumptions '!$E$22:$K$22,2),0)),D15)</f>
        <v>0.03</v>
      </c>
      <c r="H15" s="142"/>
    </row>
    <row r="16" spans="1:13" x14ac:dyDescent="0.3">
      <c r="B16" s="72" t="s">
        <v>160</v>
      </c>
      <c r="C16" s="73" t="s">
        <v>79</v>
      </c>
      <c r="D16" s="76">
        <v>0.02</v>
      </c>
      <c r="E16" s="75" t="b">
        <f t="shared" ref="E16" si="9">AND(LEFT(C16,1)="$",RIGHT(C16,2)&lt;&gt;"24")</f>
        <v>0</v>
      </c>
      <c r="F16" s="75" t="str">
        <f t="shared" ref="F16" si="10">IF(OR(E16,LEFT(C16,1)="$"),"$ June 2024",C16)</f>
        <v>%</v>
      </c>
      <c r="G16" s="76" cm="1">
        <f t="array" ref="G16">IF(E16,D16*INDEX('Reg Assumptions '!$E$23:$K$23,,MATCH(RIGHT(C16,2),RIGHT('Reg Assumptions '!$E$22:$K$22,2),0)),D16)</f>
        <v>0.02</v>
      </c>
      <c r="H16" s="142"/>
    </row>
    <row r="17" spans="2:8" x14ac:dyDescent="0.3">
      <c r="B17" s="71" t="s">
        <v>146</v>
      </c>
      <c r="H17" s="142"/>
    </row>
    <row r="18" spans="2:8" x14ac:dyDescent="0.3">
      <c r="B18" s="72" t="s">
        <v>147</v>
      </c>
      <c r="C18" s="77" t="s">
        <v>85</v>
      </c>
      <c r="D18" s="74">
        <v>400000</v>
      </c>
      <c r="E18" s="75" t="b">
        <f t="shared" ref="E18:E19" si="11">AND(LEFT(C18,1)="$",RIGHT(C18,2)&lt;&gt;"24")</f>
        <v>0</v>
      </c>
      <c r="F18" s="75" t="str">
        <f t="shared" ref="F18:F20" si="12">IF(OR(E18,LEFT(C18,1)="$"),"$ June 2024",C18)</f>
        <v>$ June 2024</v>
      </c>
      <c r="G18" s="74" cm="1">
        <f t="array" ref="G18">IF(E18,D18*INDEX('Reg Assumptions '!$E$23:$K$23,,MATCH(RIGHT(C18,2),RIGHT('Reg Assumptions '!$E$22:$K$22,2),0)),D18)</f>
        <v>400000</v>
      </c>
      <c r="H18" s="142"/>
    </row>
    <row r="19" spans="2:8" x14ac:dyDescent="0.3">
      <c r="B19" s="72" t="s">
        <v>148</v>
      </c>
      <c r="C19" s="77" t="s">
        <v>79</v>
      </c>
      <c r="D19" s="154">
        <v>0.5</v>
      </c>
      <c r="E19" s="75" t="b">
        <f t="shared" si="11"/>
        <v>0</v>
      </c>
      <c r="F19" s="75" t="str">
        <f t="shared" si="12"/>
        <v>%</v>
      </c>
      <c r="G19" s="154" cm="1">
        <f t="array" ref="G19">IF(E19,D19*INDEX('Reg Assumptions '!$E$23:$K$23,,MATCH(RIGHT(C19,2),RIGHT('Reg Assumptions '!$E$22:$K$22,2),0)),D19)</f>
        <v>0.5</v>
      </c>
      <c r="H19" s="142"/>
    </row>
    <row r="20" spans="2:8" x14ac:dyDescent="0.3">
      <c r="B20" s="72" t="s">
        <v>149</v>
      </c>
      <c r="C20" s="77" t="s">
        <v>79</v>
      </c>
      <c r="D20" s="154">
        <v>0.05</v>
      </c>
      <c r="E20" s="75" t="b">
        <f>AND(LEFT(C20,1)="$",RIGHT(C20,2)&lt;&gt;"24")</f>
        <v>0</v>
      </c>
      <c r="F20" s="75" t="str">
        <f t="shared" si="12"/>
        <v>%</v>
      </c>
      <c r="G20" s="154" cm="1">
        <f t="array" ref="G20">IF(E20,D20*INDEX('Reg Assumptions '!$E$23:$K$23,,MATCH(RIGHT(C20,2),RIGHT('Reg Assumptions '!$E$22:$K$22,2),0)),D20)</f>
        <v>0.05</v>
      </c>
      <c r="H20" s="142"/>
    </row>
    <row r="21" spans="2:8" x14ac:dyDescent="0.3">
      <c r="B21" s="71" t="s">
        <v>86</v>
      </c>
      <c r="H21" s="142"/>
    </row>
    <row r="22" spans="2:8" x14ac:dyDescent="0.3">
      <c r="B22" s="72" t="s">
        <v>88</v>
      </c>
      <c r="C22" s="73" t="s">
        <v>78</v>
      </c>
      <c r="D22" s="74">
        <v>946</v>
      </c>
      <c r="E22" s="75" t="b">
        <f t="shared" ref="E22" si="13">AND(LEFT(C22,1)="$",RIGHT(C22,2)&lt;&gt;"24")</f>
        <v>0</v>
      </c>
      <c r="F22" s="75" t="str">
        <f t="shared" ref="F22:F23" si="14">IF(OR(E22,LEFT(C22,1)="$"),"$ June 2024",C22)</f>
        <v>#</v>
      </c>
      <c r="G22" s="74" cm="1">
        <f t="array" ref="G22">IF(E22,D22*INDEX('Reg Assumptions '!$E$23:$K$23,,MATCH(RIGHT(C22,2),RIGHT('Reg Assumptions '!$E$22:$K$22,2),0)),D22)</f>
        <v>946</v>
      </c>
      <c r="H22" s="142"/>
    </row>
    <row r="23" spans="2:8" x14ac:dyDescent="0.3">
      <c r="B23" s="72" t="s">
        <v>87</v>
      </c>
      <c r="C23" s="77" t="s">
        <v>85</v>
      </c>
      <c r="D23" s="74">
        <v>160000</v>
      </c>
      <c r="E23" s="75" t="b">
        <f>AND(LEFT(C23,1)="$",RIGHT(C23,2)&lt;&gt;"24")</f>
        <v>0</v>
      </c>
      <c r="F23" s="75" t="str">
        <f t="shared" si="14"/>
        <v>$ June 2024</v>
      </c>
      <c r="G23" s="74" cm="1">
        <f t="array" ref="G23">IF(E23,D23*INDEX('Reg Assumptions '!$E$23:$K$23,,MATCH(RIGHT(C23,2),RIGHT('Reg Assumptions '!$E$22:$K$22,2),0)),D23)</f>
        <v>160000</v>
      </c>
      <c r="H23" s="142"/>
    </row>
    <row r="24" spans="2:8" x14ac:dyDescent="0.3">
      <c r="B24" s="71" t="s">
        <v>95</v>
      </c>
      <c r="H24" s="142"/>
    </row>
    <row r="25" spans="2:8" x14ac:dyDescent="0.3">
      <c r="B25" s="72" t="s">
        <v>96</v>
      </c>
      <c r="C25" s="77" t="s">
        <v>123</v>
      </c>
      <c r="D25" s="74">
        <v>5300000</v>
      </c>
      <c r="E25" s="75" t="b">
        <f>AND(LEFT(C25,1)="$",RIGHT(C25,2)&lt;&gt;"24")</f>
        <v>1</v>
      </c>
      <c r="F25" s="75" t="str">
        <f t="shared" ref="F25" si="15">IF(E25,"$ June 2024",C25)</f>
        <v>$ June 2024</v>
      </c>
      <c r="G25" s="74" cm="1">
        <f t="array" ref="G25">IF(E25,D25*INDEX('Reg Assumptions '!$E$23:$K$23,,MATCH(RIGHT(C25,2),RIGHT('Reg Assumptions '!$E$22:$K$22,2),0)),D25)</f>
        <v>5940414.4210879449</v>
      </c>
      <c r="H25" s="142"/>
    </row>
    <row r="26" spans="2:8" x14ac:dyDescent="0.3">
      <c r="B26" s="72" t="s">
        <v>97</v>
      </c>
      <c r="C26" s="73"/>
      <c r="D26" s="74">
        <v>3</v>
      </c>
      <c r="E26" s="75" t="b">
        <f t="shared" ref="E26" si="16">AND(LEFT(C26,1)="$",RIGHT(C26,2)&lt;&gt;"24")</f>
        <v>0</v>
      </c>
      <c r="F26" s="75"/>
      <c r="G26" s="74" cm="1">
        <f t="array" ref="G26">IF(E26,D26*INDEX('Reg Assumptions '!$E$23:$K$23,,MATCH(RIGHT(C26,2),RIGHT('Reg Assumptions '!$E$22:$K$22,2),0)),D26)</f>
        <v>3</v>
      </c>
      <c r="H26" s="142"/>
    </row>
    <row r="27" spans="2:8" x14ac:dyDescent="0.3">
      <c r="B27" s="72" t="s">
        <v>98</v>
      </c>
      <c r="C27" s="73" t="s">
        <v>79</v>
      </c>
      <c r="D27" s="76">
        <v>2.5000000000000001E-3</v>
      </c>
      <c r="E27" s="75" t="b">
        <f>AND(LEFT(C27,1)="$",RIGHT(C27,2)&lt;&gt;"24")</f>
        <v>0</v>
      </c>
      <c r="F27" s="75" t="str">
        <f t="shared" ref="F27:F28" si="17">IF(OR(E27,LEFT(C27,1)="$"),"$ June 2024",C27)</f>
        <v>%</v>
      </c>
      <c r="G27" s="76" cm="1">
        <f t="array" ref="G27">IF(E27,D27*INDEX('Reg Assumptions '!$E$23:$K$23,,MATCH(RIGHT(C27,2),RIGHT('Reg Assumptions '!$E$22:$K$22,2),0)),D27)</f>
        <v>2.5000000000000001E-3</v>
      </c>
      <c r="H27" s="142"/>
    </row>
    <row r="28" spans="2:8" x14ac:dyDescent="0.3">
      <c r="B28" s="72" t="s">
        <v>151</v>
      </c>
      <c r="C28" s="73" t="s">
        <v>79</v>
      </c>
      <c r="D28" s="76">
        <v>0.02</v>
      </c>
      <c r="E28" s="75" t="b">
        <f t="shared" ref="E28" si="18">AND(LEFT(C28,1)="$",RIGHT(C28,2)&lt;&gt;"24")</f>
        <v>0</v>
      </c>
      <c r="F28" s="75" t="str">
        <f t="shared" si="17"/>
        <v>%</v>
      </c>
      <c r="G28" s="76" cm="1">
        <f t="array" ref="G28">IF(E28,D28*INDEX('Reg Assumptions '!$E$23:$K$23,,MATCH(RIGHT(C28,2),RIGHT('Reg Assumptions '!$E$22:$K$22,2),0)),D28)</f>
        <v>0.02</v>
      </c>
      <c r="H28" s="142"/>
    </row>
    <row r="29" spans="2:8" x14ac:dyDescent="0.3">
      <c r="H29" s="142"/>
    </row>
    <row r="30" spans="2:8" x14ac:dyDescent="0.3">
      <c r="H30" s="14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630EB-C321-45BB-AFCD-D61DB74780DD}">
  <sheetPr codeName="Sheet2">
    <tabColor theme="0" tint="-0.499984740745262"/>
    <outlinePr summaryBelow="0" summaryRight="0"/>
  </sheetPr>
  <dimension ref="A1:AF84"/>
  <sheetViews>
    <sheetView showGridLines="0" workbookViewId="0">
      <selection activeCell="H32" sqref="H32"/>
    </sheetView>
  </sheetViews>
  <sheetFormatPr defaultColWidth="9" defaultRowHeight="15" customHeight="1" x14ac:dyDescent="0.35"/>
  <cols>
    <col min="1" max="1" width="26.1796875" style="3" bestFit="1" customWidth="1"/>
    <col min="2" max="2" width="16.453125" style="3" customWidth="1"/>
    <col min="3" max="3" width="13" style="3" bestFit="1" customWidth="1"/>
    <col min="4" max="4" width="8.453125" style="3" customWidth="1"/>
    <col min="5" max="7" width="7.453125" style="3" bestFit="1" customWidth="1"/>
    <col min="8" max="8" width="8" style="3" bestFit="1" customWidth="1"/>
    <col min="9" max="9" width="10.1796875" style="3" customWidth="1"/>
    <col min="10" max="16384" width="9" style="3"/>
  </cols>
  <sheetData>
    <row r="1" spans="1:32" ht="15.5" x14ac:dyDescent="0.35">
      <c r="A1" s="4" t="str">
        <f>business</f>
        <v>Powercor</v>
      </c>
      <c r="B1" s="5"/>
      <c r="C1" s="5"/>
      <c r="D1" s="5"/>
      <c r="E1" s="5"/>
      <c r="F1" s="5"/>
      <c r="G1" s="5"/>
      <c r="H1" s="1" t="s">
        <v>0</v>
      </c>
      <c r="I1" s="2" t="s">
        <v>1</v>
      </c>
    </row>
    <row r="2" spans="1:32" ht="15.5" x14ac:dyDescent="0.35">
      <c r="A2" s="7" t="s">
        <v>3</v>
      </c>
      <c r="B2" s="8"/>
      <c r="C2" s="8"/>
      <c r="D2" s="8"/>
      <c r="E2" s="8"/>
      <c r="F2" s="8"/>
      <c r="G2" s="8"/>
      <c r="H2" s="5"/>
      <c r="I2" s="6" t="s">
        <v>2</v>
      </c>
    </row>
    <row r="3" spans="1:32" s="10" customFormat="1" ht="14.5" x14ac:dyDescent="0.35">
      <c r="A3" s="11" t="s">
        <v>5</v>
      </c>
      <c r="B3" s="12" t="s">
        <v>6</v>
      </c>
      <c r="C3" s="11" t="s">
        <v>7</v>
      </c>
      <c r="D3" s="11" t="s">
        <v>8</v>
      </c>
      <c r="E3" s="3"/>
      <c r="F3" s="3"/>
      <c r="G3" s="3"/>
      <c r="H3" s="3"/>
      <c r="I3" s="9" t="s">
        <v>4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4.5" x14ac:dyDescent="0.35">
      <c r="A4" s="11"/>
      <c r="B4" s="12"/>
      <c r="C4" s="11"/>
      <c r="D4" s="11"/>
    </row>
    <row r="5" spans="1:32" ht="14.5" x14ac:dyDescent="0.35">
      <c r="A5" s="13" t="s">
        <v>9</v>
      </c>
      <c r="B5" s="14" t="s">
        <v>127</v>
      </c>
      <c r="C5" s="12"/>
      <c r="D5" s="12"/>
      <c r="E5" s="13"/>
      <c r="F5" s="13"/>
      <c r="G5" s="13"/>
      <c r="H5" s="13"/>
      <c r="I5" s="13"/>
    </row>
    <row r="6" spans="1:32" s="13" customFormat="1" ht="13" x14ac:dyDescent="0.3">
      <c r="A6" s="12"/>
      <c r="B6" s="12"/>
      <c r="C6" s="12"/>
      <c r="D6" s="12"/>
    </row>
    <row r="7" spans="1:32" s="13" customFormat="1" ht="13" x14ac:dyDescent="0.3">
      <c r="A7" s="13" t="s">
        <v>44</v>
      </c>
      <c r="B7" s="15" t="s">
        <v>130</v>
      </c>
      <c r="C7" s="12"/>
      <c r="D7" s="12"/>
    </row>
    <row r="8" spans="1:32" s="13" customFormat="1" ht="13" x14ac:dyDescent="0.3">
      <c r="A8" s="12"/>
      <c r="B8" s="16"/>
      <c r="C8" s="12"/>
      <c r="D8" s="12"/>
    </row>
    <row r="9" spans="1:32" s="13" customFormat="1" ht="13" x14ac:dyDescent="0.3">
      <c r="A9" s="17" t="s">
        <v>10</v>
      </c>
      <c r="B9" s="59">
        <v>45473</v>
      </c>
      <c r="C9" s="60"/>
      <c r="D9" s="12"/>
    </row>
    <row r="10" spans="1:32" s="13" customFormat="1" ht="13" x14ac:dyDescent="0.3">
      <c r="A10" s="17"/>
      <c r="B10" s="18"/>
      <c r="C10" s="12"/>
      <c r="D10" s="12"/>
    </row>
    <row r="11" spans="1:32" s="13" customFormat="1" ht="13" x14ac:dyDescent="0.3">
      <c r="A11" s="17" t="s">
        <v>47</v>
      </c>
      <c r="B11" s="59">
        <v>46203</v>
      </c>
      <c r="C11" s="12"/>
      <c r="D11" s="12"/>
    </row>
    <row r="12" spans="1:32" s="13" customFormat="1" ht="13" x14ac:dyDescent="0.3">
      <c r="A12" s="17"/>
      <c r="B12" s="18"/>
      <c r="C12" s="12"/>
      <c r="D12" s="12"/>
    </row>
    <row r="13" spans="1:32" s="13" customFormat="1" ht="13" x14ac:dyDescent="0.3">
      <c r="A13" s="17"/>
      <c r="B13" s="18"/>
      <c r="C13" s="12"/>
      <c r="D13" s="12"/>
    </row>
    <row r="14" spans="1:32" s="13" customFormat="1" ht="14.5" customHeight="1" x14ac:dyDescent="0.3">
      <c r="A14" s="17" t="s">
        <v>41</v>
      </c>
      <c r="B14" s="15" t="s">
        <v>40</v>
      </c>
      <c r="C14" s="143" t="s">
        <v>42</v>
      </c>
      <c r="D14" s="144"/>
      <c r="E14" s="144"/>
      <c r="F14" s="145"/>
    </row>
    <row r="15" spans="1:32" s="13" customFormat="1" ht="13" x14ac:dyDescent="0.3">
      <c r="A15" s="17"/>
      <c r="B15" s="15" t="s">
        <v>20</v>
      </c>
      <c r="C15" s="143" t="s">
        <v>128</v>
      </c>
      <c r="D15" s="144"/>
      <c r="E15" s="144"/>
      <c r="F15" s="145"/>
    </row>
    <row r="16" spans="1:32" s="13" customFormat="1" ht="13" x14ac:dyDescent="0.3">
      <c r="A16" s="17"/>
      <c r="B16" s="15" t="s">
        <v>37</v>
      </c>
      <c r="C16" s="143" t="s">
        <v>129</v>
      </c>
      <c r="D16" s="144"/>
      <c r="E16" s="144"/>
      <c r="F16" s="145"/>
    </row>
    <row r="17" spans="1:13" s="13" customFormat="1" ht="13" x14ac:dyDescent="0.3">
      <c r="A17" s="17"/>
      <c r="B17" s="18"/>
      <c r="C17" s="12"/>
      <c r="D17" s="12"/>
    </row>
    <row r="18" spans="1:13" s="13" customFormat="1" ht="13" x14ac:dyDescent="0.3">
      <c r="A18" s="17"/>
      <c r="B18" s="18"/>
      <c r="C18" s="12"/>
      <c r="D18" s="12"/>
    </row>
    <row r="19" spans="1:13" s="13" customFormat="1" ht="13" x14ac:dyDescent="0.3">
      <c r="A19" s="17"/>
      <c r="B19" s="18"/>
      <c r="C19" s="12"/>
      <c r="D19" s="12"/>
    </row>
    <row r="20" spans="1:13" s="13" customFormat="1" ht="13" x14ac:dyDescent="0.3">
      <c r="A20" s="18" t="s">
        <v>12</v>
      </c>
      <c r="B20" s="19">
        <v>3.5000000000000003E-2</v>
      </c>
      <c r="C20" s="18"/>
      <c r="D20" s="12"/>
    </row>
    <row r="21" spans="1:13" s="13" customFormat="1" ht="13" x14ac:dyDescent="0.3">
      <c r="A21" s="17"/>
      <c r="B21" s="18"/>
      <c r="C21" s="12"/>
      <c r="D21" s="12"/>
    </row>
    <row r="22" spans="1:13" s="13" customFormat="1" ht="13" x14ac:dyDescent="0.3">
      <c r="A22" s="20" t="s">
        <v>16</v>
      </c>
      <c r="B22" s="20"/>
      <c r="C22" s="20"/>
      <c r="D22" s="21"/>
      <c r="E22" s="22" t="s">
        <v>84</v>
      </c>
      <c r="F22" s="22" t="s">
        <v>83</v>
      </c>
      <c r="G22" s="22" t="s">
        <v>82</v>
      </c>
      <c r="H22" s="22" t="s">
        <v>17</v>
      </c>
      <c r="I22" s="22" t="s">
        <v>11</v>
      </c>
      <c r="J22" s="22" t="s">
        <v>18</v>
      </c>
      <c r="K22" s="22" t="s">
        <v>19</v>
      </c>
      <c r="L22" s="22"/>
    </row>
    <row r="23" spans="1:13" s="13" customFormat="1" ht="14.5" x14ac:dyDescent="0.35">
      <c r="A23" s="23" t="s">
        <v>124</v>
      </c>
      <c r="B23" s="24"/>
      <c r="C23" s="25"/>
      <c r="D23" s="26"/>
      <c r="E23" s="94">
        <v>1.1393728222996515</v>
      </c>
      <c r="F23" s="94">
        <v>1.1256454388984509</v>
      </c>
      <c r="G23" s="94">
        <v>1.1208329096392349</v>
      </c>
      <c r="H23" s="94">
        <v>1.0970174547072133</v>
      </c>
      <c r="I23" s="94">
        <v>1.0384210221730945</v>
      </c>
      <c r="J23" s="94">
        <v>0.98033568003757787</v>
      </c>
      <c r="K23" s="94">
        <v>0.94695863030043814</v>
      </c>
      <c r="L23" s="88"/>
    </row>
    <row r="24" spans="1:13" s="13" customFormat="1" ht="14.5" x14ac:dyDescent="0.35">
      <c r="A24" s="89" t="s">
        <v>125</v>
      </c>
      <c r="B24" s="90"/>
      <c r="C24" s="91"/>
      <c r="D24" s="92"/>
      <c r="E24" s="94">
        <v>1.2211062717770027</v>
      </c>
      <c r="F24" s="94">
        <v>1.2063941480206533</v>
      </c>
      <c r="G24" s="94">
        <v>1.2012363896938592</v>
      </c>
      <c r="H24" s="93">
        <v>1.1757125218136175</v>
      </c>
      <c r="I24" s="94">
        <v>1.1129126464165966</v>
      </c>
      <c r="J24" s="94">
        <v>1.050660524730181</v>
      </c>
      <c r="K24" s="94">
        <v>1.014889156509222</v>
      </c>
      <c r="L24" s="27"/>
    </row>
    <row r="25" spans="1:13" s="13" customFormat="1" ht="13" x14ac:dyDescent="0.3">
      <c r="A25" s="18"/>
      <c r="B25" s="18"/>
      <c r="C25" s="28"/>
      <c r="D25" s="30"/>
      <c r="E25" s="28"/>
      <c r="F25" s="28"/>
      <c r="G25" s="28"/>
      <c r="H25" s="28"/>
      <c r="I25" s="29"/>
    </row>
    <row r="26" spans="1:13" s="18" customFormat="1" ht="13" x14ac:dyDescent="0.3">
      <c r="A26" s="17" t="s">
        <v>131</v>
      </c>
      <c r="C26" s="31">
        <f>INDEX($H$24:$K$24,MATCH(TEXT(input_dollars-365,"yyyy")&amp;"/"&amp;TEXT(input_dollars,"yy"),$H$22:$K$22))</f>
        <v>1.1129126464165966</v>
      </c>
    </row>
    <row r="27" spans="1:13" s="18" customFormat="1" ht="13" x14ac:dyDescent="0.3">
      <c r="A27" s="13"/>
      <c r="B27" s="13"/>
      <c r="C27" s="13"/>
      <c r="D27" s="13"/>
      <c r="E27" s="13"/>
      <c r="F27" s="13"/>
      <c r="G27" s="13"/>
      <c r="H27" s="13"/>
      <c r="I27" s="13"/>
    </row>
    <row r="28" spans="1:13" s="18" customFormat="1" ht="13" x14ac:dyDescent="0.3">
      <c r="A28" s="17"/>
    </row>
    <row r="29" spans="1:13" s="13" customFormat="1" ht="14.5" x14ac:dyDescent="0.35">
      <c r="A29" s="38" t="s">
        <v>133</v>
      </c>
      <c r="B29" s="38"/>
      <c r="C29" s="38"/>
      <c r="D29" s="85"/>
      <c r="E29" s="148"/>
      <c r="F29" s="148"/>
      <c r="G29" s="149"/>
      <c r="H29" s="150"/>
      <c r="I29" s="150"/>
      <c r="J29" s="150"/>
      <c r="K29" s="150"/>
      <c r="L29" s="150"/>
      <c r="M29" s="3"/>
    </row>
    <row r="30" spans="1:13" ht="12.75" customHeight="1" x14ac:dyDescent="0.3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2.75" customHeight="1" x14ac:dyDescent="0.35">
      <c r="A31" s="13" t="s">
        <v>134</v>
      </c>
      <c r="B31" s="15" t="s">
        <v>135</v>
      </c>
      <c r="C31" s="152">
        <f>0.7*0.3</f>
        <v>0.21</v>
      </c>
      <c r="D31" s="13"/>
      <c r="E31" s="13"/>
      <c r="F31" s="13"/>
      <c r="G31" s="151"/>
      <c r="H31" s="13"/>
      <c r="I31" s="13"/>
      <c r="J31" s="13"/>
      <c r="K31" s="13"/>
      <c r="L31" s="13"/>
      <c r="M31" s="13"/>
    </row>
    <row r="32" spans="1:13" ht="12.75" customHeight="1" x14ac:dyDescent="0.35">
      <c r="A32" s="13"/>
      <c r="B32" s="15" t="s">
        <v>127</v>
      </c>
      <c r="C32" s="152">
        <f>0.7*0.7</f>
        <v>0.48999999999999994</v>
      </c>
      <c r="D32" s="13"/>
      <c r="E32" s="13"/>
      <c r="F32" s="13"/>
      <c r="G32" s="151"/>
      <c r="H32" s="13"/>
      <c r="I32" s="13"/>
      <c r="J32" s="13"/>
      <c r="K32" s="13"/>
      <c r="L32" s="13"/>
      <c r="M32" s="13"/>
    </row>
    <row r="33" spans="1:13" ht="12.75" customHeight="1" x14ac:dyDescent="0.35">
      <c r="A33" s="13"/>
      <c r="B33" s="15" t="s">
        <v>136</v>
      </c>
      <c r="C33" s="152">
        <v>0.3</v>
      </c>
      <c r="D33" s="13"/>
      <c r="E33" s="13"/>
      <c r="F33" s="13"/>
      <c r="G33" s="151"/>
      <c r="H33" s="13"/>
      <c r="I33" s="13"/>
      <c r="J33" s="13"/>
      <c r="K33" s="13"/>
      <c r="L33" s="13"/>
      <c r="M33" s="13"/>
    </row>
    <row r="34" spans="1:13" ht="12.75" customHeight="1" x14ac:dyDescent="0.35">
      <c r="A34" s="13"/>
      <c r="B34" s="63"/>
      <c r="C34" s="63"/>
      <c r="D34" s="63"/>
      <c r="E34" s="97"/>
      <c r="F34" s="97"/>
      <c r="G34" s="151"/>
      <c r="H34" s="13"/>
      <c r="I34" s="13"/>
      <c r="J34" s="13"/>
      <c r="K34" s="13"/>
      <c r="L34" s="13"/>
      <c r="M34" s="13"/>
    </row>
    <row r="35" spans="1:13" ht="12.75" customHeight="1" x14ac:dyDescent="0.35">
      <c r="A35" s="13" t="s">
        <v>137</v>
      </c>
      <c r="B35" s="31" t="str">
        <f>business</f>
        <v>Powercor</v>
      </c>
      <c r="C35" s="153">
        <f>INDEX($C$31:$C$33,MATCH(business,$B$31:$B$33,0))</f>
        <v>0.48999999999999994</v>
      </c>
      <c r="D35" s="63"/>
      <c r="E35" s="151"/>
      <c r="F35" s="97"/>
      <c r="G35" s="151"/>
      <c r="H35" s="13"/>
      <c r="I35" s="13"/>
      <c r="J35" s="13"/>
      <c r="K35" s="13"/>
      <c r="L35" s="13"/>
      <c r="M35" s="13"/>
    </row>
    <row r="36" spans="1:13" ht="12.75" customHeight="1" x14ac:dyDescent="0.35">
      <c r="A36" s="13"/>
      <c r="B36" s="63"/>
      <c r="C36" s="63"/>
      <c r="D36" s="63"/>
      <c r="E36" s="151"/>
      <c r="F36" s="97"/>
      <c r="G36" s="13"/>
      <c r="H36" s="13"/>
      <c r="I36" s="13"/>
      <c r="J36" s="13"/>
      <c r="K36" s="13"/>
      <c r="L36" s="13"/>
      <c r="M36" s="13"/>
    </row>
    <row r="37" spans="1:13" ht="12.75" customHeight="1" x14ac:dyDescent="0.35">
      <c r="A37" s="13"/>
      <c r="B37" s="63"/>
      <c r="C37" s="63"/>
      <c r="D37" s="63"/>
      <c r="E37" s="151"/>
      <c r="F37" s="97"/>
      <c r="G37" s="13"/>
      <c r="H37" s="13"/>
      <c r="I37" s="13"/>
      <c r="J37" s="13"/>
      <c r="K37" s="13"/>
      <c r="L37" s="13"/>
      <c r="M37" s="13"/>
    </row>
    <row r="38" spans="1:13" ht="12.75" customHeight="1" x14ac:dyDescent="0.35">
      <c r="A38" s="13"/>
      <c r="B38" s="13"/>
      <c r="C38" s="13"/>
      <c r="D38" s="13"/>
      <c r="E38" s="151"/>
      <c r="F38" s="13"/>
      <c r="G38" s="13"/>
      <c r="H38" s="13"/>
      <c r="I38" s="13"/>
      <c r="J38" s="13"/>
      <c r="K38" s="13"/>
      <c r="L38" s="13"/>
      <c r="M38" s="13"/>
    </row>
    <row r="39" spans="1:13" ht="12.75" customHeight="1" x14ac:dyDescent="0.35">
      <c r="A39" s="13"/>
      <c r="B39" s="13"/>
      <c r="C39" s="13"/>
      <c r="D39" s="13"/>
      <c r="E39" s="151"/>
      <c r="F39" s="13"/>
      <c r="G39" s="13"/>
      <c r="H39" s="13"/>
      <c r="I39" s="13"/>
      <c r="J39" s="13"/>
      <c r="K39" s="13"/>
      <c r="L39" s="13"/>
      <c r="M39" s="13"/>
    </row>
    <row r="40" spans="1:13" ht="12.75" customHeight="1" x14ac:dyDescent="0.3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ht="12.75" customHeight="1" x14ac:dyDescent="0.35"/>
    <row r="42" spans="1:13" ht="12.75" customHeight="1" x14ac:dyDescent="0.35"/>
    <row r="43" spans="1:13" ht="12.75" customHeight="1" x14ac:dyDescent="0.35"/>
    <row r="44" spans="1:13" ht="12.75" customHeight="1" x14ac:dyDescent="0.35"/>
    <row r="45" spans="1:13" ht="12.75" customHeight="1" x14ac:dyDescent="0.35"/>
    <row r="46" spans="1:13" ht="12.75" customHeight="1" x14ac:dyDescent="0.35"/>
    <row r="47" spans="1:13" ht="12.75" customHeight="1" x14ac:dyDescent="0.35"/>
    <row r="48" spans="1:13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</sheetData>
  <sortState xmlns:xlrd2="http://schemas.microsoft.com/office/spreadsheetml/2017/richdata2" ref="B31:F37">
    <sortCondition descending="1" ref="F31:F37"/>
  </sortState>
  <mergeCells count="3">
    <mergeCell ref="C14:F14"/>
    <mergeCell ref="C15:F15"/>
    <mergeCell ref="C16:F16"/>
  </mergeCells>
  <dataValidations count="1">
    <dataValidation type="list" allowBlank="1" showInputMessage="1" showErrorMessage="1" sqref="B5" xr:uid="{2B617FEC-E3BC-42D6-B441-07D4163472D7}">
      <formula1>"CitiPower, Powercor, United Energy"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F3DE075E473244B5E4386B94160962" ma:contentTypeVersion="4" ma:contentTypeDescription="Create a new document." ma:contentTypeScope="" ma:versionID="1ff23c5059180ba69e5db7c494b4031e">
  <xsd:schema xmlns:xsd="http://www.w3.org/2001/XMLSchema" xmlns:xs="http://www.w3.org/2001/XMLSchema" xmlns:p="http://schemas.microsoft.com/office/2006/metadata/properties" xmlns:ns2="9afa79bc-5a61-40ae-a213-d0d9fd096805" targetNamespace="http://schemas.microsoft.com/office/2006/metadata/properties" ma:root="true" ma:fieldsID="7a168ca6ca0f96ac1ba0d7fea861684e" ns2:_="">
    <xsd:import namespace="9afa79bc-5a61-40ae-a213-d0d9fd0968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a79bc-5a61-40ae-a213-d0d9fd096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C2F5AF-639F-4297-852A-6DBA25876ED4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9afa79bc-5a61-40ae-a213-d0d9fd09680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ABE14C9-3327-44A0-ACC7-25452829EF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fa79bc-5a61-40ae-a213-d0d9fd0968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8612A2-59A2-4B06-AD67-4EE5995EC9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Cover</vt:lpstr>
      <vt:lpstr>Summary</vt:lpstr>
      <vt:lpstr>Options Analysis</vt:lpstr>
      <vt:lpstr>Costs</vt:lpstr>
      <vt:lpstr>Risks</vt:lpstr>
      <vt:lpstr>Risk Assumptions</vt:lpstr>
      <vt:lpstr>Reg Assumptions </vt:lpstr>
      <vt:lpstr>business</vt:lpstr>
      <vt:lpstr>cost_allocation</vt:lpstr>
      <vt:lpstr>esc_24_26</vt:lpstr>
      <vt:lpstr>input_dollars</vt:lpstr>
      <vt:lpstr>model_name</vt:lpstr>
      <vt:lpstr>output_dollars</vt:lpstr>
      <vt:lpstr>pref_option</vt:lpstr>
      <vt:lpstr>real_disc</vt:lpstr>
    </vt:vector>
  </TitlesOfParts>
  <Company>CHED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Gibson, Jessica</dc:creator>
  <cp:lastModifiedBy>Gibson, Jessica</cp:lastModifiedBy>
  <dcterms:created xsi:type="dcterms:W3CDTF">2025-01-27T00:00:55Z</dcterms:created>
  <dcterms:modified xsi:type="dcterms:W3CDTF">2025-01-29T05:06:09Z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0x010100E9F3DE075E473244B5E4386B94160962</vt:lpwstr>
  </property>
</Properties>
</file>