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/>
  <xr:revisionPtr revIDLastSave="0" documentId="13_ncr:1_{E65BCD59-C2ED-4567-B2A1-EE350BA3FAA3}" xr6:coauthVersionLast="47" xr6:coauthVersionMax="47" xr10:uidLastSave="{00000000-0000-0000-0000-000000000000}"/>
  <bookViews>
    <workbookView xWindow="28680" yWindow="-1755" windowWidth="29040" windowHeight="15720" activeTab="1" xr2:uid="{00000000-000D-0000-FFFF-FFFF00000000}"/>
  </bookViews>
  <sheets>
    <sheet name="Cover" sheetId="19" r:id="rId1"/>
    <sheet name="Powercor summary" sheetId="18" r:id="rId2"/>
    <sheet name="Assumptions" sheetId="6" r:id="rId3"/>
    <sheet name="Training" sheetId="5" r:id="rId4"/>
  </sheets>
  <definedNames>
    <definedName name="Business">Assumptions!$B$6</definedName>
    <definedName name="business_case_dollars">Assumptions!$C$32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5" i="5" l="1"/>
  <c r="P53" i="5"/>
  <c r="P86" i="5"/>
  <c r="P88" i="5" s="1"/>
  <c r="F11" i="18"/>
  <c r="K11" i="18" s="1"/>
  <c r="D6" i="19" a="1"/>
  <c r="D6" i="19" s="1"/>
  <c r="C5" i="19" a="1"/>
  <c r="C5" i="19" s="1"/>
  <c r="D6" i="18"/>
  <c r="D14" i="18"/>
  <c r="A3" i="18"/>
  <c r="A1" i="18"/>
  <c r="K12" i="18"/>
  <c r="B88" i="5"/>
  <c r="B82" i="5"/>
  <c r="B70" i="5"/>
  <c r="J19" i="5"/>
  <c r="K19" i="5"/>
  <c r="L19" i="5"/>
  <c r="M19" i="5"/>
  <c r="N19" i="5"/>
  <c r="B21" i="6" l="1"/>
  <c r="B14" i="6" l="1"/>
  <c r="C31" i="6" l="1"/>
  <c r="C32" i="6" s="1"/>
  <c r="K63" i="5"/>
  <c r="L63" i="5"/>
  <c r="M63" i="5"/>
  <c r="N63" i="5"/>
  <c r="K65" i="5"/>
  <c r="L65" i="5"/>
  <c r="M65" i="5"/>
  <c r="N65" i="5"/>
  <c r="J65" i="5"/>
  <c r="J63" i="5"/>
  <c r="C44" i="5" l="1"/>
  <c r="C43" i="5"/>
  <c r="C42" i="5"/>
  <c r="C41" i="5"/>
  <c r="C40" i="5"/>
  <c r="C39" i="5"/>
  <c r="C38" i="5"/>
  <c r="C37" i="5"/>
  <c r="C36" i="5"/>
  <c r="C31" i="5"/>
  <c r="C30" i="5"/>
  <c r="C29" i="5"/>
  <c r="C28" i="5"/>
  <c r="C27" i="5"/>
  <c r="C26" i="5"/>
  <c r="C25" i="5"/>
  <c r="C24" i="5"/>
  <c r="C23" i="5"/>
  <c r="C18" i="5"/>
  <c r="C17" i="5"/>
  <c r="C16" i="5"/>
  <c r="C15" i="5"/>
  <c r="C14" i="5"/>
  <c r="C13" i="5"/>
  <c r="C12" i="5"/>
  <c r="C11" i="5"/>
  <c r="C10" i="5"/>
  <c r="C59" i="5"/>
  <c r="C58" i="5"/>
  <c r="C57" i="5"/>
  <c r="C56" i="5"/>
  <c r="C55" i="5"/>
  <c r="C54" i="5"/>
  <c r="C53" i="5"/>
  <c r="C52" i="5"/>
  <c r="C51" i="5"/>
  <c r="A3" i="5"/>
  <c r="K87" i="5" l="1"/>
  <c r="N87" i="5"/>
  <c r="L87" i="5"/>
  <c r="L85" i="5"/>
  <c r="M85" i="5"/>
  <c r="M53" i="5"/>
  <c r="M75" i="5" s="1"/>
  <c r="N53" i="5"/>
  <c r="J53" i="5"/>
  <c r="K53" i="5"/>
  <c r="K75" i="5" s="1"/>
  <c r="L53" i="5"/>
  <c r="L75" i="5" s="1"/>
  <c r="K55" i="5"/>
  <c r="K77" i="5" s="1"/>
  <c r="L55" i="5"/>
  <c r="M55" i="5"/>
  <c r="M77" i="5" s="1"/>
  <c r="N55" i="5"/>
  <c r="N77" i="5" s="1"/>
  <c r="J55" i="5"/>
  <c r="J52" i="5"/>
  <c r="J74" i="5" s="1"/>
  <c r="N52" i="5"/>
  <c r="N74" i="5" s="1"/>
  <c r="K52" i="5"/>
  <c r="K74" i="5" s="1"/>
  <c r="L52" i="5"/>
  <c r="L74" i="5" s="1"/>
  <c r="M52" i="5"/>
  <c r="M74" i="5" s="1"/>
  <c r="N56" i="5"/>
  <c r="N78" i="5" s="1"/>
  <c r="J56" i="5"/>
  <c r="J78" i="5" s="1"/>
  <c r="K56" i="5"/>
  <c r="K78" i="5" s="1"/>
  <c r="L56" i="5"/>
  <c r="M56" i="5"/>
  <c r="M78" i="5" s="1"/>
  <c r="J54" i="5"/>
  <c r="J76" i="5" s="1"/>
  <c r="K54" i="5"/>
  <c r="K76" i="5" s="1"/>
  <c r="L54" i="5"/>
  <c r="L76" i="5" s="1"/>
  <c r="M54" i="5"/>
  <c r="M76" i="5" s="1"/>
  <c r="N54" i="5"/>
  <c r="N76" i="5" s="1"/>
  <c r="J57" i="5"/>
  <c r="J79" i="5" s="1"/>
  <c r="K57" i="5"/>
  <c r="K79" i="5" s="1"/>
  <c r="L57" i="5"/>
  <c r="L79" i="5" s="1"/>
  <c r="M57" i="5"/>
  <c r="M79" i="5" s="1"/>
  <c r="N57" i="5"/>
  <c r="N79" i="5" s="1"/>
  <c r="L58" i="5"/>
  <c r="M58" i="5"/>
  <c r="M80" i="5" s="1"/>
  <c r="N58" i="5"/>
  <c r="N80" i="5" s="1"/>
  <c r="J58" i="5"/>
  <c r="J80" i="5" s="1"/>
  <c r="K58" i="5"/>
  <c r="K80" i="5" s="1"/>
  <c r="K51" i="5"/>
  <c r="K73" i="5" s="1"/>
  <c r="L51" i="5"/>
  <c r="L73" i="5" s="1"/>
  <c r="N51" i="5"/>
  <c r="N73" i="5" s="1"/>
  <c r="M51" i="5"/>
  <c r="M73" i="5" s="1"/>
  <c r="J51" i="5"/>
  <c r="J73" i="5" s="1"/>
  <c r="K59" i="5"/>
  <c r="K81" i="5" s="1"/>
  <c r="J59" i="5"/>
  <c r="J81" i="5" s="1"/>
  <c r="L59" i="5"/>
  <c r="M59" i="5"/>
  <c r="M81" i="5" s="1"/>
  <c r="N59" i="5"/>
  <c r="N81" i="5" s="1"/>
  <c r="A2" i="5"/>
  <c r="L81" i="5" l="1"/>
  <c r="L80" i="5"/>
  <c r="L78" i="5"/>
  <c r="L77" i="5"/>
  <c r="M87" i="5"/>
  <c r="K85" i="5"/>
  <c r="J77" i="5"/>
  <c r="N75" i="5"/>
  <c r="N85" i="5"/>
  <c r="J85" i="5"/>
  <c r="J87" i="5"/>
  <c r="B60" i="5" l="1"/>
  <c r="B66" i="5"/>
  <c r="B5" i="5"/>
  <c r="P63" i="5" l="1"/>
  <c r="P65" i="5"/>
  <c r="A2" i="6" l="1"/>
  <c r="G18" i="5"/>
  <c r="G17" i="5"/>
  <c r="G16" i="5"/>
  <c r="G15" i="5"/>
  <c r="G14" i="5"/>
  <c r="G13" i="5"/>
  <c r="G11" i="5"/>
  <c r="G10" i="5"/>
  <c r="G44" i="5" l="1"/>
  <c r="G43" i="5"/>
  <c r="G42" i="5"/>
  <c r="G41" i="5"/>
  <c r="G40" i="5"/>
  <c r="G39" i="5"/>
  <c r="G37" i="5"/>
  <c r="G36" i="5"/>
  <c r="G31" i="5"/>
  <c r="G30" i="5"/>
  <c r="G29" i="5"/>
  <c r="G28" i="5"/>
  <c r="G27" i="5"/>
  <c r="G26" i="5"/>
  <c r="G24" i="5"/>
  <c r="G23" i="5"/>
  <c r="K64" i="5" l="1"/>
  <c r="K86" i="5" s="1"/>
  <c r="L64" i="5"/>
  <c r="L86" i="5" s="1"/>
  <c r="J64" i="5"/>
  <c r="J86" i="5" s="1"/>
  <c r="M64" i="5"/>
  <c r="M86" i="5" s="1"/>
  <c r="N64" i="5"/>
  <c r="N86" i="5" s="1"/>
  <c r="P87" i="5"/>
  <c r="P85" i="5"/>
  <c r="P64" i="5" l="1"/>
  <c r="P66" i="5" s="1"/>
  <c r="J66" i="5"/>
  <c r="L66" i="5"/>
  <c r="N66" i="5"/>
  <c r="K66" i="5"/>
  <c r="M66" i="5"/>
  <c r="P73" i="5"/>
  <c r="P74" i="5"/>
  <c r="P77" i="5"/>
  <c r="P79" i="5"/>
  <c r="P76" i="5"/>
  <c r="P80" i="5"/>
  <c r="P78" i="5"/>
  <c r="P81" i="5"/>
  <c r="P75" i="5"/>
  <c r="K82" i="5"/>
  <c r="J82" i="5"/>
  <c r="L82" i="5"/>
  <c r="M82" i="5"/>
  <c r="N82" i="5"/>
  <c r="M88" i="5" l="1"/>
  <c r="I11" i="18" s="1"/>
  <c r="I14" i="18" s="1"/>
  <c r="K88" i="5"/>
  <c r="G11" i="18" s="1"/>
  <c r="G14" i="18" s="1"/>
  <c r="N88" i="5"/>
  <c r="J11" i="18" s="1"/>
  <c r="J14" i="18" s="1"/>
  <c r="L88" i="5"/>
  <c r="H11" i="18" s="1"/>
  <c r="H14" i="18" s="1"/>
  <c r="J88" i="5"/>
  <c r="P82" i="5"/>
  <c r="K14" i="18" l="1"/>
  <c r="F14" i="18"/>
  <c r="N90" i="5"/>
  <c r="K90" i="5"/>
  <c r="J90" i="5"/>
  <c r="L90" i="5"/>
  <c r="M90" i="5"/>
  <c r="P90" i="5" l="1"/>
  <c r="N45" i="5"/>
  <c r="M45" i="5"/>
  <c r="L45" i="5"/>
  <c r="K45" i="5"/>
  <c r="J45" i="5"/>
  <c r="P44" i="5"/>
  <c r="P43" i="5"/>
  <c r="P42" i="5"/>
  <c r="P41" i="5"/>
  <c r="P40" i="5"/>
  <c r="P39" i="5"/>
  <c r="P38" i="5"/>
  <c r="P37" i="5"/>
  <c r="P36" i="5"/>
  <c r="N32" i="5"/>
  <c r="M32" i="5"/>
  <c r="L32" i="5"/>
  <c r="K32" i="5"/>
  <c r="J32" i="5"/>
  <c r="P31" i="5"/>
  <c r="P30" i="5"/>
  <c r="P29" i="5"/>
  <c r="P28" i="5"/>
  <c r="P27" i="5"/>
  <c r="P26" i="5"/>
  <c r="P25" i="5"/>
  <c r="P24" i="5"/>
  <c r="P23" i="5"/>
  <c r="P18" i="5"/>
  <c r="P17" i="5"/>
  <c r="P16" i="5"/>
  <c r="P15" i="5"/>
  <c r="P14" i="5"/>
  <c r="P13" i="5"/>
  <c r="P12" i="5"/>
  <c r="P11" i="5"/>
  <c r="P10" i="5"/>
  <c r="P51" i="5" l="1"/>
  <c r="P59" i="5"/>
  <c r="P45" i="5"/>
  <c r="L60" i="5"/>
  <c r="L67" i="5" s="1"/>
  <c r="P57" i="5"/>
  <c r="N60" i="5"/>
  <c r="N67" i="5" s="1"/>
  <c r="P55" i="5"/>
  <c r="M60" i="5"/>
  <c r="M67" i="5" s="1"/>
  <c r="P32" i="5"/>
  <c r="P54" i="5"/>
  <c r="P58" i="5"/>
  <c r="K60" i="5"/>
  <c r="K67" i="5" s="1"/>
  <c r="P52" i="5"/>
  <c r="P56" i="5"/>
  <c r="P19" i="5"/>
  <c r="J60" i="5"/>
  <c r="J67" i="5" s="1"/>
  <c r="P60" i="5" l="1"/>
  <c r="P67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<sst xmlns="http://schemas.openxmlformats.org/spreadsheetml/2006/main" count="169" uniqueCount="69">
  <si>
    <t>Staff Relocation / Alternative Accom</t>
  </si>
  <si>
    <t xml:space="preserve">New Depot Design </t>
  </si>
  <si>
    <t>Civil Works/Demolition works</t>
  </si>
  <si>
    <t xml:space="preserve">Building works </t>
  </si>
  <si>
    <t xml:space="preserve">Services </t>
  </si>
  <si>
    <t>Fixtures, Furniture &amp; equipment</t>
  </si>
  <si>
    <t>Total</t>
  </si>
  <si>
    <t>Land acquisition</t>
  </si>
  <si>
    <t>Powercor</t>
  </si>
  <si>
    <t>Project Management</t>
  </si>
  <si>
    <t>Other</t>
  </si>
  <si>
    <t>Labour</t>
  </si>
  <si>
    <t>Materials</t>
  </si>
  <si>
    <t>Contracts</t>
  </si>
  <si>
    <t>Land</t>
  </si>
  <si>
    <t>Regulatory assumptions</t>
  </si>
  <si>
    <t>Assumption Types</t>
  </si>
  <si>
    <t>Assumptions</t>
  </si>
  <si>
    <t>Parameters</t>
  </si>
  <si>
    <t>Area Applied</t>
  </si>
  <si>
    <t>Business:</t>
  </si>
  <si>
    <t>2026/27</t>
  </si>
  <si>
    <t>2027/28</t>
  </si>
  <si>
    <t>2028/29</t>
  </si>
  <si>
    <t>2029/30</t>
  </si>
  <si>
    <t>2030/31</t>
  </si>
  <si>
    <t>Cost inputs from SME:</t>
  </si>
  <si>
    <t>Material</t>
  </si>
  <si>
    <t>check</t>
  </si>
  <si>
    <t>Total Property Cost</t>
  </si>
  <si>
    <t>Non network other – Property</t>
  </si>
  <si>
    <t>Real Discount rate:</t>
  </si>
  <si>
    <t>Labour unit rate:</t>
  </si>
  <si>
    <t>Option 1</t>
  </si>
  <si>
    <t>Option 2</t>
  </si>
  <si>
    <t>Option 3</t>
  </si>
  <si>
    <t>Total Cost for preferred option</t>
  </si>
  <si>
    <t>Escalation: for Regulation use</t>
  </si>
  <si>
    <t>For Regulation use only:</t>
  </si>
  <si>
    <t>Costs for business case</t>
  </si>
  <si>
    <t>dollars</t>
  </si>
  <si>
    <t>To convert from SME input:</t>
  </si>
  <si>
    <t>Multiply by:</t>
  </si>
  <si>
    <t>Labour rate ($/hr)</t>
  </si>
  <si>
    <t>$122.20</t>
  </si>
  <si>
    <t>Depot:</t>
  </si>
  <si>
    <t>Training Facility</t>
  </si>
  <si>
    <t>Allocations (%) where applicable</t>
  </si>
  <si>
    <t>CitiPower</t>
  </si>
  <si>
    <t>United Energy</t>
  </si>
  <si>
    <t>Training facility</t>
  </si>
  <si>
    <t>NA</t>
  </si>
  <si>
    <t>Lagged conversion to Jun 26</t>
  </si>
  <si>
    <t>June 2023</t>
  </si>
  <si>
    <t>June 2024</t>
  </si>
  <si>
    <t>June 2025</t>
  </si>
  <si>
    <t>June 2026</t>
  </si>
  <si>
    <t>$ June 2018 (2021-26 reset)</t>
  </si>
  <si>
    <t>$ June 2023</t>
  </si>
  <si>
    <t>$ June 2024</t>
  </si>
  <si>
    <t>Preferred option</t>
  </si>
  <si>
    <t>Preferred option:</t>
  </si>
  <si>
    <t>Powercor summary</t>
  </si>
  <si>
    <t>Capex</t>
  </si>
  <si>
    <t>Opex</t>
  </si>
  <si>
    <t>Totex</t>
  </si>
  <si>
    <t>Regulatory proposal 2026-31</t>
  </si>
  <si>
    <t>Model number:</t>
  </si>
  <si>
    <t>CitiPower &amp; Powercor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</si>
</sst>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000"/>
    <numFmt numFmtId="166" formatCode="[Red]\●;[Red]\●;[Color10]\●"/>
    <numFmt numFmtId="167" formatCode="0.000000"/>
    <numFmt numFmtId="168" formatCode="&quot;$&quot;#,##0;[Red]\-&quot;$&quot;#,##0;\ &quot;-&quot;"/>
    <numFmt numFmtId="169" formatCode="dd\ mmmm\ yyyy"/>
    <numFmt numFmtId="170" formatCode="_-* #,##0.0_-;\-* #,##0.0_-;_-* &quot;-&quot;?_-;_-@_-"/>
  </numFmts>
  <fonts count="48" x14ac:knownFonts="1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i/>
      <sz val="10"/>
      <color theme="0" tint="-0.34998626667073579"/>
      <name val="Calibri"/>
      <family val="2"/>
    </font>
    <font>
      <b/>
      <i/>
      <sz val="10"/>
      <color theme="0" tint="-0.34998626667073579"/>
      <name val="Calibri"/>
      <family val="2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FF"/>
      <name val="Calibri"/>
      <family val="2"/>
    </font>
    <font>
      <b/>
      <sz val="12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FFFFFF"/>
      <name val="Arial"/>
      <family val="2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</font>
    <font>
      <sz val="10"/>
      <color rgb="FFFF0000"/>
      <name val="Calibri"/>
      <family val="2"/>
    </font>
    <font>
      <sz val="8"/>
      <name val="Helvetica"/>
      <family val="2"/>
    </font>
    <font>
      <sz val="8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8"/>
      <color theme="0" tint="-0.34998626667073579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  <font>
      <i/>
      <sz val="10"/>
      <name val="Calibri"/>
      <family val="2"/>
    </font>
    <font>
      <i/>
      <sz val="10"/>
      <color rgb="FF0000FF"/>
      <name val="Calibri"/>
      <family val="2"/>
    </font>
    <font>
      <sz val="10"/>
      <color rgb="FF0066FF"/>
      <name val="Calibri"/>
      <family val="2"/>
    </font>
    <font>
      <b/>
      <i/>
      <sz val="10"/>
      <color theme="0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E5F2"/>
        <bgColor indexed="64"/>
      </patternFill>
    </fill>
    <fill>
      <patternFill patternType="solid">
        <fgColor rgb="FF00215B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1">
    <xf numFmtId="0" fontId="0" fillId="0" borderId="0"/>
    <xf numFmtId="43" fontId="8" fillId="0" borderId="0" applyFont="0" applyFill="0" applyBorder="0" applyAlignment="0" applyProtection="0"/>
    <xf numFmtId="0" fontId="10" fillId="0" borderId="0"/>
    <xf numFmtId="0" fontId="7" fillId="0" borderId="0"/>
    <xf numFmtId="9" fontId="7" fillId="0" borderId="0" applyFont="0" applyFill="0" applyBorder="0" applyAlignment="0" applyProtection="0"/>
    <xf numFmtId="0" fontId="22" fillId="0" borderId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28" fillId="0" borderId="0">
      <alignment horizontal="center" vertical="center"/>
    </xf>
    <xf numFmtId="9" fontId="8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44" fontId="8" fillId="0" borderId="0" applyFont="0" applyFill="0" applyBorder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8" fillId="0" borderId="0"/>
  </cellStyleXfs>
  <cellXfs count="121">
    <xf numFmtId="0" fontId="0" fillId="0" borderId="0" xfId="0"/>
    <xf numFmtId="9" fontId="0" fillId="2" borderId="0" xfId="0" applyNumberFormat="1" applyFill="1" applyProtection="1">
      <protection locked="0"/>
    </xf>
    <xf numFmtId="164" fontId="0" fillId="2" borderId="0" xfId="1" applyNumberFormat="1" applyFont="1" applyFill="1" applyProtection="1">
      <protection locked="0"/>
    </xf>
    <xf numFmtId="10" fontId="14" fillId="5" borderId="0" xfId="3" applyNumberFormat="1" applyFont="1" applyFill="1"/>
    <xf numFmtId="0" fontId="14" fillId="5" borderId="0" xfId="3" applyFont="1" applyFill="1"/>
    <xf numFmtId="0" fontId="7" fillId="0" borderId="0" xfId="3"/>
    <xf numFmtId="10" fontId="17" fillId="5" borderId="0" xfId="3" applyNumberFormat="1" applyFont="1" applyFill="1"/>
    <xf numFmtId="0" fontId="17" fillId="5" borderId="0" xfId="3" applyFont="1" applyFill="1"/>
    <xf numFmtId="0" fontId="18" fillId="5" borderId="0" xfId="3" applyFont="1" applyFill="1"/>
    <xf numFmtId="0" fontId="19" fillId="5" borderId="0" xfId="3" applyFont="1" applyFill="1"/>
    <xf numFmtId="0" fontId="21" fillId="0" borderId="0" xfId="3" applyFont="1"/>
    <xf numFmtId="0" fontId="23" fillId="0" borderId="0" xfId="5" applyFont="1" applyAlignment="1">
      <alignment horizontal="left" vertical="center"/>
    </xf>
    <xf numFmtId="0" fontId="24" fillId="0" borderId="0" xfId="5" applyFont="1" applyAlignment="1">
      <alignment horizontal="left" vertical="center"/>
    </xf>
    <xf numFmtId="0" fontId="25" fillId="0" borderId="0" xfId="3" applyFont="1"/>
    <xf numFmtId="0" fontId="24" fillId="0" borderId="0" xfId="5" applyFont="1" applyAlignment="1">
      <alignment horizontal="right" vertical="center"/>
    </xf>
    <xf numFmtId="0" fontId="25" fillId="0" borderId="0" xfId="0" applyFont="1" applyAlignment="1">
      <alignment horizontal="left"/>
    </xf>
    <xf numFmtId="0" fontId="25" fillId="0" borderId="0" xfId="3" applyFont="1" applyAlignment="1">
      <alignment horizontal="left"/>
    </xf>
    <xf numFmtId="0" fontId="9" fillId="4" borderId="0" xfId="0" applyFont="1" applyFill="1" applyAlignment="1">
      <alignment horizontal="left"/>
    </xf>
    <xf numFmtId="0" fontId="0" fillId="4" borderId="0" xfId="0" applyFill="1"/>
    <xf numFmtId="164" fontId="0" fillId="4" borderId="0" xfId="1" applyNumberFormat="1" applyFont="1" applyFill="1" applyProtection="1"/>
    <xf numFmtId="0" fontId="9" fillId="0" borderId="0" xfId="0" applyFont="1"/>
    <xf numFmtId="0" fontId="9" fillId="0" borderId="2" xfId="0" applyFont="1" applyBorder="1"/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12" fillId="0" borderId="0" xfId="0" applyFont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3" borderId="0" xfId="0" applyFill="1"/>
    <xf numFmtId="0" fontId="0" fillId="0" borderId="2" xfId="0" applyBorder="1"/>
    <xf numFmtId="0" fontId="13" fillId="0" borderId="0" xfId="0" applyFont="1"/>
    <xf numFmtId="164" fontId="9" fillId="0" borderId="1" xfId="1" applyNumberFormat="1" applyFont="1" applyBorder="1" applyProtection="1"/>
    <xf numFmtId="164" fontId="9" fillId="0" borderId="1" xfId="0" applyNumberFormat="1" applyFont="1" applyBorder="1" applyAlignment="1">
      <alignment horizontal="right"/>
    </xf>
    <xf numFmtId="164" fontId="9" fillId="0" borderId="0" xfId="1" applyNumberFormat="1" applyFont="1" applyBorder="1" applyProtection="1"/>
    <xf numFmtId="164" fontId="9" fillId="0" borderId="0" xfId="0" applyNumberFormat="1" applyFont="1" applyAlignment="1">
      <alignment horizontal="right"/>
    </xf>
    <xf numFmtId="164" fontId="0" fillId="0" borderId="0" xfId="1" applyNumberFormat="1" applyFont="1" applyProtection="1"/>
    <xf numFmtId="164" fontId="0" fillId="3" borderId="0" xfId="1" applyNumberFormat="1" applyFont="1" applyFill="1" applyBorder="1" applyProtection="1"/>
    <xf numFmtId="164" fontId="0" fillId="0" borderId="0" xfId="1" applyNumberFormat="1" applyFont="1" applyFill="1" applyProtection="1"/>
    <xf numFmtId="0" fontId="9" fillId="0" borderId="1" xfId="0" applyFont="1" applyBorder="1"/>
    <xf numFmtId="0" fontId="0" fillId="0" borderId="1" xfId="0" applyBorder="1"/>
    <xf numFmtId="0" fontId="27" fillId="0" borderId="0" xfId="0" applyFont="1"/>
    <xf numFmtId="164" fontId="27" fillId="0" borderId="0" xfId="1" applyNumberFormat="1" applyFont="1" applyProtection="1"/>
    <xf numFmtId="0" fontId="9" fillId="4" borderId="0" xfId="0" applyFont="1" applyFill="1"/>
    <xf numFmtId="165" fontId="0" fillId="0" borderId="0" xfId="1" applyNumberFormat="1" applyFont="1" applyFill="1" applyProtection="1"/>
    <xf numFmtId="164" fontId="27" fillId="0" borderId="0" xfId="0" applyNumberFormat="1" applyFont="1"/>
    <xf numFmtId="3" fontId="0" fillId="0" borderId="0" xfId="1" applyNumberFormat="1" applyFont="1" applyFill="1" applyProtection="1"/>
    <xf numFmtId="0" fontId="25" fillId="0" borderId="0" xfId="0" applyFont="1"/>
    <xf numFmtId="0" fontId="25" fillId="0" borderId="0" xfId="14" applyFont="1" applyAlignment="1">
      <alignment horizontal="left"/>
    </xf>
    <xf numFmtId="0" fontId="31" fillId="0" borderId="0" xfId="0" applyFont="1"/>
    <xf numFmtId="0" fontId="31" fillId="0" borderId="2" xfId="0" applyFont="1" applyBorder="1"/>
    <xf numFmtId="167" fontId="25" fillId="0" borderId="3" xfId="0" applyNumberFormat="1" applyFont="1" applyBorder="1"/>
    <xf numFmtId="9" fontId="0" fillId="0" borderId="0" xfId="0" applyNumberFormat="1"/>
    <xf numFmtId="0" fontId="9" fillId="2" borderId="0" xfId="0" applyFont="1" applyFill="1" applyAlignment="1" applyProtection="1">
      <alignment horizontal="left"/>
      <protection locked="0"/>
    </xf>
    <xf numFmtId="7" fontId="25" fillId="0" borderId="3" xfId="15" applyNumberFormat="1" applyFont="1" applyBorder="1"/>
    <xf numFmtId="10" fontId="9" fillId="0" borderId="2" xfId="0" applyNumberFormat="1" applyFont="1" applyBorder="1" applyProtection="1">
      <protection locked="0"/>
    </xf>
    <xf numFmtId="10" fontId="30" fillId="2" borderId="3" xfId="4" applyNumberFormat="1" applyFont="1" applyFill="1" applyBorder="1" applyProtection="1">
      <protection locked="0"/>
    </xf>
    <xf numFmtId="10" fontId="30" fillId="2" borderId="3" xfId="4" applyNumberFormat="1" applyFont="1" applyFill="1" applyBorder="1" applyAlignment="1" applyProtection="1">
      <alignment horizontal="left"/>
    </xf>
    <xf numFmtId="1" fontId="30" fillId="2" borderId="3" xfId="6" applyNumberFormat="1" applyFont="1" applyFill="1" applyBorder="1" applyAlignment="1" applyProtection="1">
      <alignment horizontal="right"/>
      <protection locked="0"/>
    </xf>
    <xf numFmtId="0" fontId="25" fillId="0" borderId="2" xfId="0" applyFont="1" applyBorder="1"/>
    <xf numFmtId="1" fontId="20" fillId="0" borderId="3" xfId="6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left"/>
    </xf>
    <xf numFmtId="9" fontId="16" fillId="2" borderId="3" xfId="6" applyFont="1" applyFill="1" applyBorder="1" applyProtection="1">
      <protection locked="0"/>
    </xf>
    <xf numFmtId="9" fontId="16" fillId="2" borderId="4" xfId="6" applyFont="1" applyFill="1" applyBorder="1" applyProtection="1">
      <protection locked="0"/>
    </xf>
    <xf numFmtId="9" fontId="11" fillId="0" borderId="5" xfId="0" applyNumberFormat="1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2" xfId="0" applyFont="1" applyBorder="1" applyAlignment="1">
      <alignment horizontal="right"/>
    </xf>
    <xf numFmtId="0" fontId="32" fillId="0" borderId="1" xfId="0" applyFont="1" applyBorder="1" applyAlignment="1">
      <alignment horizontal="left"/>
    </xf>
    <xf numFmtId="0" fontId="20" fillId="0" borderId="1" xfId="0" applyFont="1" applyBorder="1"/>
    <xf numFmtId="0" fontId="33" fillId="0" borderId="1" xfId="0" applyFont="1" applyBorder="1"/>
    <xf numFmtId="0" fontId="32" fillId="0" borderId="1" xfId="0" applyFont="1" applyBorder="1" applyAlignment="1">
      <alignment horizontal="right"/>
    </xf>
    <xf numFmtId="167" fontId="32" fillId="0" borderId="1" xfId="0" applyNumberFormat="1" applyFont="1" applyBorder="1" applyAlignment="1">
      <alignment horizontal="right"/>
    </xf>
    <xf numFmtId="10" fontId="32" fillId="0" borderId="0" xfId="6" applyNumberFormat="1" applyFont="1" applyFill="1"/>
    <xf numFmtId="0" fontId="34" fillId="0" borderId="0" xfId="0" applyFont="1" applyAlignment="1">
      <alignment horizontal="right"/>
    </xf>
    <xf numFmtId="10" fontId="16" fillId="0" borderId="0" xfId="6" applyNumberFormat="1" applyFont="1" applyFill="1"/>
    <xf numFmtId="0" fontId="35" fillId="0" borderId="0" xfId="0" applyFont="1" applyAlignment="1">
      <alignment horizontal="right"/>
    </xf>
    <xf numFmtId="0" fontId="36" fillId="0" borderId="0" xfId="0" applyFont="1"/>
    <xf numFmtId="7" fontId="32" fillId="0" borderId="3" xfId="15" applyNumberFormat="1" applyFont="1" applyFill="1" applyBorder="1" applyAlignment="1">
      <alignment horizontal="right"/>
    </xf>
    <xf numFmtId="10" fontId="14" fillId="5" borderId="0" xfId="17" applyNumberFormat="1" applyFont="1" applyFill="1"/>
    <xf numFmtId="0" fontId="14" fillId="5" borderId="0" xfId="17" applyFont="1" applyFill="1"/>
    <xf numFmtId="0" fontId="15" fillId="5" borderId="0" xfId="17" applyFont="1" applyFill="1"/>
    <xf numFmtId="0" fontId="25" fillId="0" borderId="0" xfId="17" applyFont="1"/>
    <xf numFmtId="0" fontId="17" fillId="5" borderId="0" xfId="17" applyFont="1" applyFill="1"/>
    <xf numFmtId="0" fontId="18" fillId="5" borderId="0" xfId="17" applyFont="1" applyFill="1"/>
    <xf numFmtId="0" fontId="19" fillId="5" borderId="0" xfId="17" applyFont="1" applyFill="1"/>
    <xf numFmtId="0" fontId="37" fillId="5" borderId="0" xfId="17" applyFont="1" applyFill="1"/>
    <xf numFmtId="0" fontId="21" fillId="0" borderId="0" xfId="17" applyFont="1"/>
    <xf numFmtId="3" fontId="25" fillId="0" borderId="0" xfId="17" applyNumberFormat="1" applyFont="1"/>
    <xf numFmtId="0" fontId="2" fillId="0" borderId="0" xfId="17"/>
    <xf numFmtId="0" fontId="17" fillId="0" borderId="0" xfId="17" applyFont="1"/>
    <xf numFmtId="0" fontId="15" fillId="0" borderId="0" xfId="17" applyFont="1"/>
    <xf numFmtId="0" fontId="11" fillId="0" borderId="0" xfId="17" applyFont="1"/>
    <xf numFmtId="0" fontId="11" fillId="0" borderId="3" xfId="17" applyFont="1" applyBorder="1"/>
    <xf numFmtId="0" fontId="29" fillId="6" borderId="0" xfId="2" applyFont="1" applyFill="1"/>
    <xf numFmtId="0" fontId="11" fillId="7" borderId="2" xfId="17" applyFont="1" applyFill="1" applyBorder="1"/>
    <xf numFmtId="0" fontId="25" fillId="7" borderId="2" xfId="17" applyFont="1" applyFill="1" applyBorder="1"/>
    <xf numFmtId="0" fontId="11" fillId="7" borderId="2" xfId="17" applyFont="1" applyFill="1" applyBorder="1" applyAlignment="1">
      <alignment horizontal="center"/>
    </xf>
    <xf numFmtId="0" fontId="11" fillId="7" borderId="6" xfId="17" applyFont="1" applyFill="1" applyBorder="1" applyAlignment="1">
      <alignment horizontal="center"/>
    </xf>
    <xf numFmtId="0" fontId="38" fillId="0" borderId="0" xfId="17" applyFont="1"/>
    <xf numFmtId="168" fontId="25" fillId="0" borderId="0" xfId="17" applyNumberFormat="1" applyFont="1" applyAlignment="1">
      <alignment horizontal="right" vertical="top"/>
    </xf>
    <xf numFmtId="9" fontId="25" fillId="0" borderId="0" xfId="18" applyFont="1"/>
    <xf numFmtId="0" fontId="25" fillId="0" borderId="7" xfId="17" applyFont="1" applyBorder="1"/>
    <xf numFmtId="0" fontId="39" fillId="0" borderId="7" xfId="17" applyFont="1" applyBorder="1"/>
    <xf numFmtId="168" fontId="25" fillId="0" borderId="7" xfId="17" applyNumberFormat="1" applyFont="1" applyBorder="1" applyAlignment="1">
      <alignment horizontal="right" vertical="top"/>
    </xf>
    <xf numFmtId="0" fontId="1" fillId="8" borderId="0" xfId="19" applyFill="1"/>
    <xf numFmtId="0" fontId="1" fillId="0" borderId="0" xfId="19"/>
    <xf numFmtId="0" fontId="8" fillId="0" borderId="0" xfId="20"/>
    <xf numFmtId="0" fontId="40" fillId="0" borderId="0" xfId="19" applyFont="1"/>
    <xf numFmtId="0" fontId="41" fillId="0" borderId="0" xfId="19" applyFont="1"/>
    <xf numFmtId="0" fontId="42" fillId="0" borderId="0" xfId="19" applyFont="1"/>
    <xf numFmtId="0" fontId="43" fillId="0" borderId="0" xfId="19" applyFont="1"/>
    <xf numFmtId="0" fontId="44" fillId="0" borderId="0" xfId="19" applyFont="1"/>
    <xf numFmtId="165" fontId="44" fillId="0" borderId="0" xfId="19" applyNumberFormat="1" applyFont="1"/>
    <xf numFmtId="0" fontId="45" fillId="0" borderId="0" xfId="19" applyFont="1"/>
    <xf numFmtId="169" fontId="46" fillId="0" borderId="0" xfId="19" applyNumberFormat="1" applyFont="1" applyAlignment="1">
      <alignment horizontal="left"/>
    </xf>
    <xf numFmtId="0" fontId="47" fillId="0" borderId="0" xfId="19" applyFont="1"/>
    <xf numFmtId="170" fontId="0" fillId="0" borderId="0" xfId="0" applyNumberFormat="1"/>
    <xf numFmtId="43" fontId="0" fillId="0" borderId="0" xfId="0" applyNumberFormat="1"/>
    <xf numFmtId="167" fontId="32" fillId="0" borderId="0" xfId="0" applyNumberFormat="1" applyFont="1" applyAlignment="1">
      <alignment horizontal="right"/>
    </xf>
    <xf numFmtId="10" fontId="30" fillId="2" borderId="3" xfId="6" applyNumberFormat="1" applyFont="1" applyFill="1" applyBorder="1" applyAlignment="1">
      <alignment horizontal="right"/>
    </xf>
    <xf numFmtId="8" fontId="30" fillId="2" borderId="3" xfId="0" applyNumberFormat="1" applyFont="1" applyFill="1" applyBorder="1" applyAlignment="1">
      <alignment horizontal="right"/>
    </xf>
    <xf numFmtId="49" fontId="30" fillId="2" borderId="3" xfId="6" applyNumberFormat="1" applyFont="1" applyFill="1" applyBorder="1" applyAlignment="1">
      <alignment horizontal="right"/>
    </xf>
    <xf numFmtId="7" fontId="30" fillId="2" borderId="3" xfId="6" applyNumberFormat="1" applyFont="1" applyFill="1" applyBorder="1" applyAlignment="1">
      <alignment horizontal="right"/>
    </xf>
  </cellXfs>
  <cellStyles count="21">
    <cellStyle name="Check RedRedGreen" xfId="8" xr:uid="{A07C2B14-A758-48CC-ACE9-CC00503EF93E}"/>
    <cellStyle name="Comma" xfId="1" builtinId="3"/>
    <cellStyle name="Comma 2" xfId="7" xr:uid="{E7CD6E51-A097-4BCC-B18F-71FF953AA5B1}"/>
    <cellStyle name="Comma 3" xfId="12" xr:uid="{B653F776-74D3-495F-9539-63A4C127C9E2}"/>
    <cellStyle name="Currency" xfId="15" builtinId="4"/>
    <cellStyle name="Normal" xfId="0" builtinId="0"/>
    <cellStyle name="Normal 2" xfId="3" xr:uid="{50F72706-A687-4356-A72D-8432F088CA1F}"/>
    <cellStyle name="Normal 2 2" xfId="20" xr:uid="{0C057D74-F0F2-4DC5-A718-6A48EF481134}"/>
    <cellStyle name="Normal 2 4" xfId="14" xr:uid="{0DDFC20C-E306-4FAD-A79C-1663D2BC8384}"/>
    <cellStyle name="Normal 3" xfId="10" xr:uid="{79526901-AF0E-4E8A-9EC1-1BE38210D894}"/>
    <cellStyle name="Normal 3 2" xfId="2" xr:uid="{00000000-0005-0000-0000-000002000000}"/>
    <cellStyle name="Normal 3 3" xfId="19" xr:uid="{ADF14B1D-0BCC-45EC-B082-2D498F761745}"/>
    <cellStyle name="Normal 4" xfId="13" xr:uid="{2D034883-14CE-42E0-AEB5-71B20DF61DB4}"/>
    <cellStyle name="Normal 4 2" xfId="16" xr:uid="{35608108-747D-4848-BD81-3AD4E402A2E9}"/>
    <cellStyle name="Normal 5" xfId="5" xr:uid="{7750AB51-2977-417D-BF14-E6F9FFA03BD6}"/>
    <cellStyle name="Normal 6" xfId="17" xr:uid="{25898189-AB27-4E83-8A0E-761B630ED748}"/>
    <cellStyle name="Percent" xfId="6" builtinId="5"/>
    <cellStyle name="Percent 2" xfId="4" xr:uid="{338B4E63-6BDB-4058-8C29-6E973EB83177}"/>
    <cellStyle name="Percent 3" xfId="11" xr:uid="{8C26CEA5-EDEB-4211-B83D-9CA76D4B70FB}"/>
    <cellStyle name="Percent 4" xfId="18" xr:uid="{F829BEB3-DD9C-4902-A411-A38BF2EBC037}"/>
    <cellStyle name="Percent 5" xfId="9" xr:uid="{23D8549C-9F67-4F01-B2F6-9F962920B111}"/>
  </cellStyles>
  <dxfs count="2"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FFFFCC"/>
      <color rgb="FFFFCCFF"/>
      <color rgb="FFFF99FF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95250</xdr:colOff>
      <xdr:row>0</xdr:row>
      <xdr:rowOff>171450</xdr:rowOff>
    </xdr:from>
    <xdr:ext cx="876300" cy="876300"/>
    <xdr:pic>
      <xdr:nvPicPr>
        <xdr:cNvPr id="2" name="Picture 1">
          <a:extLst>
            <a:ext uri="{FF2B5EF4-FFF2-40B4-BE49-F238E27FC236}">
              <a16:creationId xmlns:a16="http://schemas.microsoft.com/office/drawing/2014/main" id="{FAC8DBD8-7135-44E6-B599-0D02DC69D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17145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3858A-995F-4D08-AC2E-C65AD8FF9309}">
  <dimension ref="A1:K43"/>
  <sheetViews>
    <sheetView showGridLines="0" workbookViewId="0">
      <selection activeCell="C34" sqref="C34"/>
    </sheetView>
  </sheetViews>
  <sheetFormatPr defaultColWidth="0" defaultRowHeight="12.75" customHeight="1" zeroHeight="1" x14ac:dyDescent="0.2"/>
  <cols>
    <col min="1" max="1" width="12.42578125" style="104" customWidth="1"/>
    <col min="2" max="2" width="2.42578125" style="104" customWidth="1"/>
    <col min="3" max="3" width="16.28515625" style="104" customWidth="1"/>
    <col min="4" max="11" width="10.28515625" style="104" customWidth="1"/>
    <col min="12" max="16384" width="10.28515625" style="104" hidden="1"/>
  </cols>
  <sheetData>
    <row r="1" spans="1:11" ht="15" x14ac:dyDescent="0.25">
      <c r="A1" s="102"/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 ht="23.25" x14ac:dyDescent="0.35">
      <c r="A2" s="102"/>
      <c r="B2" s="103"/>
      <c r="C2" s="105" t="s">
        <v>8</v>
      </c>
      <c r="D2" s="106"/>
      <c r="E2" s="106"/>
      <c r="F2" s="103"/>
      <c r="G2" s="103"/>
      <c r="H2" s="103"/>
      <c r="I2" s="103"/>
      <c r="J2" s="103"/>
      <c r="K2" s="103"/>
    </row>
    <row r="3" spans="1:11" ht="15.75" x14ac:dyDescent="0.25">
      <c r="A3" s="102"/>
      <c r="B3" s="103"/>
      <c r="C3" s="107" t="s">
        <v>66</v>
      </c>
      <c r="D3" s="106"/>
      <c r="E3" s="106"/>
      <c r="F3" s="103"/>
      <c r="G3" s="103"/>
      <c r="H3" s="103"/>
      <c r="I3" s="103"/>
      <c r="J3" s="103"/>
      <c r="K3" s="103"/>
    </row>
    <row r="4" spans="1:11" ht="15" x14ac:dyDescent="0.25">
      <c r="A4" s="102"/>
      <c r="B4" s="103"/>
      <c r="C4" s="103"/>
      <c r="D4" s="106"/>
      <c r="E4" s="106"/>
      <c r="F4" s="103"/>
      <c r="G4" s="103"/>
      <c r="H4" s="103"/>
      <c r="I4" s="103"/>
      <c r="J4" s="103"/>
      <c r="K4" s="103"/>
    </row>
    <row r="5" spans="1:11" ht="15" x14ac:dyDescent="0.25">
      <c r="A5" s="102"/>
      <c r="B5" s="103"/>
      <c r="C5" s="108" t="str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Training facility</v>
      </c>
      <c r="D5" s="103"/>
      <c r="E5" s="103"/>
      <c r="F5" s="103"/>
      <c r="G5" s="103"/>
      <c r="H5" s="103"/>
      <c r="I5" s="103"/>
      <c r="J5" s="103"/>
      <c r="K5" s="103"/>
    </row>
    <row r="6" spans="1:11" ht="15" x14ac:dyDescent="0.25">
      <c r="A6" s="102"/>
      <c r="B6" s="103"/>
      <c r="C6" s="109" t="s">
        <v>67</v>
      </c>
      <c r="D6" s="110" t="str" cm="1">
        <f t="array" aca="1" ref="D6" ca="1">LEFT(_xlfn.TEXTAFTER(CELL("filename")," MOD "),FIND(" - ",_xlfn.TEXTAFTER(CELL("filename")," MOD "),1)-1)</f>
        <v>8.02</v>
      </c>
      <c r="E6" s="109"/>
      <c r="F6" s="103"/>
      <c r="G6" s="103"/>
      <c r="H6" s="103"/>
      <c r="I6" s="103"/>
      <c r="J6" s="103"/>
      <c r="K6" s="103"/>
    </row>
    <row r="7" spans="1:11" ht="15" x14ac:dyDescent="0.25">
      <c r="A7" s="102"/>
      <c r="B7" s="103"/>
      <c r="C7" s="103"/>
      <c r="D7" s="103"/>
      <c r="E7" s="103"/>
      <c r="F7" s="111"/>
      <c r="G7" s="111"/>
      <c r="H7" s="111"/>
      <c r="I7" s="103"/>
      <c r="J7" s="111"/>
      <c r="K7" s="111"/>
    </row>
    <row r="8" spans="1:11" ht="15" x14ac:dyDescent="0.25">
      <c r="A8" s="102"/>
      <c r="B8" s="103"/>
      <c r="C8" s="112">
        <v>45688</v>
      </c>
      <c r="D8" s="103"/>
      <c r="E8" s="103"/>
      <c r="F8" s="111"/>
      <c r="G8" s="111"/>
      <c r="H8" s="111"/>
      <c r="I8" s="103"/>
      <c r="J8" s="111"/>
      <c r="K8" s="111"/>
    </row>
    <row r="9" spans="1:11" ht="15" x14ac:dyDescent="0.25">
      <c r="A9" s="102"/>
      <c r="B9" s="103"/>
      <c r="C9" s="113"/>
      <c r="D9" s="113"/>
      <c r="E9" s="103"/>
      <c r="F9" s="111"/>
      <c r="G9" s="111"/>
      <c r="H9" s="111"/>
      <c r="I9" s="111"/>
      <c r="J9" s="111"/>
      <c r="K9" s="111"/>
    </row>
    <row r="10" spans="1:11" ht="15" x14ac:dyDescent="0.25">
      <c r="A10" s="102"/>
      <c r="B10" s="103"/>
      <c r="C10" s="113"/>
      <c r="D10" s="113"/>
      <c r="E10" s="103"/>
      <c r="F10" s="111"/>
      <c r="G10" s="111"/>
      <c r="H10" s="111"/>
      <c r="I10" s="111"/>
      <c r="J10" s="111"/>
      <c r="K10" s="111"/>
    </row>
    <row r="11" spans="1:11" ht="15" x14ac:dyDescent="0.25">
      <c r="A11" s="102"/>
      <c r="B11" s="103"/>
      <c r="C11" s="113"/>
      <c r="D11" s="113"/>
      <c r="E11" s="103"/>
      <c r="F11" s="111"/>
      <c r="G11" s="111"/>
      <c r="H11" s="111"/>
      <c r="I11" s="111"/>
      <c r="J11" s="111"/>
      <c r="K11" s="111"/>
    </row>
    <row r="12" spans="1:11" ht="15" x14ac:dyDescent="0.25">
      <c r="A12" s="102"/>
      <c r="B12" s="103"/>
      <c r="C12" s="113"/>
      <c r="D12" s="113"/>
      <c r="E12" s="103"/>
      <c r="F12" s="111"/>
      <c r="G12" s="111"/>
      <c r="H12" s="111"/>
      <c r="I12" s="111"/>
      <c r="J12" s="111"/>
      <c r="K12" s="111"/>
    </row>
    <row r="13" spans="1:11" ht="15" x14ac:dyDescent="0.25">
      <c r="A13" s="102"/>
      <c r="B13" s="103"/>
      <c r="C13" s="113"/>
      <c r="D13" s="113"/>
      <c r="E13" s="103"/>
      <c r="F13" s="111"/>
      <c r="G13" s="111"/>
      <c r="H13" s="111"/>
      <c r="I13" s="111"/>
      <c r="J13" s="111"/>
      <c r="K13" s="111"/>
    </row>
    <row r="14" spans="1:11" ht="15" x14ac:dyDescent="0.25">
      <c r="A14" s="102"/>
      <c r="B14" s="103"/>
      <c r="C14" s="111"/>
      <c r="D14" s="111"/>
      <c r="E14" s="111"/>
      <c r="F14" s="111"/>
      <c r="G14" s="111"/>
      <c r="H14" s="111"/>
      <c r="I14" s="111"/>
      <c r="J14" s="111"/>
      <c r="K14" s="111"/>
    </row>
    <row r="15" spans="1:11" ht="15" x14ac:dyDescent="0.25">
      <c r="A15" s="102"/>
      <c r="B15" s="103"/>
      <c r="C15" s="108"/>
      <c r="D15" s="111"/>
      <c r="E15" s="111"/>
      <c r="F15" s="111"/>
      <c r="G15" s="111"/>
      <c r="H15" s="111"/>
      <c r="I15" s="111"/>
      <c r="J15" s="111"/>
      <c r="K15" s="111"/>
    </row>
    <row r="16" spans="1:11" ht="15" x14ac:dyDescent="0.25">
      <c r="A16" s="102"/>
      <c r="B16" s="103"/>
      <c r="C16" s="108"/>
      <c r="D16" s="111"/>
      <c r="E16" s="111"/>
      <c r="F16" s="111"/>
      <c r="G16" s="111"/>
      <c r="H16" s="111"/>
      <c r="I16" s="111"/>
      <c r="J16" s="111"/>
      <c r="K16" s="111"/>
    </row>
    <row r="17" spans="1:11" ht="15" x14ac:dyDescent="0.25">
      <c r="A17" s="102"/>
      <c r="B17" s="103"/>
      <c r="C17" s="111"/>
      <c r="D17" s="111"/>
      <c r="E17" s="111"/>
      <c r="F17" s="111"/>
      <c r="G17" s="111"/>
      <c r="H17" s="111"/>
      <c r="I17" s="111"/>
      <c r="J17" s="111"/>
      <c r="K17" s="111"/>
    </row>
    <row r="18" spans="1:11" ht="15" x14ac:dyDescent="0.25">
      <c r="A18" s="102"/>
      <c r="B18" s="103"/>
      <c r="C18" s="111"/>
      <c r="D18" s="111"/>
      <c r="E18" s="111"/>
      <c r="F18" s="111"/>
      <c r="G18" s="111"/>
      <c r="H18" s="111"/>
      <c r="I18" s="111"/>
      <c r="J18" s="111"/>
      <c r="K18" s="111"/>
    </row>
    <row r="19" spans="1:11" ht="15" x14ac:dyDescent="0.25">
      <c r="A19" s="102"/>
      <c r="B19" s="103"/>
      <c r="C19" s="111"/>
      <c r="D19" s="111"/>
      <c r="E19" s="111"/>
      <c r="F19" s="111"/>
      <c r="H19" s="111"/>
      <c r="I19" s="111"/>
      <c r="J19" s="111"/>
      <c r="K19" s="111"/>
    </row>
    <row r="20" spans="1:11" ht="15" x14ac:dyDescent="0.25">
      <c r="A20" s="102"/>
      <c r="B20" s="103"/>
      <c r="C20" s="111"/>
      <c r="D20" s="111"/>
      <c r="E20" s="111"/>
      <c r="F20" s="111"/>
      <c r="G20" s="111"/>
      <c r="H20" s="111"/>
      <c r="I20" s="111"/>
      <c r="J20" s="111"/>
      <c r="K20" s="111"/>
    </row>
    <row r="21" spans="1:11" ht="15" x14ac:dyDescent="0.25">
      <c r="A21" s="102"/>
      <c r="B21" s="103"/>
      <c r="C21" s="111"/>
      <c r="D21" s="111"/>
      <c r="E21" s="111"/>
      <c r="F21" s="111"/>
      <c r="G21" s="111"/>
      <c r="H21" s="111"/>
      <c r="I21" s="111"/>
      <c r="J21" s="111"/>
      <c r="K21" s="111"/>
    </row>
    <row r="22" spans="1:11" ht="15" x14ac:dyDescent="0.25">
      <c r="A22" s="102"/>
      <c r="B22" s="103"/>
      <c r="C22" s="111"/>
      <c r="D22" s="111"/>
      <c r="E22" s="111"/>
      <c r="F22" s="111"/>
      <c r="G22" s="111"/>
      <c r="H22" s="111"/>
      <c r="I22" s="111"/>
      <c r="J22" s="111"/>
      <c r="K22" s="111"/>
    </row>
    <row r="23" spans="1:11" ht="15" x14ac:dyDescent="0.25">
      <c r="A23" s="102"/>
      <c r="B23" s="103"/>
      <c r="C23" s="111"/>
      <c r="D23" s="111"/>
      <c r="E23" s="111"/>
      <c r="F23" s="111"/>
      <c r="G23" s="111"/>
      <c r="H23" s="111"/>
      <c r="I23" s="111"/>
      <c r="J23" s="111"/>
      <c r="K23" s="111"/>
    </row>
    <row r="24" spans="1:11" ht="15" x14ac:dyDescent="0.25">
      <c r="A24" s="102"/>
      <c r="B24" s="103"/>
      <c r="C24" s="111"/>
      <c r="D24" s="111"/>
      <c r="E24" s="111"/>
      <c r="F24" s="111"/>
      <c r="G24" s="111"/>
      <c r="H24" s="111"/>
      <c r="I24" s="111"/>
      <c r="J24" s="111"/>
      <c r="K24" s="111"/>
    </row>
    <row r="25" spans="1:11" ht="15" x14ac:dyDescent="0.25">
      <c r="A25" s="102"/>
      <c r="B25" s="103"/>
      <c r="C25" s="111"/>
      <c r="D25" s="111"/>
      <c r="E25" s="111"/>
      <c r="F25" s="111"/>
      <c r="G25" s="111"/>
      <c r="H25" s="111"/>
      <c r="I25" s="111"/>
      <c r="J25" s="111"/>
      <c r="K25" s="111"/>
    </row>
    <row r="26" spans="1:11" ht="15" x14ac:dyDescent="0.25">
      <c r="A26" s="102"/>
      <c r="B26" s="103"/>
      <c r="C26" s="111"/>
      <c r="D26" s="111"/>
      <c r="E26" s="111"/>
      <c r="F26" s="111"/>
      <c r="G26" s="111"/>
      <c r="H26" s="111"/>
      <c r="I26" s="111"/>
      <c r="J26" s="111"/>
      <c r="K26" s="111"/>
    </row>
    <row r="27" spans="1:11" ht="15" x14ac:dyDescent="0.25">
      <c r="A27" s="102"/>
      <c r="B27" s="103"/>
      <c r="C27" s="111"/>
      <c r="D27" s="111"/>
      <c r="E27" s="111"/>
      <c r="F27" s="111"/>
      <c r="G27" s="111"/>
      <c r="H27" s="111"/>
      <c r="I27" s="111"/>
      <c r="J27" s="111"/>
      <c r="K27" s="111"/>
    </row>
    <row r="28" spans="1:11" ht="15" x14ac:dyDescent="0.25">
      <c r="A28" s="102"/>
      <c r="B28" s="103"/>
      <c r="C28" s="111"/>
      <c r="D28" s="111"/>
      <c r="E28" s="111"/>
      <c r="F28" s="111"/>
      <c r="G28" s="111"/>
      <c r="H28" s="111"/>
      <c r="I28" s="111"/>
      <c r="J28" s="111"/>
      <c r="K28" s="111"/>
    </row>
    <row r="29" spans="1:11" ht="15" x14ac:dyDescent="0.25">
      <c r="A29" s="102"/>
      <c r="B29" s="103"/>
      <c r="C29" s="111"/>
      <c r="D29" s="111"/>
      <c r="E29" s="111"/>
      <c r="F29" s="111"/>
      <c r="G29" s="111"/>
      <c r="H29" s="111"/>
      <c r="I29" s="111"/>
      <c r="J29" s="111"/>
      <c r="K29" s="111"/>
    </row>
    <row r="30" spans="1:11" ht="15" x14ac:dyDescent="0.25">
      <c r="A30" s="102"/>
      <c r="B30" s="103"/>
      <c r="C30" s="111"/>
      <c r="D30" s="103"/>
      <c r="E30" s="111"/>
      <c r="F30" s="111"/>
      <c r="G30" s="111"/>
      <c r="H30" s="111"/>
      <c r="I30" s="111"/>
      <c r="J30" s="111"/>
      <c r="K30" s="111"/>
    </row>
    <row r="31" spans="1:11" ht="15" x14ac:dyDescent="0.25">
      <c r="A31" s="102"/>
      <c r="B31" s="103"/>
      <c r="C31" s="103"/>
      <c r="D31" s="103"/>
      <c r="E31" s="103"/>
      <c r="F31" s="103"/>
      <c r="G31" s="103"/>
      <c r="H31" s="103"/>
      <c r="I31" s="103"/>
      <c r="J31" s="103"/>
      <c r="K31" s="103"/>
    </row>
    <row r="32" spans="1:11" ht="15" x14ac:dyDescent="0.25">
      <c r="A32" s="102"/>
      <c r="B32" s="103"/>
      <c r="C32" s="103"/>
      <c r="D32" s="103"/>
      <c r="E32" s="103"/>
      <c r="F32" s="103"/>
      <c r="G32" s="103"/>
      <c r="H32" s="103"/>
      <c r="I32" s="103"/>
      <c r="J32" s="103"/>
      <c r="K32" s="103"/>
    </row>
    <row r="33" spans="1:11" ht="15" x14ac:dyDescent="0.25">
      <c r="A33" s="102"/>
      <c r="B33" s="103"/>
      <c r="C33" s="103"/>
      <c r="D33" s="103"/>
      <c r="E33" s="103"/>
      <c r="F33" s="103"/>
      <c r="G33" s="103"/>
      <c r="H33" s="103"/>
      <c r="I33" s="103"/>
      <c r="J33" s="103"/>
      <c r="K33" s="103"/>
    </row>
    <row r="34" spans="1:11" ht="15" x14ac:dyDescent="0.25">
      <c r="A34" s="102"/>
      <c r="B34" s="103"/>
      <c r="C34" s="103"/>
      <c r="D34" s="103"/>
      <c r="E34" s="103"/>
      <c r="F34" s="103"/>
      <c r="G34" s="103"/>
      <c r="H34" s="103"/>
      <c r="I34" s="103"/>
      <c r="J34" s="103"/>
      <c r="K34" s="103"/>
    </row>
    <row r="35" spans="1:11" ht="15" x14ac:dyDescent="0.25">
      <c r="A35" s="102"/>
      <c r="B35" s="103"/>
      <c r="C35" s="103"/>
      <c r="D35" s="103"/>
      <c r="E35" s="103"/>
      <c r="F35" s="103"/>
      <c r="G35" s="103"/>
      <c r="H35" s="103"/>
      <c r="I35" s="103"/>
      <c r="J35" s="103"/>
      <c r="K35" s="103"/>
    </row>
    <row r="36" spans="1:11" ht="15" x14ac:dyDescent="0.25">
      <c r="A36" s="102"/>
      <c r="B36" s="103"/>
      <c r="C36" s="103"/>
      <c r="D36" s="103"/>
      <c r="E36" s="103"/>
      <c r="F36" s="103"/>
      <c r="G36" s="103"/>
      <c r="H36" s="103"/>
      <c r="I36" s="103"/>
      <c r="J36" s="103"/>
      <c r="K36" s="103"/>
    </row>
    <row r="37" spans="1:11" ht="15" x14ac:dyDescent="0.25">
      <c r="A37" s="102"/>
      <c r="B37" s="103"/>
      <c r="C37" s="103"/>
      <c r="D37" s="103"/>
      <c r="E37" s="103"/>
      <c r="F37" s="103"/>
      <c r="G37" s="103"/>
      <c r="H37" s="103"/>
      <c r="I37" s="103"/>
      <c r="J37" s="103"/>
      <c r="K37" s="103"/>
    </row>
    <row r="38" spans="1:11" ht="15" x14ac:dyDescent="0.25">
      <c r="A38" s="102"/>
      <c r="B38" s="103"/>
      <c r="C38" s="103"/>
      <c r="D38" s="103"/>
      <c r="E38" s="103"/>
      <c r="F38" s="103"/>
      <c r="G38" s="103"/>
      <c r="H38" s="103"/>
      <c r="I38" s="103"/>
      <c r="J38" s="103"/>
      <c r="K38" s="103"/>
    </row>
    <row r="39" spans="1:11" ht="15" x14ac:dyDescent="0.25">
      <c r="A39" s="102"/>
      <c r="B39" s="103"/>
      <c r="C39" s="103"/>
      <c r="D39" s="103"/>
      <c r="E39" s="103"/>
      <c r="F39" s="103"/>
      <c r="G39" s="103"/>
      <c r="H39" s="103"/>
      <c r="I39" s="103"/>
      <c r="J39" s="103"/>
      <c r="K39" s="103"/>
    </row>
    <row r="40" spans="1:11" ht="15" x14ac:dyDescent="0.25">
      <c r="A40" s="102"/>
      <c r="B40" s="103"/>
      <c r="C40" s="103"/>
      <c r="D40" s="103"/>
      <c r="E40" s="103"/>
      <c r="F40" s="103"/>
      <c r="G40" s="103"/>
      <c r="H40" s="103"/>
      <c r="I40" s="103"/>
      <c r="J40" s="103"/>
      <c r="K40" s="103"/>
    </row>
    <row r="41" spans="1:11" ht="15" x14ac:dyDescent="0.25">
      <c r="A41" s="102"/>
      <c r="B41" s="103"/>
      <c r="C41" s="103"/>
      <c r="D41" s="103"/>
      <c r="E41" s="103"/>
      <c r="F41" s="103"/>
      <c r="G41" s="103"/>
      <c r="H41" s="103"/>
      <c r="I41" s="103"/>
      <c r="J41" s="103"/>
      <c r="K41" s="103"/>
    </row>
    <row r="42" spans="1:11" ht="15" x14ac:dyDescent="0.25">
      <c r="A42" s="102"/>
      <c r="B42" s="103"/>
      <c r="C42" s="103"/>
      <c r="D42" s="103"/>
      <c r="E42" s="103"/>
      <c r="F42" s="103"/>
      <c r="G42" s="103"/>
      <c r="H42" s="103"/>
      <c r="I42" s="103"/>
      <c r="J42" s="103"/>
      <c r="K42" s="103"/>
    </row>
    <row r="43" spans="1:11" ht="15" x14ac:dyDescent="0.25">
      <c r="A43" s="102"/>
      <c r="B43" s="103"/>
      <c r="C43" s="103"/>
      <c r="D43" s="103"/>
      <c r="E43" s="103"/>
      <c r="F43" s="103"/>
      <c r="G43" s="103"/>
      <c r="H43" s="103"/>
      <c r="I43" s="103"/>
      <c r="J43" s="103"/>
      <c r="K43" s="103"/>
    </row>
  </sheetData>
  <conditionalFormatting sqref="C5">
    <cfRule type="expression" dxfId="1" priority="1">
      <formula>LEFT(C5,1)="&lt;"</formula>
    </cfRule>
  </conditionalFormatting>
  <conditionalFormatting sqref="D6">
    <cfRule type="expression" dxfId="0" priority="2">
      <formula>LEFT(D6,1)="&lt;"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0E6B1-E540-4B5E-9968-A5306A176229}">
  <dimension ref="A1:P15"/>
  <sheetViews>
    <sheetView showGridLines="0" tabSelected="1" workbookViewId="0">
      <selection activeCell="E33" sqref="E33"/>
    </sheetView>
  </sheetViews>
  <sheetFormatPr defaultColWidth="9.140625" defaultRowHeight="12.75" x14ac:dyDescent="0.2"/>
  <cols>
    <col min="1" max="1" width="7.140625" style="79" customWidth="1"/>
    <col min="2" max="2" width="9.7109375" style="79" customWidth="1"/>
    <col min="3" max="3" width="15.28515625" style="79" customWidth="1"/>
    <col min="4" max="4" width="13.85546875" style="79" customWidth="1"/>
    <col min="5" max="5" width="2.85546875" style="79" customWidth="1"/>
    <col min="6" max="11" width="12.42578125" style="79" customWidth="1"/>
    <col min="12" max="12" width="11.28515625" style="79" bestFit="1" customWidth="1"/>
    <col min="13" max="13" width="12.140625" style="79" bestFit="1" customWidth="1"/>
    <col min="14" max="16384" width="9.140625" style="79"/>
  </cols>
  <sheetData>
    <row r="1" spans="1:16" ht="21" x14ac:dyDescent="0.35">
      <c r="A1" s="76" t="str">
        <f>Assumptions!A1</f>
        <v>Training facility</v>
      </c>
      <c r="B1" s="77"/>
      <c r="C1" s="78"/>
      <c r="D1" s="78"/>
      <c r="E1" s="78"/>
      <c r="F1" s="78"/>
      <c r="G1" s="78"/>
      <c r="H1" s="78"/>
      <c r="I1" s="78"/>
      <c r="J1" s="78"/>
      <c r="K1" s="78"/>
    </row>
    <row r="2" spans="1:16" ht="15.75" x14ac:dyDescent="0.25">
      <c r="A2" s="80" t="s">
        <v>8</v>
      </c>
      <c r="B2" s="80"/>
      <c r="C2" s="78"/>
      <c r="D2" s="78"/>
      <c r="E2" s="78"/>
      <c r="F2" s="78"/>
      <c r="G2" s="78"/>
      <c r="H2" s="78"/>
      <c r="I2" s="78"/>
      <c r="J2" s="78"/>
      <c r="K2" s="78"/>
    </row>
    <row r="3" spans="1:16" s="84" customFormat="1" ht="15.75" x14ac:dyDescent="0.25">
      <c r="A3" s="81" t="str">
        <f>"Summary $ "&amp;Assumptions!$C$30</f>
        <v>Summary $ June 2026</v>
      </c>
      <c r="B3" s="82"/>
      <c r="C3" s="83"/>
      <c r="D3" s="83"/>
      <c r="E3" s="83"/>
      <c r="F3" s="83"/>
      <c r="G3" s="83"/>
      <c r="H3" s="83"/>
      <c r="I3" s="83"/>
      <c r="J3" s="83"/>
      <c r="K3" s="83"/>
      <c r="L3" s="79"/>
    </row>
    <row r="4" spans="1:16" ht="12.75" customHeight="1" x14ac:dyDescent="0.25">
      <c r="E4" s="85"/>
      <c r="P4" s="86"/>
    </row>
    <row r="5" spans="1:16" ht="15.75" x14ac:dyDescent="0.25">
      <c r="B5" s="87"/>
      <c r="C5" s="88"/>
      <c r="D5" s="88"/>
      <c r="E5" s="88"/>
      <c r="F5" s="88"/>
      <c r="G5" s="88"/>
      <c r="H5" s="88"/>
      <c r="I5" s="88"/>
      <c r="J5" s="88"/>
      <c r="K5" s="88"/>
    </row>
    <row r="6" spans="1:16" ht="12.75" customHeight="1" x14ac:dyDescent="0.25">
      <c r="B6" s="89" t="s">
        <v>61</v>
      </c>
      <c r="D6" s="90" t="str">
        <f>Training!C48</f>
        <v>Option 2</v>
      </c>
      <c r="E6" s="85"/>
      <c r="P6" s="86"/>
    </row>
    <row r="7" spans="1:16" ht="12.75" customHeight="1" x14ac:dyDescent="0.25">
      <c r="B7" s="91"/>
      <c r="D7" s="85"/>
      <c r="E7" s="85"/>
      <c r="P7" s="86"/>
    </row>
    <row r="8" spans="1:16" ht="12.75" customHeight="1" x14ac:dyDescent="0.25">
      <c r="E8" s="85"/>
      <c r="P8" s="86"/>
    </row>
    <row r="9" spans="1:16" ht="12.75" customHeight="1" x14ac:dyDescent="0.25">
      <c r="E9" s="85"/>
      <c r="P9" s="86"/>
    </row>
    <row r="10" spans="1:16" ht="12.75" customHeight="1" x14ac:dyDescent="0.25">
      <c r="B10" s="92" t="s">
        <v>62</v>
      </c>
      <c r="C10" s="92"/>
      <c r="D10" s="92"/>
      <c r="E10" s="93"/>
      <c r="F10" s="94" t="s">
        <v>21</v>
      </c>
      <c r="G10" s="94" t="s">
        <v>22</v>
      </c>
      <c r="H10" s="94" t="s">
        <v>23</v>
      </c>
      <c r="I10" s="94" t="s">
        <v>24</v>
      </c>
      <c r="J10" s="94" t="s">
        <v>25</v>
      </c>
      <c r="K10" s="95" t="s">
        <v>6</v>
      </c>
      <c r="P10" s="86"/>
    </row>
    <row r="11" spans="1:16" ht="12.75" customHeight="1" x14ac:dyDescent="0.25">
      <c r="C11" s="79" t="s">
        <v>63</v>
      </c>
      <c r="D11" s="96"/>
      <c r="E11" s="85"/>
      <c r="F11" s="97">
        <f>Training!J88*Assumptions!$B$18</f>
        <v>14231092.237890625</v>
      </c>
      <c r="G11" s="97">
        <f>Training!K88*Assumptions!$B$18</f>
        <v>7854269.7108204877</v>
      </c>
      <c r="H11" s="97">
        <f>Training!L88*Assumptions!$B$18</f>
        <v>0</v>
      </c>
      <c r="I11" s="97">
        <f>Training!M88*Assumptions!$B$18</f>
        <v>0</v>
      </c>
      <c r="J11" s="97">
        <f>Training!N88*Assumptions!$B$18</f>
        <v>0</v>
      </c>
      <c r="K11" s="97">
        <f>SUM(F11:J11)</f>
        <v>22085361.948711112</v>
      </c>
      <c r="M11" s="98"/>
      <c r="P11" s="86"/>
    </row>
    <row r="12" spans="1:16" ht="12.75" customHeight="1" x14ac:dyDescent="0.25">
      <c r="C12" s="79" t="s">
        <v>64</v>
      </c>
      <c r="D12" s="96"/>
      <c r="E12" s="85"/>
      <c r="F12" s="97"/>
      <c r="G12" s="97"/>
      <c r="H12" s="97"/>
      <c r="I12" s="97"/>
      <c r="J12" s="97"/>
      <c r="K12" s="97">
        <f>SUM(F12:J12)</f>
        <v>0</v>
      </c>
      <c r="M12" s="98"/>
      <c r="P12" s="86"/>
    </row>
    <row r="13" spans="1:16" x14ac:dyDescent="0.2">
      <c r="D13" s="96"/>
      <c r="F13" s="97"/>
      <c r="G13" s="97"/>
      <c r="H13" s="97"/>
      <c r="I13" s="97"/>
      <c r="J13" s="97"/>
      <c r="K13" s="97"/>
      <c r="M13" s="98"/>
    </row>
    <row r="14" spans="1:16" x14ac:dyDescent="0.2">
      <c r="C14" s="99" t="s">
        <v>65</v>
      </c>
      <c r="D14" s="100" t="str">
        <f>"$ "&amp;Assumptions!$C$30</f>
        <v>$ June 2026</v>
      </c>
      <c r="E14" s="99"/>
      <c r="F14" s="101">
        <f>SUM(F11:F13)</f>
        <v>14231092.237890625</v>
      </c>
      <c r="G14" s="101">
        <f t="shared" ref="G14:K14" si="0">SUM(G11:G13)</f>
        <v>7854269.7108204877</v>
      </c>
      <c r="H14" s="101">
        <f t="shared" si="0"/>
        <v>0</v>
      </c>
      <c r="I14" s="101">
        <f t="shared" si="0"/>
        <v>0</v>
      </c>
      <c r="J14" s="101">
        <f t="shared" si="0"/>
        <v>0</v>
      </c>
      <c r="K14" s="101">
        <f t="shared" si="0"/>
        <v>22085361.948711112</v>
      </c>
      <c r="M14" s="98"/>
    </row>
    <row r="15" spans="1:16" x14ac:dyDescent="0.2">
      <c r="D15" s="96"/>
      <c r="F15" s="97"/>
      <c r="G15" s="97"/>
      <c r="H15" s="97"/>
      <c r="I15" s="97"/>
      <c r="J15" s="97"/>
      <c r="K15" s="97"/>
      <c r="M15" s="9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F5E43-EA6D-4567-975B-1F6B4B445EC4}">
  <sheetPr>
    <outlinePr summaryBelow="0" summaryRight="0"/>
  </sheetPr>
  <dimension ref="A1:AH93"/>
  <sheetViews>
    <sheetView showGridLines="0" zoomScaleNormal="100" workbookViewId="0">
      <selection activeCell="H1" sqref="H1:J3"/>
    </sheetView>
  </sheetViews>
  <sheetFormatPr defaultColWidth="14.42578125" defaultRowHeight="15" customHeight="1" x14ac:dyDescent="0.25"/>
  <cols>
    <col min="1" max="1" width="24.42578125" style="5" customWidth="1"/>
    <col min="2" max="2" width="18.140625" style="5" customWidth="1"/>
    <col min="3" max="3" width="14.42578125" style="5"/>
    <col min="4" max="4" width="9.28515625" style="5" customWidth="1"/>
    <col min="5" max="8" width="9" style="5" bestFit="1" customWidth="1"/>
    <col min="9" max="9" width="19.140625" style="5" customWidth="1"/>
    <col min="10" max="10" width="2" style="5" customWidth="1"/>
    <col min="11" max="16384" width="14.42578125" style="5"/>
  </cols>
  <sheetData>
    <row r="1" spans="1:34" ht="21" x14ac:dyDescent="0.35">
      <c r="A1" s="3" t="s">
        <v>50</v>
      </c>
      <c r="B1" s="4"/>
      <c r="C1" s="4"/>
      <c r="D1" s="4"/>
      <c r="E1" s="4"/>
      <c r="F1" s="4"/>
      <c r="G1" s="4"/>
      <c r="H1" s="4"/>
      <c r="I1" s="4"/>
      <c r="J1" s="4"/>
    </row>
    <row r="2" spans="1:34" ht="15.75" x14ac:dyDescent="0.25">
      <c r="A2" s="6" t="str">
        <f>Business</f>
        <v>CitiPower &amp; Powercor</v>
      </c>
      <c r="B2" s="7"/>
      <c r="C2" s="7"/>
      <c r="D2" s="7"/>
      <c r="E2" s="7"/>
      <c r="F2" s="7"/>
      <c r="G2" s="7"/>
      <c r="H2" s="7"/>
      <c r="I2" s="7"/>
      <c r="J2" s="7"/>
    </row>
    <row r="3" spans="1:34" s="10" customFormat="1" ht="12.75" customHeight="1" x14ac:dyDescent="0.25">
      <c r="A3" s="8" t="s">
        <v>15</v>
      </c>
      <c r="B3" s="9"/>
      <c r="C3" s="9"/>
      <c r="D3" s="9"/>
      <c r="E3" s="9"/>
      <c r="F3" s="9"/>
      <c r="G3" s="9"/>
      <c r="H3" s="9"/>
      <c r="I3" s="9"/>
      <c r="J3" s="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4" ht="12.75" customHeight="1" x14ac:dyDescent="0.25">
      <c r="A4" s="11" t="s">
        <v>16</v>
      </c>
      <c r="B4" s="12" t="s">
        <v>17</v>
      </c>
      <c r="C4" s="11" t="s">
        <v>18</v>
      </c>
      <c r="D4" s="11" t="s">
        <v>19</v>
      </c>
    </row>
    <row r="5" spans="1:34" ht="12.75" customHeight="1" x14ac:dyDescent="0.25">
      <c r="A5" s="11"/>
      <c r="B5" s="12"/>
      <c r="C5" s="11"/>
      <c r="D5" s="11"/>
    </row>
    <row r="6" spans="1:34" s="13" customFormat="1" ht="12.75" customHeight="1" x14ac:dyDescent="0.2">
      <c r="A6" s="13" t="s">
        <v>20</v>
      </c>
      <c r="B6" s="54" t="s">
        <v>68</v>
      </c>
      <c r="C6" s="12"/>
      <c r="D6" s="12"/>
    </row>
    <row r="7" spans="1:34" s="13" customFormat="1" ht="12.75" customHeight="1" x14ac:dyDescent="0.2">
      <c r="A7" s="12"/>
      <c r="B7" s="12"/>
      <c r="C7" s="12"/>
      <c r="D7" s="12"/>
    </row>
    <row r="8" spans="1:34" s="13" customFormat="1" ht="12.75" customHeight="1" x14ac:dyDescent="0.2">
      <c r="A8" s="13" t="s">
        <v>45</v>
      </c>
      <c r="B8" s="55" t="s">
        <v>51</v>
      </c>
      <c r="C8" s="12"/>
      <c r="D8" s="12"/>
    </row>
    <row r="9" spans="1:34" s="13" customFormat="1" ht="12.75" customHeight="1" x14ac:dyDescent="0.2">
      <c r="A9" s="12"/>
      <c r="B9" s="14"/>
      <c r="C9" s="12"/>
      <c r="D9" s="12"/>
    </row>
    <row r="10" spans="1:34" s="13" customFormat="1" ht="12.75" customHeight="1" x14ac:dyDescent="0.2">
      <c r="A10" s="15" t="s">
        <v>26</v>
      </c>
      <c r="B10" s="56" t="s">
        <v>54</v>
      </c>
      <c r="C10" s="12"/>
      <c r="D10" s="12"/>
    </row>
    <row r="11" spans="1:34" s="13" customFormat="1" ht="12.75" customHeight="1" x14ac:dyDescent="0.2">
      <c r="A11" s="15"/>
      <c r="B11" s="45"/>
      <c r="C11" s="12"/>
      <c r="D11" s="12"/>
    </row>
    <row r="12" spans="1:34" s="13" customFormat="1" ht="12.75" customHeight="1" x14ac:dyDescent="0.2">
      <c r="A12" s="45" t="s">
        <v>31</v>
      </c>
      <c r="B12" s="117">
        <v>3.5000000000000003E-2</v>
      </c>
      <c r="C12" s="45"/>
      <c r="D12" s="12"/>
    </row>
    <row r="13" spans="1:34" s="13" customFormat="1" ht="12.75" customHeight="1" x14ac:dyDescent="0.2">
      <c r="A13" s="46"/>
      <c r="B13" s="46"/>
      <c r="C13" s="46"/>
      <c r="D13" s="12"/>
    </row>
    <row r="14" spans="1:34" s="13" customFormat="1" ht="12.75" customHeight="1" x14ac:dyDescent="0.2">
      <c r="A14" s="15" t="s">
        <v>32</v>
      </c>
      <c r="B14" s="118">
        <f>IF(B10="2022/23",C37,C38)</f>
        <v>145.77740895836223</v>
      </c>
      <c r="C14" s="46"/>
      <c r="D14" s="12"/>
    </row>
    <row r="15" spans="1:34" s="13" customFormat="1" ht="12.75" customHeight="1" x14ac:dyDescent="0.2">
      <c r="A15" s="15"/>
      <c r="B15" s="45"/>
      <c r="C15" s="12"/>
      <c r="D15" s="12"/>
    </row>
    <row r="16" spans="1:34" s="13" customFormat="1" ht="12.75" customHeight="1" x14ac:dyDescent="0.2">
      <c r="A16" s="16"/>
      <c r="B16" s="16"/>
      <c r="C16" s="16"/>
      <c r="D16" s="16"/>
      <c r="E16" s="16"/>
      <c r="K16"/>
    </row>
    <row r="17" spans="1:11" customFormat="1" ht="12.75" customHeight="1" x14ac:dyDescent="0.2">
      <c r="A17" s="59" t="s">
        <v>47</v>
      </c>
      <c r="B17" s="28"/>
      <c r="C17" s="28"/>
      <c r="D17" s="28"/>
      <c r="E17" s="28"/>
      <c r="F17" s="28"/>
      <c r="G17" s="28"/>
      <c r="H17" s="28"/>
      <c r="I17" s="28"/>
      <c r="J17" s="28"/>
    </row>
    <row r="18" spans="1:11" customFormat="1" ht="12.75" customHeight="1" x14ac:dyDescent="0.2">
      <c r="A18" s="15" t="s">
        <v>8</v>
      </c>
      <c r="B18" s="60">
        <v>0.7</v>
      </c>
    </row>
    <row r="19" spans="1:11" customFormat="1" ht="12.75" customHeight="1" x14ac:dyDescent="0.2">
      <c r="A19" s="15" t="s">
        <v>48</v>
      </c>
      <c r="B19" s="60">
        <v>0.3</v>
      </c>
      <c r="D19" s="15"/>
      <c r="E19" s="15"/>
    </row>
    <row r="20" spans="1:11" customFormat="1" ht="12.75" customHeight="1" x14ac:dyDescent="0.2">
      <c r="A20" s="15" t="s">
        <v>49</v>
      </c>
      <c r="B20" s="61"/>
      <c r="D20" s="15"/>
      <c r="E20" s="15"/>
    </row>
    <row r="21" spans="1:11" customFormat="1" ht="12.75" customHeight="1" x14ac:dyDescent="0.2">
      <c r="A21" s="15"/>
      <c r="B21" s="62">
        <f>SUM(B18:B20)</f>
        <v>1</v>
      </c>
      <c r="D21" s="15"/>
      <c r="E21" s="15"/>
    </row>
    <row r="22" spans="1:11" customFormat="1" ht="12.75" customHeight="1" x14ac:dyDescent="0.2">
      <c r="A22" s="15"/>
      <c r="D22" s="15"/>
      <c r="E22" s="15"/>
    </row>
    <row r="23" spans="1:11" s="13" customFormat="1" ht="12.75" customHeight="1" x14ac:dyDescent="0.2">
      <c r="A23" s="16"/>
      <c r="B23" s="16"/>
      <c r="C23" s="16"/>
      <c r="D23" s="16"/>
      <c r="E23" s="16"/>
      <c r="K23"/>
    </row>
    <row r="24" spans="1:11" s="13" customFormat="1" ht="12.75" customHeight="1" x14ac:dyDescent="0.2">
      <c r="A24" s="20" t="s">
        <v>37</v>
      </c>
      <c r="B24" s="20"/>
      <c r="C24" s="20"/>
      <c r="D24" s="63"/>
      <c r="E24" s="63" t="s">
        <v>53</v>
      </c>
      <c r="F24" s="63" t="s">
        <v>54</v>
      </c>
      <c r="G24" s="63" t="s">
        <v>55</v>
      </c>
      <c r="H24" s="63" t="s">
        <v>56</v>
      </c>
      <c r="I24" s="64"/>
      <c r="J24" s="63"/>
      <c r="K24"/>
    </row>
    <row r="25" spans="1:11" s="13" customFormat="1" ht="12.75" customHeight="1" x14ac:dyDescent="0.25">
      <c r="A25" s="65" t="s">
        <v>52</v>
      </c>
      <c r="B25" s="66"/>
      <c r="C25" s="67"/>
      <c r="D25" s="68"/>
      <c r="E25" s="69">
        <v>1.1757125218136175</v>
      </c>
      <c r="F25" s="69">
        <v>1.1129126464165966</v>
      </c>
      <c r="G25" s="69">
        <v>1.050660524730181</v>
      </c>
      <c r="H25" s="69">
        <v>1.014889156509222</v>
      </c>
      <c r="I25" s="70"/>
      <c r="J25" s="68"/>
      <c r="K25"/>
    </row>
    <row r="26" spans="1:11" s="13" customFormat="1" ht="12.75" customHeight="1" x14ac:dyDescent="0.2">
      <c r="A26"/>
      <c r="B26" s="45"/>
      <c r="C26"/>
      <c r="D26" s="71"/>
      <c r="E26"/>
      <c r="F26"/>
      <c r="G26"/>
      <c r="H26"/>
      <c r="I26" s="72"/>
      <c r="J26" s="73"/>
      <c r="K26"/>
    </row>
    <row r="27" spans="1:11" s="13" customFormat="1" ht="12.75" customHeight="1" x14ac:dyDescent="0.2">
      <c r="A27" s="45"/>
      <c r="B27" s="45"/>
      <c r="C27"/>
      <c r="D27" s="74"/>
      <c r="E27"/>
      <c r="F27"/>
      <c r="G27"/>
      <c r="H27"/>
      <c r="I27" s="72"/>
      <c r="J27" s="72"/>
      <c r="K27"/>
    </row>
    <row r="28" spans="1:11" s="45" customFormat="1" ht="12.75" customHeight="1" x14ac:dyDescent="0.2">
      <c r="A28" s="57" t="s">
        <v>38</v>
      </c>
      <c r="B28" s="57"/>
      <c r="C28" s="57"/>
      <c r="D28" s="57"/>
      <c r="E28" s="57"/>
      <c r="F28" s="57"/>
      <c r="G28" s="57"/>
      <c r="H28" s="57"/>
      <c r="I28" s="57"/>
      <c r="J28" s="57"/>
      <c r="K28"/>
    </row>
    <row r="29" spans="1:11" s="45" customFormat="1" ht="12.75" customHeight="1" x14ac:dyDescent="0.2">
      <c r="K29"/>
    </row>
    <row r="30" spans="1:11" s="45" customFormat="1" ht="12.75" customHeight="1" x14ac:dyDescent="0.2">
      <c r="A30" s="15" t="s">
        <v>39</v>
      </c>
      <c r="C30" s="119" t="s">
        <v>56</v>
      </c>
      <c r="D30" s="45" t="s">
        <v>40</v>
      </c>
      <c r="K30"/>
    </row>
    <row r="31" spans="1:11" s="45" customFormat="1" ht="12.75" customHeight="1" x14ac:dyDescent="0.2">
      <c r="A31" s="15" t="s">
        <v>41</v>
      </c>
      <c r="C31" s="58" t="str">
        <f>$B$10</f>
        <v>June 2024</v>
      </c>
      <c r="K31"/>
    </row>
    <row r="32" spans="1:11" s="45" customFormat="1" ht="12.75" customHeight="1" x14ac:dyDescent="0.2">
      <c r="A32" s="15" t="s">
        <v>42</v>
      </c>
      <c r="C32" s="49">
        <f>INDEX($E$25:$H$25,MATCH($C$31,$E$24:$H$24))</f>
        <v>1.1129126464165966</v>
      </c>
    </row>
    <row r="33" spans="1:11" s="13" customFormat="1" ht="12.75" customHeight="1" x14ac:dyDescent="0.2"/>
    <row r="34" spans="1:11" s="45" customFormat="1" ht="12.75" customHeight="1" x14ac:dyDescent="0.2">
      <c r="A34" s="57" t="s">
        <v>38</v>
      </c>
      <c r="B34" s="57"/>
      <c r="C34" s="57"/>
      <c r="D34" s="57"/>
      <c r="E34" s="57"/>
      <c r="F34" s="57"/>
      <c r="G34" s="57"/>
      <c r="H34" s="57"/>
      <c r="I34" s="57"/>
      <c r="J34" s="57"/>
      <c r="K34" s="13"/>
    </row>
    <row r="35" spans="1:11" s="45" customFormat="1" ht="12.75" customHeight="1" x14ac:dyDescent="0.2"/>
    <row r="36" spans="1:11" s="45" customFormat="1" ht="12.75" customHeight="1" x14ac:dyDescent="0.2">
      <c r="A36" s="15" t="s">
        <v>43</v>
      </c>
      <c r="C36" s="120" t="s">
        <v>44</v>
      </c>
      <c r="D36" s="45" t="s">
        <v>57</v>
      </c>
    </row>
    <row r="37" spans="1:11" s="45" customFormat="1" ht="12.75" customHeight="1" x14ac:dyDescent="0.2">
      <c r="A37" s="15"/>
      <c r="C37" s="75">
        <v>135.18960020374115</v>
      </c>
      <c r="D37" s="45" t="s">
        <v>58</v>
      </c>
    </row>
    <row r="38" spans="1:11" s="45" customFormat="1" ht="12.75" customHeight="1" x14ac:dyDescent="0.2">
      <c r="A38" s="15"/>
      <c r="C38" s="52">
        <v>145.77740895836223</v>
      </c>
      <c r="D38" s="45" t="s">
        <v>59</v>
      </c>
    </row>
    <row r="39" spans="1:11" ht="12.75" customHeight="1" x14ac:dyDescent="0.25"/>
    <row r="40" spans="1:11" ht="12.75" customHeight="1" x14ac:dyDescent="0.25"/>
    <row r="41" spans="1:11" ht="12.75" customHeight="1" x14ac:dyDescent="0.25"/>
    <row r="42" spans="1:11" ht="12.75" customHeight="1" x14ac:dyDescent="0.25"/>
    <row r="43" spans="1:11" ht="12.75" customHeight="1" x14ac:dyDescent="0.25"/>
    <row r="44" spans="1:11" ht="12.75" customHeight="1" x14ac:dyDescent="0.25"/>
    <row r="45" spans="1:11" ht="12.75" customHeight="1" x14ac:dyDescent="0.25"/>
    <row r="46" spans="1:11" ht="12.75" customHeight="1" x14ac:dyDescent="0.25"/>
    <row r="47" spans="1:11" ht="12.75" customHeight="1" x14ac:dyDescent="0.25"/>
    <row r="48" spans="1:11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</sheetData>
  <dataValidations count="1">
    <dataValidation type="list" allowBlank="1" showInputMessage="1" showErrorMessage="1" sqref="B10" xr:uid="{E838EF11-3A50-4E20-97FF-73AEB56B9B3E}">
      <formula1>$E$24:$G$24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90"/>
  <sheetViews>
    <sheetView showGridLines="0" zoomScale="85" zoomScaleNormal="85" workbookViewId="0">
      <pane xSplit="5" ySplit="5" topLeftCell="F54" activePane="bottomRight" state="frozen"/>
      <selection activeCell="H38" sqref="H38"/>
      <selection pane="topRight" activeCell="H38" sqref="H38"/>
      <selection pane="bottomLeft" activeCell="H38" sqref="H38"/>
      <selection pane="bottomRight" activeCell="O1" sqref="O1:Q3"/>
    </sheetView>
  </sheetViews>
  <sheetFormatPr defaultColWidth="9.140625" defaultRowHeight="12.75" x14ac:dyDescent="0.2"/>
  <cols>
    <col min="1" max="1" width="3.85546875" customWidth="1"/>
    <col min="2" max="2" width="30.140625" customWidth="1"/>
    <col min="3" max="3" width="31.85546875" bestFit="1" customWidth="1"/>
    <col min="4" max="4" width="4.140625" customWidth="1"/>
    <col min="5" max="5" width="2.5703125" customWidth="1"/>
    <col min="6" max="8" width="9.5703125" customWidth="1"/>
    <col min="9" max="9" width="4.5703125" customWidth="1"/>
    <col min="10" max="12" width="13.7109375" customWidth="1"/>
    <col min="13" max="14" width="11.42578125" customWidth="1"/>
    <col min="15" max="15" width="5.28515625" customWidth="1"/>
    <col min="16" max="16" width="12.140625" customWidth="1"/>
    <col min="17" max="17" width="13.42578125" customWidth="1"/>
    <col min="18" max="18" width="13.7109375" bestFit="1" customWidth="1"/>
  </cols>
  <sheetData>
    <row r="1" spans="1:17" ht="21" x14ac:dyDescent="0.35">
      <c r="A1" s="3" t="s">
        <v>30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.75" x14ac:dyDescent="0.25">
      <c r="A2" s="6" t="str">
        <f>Business</f>
        <v>CitiPower &amp; Powercor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15.75" x14ac:dyDescent="0.25">
      <c r="A3" s="8" t="str">
        <f>$B$7&amp;" costs"</f>
        <v>Training Facility costs</v>
      </c>
      <c r="B3" s="9"/>
      <c r="C3" s="9"/>
      <c r="D3" s="9"/>
      <c r="E3" s="9"/>
      <c r="F3" s="9"/>
      <c r="G3" s="9"/>
      <c r="H3" s="7"/>
      <c r="I3" s="7"/>
      <c r="J3" s="7"/>
      <c r="K3" s="7"/>
      <c r="L3" s="7"/>
      <c r="M3" s="7"/>
      <c r="N3" s="7"/>
      <c r="O3" s="9"/>
      <c r="P3" s="9"/>
      <c r="Q3" s="9"/>
    </row>
    <row r="5" spans="1:17" x14ac:dyDescent="0.2">
      <c r="B5" s="17" t="str">
        <f>"cost inputs in $ "&amp;Assumptions!$B$10</f>
        <v>cost inputs in $ June 2024</v>
      </c>
      <c r="C5" s="17"/>
      <c r="D5" s="17"/>
      <c r="E5" s="18"/>
      <c r="F5" s="17"/>
      <c r="G5" s="18"/>
      <c r="H5" s="18"/>
      <c r="I5" s="18"/>
      <c r="J5" s="19"/>
      <c r="K5" s="19"/>
      <c r="L5" s="19"/>
      <c r="M5" s="19"/>
      <c r="N5" s="19"/>
      <c r="O5" s="19"/>
      <c r="P5" s="19"/>
    </row>
    <row r="6" spans="1:17" x14ac:dyDescent="0.2">
      <c r="B6" s="20"/>
    </row>
    <row r="7" spans="1:17" x14ac:dyDescent="0.2">
      <c r="B7" s="53" t="s">
        <v>46</v>
      </c>
    </row>
    <row r="8" spans="1:17" x14ac:dyDescent="0.2">
      <c r="B8" s="20"/>
    </row>
    <row r="9" spans="1:17" x14ac:dyDescent="0.2">
      <c r="B9" s="28" t="s">
        <v>33</v>
      </c>
      <c r="C9" s="21"/>
      <c r="D9" s="22"/>
      <c r="F9" s="23" t="s">
        <v>11</v>
      </c>
      <c r="G9" s="23" t="s">
        <v>12</v>
      </c>
      <c r="H9" s="23" t="s">
        <v>13</v>
      </c>
      <c r="J9" s="23" t="s">
        <v>21</v>
      </c>
      <c r="K9" s="23" t="s">
        <v>22</v>
      </c>
      <c r="L9" s="23" t="s">
        <v>23</v>
      </c>
      <c r="M9" s="23" t="s">
        <v>24</v>
      </c>
      <c r="N9" s="23" t="s">
        <v>25</v>
      </c>
      <c r="P9" s="23" t="s">
        <v>6</v>
      </c>
    </row>
    <row r="10" spans="1:17" x14ac:dyDescent="0.2">
      <c r="B10" t="s">
        <v>1</v>
      </c>
      <c r="C10" s="47" t="str">
        <f>$B$9&amp;" "&amp;B10</f>
        <v xml:space="preserve">Option 1 New Depot Design </v>
      </c>
      <c r="E10" s="25"/>
      <c r="F10" s="1">
        <v>0</v>
      </c>
      <c r="G10" s="50">
        <f>1-SUM(F10,H10)</f>
        <v>0</v>
      </c>
      <c r="H10" s="1">
        <v>1</v>
      </c>
      <c r="I10" s="25"/>
      <c r="J10" s="2"/>
      <c r="K10" s="2"/>
      <c r="L10" s="2"/>
      <c r="M10" s="2"/>
      <c r="N10" s="2"/>
      <c r="P10" s="26">
        <f>SUM(J10:N10)</f>
        <v>0</v>
      </c>
    </row>
    <row r="11" spans="1:17" x14ac:dyDescent="0.2">
      <c r="B11" t="s">
        <v>0</v>
      </c>
      <c r="C11" s="47" t="str">
        <f t="shared" ref="C11:C18" si="0">$B$9&amp;" "&amp;B11</f>
        <v>Option 1 Staff Relocation / Alternative Accom</v>
      </c>
      <c r="E11" s="25"/>
      <c r="F11" s="1">
        <v>0</v>
      </c>
      <c r="G11" s="50">
        <f>1-SUM(F11,H11)</f>
        <v>9.9999999999999978E-2</v>
      </c>
      <c r="H11" s="1">
        <v>0.9</v>
      </c>
      <c r="I11" s="25"/>
      <c r="J11" s="2"/>
      <c r="K11" s="2"/>
      <c r="L11" s="2"/>
      <c r="M11" s="2"/>
      <c r="N11" s="2"/>
      <c r="P11" s="26">
        <f t="shared" ref="P11:P18" si="1">SUM(J11:N11)</f>
        <v>0</v>
      </c>
    </row>
    <row r="12" spans="1:17" x14ac:dyDescent="0.2">
      <c r="B12" t="s">
        <v>7</v>
      </c>
      <c r="C12" s="47" t="str">
        <f t="shared" si="0"/>
        <v>Option 1 Land acquisition</v>
      </c>
      <c r="E12" s="25"/>
      <c r="F12" s="27"/>
      <c r="G12" s="1">
        <v>1</v>
      </c>
      <c r="H12" s="27"/>
      <c r="I12" s="25"/>
      <c r="J12" s="2"/>
      <c r="K12" s="2"/>
      <c r="L12" s="2"/>
      <c r="M12" s="2"/>
      <c r="N12" s="2"/>
      <c r="P12" s="26">
        <f t="shared" si="1"/>
        <v>0</v>
      </c>
    </row>
    <row r="13" spans="1:17" x14ac:dyDescent="0.2">
      <c r="B13" t="s">
        <v>2</v>
      </c>
      <c r="C13" s="47" t="str">
        <f t="shared" si="0"/>
        <v>Option 1 Civil Works/Demolition works</v>
      </c>
      <c r="E13" s="25"/>
      <c r="F13" s="1">
        <v>0</v>
      </c>
      <c r="G13" s="50">
        <f t="shared" ref="G13:G18" si="2">1-SUM(F13,H13)</f>
        <v>0.5</v>
      </c>
      <c r="H13" s="1">
        <v>0.5</v>
      </c>
      <c r="I13" s="25"/>
      <c r="J13" s="2"/>
      <c r="K13" s="2"/>
      <c r="L13" s="2"/>
      <c r="M13" s="2"/>
      <c r="N13" s="2"/>
      <c r="P13" s="26">
        <f t="shared" si="1"/>
        <v>0</v>
      </c>
    </row>
    <row r="14" spans="1:17" x14ac:dyDescent="0.2">
      <c r="B14" t="s">
        <v>3</v>
      </c>
      <c r="C14" s="47" t="str">
        <f t="shared" si="0"/>
        <v xml:space="preserve">Option 1 Building works </v>
      </c>
      <c r="E14" s="25"/>
      <c r="F14" s="1">
        <v>0</v>
      </c>
      <c r="G14" s="50">
        <f t="shared" si="2"/>
        <v>0.7</v>
      </c>
      <c r="H14" s="1">
        <v>0.3</v>
      </c>
      <c r="I14" s="25"/>
      <c r="J14" s="2"/>
      <c r="K14" s="2"/>
      <c r="L14" s="2"/>
      <c r="M14" s="2"/>
      <c r="N14" s="2"/>
      <c r="P14" s="26">
        <f t="shared" si="1"/>
        <v>0</v>
      </c>
    </row>
    <row r="15" spans="1:17" x14ac:dyDescent="0.2">
      <c r="B15" t="s">
        <v>4</v>
      </c>
      <c r="C15" s="47" t="str">
        <f t="shared" si="0"/>
        <v xml:space="preserve">Option 1 Services </v>
      </c>
      <c r="E15" s="25"/>
      <c r="F15" s="1">
        <v>0</v>
      </c>
      <c r="G15" s="50">
        <f t="shared" si="2"/>
        <v>0.19999999999999996</v>
      </c>
      <c r="H15" s="1">
        <v>0.8</v>
      </c>
      <c r="I15" s="25"/>
      <c r="J15" s="2"/>
      <c r="K15" s="2"/>
      <c r="L15" s="2"/>
      <c r="M15" s="2"/>
      <c r="N15" s="2"/>
      <c r="P15" s="26">
        <f t="shared" si="1"/>
        <v>0</v>
      </c>
    </row>
    <row r="16" spans="1:17" x14ac:dyDescent="0.2">
      <c r="B16" t="s">
        <v>5</v>
      </c>
      <c r="C16" s="47" t="str">
        <f t="shared" si="0"/>
        <v>Option 1 Fixtures, Furniture &amp; equipment</v>
      </c>
      <c r="E16" s="25"/>
      <c r="F16" s="1">
        <v>0</v>
      </c>
      <c r="G16" s="50">
        <f t="shared" si="2"/>
        <v>1</v>
      </c>
      <c r="H16" s="1">
        <v>0</v>
      </c>
      <c r="I16" s="25"/>
      <c r="J16" s="2"/>
      <c r="K16" s="2"/>
      <c r="L16" s="2"/>
      <c r="M16" s="2"/>
      <c r="N16" s="2"/>
      <c r="P16" s="26">
        <f t="shared" si="1"/>
        <v>0</v>
      </c>
    </row>
    <row r="17" spans="2:18" x14ac:dyDescent="0.2">
      <c r="B17" t="s">
        <v>10</v>
      </c>
      <c r="C17" s="47" t="str">
        <f t="shared" si="0"/>
        <v>Option 1 Other</v>
      </c>
      <c r="E17" s="25"/>
      <c r="F17" s="1">
        <v>0</v>
      </c>
      <c r="G17" s="50">
        <f t="shared" si="2"/>
        <v>1</v>
      </c>
      <c r="H17" s="1">
        <v>0</v>
      </c>
      <c r="I17" s="25"/>
      <c r="J17" s="2"/>
      <c r="K17" s="2"/>
      <c r="L17" s="2"/>
      <c r="M17" s="2"/>
      <c r="N17" s="2"/>
      <c r="P17" s="26">
        <f t="shared" si="1"/>
        <v>0</v>
      </c>
    </row>
    <row r="18" spans="2:18" x14ac:dyDescent="0.2">
      <c r="B18" s="28" t="s">
        <v>9</v>
      </c>
      <c r="C18" s="48" t="str">
        <f t="shared" si="0"/>
        <v>Option 1 Project Management</v>
      </c>
      <c r="D18" s="28"/>
      <c r="E18" s="25"/>
      <c r="F18" s="1">
        <v>0.5</v>
      </c>
      <c r="G18" s="50">
        <f t="shared" si="2"/>
        <v>0</v>
      </c>
      <c r="H18" s="1">
        <v>0.5</v>
      </c>
      <c r="I18" s="25"/>
      <c r="J18" s="2"/>
      <c r="K18" s="2"/>
      <c r="L18" s="2"/>
      <c r="M18" s="2"/>
      <c r="N18" s="2"/>
      <c r="P18" s="26">
        <f t="shared" si="1"/>
        <v>0</v>
      </c>
    </row>
    <row r="19" spans="2:18" x14ac:dyDescent="0.2">
      <c r="B19" s="20" t="s">
        <v>29</v>
      </c>
      <c r="C19" s="29"/>
      <c r="D19" s="20"/>
      <c r="F19" s="30"/>
      <c r="G19" s="30"/>
      <c r="H19" s="30"/>
      <c r="J19" s="31">
        <f>SUM(J10:J18)</f>
        <v>0</v>
      </c>
      <c r="K19" s="31">
        <f>SUM(K10:K18)</f>
        <v>0</v>
      </c>
      <c r="L19" s="31">
        <f>SUM(L10:L18)</f>
        <v>0</v>
      </c>
      <c r="M19" s="31">
        <f>SUM(M10:M18)</f>
        <v>0</v>
      </c>
      <c r="N19" s="31">
        <f>SUM(N10:N18)</f>
        <v>0</v>
      </c>
      <c r="P19" s="31">
        <f>SUM(P10:P18)</f>
        <v>0</v>
      </c>
    </row>
    <row r="20" spans="2:18" x14ac:dyDescent="0.2">
      <c r="B20" s="20"/>
      <c r="C20" s="29"/>
      <c r="D20" s="20"/>
      <c r="F20" s="32"/>
      <c r="G20" s="32"/>
      <c r="H20" s="32"/>
      <c r="J20" s="33"/>
      <c r="K20" s="33"/>
      <c r="L20" s="33"/>
      <c r="M20" s="33"/>
      <c r="N20" s="33"/>
    </row>
    <row r="21" spans="2:18" x14ac:dyDescent="0.2">
      <c r="B21" s="20"/>
      <c r="C21" s="29"/>
      <c r="J21" s="34"/>
      <c r="K21" s="34"/>
      <c r="L21" s="34"/>
      <c r="M21" s="34"/>
    </row>
    <row r="22" spans="2:18" x14ac:dyDescent="0.2">
      <c r="B22" s="28" t="s">
        <v>34</v>
      </c>
      <c r="C22" s="21"/>
      <c r="D22" s="22"/>
      <c r="F22" s="23" t="s">
        <v>11</v>
      </c>
      <c r="G22" s="23" t="s">
        <v>12</v>
      </c>
      <c r="H22" s="23" t="s">
        <v>13</v>
      </c>
      <c r="J22" s="23" t="s">
        <v>21</v>
      </c>
      <c r="K22" s="23" t="s">
        <v>22</v>
      </c>
      <c r="L22" s="23" t="s">
        <v>23</v>
      </c>
      <c r="M22" s="23" t="s">
        <v>24</v>
      </c>
      <c r="N22" s="23" t="s">
        <v>25</v>
      </c>
      <c r="P22" s="23" t="s">
        <v>6</v>
      </c>
    </row>
    <row r="23" spans="2:18" x14ac:dyDescent="0.2">
      <c r="B23" t="s">
        <v>1</v>
      </c>
      <c r="C23" s="47" t="str">
        <f>$B$22&amp;" "&amp;B23</f>
        <v xml:space="preserve">Option 2 New Depot Design </v>
      </c>
      <c r="E23" s="25"/>
      <c r="F23" s="1">
        <v>0</v>
      </c>
      <c r="G23" s="50">
        <f>1-SUM(F23,H23)</f>
        <v>0</v>
      </c>
      <c r="H23" s="1">
        <v>1</v>
      </c>
      <c r="I23" s="25"/>
      <c r="J23" s="2"/>
      <c r="K23" s="2"/>
      <c r="L23" s="2"/>
      <c r="M23" s="2"/>
      <c r="N23" s="2"/>
      <c r="P23" s="26">
        <f>SUM(J23:N23)</f>
        <v>0</v>
      </c>
    </row>
    <row r="24" spans="2:18" x14ac:dyDescent="0.2">
      <c r="B24" t="s">
        <v>0</v>
      </c>
      <c r="C24" s="47" t="str">
        <f t="shared" ref="C24:C31" si="3">$B$22&amp;" "&amp;B24</f>
        <v>Option 2 Staff Relocation / Alternative Accom</v>
      </c>
      <c r="E24" s="25"/>
      <c r="F24" s="1">
        <v>0</v>
      </c>
      <c r="G24" s="50">
        <f>1-SUM(F24,H24)</f>
        <v>9.9999999999999978E-2</v>
      </c>
      <c r="H24" s="1">
        <v>0.9</v>
      </c>
      <c r="I24" s="25"/>
      <c r="J24" s="2"/>
      <c r="K24" s="2"/>
      <c r="L24" s="2"/>
      <c r="M24" s="2"/>
      <c r="N24" s="2"/>
      <c r="P24" s="26">
        <f t="shared" ref="P24:P31" si="4">SUM(J24:N24)</f>
        <v>0</v>
      </c>
    </row>
    <row r="25" spans="2:18" x14ac:dyDescent="0.2">
      <c r="B25" t="s">
        <v>7</v>
      </c>
      <c r="C25" s="47" t="str">
        <f t="shared" si="3"/>
        <v>Option 2 Land acquisition</v>
      </c>
      <c r="E25" s="25"/>
      <c r="F25" s="27"/>
      <c r="G25" s="1">
        <v>1</v>
      </c>
      <c r="H25" s="27"/>
      <c r="I25" s="25"/>
      <c r="J25" s="2">
        <v>10045000</v>
      </c>
      <c r="K25" s="2">
        <v>0</v>
      </c>
      <c r="L25" s="2"/>
      <c r="M25" s="2"/>
      <c r="N25" s="2"/>
      <c r="P25" s="26">
        <f t="shared" si="4"/>
        <v>10045000</v>
      </c>
    </row>
    <row r="26" spans="2:18" x14ac:dyDescent="0.2">
      <c r="B26" t="s">
        <v>2</v>
      </c>
      <c r="C26" s="47" t="str">
        <f t="shared" si="3"/>
        <v>Option 2 Civil Works/Demolition works</v>
      </c>
      <c r="E26" s="25"/>
      <c r="F26" s="1">
        <v>0</v>
      </c>
      <c r="G26" s="50">
        <f t="shared" ref="G26:G31" si="5">1-SUM(F26,H26)</f>
        <v>0.5</v>
      </c>
      <c r="H26" s="1">
        <v>0.5</v>
      </c>
      <c r="I26" s="25"/>
      <c r="J26" s="2">
        <v>1522499.9999999998</v>
      </c>
      <c r="K26" s="2">
        <v>1522499.9999999998</v>
      </c>
      <c r="L26" s="2"/>
      <c r="M26" s="2"/>
      <c r="N26" s="2"/>
      <c r="P26" s="26">
        <f t="shared" si="4"/>
        <v>3044999.9999999995</v>
      </c>
    </row>
    <row r="27" spans="2:18" x14ac:dyDescent="0.2">
      <c r="B27" t="s">
        <v>3</v>
      </c>
      <c r="C27" s="47" t="str">
        <f t="shared" si="3"/>
        <v xml:space="preserve">Option 2 Building works </v>
      </c>
      <c r="E27" s="25"/>
      <c r="F27" s="1">
        <v>0</v>
      </c>
      <c r="G27" s="50">
        <f t="shared" si="5"/>
        <v>0.7</v>
      </c>
      <c r="H27" s="1">
        <v>0.3</v>
      </c>
      <c r="I27" s="25"/>
      <c r="J27" s="2"/>
      <c r="K27" s="2">
        <v>7003499.9999999991</v>
      </c>
      <c r="L27" s="2"/>
      <c r="M27" s="2"/>
      <c r="N27" s="2"/>
      <c r="P27" s="26">
        <f t="shared" si="4"/>
        <v>7003499.9999999991</v>
      </c>
    </row>
    <row r="28" spans="2:18" x14ac:dyDescent="0.2">
      <c r="B28" t="s">
        <v>4</v>
      </c>
      <c r="C28" s="47" t="str">
        <f t="shared" si="3"/>
        <v xml:space="preserve">Option 2 Services </v>
      </c>
      <c r="E28" s="25"/>
      <c r="F28" s="1">
        <v>0</v>
      </c>
      <c r="G28" s="50">
        <f t="shared" si="5"/>
        <v>0.19999999999999996</v>
      </c>
      <c r="H28" s="1">
        <v>0.8</v>
      </c>
      <c r="I28" s="25"/>
      <c r="J28" s="2"/>
      <c r="K28" s="2">
        <v>1150000</v>
      </c>
      <c r="L28" s="2"/>
      <c r="M28" s="2"/>
      <c r="N28" s="2"/>
      <c r="P28" s="26">
        <f t="shared" si="4"/>
        <v>1150000</v>
      </c>
    </row>
    <row r="29" spans="2:18" x14ac:dyDescent="0.2">
      <c r="B29" t="s">
        <v>5</v>
      </c>
      <c r="C29" s="47" t="str">
        <f t="shared" si="3"/>
        <v>Option 2 Fixtures, Furniture &amp; equipment</v>
      </c>
      <c r="E29" s="25"/>
      <c r="F29" s="1">
        <v>0</v>
      </c>
      <c r="G29" s="50">
        <f t="shared" si="5"/>
        <v>1</v>
      </c>
      <c r="H29" s="1">
        <v>0</v>
      </c>
      <c r="I29" s="25"/>
      <c r="J29" s="2"/>
      <c r="K29" s="2">
        <v>405999.99999999994</v>
      </c>
      <c r="L29" s="2"/>
      <c r="M29" s="2"/>
      <c r="N29" s="2"/>
      <c r="P29" s="26">
        <f t="shared" si="4"/>
        <v>405999.99999999994</v>
      </c>
    </row>
    <row r="30" spans="2:18" x14ac:dyDescent="0.2">
      <c r="B30" t="s">
        <v>10</v>
      </c>
      <c r="C30" s="47" t="str">
        <f t="shared" si="3"/>
        <v>Option 2 Other</v>
      </c>
      <c r="E30" s="25"/>
      <c r="F30" s="1">
        <v>0</v>
      </c>
      <c r="G30" s="50">
        <f t="shared" si="5"/>
        <v>1</v>
      </c>
      <c r="H30" s="1">
        <v>0</v>
      </c>
      <c r="I30" s="25"/>
      <c r="J30" s="2">
        <v>6700000</v>
      </c>
      <c r="K30" s="2"/>
      <c r="L30" s="2"/>
      <c r="M30" s="2"/>
      <c r="N30" s="2"/>
      <c r="P30" s="26">
        <f t="shared" si="4"/>
        <v>6700000</v>
      </c>
    </row>
    <row r="31" spans="2:18" x14ac:dyDescent="0.2">
      <c r="B31" s="28" t="s">
        <v>9</v>
      </c>
      <c r="C31" s="48" t="str">
        <f t="shared" si="3"/>
        <v>Option 2 Project Management</v>
      </c>
      <c r="D31" s="28"/>
      <c r="E31" s="25"/>
      <c r="F31" s="1">
        <v>0.5</v>
      </c>
      <c r="G31" s="50">
        <f t="shared" si="5"/>
        <v>0</v>
      </c>
      <c r="H31" s="1">
        <v>0.5</v>
      </c>
      <c r="I31" s="25"/>
      <c r="J31" s="2"/>
      <c r="K31" s="2"/>
      <c r="L31" s="2"/>
      <c r="M31" s="2"/>
      <c r="N31" s="2"/>
      <c r="P31" s="26">
        <f t="shared" si="4"/>
        <v>0</v>
      </c>
    </row>
    <row r="32" spans="2:18" x14ac:dyDescent="0.2">
      <c r="B32" s="20" t="s">
        <v>29</v>
      </c>
      <c r="C32" s="29"/>
      <c r="D32" s="20"/>
      <c r="F32" s="30"/>
      <c r="G32" s="30"/>
      <c r="H32" s="30"/>
      <c r="J32" s="31">
        <f>SUM(J23:J31)</f>
        <v>18267500</v>
      </c>
      <c r="K32" s="31">
        <f>SUM(K23:K31)</f>
        <v>10081999.999999998</v>
      </c>
      <c r="L32" s="31">
        <f>SUM(L23:L31)</f>
        <v>0</v>
      </c>
      <c r="M32" s="31">
        <f>SUM(M23:M31)</f>
        <v>0</v>
      </c>
      <c r="N32" s="31">
        <f>SUM(N23:N31)</f>
        <v>0</v>
      </c>
      <c r="P32" s="31">
        <f>SUM(P23:P31)</f>
        <v>28349500</v>
      </c>
      <c r="R32" s="114"/>
    </row>
    <row r="33" spans="2:18" x14ac:dyDescent="0.2">
      <c r="C33" s="24"/>
      <c r="J33" s="34"/>
      <c r="K33" s="34"/>
      <c r="L33" s="34"/>
      <c r="M33" s="34"/>
    </row>
    <row r="34" spans="2:18" x14ac:dyDescent="0.2">
      <c r="B34" s="20"/>
      <c r="C34" s="29"/>
      <c r="H34" s="34"/>
      <c r="J34" s="34"/>
      <c r="K34" s="34"/>
      <c r="L34" s="34"/>
      <c r="M34" s="34"/>
    </row>
    <row r="35" spans="2:18" x14ac:dyDescent="0.2">
      <c r="B35" s="28" t="s">
        <v>35</v>
      </c>
      <c r="C35" s="21"/>
      <c r="D35" s="22"/>
      <c r="F35" s="23" t="s">
        <v>11</v>
      </c>
      <c r="G35" s="23" t="s">
        <v>12</v>
      </c>
      <c r="H35" s="23" t="s">
        <v>13</v>
      </c>
      <c r="J35" s="23" t="s">
        <v>21</v>
      </c>
      <c r="K35" s="23" t="s">
        <v>22</v>
      </c>
      <c r="L35" s="23" t="s">
        <v>23</v>
      </c>
      <c r="M35" s="23" t="s">
        <v>24</v>
      </c>
      <c r="N35" s="23" t="s">
        <v>25</v>
      </c>
      <c r="P35" s="23" t="s">
        <v>6</v>
      </c>
    </row>
    <row r="36" spans="2:18" x14ac:dyDescent="0.2">
      <c r="B36" t="s">
        <v>1</v>
      </c>
      <c r="C36" s="47" t="str">
        <f>$B$35&amp;" "&amp;B36</f>
        <v xml:space="preserve">Option 3 New Depot Design </v>
      </c>
      <c r="E36" s="25"/>
      <c r="F36" s="1">
        <v>0</v>
      </c>
      <c r="G36" s="50">
        <f>1-SUM(F36,H36)</f>
        <v>0</v>
      </c>
      <c r="H36" s="1">
        <v>1</v>
      </c>
      <c r="I36" s="25"/>
      <c r="J36" s="2"/>
      <c r="K36" s="2"/>
      <c r="L36" s="2"/>
      <c r="M36" s="2"/>
      <c r="N36" s="2"/>
      <c r="P36" s="26">
        <f>SUM(J36:N36)</f>
        <v>0</v>
      </c>
    </row>
    <row r="37" spans="2:18" x14ac:dyDescent="0.2">
      <c r="B37" t="s">
        <v>0</v>
      </c>
      <c r="C37" s="47" t="str">
        <f t="shared" ref="C37:C44" si="6">$B$35&amp;" "&amp;B37</f>
        <v>Option 3 Staff Relocation / Alternative Accom</v>
      </c>
      <c r="E37" s="25"/>
      <c r="F37" s="1">
        <v>0</v>
      </c>
      <c r="G37" s="50">
        <f>1-SUM(F37,H37)</f>
        <v>9.9999999999999978E-2</v>
      </c>
      <c r="H37" s="1">
        <v>0.9</v>
      </c>
      <c r="I37" s="25"/>
      <c r="J37" s="2"/>
      <c r="K37" s="2"/>
      <c r="L37" s="2"/>
      <c r="M37" s="2"/>
      <c r="N37" s="2"/>
      <c r="P37" s="26">
        <f t="shared" ref="P37:P44" si="7">SUM(J37:N37)</f>
        <v>0</v>
      </c>
    </row>
    <row r="38" spans="2:18" x14ac:dyDescent="0.2">
      <c r="B38" t="s">
        <v>7</v>
      </c>
      <c r="C38" s="47" t="str">
        <f t="shared" si="6"/>
        <v>Option 3 Land acquisition</v>
      </c>
      <c r="E38" s="25"/>
      <c r="F38" s="27"/>
      <c r="G38" s="1">
        <v>1</v>
      </c>
      <c r="H38" s="27"/>
      <c r="I38" s="25"/>
      <c r="J38" s="2">
        <v>10045000</v>
      </c>
      <c r="K38" s="2">
        <v>0</v>
      </c>
      <c r="L38" s="2"/>
      <c r="M38" s="2"/>
      <c r="N38" s="2"/>
      <c r="P38" s="26">
        <f t="shared" si="7"/>
        <v>10045000</v>
      </c>
    </row>
    <row r="39" spans="2:18" x14ac:dyDescent="0.2">
      <c r="B39" t="s">
        <v>2</v>
      </c>
      <c r="C39" s="47" t="str">
        <f t="shared" si="6"/>
        <v>Option 3 Civil Works/Demolition works</v>
      </c>
      <c r="E39" s="25"/>
      <c r="F39" s="1">
        <v>0</v>
      </c>
      <c r="G39" s="50">
        <f t="shared" ref="G39:G44" si="8">1-SUM(F39,H39)</f>
        <v>0.5</v>
      </c>
      <c r="H39" s="1">
        <v>0.5</v>
      </c>
      <c r="I39" s="25"/>
      <c r="J39" s="2">
        <v>1522499.9999999998</v>
      </c>
      <c r="K39" s="2">
        <v>1522499.9999999998</v>
      </c>
      <c r="L39" s="2"/>
      <c r="M39" s="2"/>
      <c r="N39" s="2"/>
      <c r="P39" s="26">
        <f t="shared" si="7"/>
        <v>3044999.9999999995</v>
      </c>
    </row>
    <row r="40" spans="2:18" x14ac:dyDescent="0.2">
      <c r="B40" t="s">
        <v>3</v>
      </c>
      <c r="C40" s="47" t="str">
        <f t="shared" si="6"/>
        <v xml:space="preserve">Option 3 Building works </v>
      </c>
      <c r="E40" s="25"/>
      <c r="F40" s="1">
        <v>0</v>
      </c>
      <c r="G40" s="50">
        <f t="shared" si="8"/>
        <v>0.7</v>
      </c>
      <c r="H40" s="1">
        <v>0.3</v>
      </c>
      <c r="I40" s="25"/>
      <c r="J40" s="2"/>
      <c r="K40" s="2">
        <v>12150000</v>
      </c>
      <c r="L40" s="2"/>
      <c r="M40" s="2"/>
      <c r="N40" s="2"/>
      <c r="P40" s="26">
        <f t="shared" si="7"/>
        <v>12150000</v>
      </c>
    </row>
    <row r="41" spans="2:18" x14ac:dyDescent="0.2">
      <c r="B41" t="s">
        <v>4</v>
      </c>
      <c r="C41" s="47" t="str">
        <f t="shared" si="6"/>
        <v xml:space="preserve">Option 3 Services </v>
      </c>
      <c r="E41" s="25"/>
      <c r="F41" s="1">
        <v>0</v>
      </c>
      <c r="G41" s="50">
        <f t="shared" si="8"/>
        <v>0.19999999999999996</v>
      </c>
      <c r="H41" s="1">
        <v>0.8</v>
      </c>
      <c r="I41" s="25"/>
      <c r="J41" s="2"/>
      <c r="K41" s="2">
        <v>2250000</v>
      </c>
      <c r="L41" s="2"/>
      <c r="M41" s="2"/>
      <c r="N41" s="2"/>
      <c r="P41" s="26">
        <f t="shared" si="7"/>
        <v>2250000</v>
      </c>
    </row>
    <row r="42" spans="2:18" x14ac:dyDescent="0.2">
      <c r="B42" t="s">
        <v>5</v>
      </c>
      <c r="C42" s="47" t="str">
        <f t="shared" si="6"/>
        <v>Option 3 Fixtures, Furniture &amp; equipment</v>
      </c>
      <c r="E42" s="25"/>
      <c r="F42" s="1">
        <v>0</v>
      </c>
      <c r="G42" s="50">
        <f t="shared" si="8"/>
        <v>1</v>
      </c>
      <c r="H42" s="1">
        <v>0</v>
      </c>
      <c r="I42" s="25"/>
      <c r="J42" s="2"/>
      <c r="K42" s="2">
        <v>405999.99999999994</v>
      </c>
      <c r="L42" s="2"/>
      <c r="M42" s="2"/>
      <c r="N42" s="2"/>
      <c r="P42" s="26">
        <f t="shared" si="7"/>
        <v>405999.99999999994</v>
      </c>
    </row>
    <row r="43" spans="2:18" x14ac:dyDescent="0.2">
      <c r="B43" t="s">
        <v>10</v>
      </c>
      <c r="C43" s="47" t="str">
        <f t="shared" si="6"/>
        <v>Option 3 Other</v>
      </c>
      <c r="E43" s="25"/>
      <c r="F43" s="1">
        <v>0</v>
      </c>
      <c r="G43" s="50">
        <f t="shared" si="8"/>
        <v>1</v>
      </c>
      <c r="H43" s="1">
        <v>0</v>
      </c>
      <c r="I43" s="25"/>
      <c r="J43" s="2">
        <v>6700000</v>
      </c>
      <c r="K43" s="2"/>
      <c r="L43" s="2"/>
      <c r="M43" s="2"/>
      <c r="N43" s="2"/>
      <c r="P43" s="26">
        <f t="shared" si="7"/>
        <v>6700000</v>
      </c>
    </row>
    <row r="44" spans="2:18" x14ac:dyDescent="0.2">
      <c r="B44" s="28" t="s">
        <v>9</v>
      </c>
      <c r="C44" s="48" t="str">
        <f t="shared" si="6"/>
        <v>Option 3 Project Management</v>
      </c>
      <c r="D44" s="28"/>
      <c r="E44" s="25"/>
      <c r="F44" s="1">
        <v>0.5</v>
      </c>
      <c r="G44" s="50">
        <f t="shared" si="8"/>
        <v>0</v>
      </c>
      <c r="H44" s="1">
        <v>0.5</v>
      </c>
      <c r="I44" s="25"/>
      <c r="J44" s="2"/>
      <c r="K44" s="2"/>
      <c r="L44" s="2"/>
      <c r="M44" s="2"/>
      <c r="N44" s="2"/>
      <c r="P44" s="26">
        <f t="shared" si="7"/>
        <v>0</v>
      </c>
    </row>
    <row r="45" spans="2:18" x14ac:dyDescent="0.2">
      <c r="B45" s="20" t="s">
        <v>29</v>
      </c>
      <c r="C45" s="29"/>
      <c r="D45" s="20"/>
      <c r="F45" s="30"/>
      <c r="G45" s="30"/>
      <c r="H45" s="30"/>
      <c r="J45" s="31">
        <f>SUM(J36:J44)</f>
        <v>18267500</v>
      </c>
      <c r="K45" s="31">
        <f>SUM(K36:K44)</f>
        <v>16328500</v>
      </c>
      <c r="L45" s="31">
        <f>SUM(L36:L44)</f>
        <v>0</v>
      </c>
      <c r="M45" s="31">
        <f>SUM(M36:M44)</f>
        <v>0</v>
      </c>
      <c r="N45" s="31">
        <f>SUM(N36:N44)</f>
        <v>0</v>
      </c>
      <c r="P45" s="31">
        <f>SUM(P36:P44)</f>
        <v>34596000</v>
      </c>
      <c r="Q45" s="115"/>
      <c r="R45" s="115"/>
    </row>
    <row r="46" spans="2:18" x14ac:dyDescent="0.2">
      <c r="C46" s="24"/>
      <c r="H46" s="34"/>
      <c r="J46" s="34"/>
      <c r="K46" s="34"/>
      <c r="L46" s="34"/>
      <c r="M46" s="34"/>
    </row>
    <row r="47" spans="2:18" x14ac:dyDescent="0.2">
      <c r="C47" s="24"/>
      <c r="H47" s="34"/>
      <c r="J47" s="34"/>
      <c r="K47" s="34"/>
      <c r="L47" s="34"/>
      <c r="M47" s="34"/>
    </row>
    <row r="48" spans="2:18" x14ac:dyDescent="0.2">
      <c r="B48" s="17" t="s">
        <v>60</v>
      </c>
      <c r="C48" s="51" t="s">
        <v>34</v>
      </c>
      <c r="D48" s="17"/>
      <c r="E48" s="18"/>
      <c r="F48" s="17"/>
      <c r="G48" s="18"/>
      <c r="H48" s="18"/>
      <c r="I48" s="18"/>
      <c r="J48" s="19"/>
      <c r="K48" s="19"/>
      <c r="L48" s="19"/>
      <c r="M48" s="19"/>
      <c r="N48" s="19"/>
      <c r="O48" s="19"/>
      <c r="P48" s="19"/>
    </row>
    <row r="49" spans="2:16" x14ac:dyDescent="0.2">
      <c r="J49" s="34"/>
      <c r="K49" s="34"/>
      <c r="L49" s="34"/>
      <c r="M49" s="34"/>
    </row>
    <row r="50" spans="2:16" x14ac:dyDescent="0.2">
      <c r="B50" s="21" t="s">
        <v>36</v>
      </c>
      <c r="C50" s="21"/>
      <c r="D50" s="22"/>
      <c r="F50" s="23"/>
      <c r="G50" s="23"/>
      <c r="H50" s="23"/>
      <c r="J50" s="23" t="s">
        <v>21</v>
      </c>
      <c r="K50" s="23" t="s">
        <v>22</v>
      </c>
      <c r="L50" s="23" t="s">
        <v>23</v>
      </c>
      <c r="M50" s="23" t="s">
        <v>24</v>
      </c>
      <c r="N50" s="23" t="s">
        <v>25</v>
      </c>
      <c r="P50" s="23" t="s">
        <v>6</v>
      </c>
    </row>
    <row r="51" spans="2:16" x14ac:dyDescent="0.2">
      <c r="B51" t="s">
        <v>1</v>
      </c>
      <c r="C51" s="47" t="str">
        <f>$C$48&amp;" "&amp;B51</f>
        <v xml:space="preserve">Option 2 New Depot Design </v>
      </c>
      <c r="E51" s="25"/>
      <c r="F51" s="27"/>
      <c r="G51" s="27"/>
      <c r="H51" s="35"/>
      <c r="I51" s="25"/>
      <c r="J51" s="36">
        <f>INDEX($J$10:$N$44,MATCH($C51,$C$10:$C$44,0),MATCH(J$50,$J$9:$N$9,0))</f>
        <v>0</v>
      </c>
      <c r="K51" s="36">
        <f t="shared" ref="K51:N59" si="9">INDEX($J$10:$N$44,MATCH($C51,$C$10:$C$44,0),MATCH(K$50,$J$9:$N$9,0))</f>
        <v>0</v>
      </c>
      <c r="L51" s="36">
        <f t="shared" si="9"/>
        <v>0</v>
      </c>
      <c r="M51" s="36">
        <f t="shared" si="9"/>
        <v>0</v>
      </c>
      <c r="N51" s="36">
        <f t="shared" si="9"/>
        <v>0</v>
      </c>
      <c r="P51" s="26">
        <f>SUM(J51:N51)</f>
        <v>0</v>
      </c>
    </row>
    <row r="52" spans="2:16" x14ac:dyDescent="0.2">
      <c r="B52" t="s">
        <v>0</v>
      </c>
      <c r="C52" s="47" t="str">
        <f t="shared" ref="C52:C59" si="10">$C$48&amp;" "&amp;B52</f>
        <v>Option 2 Staff Relocation / Alternative Accom</v>
      </c>
      <c r="E52" s="25"/>
      <c r="F52" s="27"/>
      <c r="G52" s="27"/>
      <c r="H52" s="35"/>
      <c r="I52" s="25"/>
      <c r="J52" s="36">
        <f t="shared" ref="J52:J59" si="11">INDEX($J$10:$N$44,MATCH($C52,$C$10:$C$44,0),MATCH(J$50,$J$9:$N$9,0))</f>
        <v>0</v>
      </c>
      <c r="K52" s="36">
        <f t="shared" si="9"/>
        <v>0</v>
      </c>
      <c r="L52" s="36">
        <f t="shared" si="9"/>
        <v>0</v>
      </c>
      <c r="M52" s="36">
        <f t="shared" si="9"/>
        <v>0</v>
      </c>
      <c r="N52" s="36">
        <f t="shared" si="9"/>
        <v>0</v>
      </c>
      <c r="P52" s="26">
        <f t="shared" ref="P52:P59" si="12">SUM(J52:N52)</f>
        <v>0</v>
      </c>
    </row>
    <row r="53" spans="2:16" x14ac:dyDescent="0.2">
      <c r="B53" t="s">
        <v>7</v>
      </c>
      <c r="C53" s="47" t="str">
        <f t="shared" si="10"/>
        <v>Option 2 Land acquisition</v>
      </c>
      <c r="E53" s="25"/>
      <c r="F53" s="27"/>
      <c r="G53" s="27"/>
      <c r="H53" s="35"/>
      <c r="I53" s="25"/>
      <c r="J53" s="36">
        <f t="shared" si="11"/>
        <v>10045000</v>
      </c>
      <c r="K53" s="36">
        <f t="shared" si="9"/>
        <v>0</v>
      </c>
      <c r="L53" s="36">
        <f t="shared" si="9"/>
        <v>0</v>
      </c>
      <c r="M53" s="36">
        <f t="shared" si="9"/>
        <v>0</v>
      </c>
      <c r="N53" s="36">
        <f t="shared" si="9"/>
        <v>0</v>
      </c>
      <c r="P53" s="26">
        <f>SUM(J53:N53)</f>
        <v>10045000</v>
      </c>
    </row>
    <row r="54" spans="2:16" x14ac:dyDescent="0.2">
      <c r="B54" t="s">
        <v>2</v>
      </c>
      <c r="C54" s="47" t="str">
        <f t="shared" si="10"/>
        <v>Option 2 Civil Works/Demolition works</v>
      </c>
      <c r="E54" s="25"/>
      <c r="F54" s="27"/>
      <c r="G54" s="27"/>
      <c r="H54" s="35"/>
      <c r="I54" s="25"/>
      <c r="J54" s="36">
        <f t="shared" si="11"/>
        <v>1522499.9999999998</v>
      </c>
      <c r="K54" s="36">
        <f t="shared" si="9"/>
        <v>1522499.9999999998</v>
      </c>
      <c r="L54" s="36">
        <f t="shared" si="9"/>
        <v>0</v>
      </c>
      <c r="M54" s="36">
        <f t="shared" si="9"/>
        <v>0</v>
      </c>
      <c r="N54" s="36">
        <f t="shared" si="9"/>
        <v>0</v>
      </c>
      <c r="P54" s="26">
        <f t="shared" si="12"/>
        <v>3044999.9999999995</v>
      </c>
    </row>
    <row r="55" spans="2:16" x14ac:dyDescent="0.2">
      <c r="B55" t="s">
        <v>3</v>
      </c>
      <c r="C55" s="47" t="str">
        <f t="shared" si="10"/>
        <v xml:space="preserve">Option 2 Building works </v>
      </c>
      <c r="E55" s="25"/>
      <c r="F55" s="27"/>
      <c r="G55" s="27"/>
      <c r="H55" s="35"/>
      <c r="I55" s="25"/>
      <c r="J55" s="36">
        <f t="shared" si="11"/>
        <v>0</v>
      </c>
      <c r="K55" s="36">
        <f t="shared" si="9"/>
        <v>7003499.9999999991</v>
      </c>
      <c r="L55" s="36">
        <f t="shared" si="9"/>
        <v>0</v>
      </c>
      <c r="M55" s="36">
        <f t="shared" si="9"/>
        <v>0</v>
      </c>
      <c r="N55" s="36">
        <f t="shared" si="9"/>
        <v>0</v>
      </c>
      <c r="P55" s="26">
        <f t="shared" si="12"/>
        <v>7003499.9999999991</v>
      </c>
    </row>
    <row r="56" spans="2:16" x14ac:dyDescent="0.2">
      <c r="B56" t="s">
        <v>4</v>
      </c>
      <c r="C56" s="47" t="str">
        <f t="shared" si="10"/>
        <v xml:space="preserve">Option 2 Services </v>
      </c>
      <c r="E56" s="25"/>
      <c r="F56" s="27"/>
      <c r="G56" s="27"/>
      <c r="H56" s="35"/>
      <c r="I56" s="25"/>
      <c r="J56" s="36">
        <f t="shared" si="11"/>
        <v>0</v>
      </c>
      <c r="K56" s="36">
        <f t="shared" si="9"/>
        <v>1150000</v>
      </c>
      <c r="L56" s="36">
        <f t="shared" si="9"/>
        <v>0</v>
      </c>
      <c r="M56" s="36">
        <f t="shared" si="9"/>
        <v>0</v>
      </c>
      <c r="N56" s="36">
        <f t="shared" si="9"/>
        <v>0</v>
      </c>
      <c r="P56" s="26">
        <f t="shared" si="12"/>
        <v>1150000</v>
      </c>
    </row>
    <row r="57" spans="2:16" x14ac:dyDescent="0.2">
      <c r="B57" t="s">
        <v>5</v>
      </c>
      <c r="C57" s="47" t="str">
        <f t="shared" si="10"/>
        <v>Option 2 Fixtures, Furniture &amp; equipment</v>
      </c>
      <c r="E57" s="25"/>
      <c r="F57" s="27"/>
      <c r="G57" s="27"/>
      <c r="H57" s="35"/>
      <c r="I57" s="25"/>
      <c r="J57" s="36">
        <f t="shared" si="11"/>
        <v>0</v>
      </c>
      <c r="K57" s="36">
        <f t="shared" si="9"/>
        <v>405999.99999999994</v>
      </c>
      <c r="L57" s="36">
        <f t="shared" si="9"/>
        <v>0</v>
      </c>
      <c r="M57" s="36">
        <f t="shared" si="9"/>
        <v>0</v>
      </c>
      <c r="N57" s="36">
        <f t="shared" si="9"/>
        <v>0</v>
      </c>
      <c r="P57" s="26">
        <f t="shared" si="12"/>
        <v>405999.99999999994</v>
      </c>
    </row>
    <row r="58" spans="2:16" x14ac:dyDescent="0.2">
      <c r="B58" t="s">
        <v>10</v>
      </c>
      <c r="C58" s="47" t="str">
        <f t="shared" si="10"/>
        <v>Option 2 Other</v>
      </c>
      <c r="E58" s="25"/>
      <c r="F58" s="27"/>
      <c r="G58" s="27"/>
      <c r="H58" s="35"/>
      <c r="I58" s="25"/>
      <c r="J58" s="36">
        <f t="shared" si="11"/>
        <v>6700000</v>
      </c>
      <c r="K58" s="36">
        <f t="shared" si="9"/>
        <v>0</v>
      </c>
      <c r="L58" s="36">
        <f t="shared" si="9"/>
        <v>0</v>
      </c>
      <c r="M58" s="36">
        <f t="shared" si="9"/>
        <v>0</v>
      </c>
      <c r="N58" s="36">
        <f t="shared" si="9"/>
        <v>0</v>
      </c>
      <c r="P58" s="26">
        <f t="shared" si="12"/>
        <v>6700000</v>
      </c>
    </row>
    <row r="59" spans="2:16" x14ac:dyDescent="0.2">
      <c r="B59" t="s">
        <v>9</v>
      </c>
      <c r="C59" s="48" t="str">
        <f t="shared" si="10"/>
        <v>Option 2 Project Management</v>
      </c>
      <c r="D59" s="28"/>
      <c r="E59" s="25"/>
      <c r="F59" s="27"/>
      <c r="G59" s="27"/>
      <c r="H59" s="35"/>
      <c r="I59" s="25"/>
      <c r="J59" s="36">
        <f t="shared" si="11"/>
        <v>0</v>
      </c>
      <c r="K59" s="36">
        <f t="shared" si="9"/>
        <v>0</v>
      </c>
      <c r="L59" s="36">
        <f t="shared" si="9"/>
        <v>0</v>
      </c>
      <c r="M59" s="36">
        <f t="shared" si="9"/>
        <v>0</v>
      </c>
      <c r="N59" s="36">
        <f t="shared" si="9"/>
        <v>0</v>
      </c>
      <c r="P59" s="26">
        <f t="shared" si="12"/>
        <v>0</v>
      </c>
    </row>
    <row r="60" spans="2:16" x14ac:dyDescent="0.2">
      <c r="B60" s="37" t="str">
        <f>"Total Property Costs ($ "&amp;Assumptions!$B$10&amp;")"</f>
        <v>Total Property Costs ($ June 2024)</v>
      </c>
      <c r="C60" s="20"/>
      <c r="D60" s="20"/>
      <c r="F60" s="30"/>
      <c r="G60" s="30"/>
      <c r="H60" s="30"/>
      <c r="I60" s="31"/>
      <c r="J60" s="31">
        <f>SUM(J51:J59)</f>
        <v>18267500</v>
      </c>
      <c r="K60" s="31">
        <f>SUM(K51:K59)</f>
        <v>10081999.999999998</v>
      </c>
      <c r="L60" s="31">
        <f>SUM(L51:L59)</f>
        <v>0</v>
      </c>
      <c r="M60" s="31">
        <f>SUM(M51:M59)</f>
        <v>0</v>
      </c>
      <c r="N60" s="31">
        <f>SUM(N51:N59)</f>
        <v>0</v>
      </c>
      <c r="O60" s="31"/>
      <c r="P60" s="31">
        <f>SUM(P51:P59)</f>
        <v>28349500</v>
      </c>
    </row>
    <row r="61" spans="2:16" x14ac:dyDescent="0.2">
      <c r="J61" s="34"/>
      <c r="K61" s="34"/>
      <c r="L61" s="34"/>
      <c r="M61" s="34"/>
      <c r="N61" s="25"/>
      <c r="O61" s="25"/>
      <c r="P61" s="25"/>
    </row>
    <row r="62" spans="2:16" x14ac:dyDescent="0.2">
      <c r="B62" s="21" t="s">
        <v>29</v>
      </c>
      <c r="C62" s="21"/>
      <c r="D62" s="22"/>
      <c r="F62" s="23"/>
      <c r="G62" s="23"/>
      <c r="H62" s="23"/>
      <c r="J62" s="23" t="s">
        <v>21</v>
      </c>
      <c r="K62" s="23" t="s">
        <v>22</v>
      </c>
      <c r="L62" s="23" t="s">
        <v>23</v>
      </c>
      <c r="M62" s="23" t="s">
        <v>24</v>
      </c>
      <c r="N62" s="23" t="s">
        <v>25</v>
      </c>
      <c r="P62" s="23" t="s">
        <v>6</v>
      </c>
    </row>
    <row r="63" spans="2:16" x14ac:dyDescent="0.2">
      <c r="B63" t="s">
        <v>11</v>
      </c>
      <c r="J63" s="34">
        <f>IF($C$48=$B$9,SUMPRODUCT(J$10:J$18,$F$10:$F$18),IF($C$48=$B$22,SUMPRODUCT(J$23:J$31,$F$23:$F$31),IF($C$48=$B$35,SUMPRODUCT(J$36:J$44,$F$36:$F$44))))</f>
        <v>0</v>
      </c>
      <c r="K63" s="34">
        <f t="shared" ref="K63:N63" si="13">IF($C$48=$B$9,SUMPRODUCT(K$10:K$18,$F$10:$F$18),IF($C$48=$B$22,SUMPRODUCT(K$23:K$31,$F$23:$F$31),IF($C$48=$B$35,SUMPRODUCT(K$36:K$44,$F$36:$F$44))))</f>
        <v>0</v>
      </c>
      <c r="L63" s="34">
        <f t="shared" si="13"/>
        <v>0</v>
      </c>
      <c r="M63" s="34">
        <f t="shared" si="13"/>
        <v>0</v>
      </c>
      <c r="N63" s="34">
        <f t="shared" si="13"/>
        <v>0</v>
      </c>
      <c r="O63" s="25"/>
      <c r="P63" s="26">
        <f>SUM(J63:N63)</f>
        <v>0</v>
      </c>
    </row>
    <row r="64" spans="2:16" x14ac:dyDescent="0.2">
      <c r="B64" t="s">
        <v>27</v>
      </c>
      <c r="J64" s="34">
        <f>IF($C$48=$B$9,SUMPRODUCT(J$10:J$18,$G$10:$G$18),IF($C$48=$B$22,SUMPRODUCT(J$23:J$31,$G$23:$G$31),IF($C$48=$B$35,SUMPRODUCT(J$36:J$44,$G$36:$G$44))))</f>
        <v>17506250</v>
      </c>
      <c r="K64" s="34">
        <f t="shared" ref="K64:N64" si="14">IF($C$48=$B$9,SUMPRODUCT(K$10:K$18,$G$10:$G$18),IF($C$48=$B$22,SUMPRODUCT(K$23:K$31,$G$23:$G$31),IF($C$48=$B$35,SUMPRODUCT(K$36:K$44,$G$36:$G$44))))</f>
        <v>6299699.9999999991</v>
      </c>
      <c r="L64" s="34">
        <f t="shared" si="14"/>
        <v>0</v>
      </c>
      <c r="M64" s="34">
        <f t="shared" si="14"/>
        <v>0</v>
      </c>
      <c r="N64" s="34">
        <f t="shared" si="14"/>
        <v>0</v>
      </c>
      <c r="O64" s="34"/>
      <c r="P64" s="26">
        <f t="shared" ref="P64:P65" si="15">SUM(J64:N64)</f>
        <v>23805950</v>
      </c>
    </row>
    <row r="65" spans="2:19" x14ac:dyDescent="0.2">
      <c r="B65" t="s">
        <v>13</v>
      </c>
      <c r="J65" s="34">
        <f>IF($C$48=$B$9,SUMPRODUCT(J$10:J$18,$H$10:$H$18),IF($C$48=$B$22,SUMPRODUCT(J$23:J$31,$H$23:$H$31),IF($C$48=$B$35,SUMPRODUCT(J$36:J$44,$H$36:$H$44))))</f>
        <v>761249.99999999988</v>
      </c>
      <c r="K65" s="34">
        <f t="shared" ref="K65:N65" si="16">IF($C$48=$B$9,SUMPRODUCT(K$10:K$18,$H$10:$H$18),IF($C$48=$B$22,SUMPRODUCT(K$23:K$31,$H$23:$H$31),IF($C$48=$B$35,SUMPRODUCT(K$36:K$44,$H$36:$H$44))))</f>
        <v>3782299.9999999995</v>
      </c>
      <c r="L65" s="34">
        <f t="shared" si="16"/>
        <v>0</v>
      </c>
      <c r="M65" s="34">
        <f t="shared" si="16"/>
        <v>0</v>
      </c>
      <c r="N65" s="34">
        <f t="shared" si="16"/>
        <v>0</v>
      </c>
      <c r="O65" s="25"/>
      <c r="P65" s="26">
        <f t="shared" si="15"/>
        <v>4543549.9999999991</v>
      </c>
    </row>
    <row r="66" spans="2:19" x14ac:dyDescent="0.2">
      <c r="B66" s="37" t="str">
        <f>"Total Property Costs ($ "&amp;Assumptions!$B$10&amp;")"</f>
        <v>Total Property Costs ($ June 2024)</v>
      </c>
      <c r="C66" s="38"/>
      <c r="D66" s="38"/>
      <c r="F66" s="30"/>
      <c r="G66" s="30"/>
      <c r="H66" s="30"/>
      <c r="I66" s="31"/>
      <c r="J66" s="31">
        <f>SUM(J63:J65)</f>
        <v>18267500</v>
      </c>
      <c r="K66" s="31">
        <f t="shared" ref="K66:P66" si="17">SUM(K63:K65)</f>
        <v>10081999.999999998</v>
      </c>
      <c r="L66" s="31">
        <f t="shared" si="17"/>
        <v>0</v>
      </c>
      <c r="M66" s="31">
        <f t="shared" si="17"/>
        <v>0</v>
      </c>
      <c r="N66" s="31">
        <f t="shared" si="17"/>
        <v>0</v>
      </c>
      <c r="O66" s="31"/>
      <c r="P66" s="31">
        <f t="shared" si="17"/>
        <v>28349500</v>
      </c>
      <c r="Q66" s="25"/>
      <c r="R66" s="115"/>
      <c r="S66" s="116"/>
    </row>
    <row r="67" spans="2:19" x14ac:dyDescent="0.2">
      <c r="H67" s="39" t="s">
        <v>28</v>
      </c>
      <c r="I67" s="39"/>
      <c r="J67" s="40">
        <f>J60-J66</f>
        <v>0</v>
      </c>
      <c r="K67" s="40">
        <f t="shared" ref="K67:P67" si="18">K60-K66</f>
        <v>0</v>
      </c>
      <c r="L67" s="40">
        <f t="shared" si="18"/>
        <v>0</v>
      </c>
      <c r="M67" s="40">
        <f t="shared" si="18"/>
        <v>0</v>
      </c>
      <c r="N67" s="40">
        <f t="shared" si="18"/>
        <v>0</v>
      </c>
      <c r="O67" s="40"/>
      <c r="P67" s="40">
        <f t="shared" si="18"/>
        <v>0</v>
      </c>
    </row>
    <row r="68" spans="2:19" x14ac:dyDescent="0.2">
      <c r="J68" s="34"/>
      <c r="K68" s="34"/>
      <c r="L68" s="34"/>
      <c r="M68" s="34"/>
      <c r="N68" s="25"/>
      <c r="O68" s="25"/>
      <c r="P68" s="25"/>
    </row>
    <row r="69" spans="2:19" x14ac:dyDescent="0.2">
      <c r="J69" s="34"/>
      <c r="K69" s="34"/>
      <c r="L69" s="34"/>
      <c r="M69" s="34"/>
      <c r="N69" s="25"/>
      <c r="O69" s="25"/>
      <c r="P69" s="25"/>
    </row>
    <row r="70" spans="2:19" x14ac:dyDescent="0.2">
      <c r="B70" s="41" t="str">
        <f>"For Regulation use: figures converted to $ "&amp;Assumptions!$C$30</f>
        <v>For Regulation use: figures converted to $ June 2026</v>
      </c>
      <c r="C70" s="18"/>
      <c r="D70" s="18"/>
      <c r="E70" s="18"/>
      <c r="F70" s="18"/>
      <c r="G70" s="18"/>
      <c r="H70" s="18"/>
      <c r="I70" s="18"/>
      <c r="J70" s="19"/>
      <c r="K70" s="19"/>
      <c r="L70" s="19"/>
      <c r="M70" s="19"/>
      <c r="N70" s="18"/>
      <c r="O70" s="18"/>
      <c r="P70" s="18"/>
    </row>
    <row r="72" spans="2:19" x14ac:dyDescent="0.2">
      <c r="B72" s="21" t="s">
        <v>29</v>
      </c>
      <c r="C72" s="21"/>
      <c r="D72" s="22"/>
      <c r="F72" s="23"/>
      <c r="G72" s="23"/>
      <c r="H72" s="23"/>
      <c r="J72" s="23" t="s">
        <v>21</v>
      </c>
      <c r="K72" s="23" t="s">
        <v>22</v>
      </c>
      <c r="L72" s="23" t="s">
        <v>23</v>
      </c>
      <c r="M72" s="23" t="s">
        <v>24</v>
      </c>
      <c r="N72" s="23" t="s">
        <v>25</v>
      </c>
      <c r="P72" s="23" t="s">
        <v>6</v>
      </c>
    </row>
    <row r="73" spans="2:19" x14ac:dyDescent="0.2">
      <c r="B73" t="s">
        <v>1</v>
      </c>
      <c r="E73" s="25"/>
      <c r="F73" s="27"/>
      <c r="G73" s="27"/>
      <c r="H73" s="35"/>
      <c r="I73" s="25"/>
      <c r="J73" s="44">
        <f t="shared" ref="J73:N81" si="19">J51*business_case_dollars</f>
        <v>0</v>
      </c>
      <c r="K73" s="44">
        <f t="shared" si="19"/>
        <v>0</v>
      </c>
      <c r="L73" s="44">
        <f t="shared" si="19"/>
        <v>0</v>
      </c>
      <c r="M73" s="44">
        <f t="shared" si="19"/>
        <v>0</v>
      </c>
      <c r="N73" s="44">
        <f t="shared" si="19"/>
        <v>0</v>
      </c>
      <c r="O73" s="42"/>
      <c r="P73" s="26">
        <f>SUM(J73:N73)</f>
        <v>0</v>
      </c>
    </row>
    <row r="74" spans="2:19" x14ac:dyDescent="0.2">
      <c r="B74" t="s">
        <v>0</v>
      </c>
      <c r="E74" s="25"/>
      <c r="F74" s="27"/>
      <c r="G74" s="27"/>
      <c r="H74" s="35"/>
      <c r="I74" s="25"/>
      <c r="J74" s="44">
        <f t="shared" si="19"/>
        <v>0</v>
      </c>
      <c r="K74" s="44">
        <f t="shared" si="19"/>
        <v>0</v>
      </c>
      <c r="L74" s="44">
        <f t="shared" si="19"/>
        <v>0</v>
      </c>
      <c r="M74" s="44">
        <f t="shared" si="19"/>
        <v>0</v>
      </c>
      <c r="N74" s="44">
        <f t="shared" si="19"/>
        <v>0</v>
      </c>
      <c r="O74" s="42"/>
      <c r="P74" s="26">
        <f t="shared" ref="P74:P81" si="20">SUM(J74:N74)</f>
        <v>0</v>
      </c>
    </row>
    <row r="75" spans="2:19" x14ac:dyDescent="0.2">
      <c r="B75" t="s">
        <v>14</v>
      </c>
      <c r="E75" s="25"/>
      <c r="F75" s="27"/>
      <c r="G75" s="27"/>
      <c r="H75" s="35"/>
      <c r="I75" s="25"/>
      <c r="J75" s="44">
        <f>J53*business_case_dollars</f>
        <v>11179207.533254713</v>
      </c>
      <c r="K75" s="44">
        <f t="shared" si="19"/>
        <v>0</v>
      </c>
      <c r="L75" s="44">
        <f t="shared" si="19"/>
        <v>0</v>
      </c>
      <c r="M75" s="44">
        <f t="shared" si="19"/>
        <v>0</v>
      </c>
      <c r="N75" s="44">
        <f t="shared" si="19"/>
        <v>0</v>
      </c>
      <c r="O75" s="42"/>
      <c r="P75" s="26">
        <f t="shared" si="20"/>
        <v>11179207.533254713</v>
      </c>
    </row>
    <row r="76" spans="2:19" x14ac:dyDescent="0.2">
      <c r="B76" t="s">
        <v>2</v>
      </c>
      <c r="E76" s="25"/>
      <c r="F76" s="27"/>
      <c r="G76" s="27"/>
      <c r="H76" s="35"/>
      <c r="I76" s="25"/>
      <c r="J76" s="44">
        <f t="shared" si="19"/>
        <v>1694409.5041692681</v>
      </c>
      <c r="K76" s="44">
        <f t="shared" si="19"/>
        <v>1694409.5041692681</v>
      </c>
      <c r="L76" s="44">
        <f t="shared" si="19"/>
        <v>0</v>
      </c>
      <c r="M76" s="44">
        <f t="shared" si="19"/>
        <v>0</v>
      </c>
      <c r="N76" s="44">
        <f t="shared" si="19"/>
        <v>0</v>
      </c>
      <c r="O76" s="42"/>
      <c r="P76" s="26">
        <f t="shared" si="20"/>
        <v>3388819.0083385361</v>
      </c>
    </row>
    <row r="77" spans="2:19" x14ac:dyDescent="0.2">
      <c r="B77" t="s">
        <v>3</v>
      </c>
      <c r="E77" s="25"/>
      <c r="F77" s="27"/>
      <c r="G77" s="27"/>
      <c r="H77" s="35"/>
      <c r="I77" s="25"/>
      <c r="J77" s="44">
        <f t="shared" si="19"/>
        <v>0</v>
      </c>
      <c r="K77" s="44">
        <f t="shared" si="19"/>
        <v>7794283.7191786328</v>
      </c>
      <c r="L77" s="44">
        <f t="shared" si="19"/>
        <v>0</v>
      </c>
      <c r="M77" s="44">
        <f t="shared" si="19"/>
        <v>0</v>
      </c>
      <c r="N77" s="44">
        <f t="shared" si="19"/>
        <v>0</v>
      </c>
      <c r="O77" s="42"/>
      <c r="P77" s="26">
        <f t="shared" si="20"/>
        <v>7794283.7191786328</v>
      </c>
    </row>
    <row r="78" spans="2:19" x14ac:dyDescent="0.2">
      <c r="B78" t="s">
        <v>4</v>
      </c>
      <c r="E78" s="25"/>
      <c r="F78" s="27"/>
      <c r="G78" s="27"/>
      <c r="H78" s="35"/>
      <c r="I78" s="25"/>
      <c r="J78" s="44">
        <f t="shared" si="19"/>
        <v>0</v>
      </c>
      <c r="K78" s="44">
        <f t="shared" si="19"/>
        <v>1279849.5433790861</v>
      </c>
      <c r="L78" s="44">
        <f t="shared" si="19"/>
        <v>0</v>
      </c>
      <c r="M78" s="44">
        <f t="shared" si="19"/>
        <v>0</v>
      </c>
      <c r="N78" s="44">
        <f t="shared" si="19"/>
        <v>0</v>
      </c>
      <c r="O78" s="42"/>
      <c r="P78" s="26">
        <f t="shared" si="20"/>
        <v>1279849.5433790861</v>
      </c>
    </row>
    <row r="79" spans="2:19" x14ac:dyDescent="0.2">
      <c r="B79" t="s">
        <v>5</v>
      </c>
      <c r="E79" s="25"/>
      <c r="F79" s="27"/>
      <c r="G79" s="27"/>
      <c r="H79" s="35"/>
      <c r="I79" s="25"/>
      <c r="J79" s="44">
        <f t="shared" si="19"/>
        <v>0</v>
      </c>
      <c r="K79" s="44">
        <f t="shared" si="19"/>
        <v>451842.53444513812</v>
      </c>
      <c r="L79" s="44">
        <f t="shared" si="19"/>
        <v>0</v>
      </c>
      <c r="M79" s="44">
        <f t="shared" si="19"/>
        <v>0</v>
      </c>
      <c r="N79" s="44">
        <f t="shared" si="19"/>
        <v>0</v>
      </c>
      <c r="O79" s="42"/>
      <c r="P79" s="26">
        <f t="shared" si="20"/>
        <v>451842.53444513812</v>
      </c>
    </row>
    <row r="80" spans="2:19" x14ac:dyDescent="0.2">
      <c r="B80" t="s">
        <v>10</v>
      </c>
      <c r="E80" s="25"/>
      <c r="F80" s="27"/>
      <c r="G80" s="27"/>
      <c r="H80" s="35"/>
      <c r="I80" s="25"/>
      <c r="J80" s="44">
        <f t="shared" si="19"/>
        <v>7456514.7309911968</v>
      </c>
      <c r="K80" s="44">
        <f t="shared" si="19"/>
        <v>0</v>
      </c>
      <c r="L80" s="44">
        <f t="shared" si="19"/>
        <v>0</v>
      </c>
      <c r="M80" s="44">
        <f t="shared" si="19"/>
        <v>0</v>
      </c>
      <c r="N80" s="44">
        <f t="shared" si="19"/>
        <v>0</v>
      </c>
      <c r="O80" s="42"/>
      <c r="P80" s="26">
        <f t="shared" si="20"/>
        <v>7456514.7309911968</v>
      </c>
    </row>
    <row r="81" spans="2:18" x14ac:dyDescent="0.2">
      <c r="B81" t="s">
        <v>9</v>
      </c>
      <c r="C81" s="28"/>
      <c r="D81" s="28"/>
      <c r="E81" s="25"/>
      <c r="F81" s="27"/>
      <c r="G81" s="27"/>
      <c r="H81" s="35"/>
      <c r="I81" s="25"/>
      <c r="J81" s="44">
        <f t="shared" si="19"/>
        <v>0</v>
      </c>
      <c r="K81" s="44">
        <f t="shared" si="19"/>
        <v>0</v>
      </c>
      <c r="L81" s="44">
        <f t="shared" si="19"/>
        <v>0</v>
      </c>
      <c r="M81" s="44">
        <f t="shared" si="19"/>
        <v>0</v>
      </c>
      <c r="N81" s="44">
        <f t="shared" si="19"/>
        <v>0</v>
      </c>
      <c r="O81" s="42"/>
      <c r="P81" s="26">
        <f t="shared" si="20"/>
        <v>0</v>
      </c>
    </row>
    <row r="82" spans="2:18" x14ac:dyDescent="0.2">
      <c r="B82" s="37" t="str">
        <f>"Total Property Costs $ "&amp;Assumptions!$C$30</f>
        <v>Total Property Costs $ June 2026</v>
      </c>
      <c r="C82" s="20"/>
      <c r="D82" s="20"/>
      <c r="F82" s="30"/>
      <c r="G82" s="30"/>
      <c r="H82" s="30"/>
      <c r="I82" s="31"/>
      <c r="J82" s="31">
        <f>SUM(J73:J81)</f>
        <v>20330131.768415179</v>
      </c>
      <c r="K82" s="31">
        <f>SUM(K73:K81)</f>
        <v>11220385.301172124</v>
      </c>
      <c r="L82" s="31">
        <f>SUM(L73:L81)</f>
        <v>0</v>
      </c>
      <c r="M82" s="31">
        <f>SUM(M73:M81)</f>
        <v>0</v>
      </c>
      <c r="N82" s="31">
        <f>SUM(N73:N81)</f>
        <v>0</v>
      </c>
      <c r="O82" s="31"/>
      <c r="P82" s="31">
        <f>SUM(P73:P81)</f>
        <v>31550517.069587301</v>
      </c>
    </row>
    <row r="84" spans="2:18" x14ac:dyDescent="0.2">
      <c r="B84" s="21" t="s">
        <v>29</v>
      </c>
      <c r="C84" s="21"/>
      <c r="D84" s="22"/>
      <c r="F84" s="23"/>
      <c r="G84" s="23"/>
      <c r="H84" s="23"/>
      <c r="J84" s="23" t="s">
        <v>21</v>
      </c>
      <c r="K84" s="23" t="s">
        <v>22</v>
      </c>
      <c r="L84" s="23" t="s">
        <v>23</v>
      </c>
      <c r="M84" s="23" t="s">
        <v>24</v>
      </c>
      <c r="N84" s="23" t="s">
        <v>25</v>
      </c>
      <c r="P84" s="23" t="s">
        <v>6</v>
      </c>
    </row>
    <row r="85" spans="2:18" x14ac:dyDescent="0.2">
      <c r="B85" t="s">
        <v>11</v>
      </c>
      <c r="J85" s="44">
        <f t="shared" ref="J85:N87" si="21">J63*business_case_dollars</f>
        <v>0</v>
      </c>
      <c r="K85" s="44">
        <f t="shared" si="21"/>
        <v>0</v>
      </c>
      <c r="L85" s="44">
        <f t="shared" si="21"/>
        <v>0</v>
      </c>
      <c r="M85" s="44">
        <f t="shared" si="21"/>
        <v>0</v>
      </c>
      <c r="N85" s="44">
        <f t="shared" si="21"/>
        <v>0</v>
      </c>
      <c r="O85" s="25"/>
      <c r="P85" s="26">
        <f>SUM(J85:N85)</f>
        <v>0</v>
      </c>
    </row>
    <row r="86" spans="2:18" x14ac:dyDescent="0.2">
      <c r="B86" t="s">
        <v>27</v>
      </c>
      <c r="J86" s="44">
        <f t="shared" si="21"/>
        <v>19482927.016330544</v>
      </c>
      <c r="K86" s="44">
        <f t="shared" si="21"/>
        <v>7011015.7986306325</v>
      </c>
      <c r="L86" s="44">
        <f t="shared" si="21"/>
        <v>0</v>
      </c>
      <c r="M86" s="44">
        <f t="shared" si="21"/>
        <v>0</v>
      </c>
      <c r="N86" s="44">
        <f t="shared" si="21"/>
        <v>0</v>
      </c>
      <c r="O86" s="25"/>
      <c r="P86" s="26">
        <f>SUM(J86:N86)</f>
        <v>26493942.814961176</v>
      </c>
    </row>
    <row r="87" spans="2:18" x14ac:dyDescent="0.2">
      <c r="B87" t="s">
        <v>13</v>
      </c>
      <c r="J87" s="44">
        <f t="shared" si="21"/>
        <v>847204.75208463403</v>
      </c>
      <c r="K87" s="44">
        <f t="shared" si="21"/>
        <v>4209369.5025414927</v>
      </c>
      <c r="L87" s="44">
        <f t="shared" si="21"/>
        <v>0</v>
      </c>
      <c r="M87" s="44">
        <f t="shared" si="21"/>
        <v>0</v>
      </c>
      <c r="N87" s="44">
        <f t="shared" si="21"/>
        <v>0</v>
      </c>
      <c r="O87" s="25"/>
      <c r="P87" s="26">
        <f t="shared" ref="P87" si="22">SUM(J87:N87)</f>
        <v>5056574.254626127</v>
      </c>
    </row>
    <row r="88" spans="2:18" x14ac:dyDescent="0.2">
      <c r="B88" s="37" t="str">
        <f>"Total Property Costs $ "&amp;Assumptions!$C$30</f>
        <v>Total Property Costs $ June 2026</v>
      </c>
      <c r="C88" s="38"/>
      <c r="D88" s="38"/>
      <c r="F88" s="30"/>
      <c r="G88" s="30"/>
      <c r="H88" s="30"/>
      <c r="I88" s="31"/>
      <c r="J88" s="31">
        <f>SUM(J85:J87)</f>
        <v>20330131.768415179</v>
      </c>
      <c r="K88" s="31">
        <f t="shared" ref="K88:N88" si="23">SUM(K85:K87)</f>
        <v>11220385.301172126</v>
      </c>
      <c r="L88" s="31">
        <f t="shared" si="23"/>
        <v>0</v>
      </c>
      <c r="M88" s="31">
        <f t="shared" si="23"/>
        <v>0</v>
      </c>
      <c r="N88" s="31">
        <f t="shared" si="23"/>
        <v>0</v>
      </c>
      <c r="O88" s="31"/>
      <c r="P88" s="31">
        <f>SUM(P85:P87)</f>
        <v>31550517.069587305</v>
      </c>
      <c r="R88" s="115"/>
    </row>
    <row r="89" spans="2:18" x14ac:dyDescent="0.2">
      <c r="R89" s="115"/>
    </row>
    <row r="90" spans="2:18" x14ac:dyDescent="0.2">
      <c r="H90" s="39" t="s">
        <v>28</v>
      </c>
      <c r="I90" s="39"/>
      <c r="J90" s="43">
        <f>J82-J88</f>
        <v>0</v>
      </c>
      <c r="K90" s="43">
        <f t="shared" ref="K90:P90" si="24">K82-K88</f>
        <v>0</v>
      </c>
      <c r="L90" s="43">
        <f t="shared" si="24"/>
        <v>0</v>
      </c>
      <c r="M90" s="43">
        <f t="shared" si="24"/>
        <v>0</v>
      </c>
      <c r="N90" s="43">
        <f t="shared" si="24"/>
        <v>0</v>
      </c>
      <c r="O90" s="43"/>
      <c r="P90" s="43">
        <f t="shared" si="24"/>
        <v>0</v>
      </c>
    </row>
  </sheetData>
  <phoneticPr fontId="26" type="noConversion"/>
  <dataValidations count="1">
    <dataValidation type="list" allowBlank="1" showInputMessage="1" showErrorMessage="1" sqref="C48" xr:uid="{91B9D6C9-88C6-48A6-A021-8FC04BEF94B4}">
      <formula1>"Option 1, Option 2, Option 3"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Cover</vt:lpstr>
      <vt:lpstr>Powercor summary</vt:lpstr>
      <vt:lpstr>Assumptions</vt:lpstr>
      <vt:lpstr>Training</vt:lpstr>
      <vt:lpstr>Business</vt:lpstr>
      <vt:lpstr>business_case_dollars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2019-11-20T04:56:42Z</dcterms:created>
  <dcterms:modified xsi:type="dcterms:W3CDTF">2025-01-28T05:58:52Z</dcterms:modified>
</cp:coreProperties>
</file>