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B:\9 Regulatory proposal submission\2 Powercor\8 For finalisation\3 Models for finalisation\8 Non-network\"/>
    </mc:Choice>
  </mc:AlternateContent>
  <xr:revisionPtr revIDLastSave="0" documentId="13_ncr:1_{ADF298CA-5717-4156-B00D-F38D0D3FE4B7}" xr6:coauthVersionLast="47" xr6:coauthVersionMax="47" xr10:uidLastSave="{00000000-0000-0000-0000-000000000000}"/>
  <bookViews>
    <workbookView xWindow="28680" yWindow="-120" windowWidth="29040" windowHeight="15720" xr2:uid="{9829720C-61C9-4220-91EF-A61AD17F01FE}"/>
  </bookViews>
  <sheets>
    <sheet name="Cover" sheetId="8" r:id="rId1"/>
    <sheet name="Summary" sheetId="5" r:id="rId2"/>
    <sheet name="Options Analysis" sheetId="1" r:id="rId3"/>
    <sheet name="Costs" sheetId="3" r:id="rId4"/>
    <sheet name="Risks" sheetId="7" r:id="rId5"/>
    <sheet name="Risk Assumptions" sheetId="6" r:id="rId6"/>
    <sheet name="Reg Assumptions " sheetId="2" r:id="rId7"/>
  </sheets>
  <definedNames>
    <definedName name="business">'Reg Assumptions '!$B$5</definedName>
    <definedName name="esc_24_26">'Reg Assumptions '!$C$26</definedName>
    <definedName name="input_dollars">'Reg Assumptions '!$B$9</definedName>
    <definedName name="model_name">'Reg Assumptions '!$B$7</definedName>
    <definedName name="output_dollars">'Reg Assumptions '!$B$11</definedName>
    <definedName name="pref_option">Summary!$C$8</definedName>
    <definedName name="real_disc">'Reg Assumptions 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6" l="1" a="1"/>
  <c r="G54" i="6" s="1"/>
  <c r="G53" i="6" a="1"/>
  <c r="G53" i="6" s="1"/>
  <c r="G52" i="6" a="1"/>
  <c r="G52" i="6" s="1"/>
  <c r="G51" i="6" a="1"/>
  <c r="G51" i="6" s="1"/>
  <c r="G50" i="6" a="1"/>
  <c r="G50" i="6" s="1"/>
  <c r="G49" i="6" a="1"/>
  <c r="G49" i="6" s="1"/>
  <c r="G48" i="6" a="1"/>
  <c r="G48" i="6" s="1"/>
  <c r="G46" i="6" a="1"/>
  <c r="G46" i="6" s="1"/>
  <c r="G45" i="6" a="1"/>
  <c r="G45" i="6" s="1"/>
  <c r="G44" i="6" a="1"/>
  <c r="G44" i="6" s="1"/>
  <c r="G42" i="6" a="1"/>
  <c r="G42" i="6" s="1"/>
  <c r="G41" i="6" a="1"/>
  <c r="G41" i="6" s="1"/>
  <c r="G40" i="6" a="1"/>
  <c r="G40" i="6" s="1"/>
  <c r="G39" i="6" a="1"/>
  <c r="G39" i="6" s="1"/>
  <c r="G38" i="6" a="1"/>
  <c r="G38" i="6" s="1"/>
  <c r="G37" i="6" a="1"/>
  <c r="G37" i="6" s="1"/>
  <c r="G35" i="6" a="1"/>
  <c r="G35" i="6" s="1"/>
  <c r="G34" i="6" a="1"/>
  <c r="G34" i="6" s="1"/>
  <c r="G33" i="6" a="1"/>
  <c r="G33" i="6" s="1"/>
  <c r="G32" i="6" a="1"/>
  <c r="G32" i="6" s="1"/>
  <c r="G31" i="6" a="1"/>
  <c r="G31" i="6" s="1"/>
  <c r="G30" i="6" a="1"/>
  <c r="G30" i="6" s="1"/>
  <c r="G28" i="6" a="1"/>
  <c r="G28" i="6" s="1"/>
  <c r="G27" i="6" a="1"/>
  <c r="G27" i="6" s="1"/>
  <c r="G26" i="6" a="1"/>
  <c r="G26" i="6" s="1"/>
  <c r="G24" i="6" a="1"/>
  <c r="G24" i="6" s="1"/>
  <c r="G23" i="6" a="1"/>
  <c r="G23" i="6" s="1"/>
  <c r="G22" i="6" a="1"/>
  <c r="G22" i="6" s="1"/>
  <c r="G21" i="6" a="1"/>
  <c r="G21" i="6" s="1"/>
  <c r="G20" i="6" a="1"/>
  <c r="G20" i="6" s="1"/>
  <c r="G19" i="6" a="1"/>
  <c r="G19" i="6" s="1"/>
  <c r="G17" i="6" a="1"/>
  <c r="G17" i="6" s="1"/>
  <c r="G16" i="6" a="1"/>
  <c r="G16" i="6" s="1"/>
  <c r="G15" i="6" a="1"/>
  <c r="G15" i="6" s="1"/>
  <c r="G14" i="6" a="1"/>
  <c r="G14" i="6" s="1"/>
  <c r="G12" i="6" a="1"/>
  <c r="G12" i="6" s="1"/>
  <c r="G11" i="6" a="1"/>
  <c r="G11" i="6" s="1"/>
  <c r="G10" i="6" a="1"/>
  <c r="G10" i="6" s="1"/>
  <c r="G9" i="6" a="1"/>
  <c r="G9" i="6" s="1"/>
  <c r="G8" i="6" a="1"/>
  <c r="G8" i="6" s="1"/>
  <c r="D45" i="6"/>
  <c r="B41" i="5" l="1"/>
  <c r="D6" i="8" a="1"/>
  <c r="D6" i="8" s="1"/>
  <c r="C5" i="8" a="1"/>
  <c r="C5" i="8" s="1"/>
  <c r="N66" i="3"/>
  <c r="M66" i="3"/>
  <c r="L66" i="3"/>
  <c r="K66" i="3"/>
  <c r="N65" i="3"/>
  <c r="M65" i="3"/>
  <c r="L65" i="3"/>
  <c r="K65" i="3"/>
  <c r="N64" i="3"/>
  <c r="M64" i="3"/>
  <c r="L64" i="3"/>
  <c r="K64" i="3"/>
  <c r="J66" i="3"/>
  <c r="J65" i="3"/>
  <c r="J64" i="3"/>
  <c r="N28" i="3"/>
  <c r="M28" i="3"/>
  <c r="L28" i="3"/>
  <c r="K28" i="3"/>
  <c r="N26" i="3"/>
  <c r="M26" i="3"/>
  <c r="L26" i="3"/>
  <c r="K26" i="3"/>
  <c r="J28" i="3"/>
  <c r="J26" i="3"/>
  <c r="N47" i="3"/>
  <c r="M47" i="3"/>
  <c r="K47" i="3"/>
  <c r="J47" i="3"/>
  <c r="N45" i="3"/>
  <c r="M45" i="3"/>
  <c r="K45" i="3"/>
  <c r="J45" i="3"/>
  <c r="J24" i="3"/>
  <c r="K24" i="3"/>
  <c r="L24" i="3"/>
  <c r="M24" i="3"/>
  <c r="N24" i="3"/>
  <c r="B40" i="5"/>
  <c r="A3" i="5"/>
  <c r="A2" i="5"/>
  <c r="A1" i="5"/>
  <c r="B68" i="1"/>
  <c r="C51" i="1"/>
  <c r="A3" i="1"/>
  <c r="C27" i="1"/>
  <c r="C14" i="1"/>
  <c r="B44" i="1"/>
  <c r="C23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0" i="1"/>
  <c r="A2" i="1"/>
  <c r="A1" i="1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C204" i="7"/>
  <c r="D226" i="7"/>
  <c r="B239" i="7"/>
  <c r="B243" i="7"/>
  <c r="B230" i="7"/>
  <c r="B215" i="7"/>
  <c r="D211" i="7"/>
  <c r="D204" i="7"/>
  <c r="E17" i="6"/>
  <c r="E24" i="6"/>
  <c r="E23" i="6"/>
  <c r="B219" i="7"/>
  <c r="B207" i="7"/>
  <c r="D188" i="7"/>
  <c r="B192" i="7"/>
  <c r="E54" i="6"/>
  <c r="E53" i="6"/>
  <c r="E51" i="6"/>
  <c r="E52" i="6"/>
  <c r="E50" i="6"/>
  <c r="E49" i="6"/>
  <c r="E48" i="6"/>
  <c r="B196" i="7"/>
  <c r="B183" i="7"/>
  <c r="B176" i="7"/>
  <c r="B158" i="7"/>
  <c r="E30" i="6"/>
  <c r="E42" i="6"/>
  <c r="E35" i="6"/>
  <c r="E46" i="6"/>
  <c r="E45" i="6"/>
  <c r="E44" i="6"/>
  <c r="B162" i="7"/>
  <c r="B151" i="7"/>
  <c r="E41" i="6"/>
  <c r="E34" i="6"/>
  <c r="B134" i="7"/>
  <c r="B130" i="7"/>
  <c r="E40" i="6"/>
  <c r="E32" i="6"/>
  <c r="E33" i="6"/>
  <c r="E37" i="6"/>
  <c r="E39" i="6"/>
  <c r="E38" i="6"/>
  <c r="B116" i="7"/>
  <c r="B95" i="7"/>
  <c r="B70" i="7"/>
  <c r="B42" i="7"/>
  <c r="B112" i="7"/>
  <c r="E21" i="6"/>
  <c r="E22" i="6"/>
  <c r="B91" i="7"/>
  <c r="B82" i="7"/>
  <c r="B57" i="7"/>
  <c r="E31" i="6"/>
  <c r="E19" i="6"/>
  <c r="E20" i="6"/>
  <c r="E28" i="6"/>
  <c r="E27" i="6"/>
  <c r="E26" i="6"/>
  <c r="C61" i="7"/>
  <c r="C62" i="7"/>
  <c r="C63" i="7"/>
  <c r="D63" i="7"/>
  <c r="D62" i="7"/>
  <c r="E16" i="6"/>
  <c r="D61" i="7"/>
  <c r="B66" i="7"/>
  <c r="C34" i="7"/>
  <c r="D34" i="7"/>
  <c r="C35" i="7"/>
  <c r="D35" i="7"/>
  <c r="C33" i="7"/>
  <c r="D33" i="7"/>
  <c r="E11" i="6"/>
  <c r="E10" i="6"/>
  <c r="E9" i="6"/>
  <c r="E8" i="6"/>
  <c r="E12" i="6"/>
  <c r="E15" i="6"/>
  <c r="E14" i="6"/>
  <c r="B38" i="7"/>
  <c r="D236" i="7" l="1"/>
  <c r="D189" i="7"/>
  <c r="F22" i="6"/>
  <c r="C87" i="7" s="1"/>
  <c r="F40" i="6"/>
  <c r="C106" i="7" s="1"/>
  <c r="D145" i="7"/>
  <c r="F10" i="6"/>
  <c r="C236" i="7" s="1"/>
  <c r="D76" i="7"/>
  <c r="D124" i="7"/>
  <c r="D170" i="7"/>
  <c r="D233" i="7"/>
  <c r="F20" i="6"/>
  <c r="C50" i="7" s="1"/>
  <c r="D171" i="7"/>
  <c r="D51" i="7"/>
  <c r="D123" i="7"/>
  <c r="D142" i="7"/>
  <c r="F50" i="6"/>
  <c r="C180" i="7" s="1"/>
  <c r="F23" i="6"/>
  <c r="C212" i="7" s="1"/>
  <c r="D52" i="7"/>
  <c r="I56" i="7" s="1"/>
  <c r="D103" i="7"/>
  <c r="D154" i="7"/>
  <c r="D187" i="7"/>
  <c r="D227" i="7"/>
  <c r="F16" i="6"/>
  <c r="D155" i="7"/>
  <c r="F51" i="6"/>
  <c r="C179" i="7" s="1"/>
  <c r="D235" i="7"/>
  <c r="D234" i="7"/>
  <c r="F53" i="6"/>
  <c r="C188" i="7" s="1"/>
  <c r="F21" i="6"/>
  <c r="F11" i="6"/>
  <c r="F14" i="6"/>
  <c r="C233" i="7" s="1"/>
  <c r="D77" i="7"/>
  <c r="D105" i="7"/>
  <c r="D143" i="7"/>
  <c r="F34" i="6"/>
  <c r="C125" i="7" s="1"/>
  <c r="D122" i="7"/>
  <c r="P26" i="3"/>
  <c r="P28" i="3"/>
  <c r="F48" i="6"/>
  <c r="C170" i="7" s="1"/>
  <c r="F35" i="6"/>
  <c r="C143" i="7" s="1"/>
  <c r="F17" i="6"/>
  <c r="C235" i="7" s="1"/>
  <c r="F46" i="6"/>
  <c r="F49" i="6"/>
  <c r="C171" i="7" s="1"/>
  <c r="D179" i="7"/>
  <c r="F15" i="6"/>
  <c r="F28" i="6"/>
  <c r="F19" i="6"/>
  <c r="F39" i="6"/>
  <c r="C103" i="7" s="1"/>
  <c r="D212" i="7"/>
  <c r="F54" i="6"/>
  <c r="C189" i="7" s="1"/>
  <c r="F42" i="6"/>
  <c r="C144" i="7" s="1"/>
  <c r="F24" i="6"/>
  <c r="C227" i="7" s="1"/>
  <c r="F12" i="6"/>
  <c r="F27" i="6"/>
  <c r="C202" i="7" s="1"/>
  <c r="F52" i="6"/>
  <c r="C187" i="7" s="1"/>
  <c r="C78" i="7"/>
  <c r="F32" i="6"/>
  <c r="C104" i="7" s="1"/>
  <c r="F8" i="6"/>
  <c r="F44" i="6"/>
  <c r="C142" i="7" s="1"/>
  <c r="D203" i="7"/>
  <c r="F26" i="6"/>
  <c r="F41" i="6"/>
  <c r="C124" i="7" s="1"/>
  <c r="F33" i="6"/>
  <c r="C105" i="7" s="1"/>
  <c r="F9" i="6"/>
  <c r="C234" i="7" s="1"/>
  <c r="F45" i="6"/>
  <c r="C154" i="7" s="1"/>
  <c r="D144" i="7"/>
  <c r="F30" i="6"/>
  <c r="C145" i="7" s="1"/>
  <c r="C155" i="7"/>
  <c r="D78" i="7"/>
  <c r="D86" i="7"/>
  <c r="D104" i="7"/>
  <c r="X110" i="7" s="1"/>
  <c r="D88" i="7"/>
  <c r="D79" i="7"/>
  <c r="D125" i="7"/>
  <c r="D106" i="7"/>
  <c r="F37" i="6"/>
  <c r="D87" i="7"/>
  <c r="D49" i="7"/>
  <c r="F31" i="6"/>
  <c r="C52" i="7" s="1"/>
  <c r="D50" i="7"/>
  <c r="V56" i="7" l="1"/>
  <c r="AC149" i="7"/>
  <c r="R158" i="7"/>
  <c r="I111" i="7"/>
  <c r="J111" i="7" s="1"/>
  <c r="K111" i="7" s="1"/>
  <c r="L111" i="7" s="1"/>
  <c r="M111" i="7" s="1"/>
  <c r="N111" i="7" s="1"/>
  <c r="O111" i="7" s="1"/>
  <c r="P111" i="7" s="1"/>
  <c r="Q111" i="7" s="1"/>
  <c r="R111" i="7" s="1"/>
  <c r="S111" i="7" s="1"/>
  <c r="T111" i="7" s="1"/>
  <c r="Z175" i="7"/>
  <c r="Q149" i="7"/>
  <c r="R175" i="7"/>
  <c r="H82" i="7"/>
  <c r="P56" i="7"/>
  <c r="V175" i="7"/>
  <c r="AF56" i="7"/>
  <c r="T56" i="7"/>
  <c r="Y56" i="7"/>
  <c r="L56" i="7"/>
  <c r="Q56" i="7"/>
  <c r="J56" i="7"/>
  <c r="R56" i="7"/>
  <c r="O175" i="7"/>
  <c r="H56" i="7"/>
  <c r="M56" i="7"/>
  <c r="S56" i="7"/>
  <c r="W56" i="7"/>
  <c r="AC56" i="7"/>
  <c r="AD56" i="7"/>
  <c r="AA175" i="7"/>
  <c r="AA56" i="7"/>
  <c r="AE56" i="7"/>
  <c r="U175" i="7"/>
  <c r="X56" i="7"/>
  <c r="K56" i="7"/>
  <c r="AB56" i="7"/>
  <c r="J158" i="7"/>
  <c r="S149" i="7"/>
  <c r="AD149" i="7"/>
  <c r="L149" i="7"/>
  <c r="X149" i="7"/>
  <c r="Q158" i="7"/>
  <c r="N175" i="7"/>
  <c r="P158" i="7"/>
  <c r="AE175" i="7"/>
  <c r="AF175" i="7"/>
  <c r="O158" i="7"/>
  <c r="S175" i="7"/>
  <c r="AD158" i="7"/>
  <c r="AD175" i="7"/>
  <c r="O56" i="7"/>
  <c r="AG56" i="7"/>
  <c r="W158" i="7"/>
  <c r="Z56" i="7"/>
  <c r="U56" i="7"/>
  <c r="K158" i="7"/>
  <c r="P149" i="7"/>
  <c r="T175" i="7"/>
  <c r="N56" i="7"/>
  <c r="U129" i="7"/>
  <c r="V158" i="7"/>
  <c r="I175" i="7"/>
  <c r="D202" i="7"/>
  <c r="I207" i="7" s="1"/>
  <c r="AE149" i="7"/>
  <c r="M149" i="7"/>
  <c r="I149" i="7"/>
  <c r="Y149" i="7"/>
  <c r="AG158" i="7"/>
  <c r="U158" i="7"/>
  <c r="AF149" i="7"/>
  <c r="Z149" i="7"/>
  <c r="AC158" i="7"/>
  <c r="P175" i="7"/>
  <c r="M175" i="7"/>
  <c r="I158" i="7"/>
  <c r="U149" i="7"/>
  <c r="AA158" i="7"/>
  <c r="X158" i="7"/>
  <c r="L175" i="7"/>
  <c r="X175" i="7"/>
  <c r="C76" i="7"/>
  <c r="AF158" i="7"/>
  <c r="AG149" i="7"/>
  <c r="M158" i="7"/>
  <c r="AA149" i="7"/>
  <c r="K175" i="7"/>
  <c r="W175" i="7"/>
  <c r="C225" i="7"/>
  <c r="C210" i="7"/>
  <c r="H239" i="7"/>
  <c r="I239" i="7" s="1"/>
  <c r="J239" i="7" s="1"/>
  <c r="K239" i="7" s="1"/>
  <c r="L239" i="7" s="1"/>
  <c r="M239" i="7" s="1"/>
  <c r="N239" i="7" s="1"/>
  <c r="O239" i="7" s="1"/>
  <c r="P239" i="7" s="1"/>
  <c r="Q239" i="7" s="1"/>
  <c r="R239" i="7" s="1"/>
  <c r="S239" i="7" s="1"/>
  <c r="T239" i="7" s="1"/>
  <c r="U239" i="7" s="1"/>
  <c r="V239" i="7" s="1"/>
  <c r="W239" i="7" s="1"/>
  <c r="X239" i="7" s="1"/>
  <c r="Y239" i="7" s="1"/>
  <c r="Z239" i="7" s="1"/>
  <c r="AA239" i="7" s="1"/>
  <c r="AB239" i="7" s="1"/>
  <c r="AC239" i="7" s="1"/>
  <c r="AD239" i="7" s="1"/>
  <c r="AE239" i="7" s="1"/>
  <c r="AF239" i="7" s="1"/>
  <c r="AG239" i="7" s="1"/>
  <c r="T149" i="7"/>
  <c r="N149" i="7"/>
  <c r="AB149" i="7"/>
  <c r="D60" i="7"/>
  <c r="H66" i="7" s="1"/>
  <c r="I66" i="7" s="1"/>
  <c r="J66" i="7" s="1"/>
  <c r="K66" i="7" s="1"/>
  <c r="L66" i="7" s="1"/>
  <c r="M66" i="7" s="1"/>
  <c r="N66" i="7" s="1"/>
  <c r="O66" i="7" s="1"/>
  <c r="P66" i="7" s="1"/>
  <c r="Q66" i="7" s="1"/>
  <c r="R66" i="7" s="1"/>
  <c r="S66" i="7" s="1"/>
  <c r="T66" i="7" s="1"/>
  <c r="U66" i="7" s="1"/>
  <c r="V66" i="7" s="1"/>
  <c r="W66" i="7" s="1"/>
  <c r="X66" i="7" s="1"/>
  <c r="Y66" i="7" s="1"/>
  <c r="Z66" i="7" s="1"/>
  <c r="AA66" i="7" s="1"/>
  <c r="AB66" i="7" s="1"/>
  <c r="AC66" i="7" s="1"/>
  <c r="AD66" i="7" s="1"/>
  <c r="AE66" i="7" s="1"/>
  <c r="AF66" i="7" s="1"/>
  <c r="AG66" i="7" s="1"/>
  <c r="D141" i="7"/>
  <c r="T158" i="7"/>
  <c r="J149" i="7"/>
  <c r="O149" i="7"/>
  <c r="AB158" i="7"/>
  <c r="AC175" i="7"/>
  <c r="J175" i="7"/>
  <c r="C186" i="7"/>
  <c r="D32" i="7"/>
  <c r="H38" i="7" s="1"/>
  <c r="I38" i="7" s="1"/>
  <c r="J38" i="7" s="1"/>
  <c r="K38" i="7" s="1"/>
  <c r="L38" i="7" s="1"/>
  <c r="M38" i="7" s="1"/>
  <c r="N38" i="7" s="1"/>
  <c r="O38" i="7" s="1"/>
  <c r="P38" i="7" s="1"/>
  <c r="Q38" i="7" s="1"/>
  <c r="R38" i="7" s="1"/>
  <c r="S38" i="7" s="1"/>
  <c r="T38" i="7" s="1"/>
  <c r="U38" i="7" s="1"/>
  <c r="V38" i="7" s="1"/>
  <c r="W38" i="7" s="1"/>
  <c r="X38" i="7" s="1"/>
  <c r="Y38" i="7" s="1"/>
  <c r="Z38" i="7" s="1"/>
  <c r="AA38" i="7" s="1"/>
  <c r="AB38" i="7" s="1"/>
  <c r="AC38" i="7" s="1"/>
  <c r="AD38" i="7" s="1"/>
  <c r="AE38" i="7" s="1"/>
  <c r="AF38" i="7" s="1"/>
  <c r="AG38" i="7" s="1"/>
  <c r="AE158" i="7"/>
  <c r="V149" i="7"/>
  <c r="Z158" i="7"/>
  <c r="Q175" i="7"/>
  <c r="AG175" i="7"/>
  <c r="D102" i="7"/>
  <c r="S158" i="7"/>
  <c r="K149" i="7"/>
  <c r="Y158" i="7"/>
  <c r="N158" i="7"/>
  <c r="AB175" i="7"/>
  <c r="D169" i="7"/>
  <c r="V128" i="7"/>
  <c r="D48" i="7"/>
  <c r="H55" i="7" s="1"/>
  <c r="I55" i="7" s="1"/>
  <c r="D225" i="7"/>
  <c r="D210" i="7"/>
  <c r="C60" i="7"/>
  <c r="D85" i="7"/>
  <c r="H91" i="7" s="1"/>
  <c r="I91" i="7" s="1"/>
  <c r="J91" i="7" s="1"/>
  <c r="K91" i="7" s="1"/>
  <c r="L91" i="7" s="1"/>
  <c r="M91" i="7" s="1"/>
  <c r="N91" i="7" s="1"/>
  <c r="O91" i="7" s="1"/>
  <c r="P91" i="7" s="1"/>
  <c r="Q91" i="7" s="1"/>
  <c r="R91" i="7" s="1"/>
  <c r="S91" i="7" s="1"/>
  <c r="T91" i="7" s="1"/>
  <c r="U91" i="7" s="1"/>
  <c r="V91" i="7" s="1"/>
  <c r="W91" i="7" s="1"/>
  <c r="X91" i="7" s="1"/>
  <c r="Y91" i="7" s="1"/>
  <c r="Z91" i="7" s="1"/>
  <c r="AA91" i="7" s="1"/>
  <c r="AB91" i="7" s="1"/>
  <c r="AC91" i="7" s="1"/>
  <c r="AD91" i="7" s="1"/>
  <c r="AE91" i="7" s="1"/>
  <c r="AF91" i="7" s="1"/>
  <c r="AG91" i="7" s="1"/>
  <c r="L158" i="7"/>
  <c r="R149" i="7"/>
  <c r="W149" i="7"/>
  <c r="Y175" i="7"/>
  <c r="C211" i="7"/>
  <c r="C226" i="7"/>
  <c r="C203" i="7"/>
  <c r="R128" i="7"/>
  <c r="I128" i="7"/>
  <c r="J128" i="7"/>
  <c r="S128" i="7"/>
  <c r="P128" i="7"/>
  <c r="AA128" i="7"/>
  <c r="O128" i="7"/>
  <c r="Z128" i="7"/>
  <c r="AG128" i="7"/>
  <c r="D168" i="7"/>
  <c r="AD128" i="7"/>
  <c r="AF128" i="7"/>
  <c r="N128" i="7"/>
  <c r="AE128" i="7"/>
  <c r="U128" i="7"/>
  <c r="Y128" i="7"/>
  <c r="D140" i="7"/>
  <c r="Z148" i="7" s="1"/>
  <c r="AB128" i="7"/>
  <c r="AC128" i="7"/>
  <c r="T128" i="7"/>
  <c r="M128" i="7"/>
  <c r="X128" i="7"/>
  <c r="L128" i="7"/>
  <c r="W128" i="7"/>
  <c r="D101" i="7"/>
  <c r="Q128" i="7"/>
  <c r="K128" i="7"/>
  <c r="D180" i="7"/>
  <c r="D186" i="7"/>
  <c r="C48" i="7"/>
  <c r="C85" i="7"/>
  <c r="C49" i="7"/>
  <c r="C77" i="7"/>
  <c r="C86" i="7"/>
  <c r="C101" i="7"/>
  <c r="C168" i="7"/>
  <c r="C122" i="7"/>
  <c r="C140" i="7"/>
  <c r="C51" i="7"/>
  <c r="C88" i="7"/>
  <c r="C79" i="7"/>
  <c r="Z150" i="7"/>
  <c r="N150" i="7"/>
  <c r="Y150" i="7"/>
  <c r="M150" i="7"/>
  <c r="X150" i="7"/>
  <c r="L150" i="7"/>
  <c r="W150" i="7"/>
  <c r="K150" i="7"/>
  <c r="V150" i="7"/>
  <c r="J150" i="7"/>
  <c r="AG150" i="7"/>
  <c r="U150" i="7"/>
  <c r="I150" i="7"/>
  <c r="AF150" i="7"/>
  <c r="T150" i="7"/>
  <c r="AE150" i="7"/>
  <c r="S150" i="7"/>
  <c r="AD150" i="7"/>
  <c r="AC150" i="7"/>
  <c r="AB150" i="7"/>
  <c r="AA150" i="7"/>
  <c r="R150" i="7"/>
  <c r="Q150" i="7"/>
  <c r="P150" i="7"/>
  <c r="O150" i="7"/>
  <c r="AE110" i="7"/>
  <c r="U110" i="7"/>
  <c r="V110" i="7"/>
  <c r="J110" i="7"/>
  <c r="K110" i="7"/>
  <c r="N110" i="7"/>
  <c r="AF110" i="7"/>
  <c r="Z110" i="7"/>
  <c r="P110" i="7"/>
  <c r="AB110" i="7"/>
  <c r="I110" i="7"/>
  <c r="AD110" i="7"/>
  <c r="Q110" i="7"/>
  <c r="T110" i="7"/>
  <c r="S110" i="7"/>
  <c r="M110" i="7"/>
  <c r="AA110" i="7"/>
  <c r="AG110" i="7"/>
  <c r="Y110" i="7"/>
  <c r="AC110" i="7"/>
  <c r="R110" i="7"/>
  <c r="L110" i="7"/>
  <c r="W110" i="7"/>
  <c r="O110" i="7"/>
  <c r="R129" i="7"/>
  <c r="AC129" i="7"/>
  <c r="W129" i="7"/>
  <c r="Q129" i="7"/>
  <c r="V129" i="7"/>
  <c r="Y129" i="7"/>
  <c r="S129" i="7"/>
  <c r="N129" i="7"/>
  <c r="L129" i="7"/>
  <c r="O129" i="7"/>
  <c r="AA129" i="7"/>
  <c r="AF129" i="7"/>
  <c r="J129" i="7"/>
  <c r="M129" i="7"/>
  <c r="K129" i="7"/>
  <c r="AB129" i="7"/>
  <c r="P129" i="7"/>
  <c r="T129" i="7"/>
  <c r="AE129" i="7"/>
  <c r="Z129" i="7"/>
  <c r="X129" i="7"/>
  <c r="C32" i="7"/>
  <c r="I129" i="7"/>
  <c r="AG129" i="7"/>
  <c r="AD129" i="7"/>
  <c r="I82" i="7"/>
  <c r="J82" i="7" s="1"/>
  <c r="K82" i="7" s="1"/>
  <c r="L82" i="7" s="1"/>
  <c r="M82" i="7" s="1"/>
  <c r="N82" i="7" s="1"/>
  <c r="O82" i="7" s="1"/>
  <c r="P82" i="7" s="1"/>
  <c r="Q82" i="7" s="1"/>
  <c r="R82" i="7" s="1"/>
  <c r="S82" i="7" s="1"/>
  <c r="T82" i="7" s="1"/>
  <c r="U82" i="7" s="1"/>
  <c r="V82" i="7" s="1"/>
  <c r="W82" i="7" s="1"/>
  <c r="X82" i="7" s="1"/>
  <c r="Y82" i="7" s="1"/>
  <c r="Z82" i="7" s="1"/>
  <c r="AA82" i="7" s="1"/>
  <c r="AB82" i="7" s="1"/>
  <c r="AC82" i="7" s="1"/>
  <c r="AD82" i="7" s="1"/>
  <c r="AE82" i="7" s="1"/>
  <c r="AF82" i="7" s="1"/>
  <c r="AG82" i="7" s="1"/>
  <c r="K109" i="7" l="1"/>
  <c r="J207" i="7"/>
  <c r="AD109" i="7"/>
  <c r="K207" i="7"/>
  <c r="AB148" i="7"/>
  <c r="J130" i="7"/>
  <c r="J134" i="7" s="1"/>
  <c r="I130" i="7"/>
  <c r="I134" i="7" s="1"/>
  <c r="W109" i="7"/>
  <c r="L109" i="7"/>
  <c r="L112" i="7" s="1"/>
  <c r="L116" i="7" s="1"/>
  <c r="L10" i="7" s="1"/>
  <c r="AE109" i="7"/>
  <c r="O109" i="7"/>
  <c r="O112" i="7" s="1"/>
  <c r="AA109" i="7"/>
  <c r="AC148" i="7"/>
  <c r="X109" i="7"/>
  <c r="P109" i="7"/>
  <c r="P112" i="7" s="1"/>
  <c r="S109" i="7"/>
  <c r="M109" i="7"/>
  <c r="M112" i="7" s="1"/>
  <c r="AB109" i="7"/>
  <c r="I215" i="7"/>
  <c r="I219" i="7" s="1"/>
  <c r="I14" i="7" s="1"/>
  <c r="J215" i="7"/>
  <c r="K215" i="7"/>
  <c r="T109" i="7"/>
  <c r="T112" i="7" s="1"/>
  <c r="Y109" i="7"/>
  <c r="W230" i="7"/>
  <c r="L230" i="7"/>
  <c r="L243" i="7" s="1"/>
  <c r="L15" i="7" s="1"/>
  <c r="AF230" i="7"/>
  <c r="Z230" i="7"/>
  <c r="I230" i="7"/>
  <c r="I243" i="7" s="1"/>
  <c r="I15" i="7" s="1"/>
  <c r="P230" i="7"/>
  <c r="AB230" i="7"/>
  <c r="V230" i="7"/>
  <c r="AC230" i="7"/>
  <c r="N230" i="7"/>
  <c r="N243" i="7" s="1"/>
  <c r="N15" i="7" s="1"/>
  <c r="M230" i="7"/>
  <c r="M243" i="7" s="1"/>
  <c r="M15" i="7" s="1"/>
  <c r="X230" i="7"/>
  <c r="Y230" i="7"/>
  <c r="AD230" i="7"/>
  <c r="O230" i="7"/>
  <c r="AE230" i="7"/>
  <c r="AA230" i="7"/>
  <c r="R230" i="7"/>
  <c r="Q230" i="7"/>
  <c r="S230" i="7"/>
  <c r="J230" i="7"/>
  <c r="J243" i="7" s="1"/>
  <c r="J15" i="7" s="1"/>
  <c r="T230" i="7"/>
  <c r="K230" i="7"/>
  <c r="K243" i="7" s="1"/>
  <c r="K15" i="7" s="1"/>
  <c r="U230" i="7"/>
  <c r="AG230" i="7"/>
  <c r="AF109" i="7"/>
  <c r="N109" i="7"/>
  <c r="N112" i="7" s="1"/>
  <c r="I109" i="7"/>
  <c r="I112" i="7" s="1"/>
  <c r="Z109" i="7"/>
  <c r="U109" i="7"/>
  <c r="Q109" i="7"/>
  <c r="Q112" i="7" s="1"/>
  <c r="AG109" i="7"/>
  <c r="AC109" i="7"/>
  <c r="AB174" i="7"/>
  <c r="AB176" i="7" s="1"/>
  <c r="J109" i="7"/>
  <c r="J112" i="7" s="1"/>
  <c r="J116" i="7" s="1"/>
  <c r="R109" i="7"/>
  <c r="R112" i="7" s="1"/>
  <c r="V109" i="7"/>
  <c r="R148" i="7"/>
  <c r="AA148" i="7"/>
  <c r="S174" i="7"/>
  <c r="S176" i="7" s="1"/>
  <c r="AG174" i="7"/>
  <c r="AG176" i="7" s="1"/>
  <c r="AD148" i="7"/>
  <c r="U148" i="7"/>
  <c r="AG148" i="7"/>
  <c r="K130" i="7"/>
  <c r="K134" i="7" s="1"/>
  <c r="J148" i="7"/>
  <c r="J151" i="7" s="1"/>
  <c r="J162" i="7" s="1"/>
  <c r="V148" i="7"/>
  <c r="K148" i="7"/>
  <c r="K151" i="7" s="1"/>
  <c r="K162" i="7" s="1"/>
  <c r="P148" i="7"/>
  <c r="W148" i="7"/>
  <c r="L130" i="7"/>
  <c r="L134" i="7" s="1"/>
  <c r="L11" i="7" s="1"/>
  <c r="Q148" i="7"/>
  <c r="L148" i="7"/>
  <c r="L151" i="7" s="1"/>
  <c r="L162" i="7" s="1"/>
  <c r="L12" i="7" s="1"/>
  <c r="S148" i="7"/>
  <c r="M148" i="7"/>
  <c r="M151" i="7" s="1"/>
  <c r="M162" i="7" s="1"/>
  <c r="M12" i="7" s="1"/>
  <c r="AE148" i="7"/>
  <c r="Y148" i="7"/>
  <c r="T148" i="7"/>
  <c r="N148" i="7"/>
  <c r="N151" i="7" s="1"/>
  <c r="N162" i="7" s="1"/>
  <c r="N12" i="7" s="1"/>
  <c r="I148" i="7"/>
  <c r="I151" i="7" s="1"/>
  <c r="X148" i="7"/>
  <c r="O148" i="7"/>
  <c r="AF148" i="7"/>
  <c r="J174" i="7"/>
  <c r="J176" i="7" s="1"/>
  <c r="AA174" i="7"/>
  <c r="AA176" i="7" s="1"/>
  <c r="R174" i="7"/>
  <c r="R176" i="7" s="1"/>
  <c r="I174" i="7"/>
  <c r="I176" i="7" s="1"/>
  <c r="AE174" i="7"/>
  <c r="AE176" i="7" s="1"/>
  <c r="AD174" i="7"/>
  <c r="AD176" i="7" s="1"/>
  <c r="V174" i="7"/>
  <c r="V176" i="7" s="1"/>
  <c r="M174" i="7"/>
  <c r="M176" i="7" s="1"/>
  <c r="T174" i="7"/>
  <c r="T176" i="7" s="1"/>
  <c r="W174" i="7"/>
  <c r="W176" i="7" s="1"/>
  <c r="P174" i="7"/>
  <c r="P176" i="7" s="1"/>
  <c r="AF174" i="7"/>
  <c r="AF176" i="7" s="1"/>
  <c r="L174" i="7"/>
  <c r="L176" i="7" s="1"/>
  <c r="X174" i="7"/>
  <c r="X176" i="7" s="1"/>
  <c r="Q174" i="7"/>
  <c r="Q176" i="7" s="1"/>
  <c r="M130" i="7"/>
  <c r="M134" i="7" s="1"/>
  <c r="M11" i="7" s="1"/>
  <c r="Y174" i="7"/>
  <c r="Y176" i="7" s="1"/>
  <c r="AC174" i="7"/>
  <c r="AC176" i="7" s="1"/>
  <c r="N174" i="7"/>
  <c r="N176" i="7" s="1"/>
  <c r="U174" i="7"/>
  <c r="U176" i="7" s="1"/>
  <c r="Z174" i="7"/>
  <c r="Z176" i="7" s="1"/>
  <c r="K174" i="7"/>
  <c r="K176" i="7" s="1"/>
  <c r="O174" i="7"/>
  <c r="O176" i="7" s="1"/>
  <c r="Y192" i="7"/>
  <c r="J192" i="7"/>
  <c r="T192" i="7"/>
  <c r="AC192" i="7"/>
  <c r="AD192" i="7"/>
  <c r="V192" i="7"/>
  <c r="Z192" i="7"/>
  <c r="Q192" i="7"/>
  <c r="AA192" i="7"/>
  <c r="AG192" i="7"/>
  <c r="AE192" i="7"/>
  <c r="K192" i="7"/>
  <c r="M192" i="7"/>
  <c r="S192" i="7"/>
  <c r="N192" i="7"/>
  <c r="W192" i="7"/>
  <c r="O192" i="7"/>
  <c r="L192" i="7"/>
  <c r="P192" i="7"/>
  <c r="X192" i="7"/>
  <c r="R192" i="7"/>
  <c r="I192" i="7"/>
  <c r="AF192" i="7"/>
  <c r="AB192" i="7"/>
  <c r="U192" i="7"/>
  <c r="W183" i="7"/>
  <c r="Y183" i="7"/>
  <c r="AB183" i="7"/>
  <c r="K183" i="7"/>
  <c r="M183" i="7"/>
  <c r="J183" i="7"/>
  <c r="AD183" i="7"/>
  <c r="L183" i="7"/>
  <c r="AC183" i="7"/>
  <c r="O183" i="7"/>
  <c r="AA183" i="7"/>
  <c r="S183" i="7"/>
  <c r="AG183" i="7"/>
  <c r="Z183" i="7"/>
  <c r="Q183" i="7"/>
  <c r="U183" i="7"/>
  <c r="V183" i="7"/>
  <c r="R183" i="7"/>
  <c r="N183" i="7"/>
  <c r="I183" i="7"/>
  <c r="P183" i="7"/>
  <c r="X183" i="7"/>
  <c r="AE183" i="7"/>
  <c r="T183" i="7"/>
  <c r="AF183" i="7"/>
  <c r="S112" i="7"/>
  <c r="K112" i="7"/>
  <c r="K116" i="7" s="1"/>
  <c r="U111" i="7"/>
  <c r="N130" i="7"/>
  <c r="N134" i="7" s="1"/>
  <c r="N11" i="7" s="1"/>
  <c r="H57" i="7"/>
  <c r="J55" i="7"/>
  <c r="I57" i="7"/>
  <c r="I70" i="7" s="1"/>
  <c r="U112" i="7" l="1"/>
  <c r="I116" i="7"/>
  <c r="L196" i="7"/>
  <c r="L13" i="7" s="1"/>
  <c r="AD196" i="7"/>
  <c r="AD13" i="7" s="1"/>
  <c r="O196" i="7"/>
  <c r="O13" i="7" s="1"/>
  <c r="P196" i="7"/>
  <c r="P13" i="7" s="1"/>
  <c r="AC196" i="7"/>
  <c r="AC13" i="7" s="1"/>
  <c r="AG196" i="7"/>
  <c r="AG13" i="7" s="1"/>
  <c r="Y196" i="7"/>
  <c r="Y13" i="7" s="1"/>
  <c r="X196" i="7"/>
  <c r="X13" i="7" s="1"/>
  <c r="O243" i="7"/>
  <c r="O15" i="7" s="1"/>
  <c r="U196" i="7"/>
  <c r="U13" i="7" s="1"/>
  <c r="I196" i="7"/>
  <c r="R196" i="7"/>
  <c r="R13" i="7" s="1"/>
  <c r="Z196" i="7"/>
  <c r="Z13" i="7" s="1"/>
  <c r="K196" i="7"/>
  <c r="AB196" i="7"/>
  <c r="AB13" i="7" s="1"/>
  <c r="T196" i="7"/>
  <c r="T13" i="7" s="1"/>
  <c r="AA196" i="7"/>
  <c r="AA13" i="7" s="1"/>
  <c r="S196" i="7"/>
  <c r="S13" i="7" s="1"/>
  <c r="AF196" i="7"/>
  <c r="AF13" i="7" s="1"/>
  <c r="W196" i="7"/>
  <c r="W13" i="7" s="1"/>
  <c r="AE196" i="7"/>
  <c r="AE13" i="7" s="1"/>
  <c r="J196" i="7"/>
  <c r="N196" i="7"/>
  <c r="N13" i="7" s="1"/>
  <c r="V196" i="7"/>
  <c r="V13" i="7" s="1"/>
  <c r="M196" i="7"/>
  <c r="M13" i="7" s="1"/>
  <c r="Q196" i="7"/>
  <c r="Q13" i="7" s="1"/>
  <c r="V111" i="7"/>
  <c r="W111" i="7" s="1"/>
  <c r="J219" i="7"/>
  <c r="J14" i="7" s="1"/>
  <c r="I162" i="7"/>
  <c r="O151" i="7"/>
  <c r="O162" i="7" s="1"/>
  <c r="O12" i="7" s="1"/>
  <c r="O130" i="7"/>
  <c r="O134" i="7" s="1"/>
  <c r="O11" i="7" s="1"/>
  <c r="M116" i="7"/>
  <c r="M10" i="7" s="1"/>
  <c r="K55" i="7"/>
  <c r="J57" i="7"/>
  <c r="G13" i="7" l="1"/>
  <c r="F13" i="7"/>
  <c r="P243" i="7"/>
  <c r="P15" i="7" s="1"/>
  <c r="V112" i="7"/>
  <c r="K219" i="7"/>
  <c r="K14" i="7" s="1"/>
  <c r="G14" i="7" s="1"/>
  <c r="P151" i="7"/>
  <c r="P162" i="7" s="1"/>
  <c r="P12" i="7" s="1"/>
  <c r="P130" i="7"/>
  <c r="P134" i="7" s="1"/>
  <c r="P11" i="7" s="1"/>
  <c r="X111" i="7"/>
  <c r="W112" i="7"/>
  <c r="N116" i="7"/>
  <c r="N10" i="7" s="1"/>
  <c r="L55" i="7"/>
  <c r="K57" i="7"/>
  <c r="F14" i="7" l="1"/>
  <c r="Q243" i="7"/>
  <c r="Q15" i="7" s="1"/>
  <c r="L219" i="7"/>
  <c r="Q151" i="7"/>
  <c r="Q162" i="7" s="1"/>
  <c r="Q12" i="7" s="1"/>
  <c r="Q130" i="7"/>
  <c r="Q134" i="7" s="1"/>
  <c r="Q11" i="7" s="1"/>
  <c r="Y111" i="7"/>
  <c r="X112" i="7"/>
  <c r="O116" i="7"/>
  <c r="O10" i="7" s="1"/>
  <c r="M55" i="7"/>
  <c r="L57" i="7"/>
  <c r="R243" i="7" l="1"/>
  <c r="R15" i="7" s="1"/>
  <c r="M219" i="7"/>
  <c r="R151" i="7"/>
  <c r="R162" i="7" s="1"/>
  <c r="R12" i="7" s="1"/>
  <c r="R130" i="7"/>
  <c r="R134" i="7" s="1"/>
  <c r="R11" i="7" s="1"/>
  <c r="Z111" i="7"/>
  <c r="Y112" i="7"/>
  <c r="P116" i="7"/>
  <c r="P10" i="7" s="1"/>
  <c r="N55" i="7"/>
  <c r="M57" i="7"/>
  <c r="S243" i="7" l="1"/>
  <c r="S15" i="7" s="1"/>
  <c r="N219" i="7"/>
  <c r="S151" i="7"/>
  <c r="S162" i="7" s="1"/>
  <c r="S12" i="7" s="1"/>
  <c r="S130" i="7"/>
  <c r="S134" i="7" s="1"/>
  <c r="S11" i="7" s="1"/>
  <c r="AA111" i="7"/>
  <c r="Z112" i="7"/>
  <c r="Q116" i="7"/>
  <c r="Q10" i="7" s="1"/>
  <c r="O55" i="7"/>
  <c r="N57" i="7"/>
  <c r="T243" i="7" l="1"/>
  <c r="T15" i="7" s="1"/>
  <c r="O219" i="7"/>
  <c r="T151" i="7"/>
  <c r="T162" i="7" s="1"/>
  <c r="T12" i="7" s="1"/>
  <c r="T130" i="7"/>
  <c r="T134" i="7" s="1"/>
  <c r="T11" i="7" s="1"/>
  <c r="AB111" i="7"/>
  <c r="AA112" i="7"/>
  <c r="R116" i="7"/>
  <c r="R10" i="7" s="1"/>
  <c r="P55" i="7"/>
  <c r="O57" i="7"/>
  <c r="U243" i="7" l="1"/>
  <c r="U15" i="7" s="1"/>
  <c r="P219" i="7"/>
  <c r="U151" i="7"/>
  <c r="U162" i="7" s="1"/>
  <c r="U12" i="7" s="1"/>
  <c r="U130" i="7"/>
  <c r="U134" i="7" s="1"/>
  <c r="U11" i="7" s="1"/>
  <c r="AC111" i="7"/>
  <c r="AB112" i="7"/>
  <c r="S116" i="7"/>
  <c r="S10" i="7" s="1"/>
  <c r="Q55" i="7"/>
  <c r="P57" i="7"/>
  <c r="V243" i="7" l="1"/>
  <c r="V15" i="7" s="1"/>
  <c r="Q219" i="7"/>
  <c r="V151" i="7"/>
  <c r="V162" i="7" s="1"/>
  <c r="V12" i="7" s="1"/>
  <c r="V130" i="7"/>
  <c r="V134" i="7" s="1"/>
  <c r="V11" i="7" s="1"/>
  <c r="AD111" i="7"/>
  <c r="AC112" i="7"/>
  <c r="T116" i="7"/>
  <c r="T10" i="7" s="1"/>
  <c r="R55" i="7"/>
  <c r="Q57" i="7"/>
  <c r="W243" i="7" l="1"/>
  <c r="W15" i="7" s="1"/>
  <c r="R219" i="7"/>
  <c r="W151" i="7"/>
  <c r="W162" i="7" s="1"/>
  <c r="W12" i="7" s="1"/>
  <c r="W130" i="7"/>
  <c r="W134" i="7" s="1"/>
  <c r="W11" i="7" s="1"/>
  <c r="AE111" i="7"/>
  <c r="AD112" i="7"/>
  <c r="U116" i="7"/>
  <c r="U10" i="7" s="1"/>
  <c r="S55" i="7"/>
  <c r="R57" i="7"/>
  <c r="X243" i="7" l="1"/>
  <c r="X15" i="7" s="1"/>
  <c r="S219" i="7"/>
  <c r="X151" i="7"/>
  <c r="X162" i="7" s="1"/>
  <c r="X12" i="7" s="1"/>
  <c r="X130" i="7"/>
  <c r="X134" i="7" s="1"/>
  <c r="X11" i="7" s="1"/>
  <c r="AF111" i="7"/>
  <c r="AE112" i="7"/>
  <c r="V116" i="7"/>
  <c r="V10" i="7" s="1"/>
  <c r="T55" i="7"/>
  <c r="S57" i="7"/>
  <c r="Y243" i="7" l="1"/>
  <c r="Y15" i="7" s="1"/>
  <c r="T219" i="7"/>
  <c r="Y151" i="7"/>
  <c r="Y162" i="7" s="1"/>
  <c r="Y12" i="7" s="1"/>
  <c r="Y130" i="7"/>
  <c r="Y134" i="7" s="1"/>
  <c r="Y11" i="7" s="1"/>
  <c r="AG111" i="7"/>
  <c r="AG112" i="7" s="1"/>
  <c r="AF112" i="7"/>
  <c r="W116" i="7"/>
  <c r="W10" i="7" s="1"/>
  <c r="U55" i="7"/>
  <c r="T57" i="7"/>
  <c r="Z243" i="7" l="1"/>
  <c r="Z15" i="7" s="1"/>
  <c r="U219" i="7"/>
  <c r="Z151" i="7"/>
  <c r="Z162" i="7" s="1"/>
  <c r="Z12" i="7" s="1"/>
  <c r="Z130" i="7"/>
  <c r="Z134" i="7" s="1"/>
  <c r="Z11" i="7" s="1"/>
  <c r="X116" i="7"/>
  <c r="X10" i="7" s="1"/>
  <c r="V55" i="7"/>
  <c r="U57" i="7"/>
  <c r="AA243" i="7" l="1"/>
  <c r="AA15" i="7" s="1"/>
  <c r="V219" i="7"/>
  <c r="AA151" i="7"/>
  <c r="AA162" i="7" s="1"/>
  <c r="AA12" i="7" s="1"/>
  <c r="AA130" i="7"/>
  <c r="AA134" i="7" s="1"/>
  <c r="AA11" i="7" s="1"/>
  <c r="Y116" i="7"/>
  <c r="Y10" i="7" s="1"/>
  <c r="W55" i="7"/>
  <c r="V57" i="7"/>
  <c r="AB243" i="7" l="1"/>
  <c r="AB15" i="7" s="1"/>
  <c r="W219" i="7"/>
  <c r="AB151" i="7"/>
  <c r="AB162" i="7" s="1"/>
  <c r="AB12" i="7" s="1"/>
  <c r="AB130" i="7"/>
  <c r="AB134" i="7" s="1"/>
  <c r="AB11" i="7" s="1"/>
  <c r="Z116" i="7"/>
  <c r="Z10" i="7" s="1"/>
  <c r="X55" i="7"/>
  <c r="W57" i="7"/>
  <c r="AC243" i="7" l="1"/>
  <c r="AC15" i="7" s="1"/>
  <c r="X219" i="7"/>
  <c r="AC151" i="7"/>
  <c r="AC162" i="7" s="1"/>
  <c r="AC12" i="7" s="1"/>
  <c r="AC130" i="7"/>
  <c r="AC134" i="7" s="1"/>
  <c r="AC11" i="7" s="1"/>
  <c r="AA116" i="7"/>
  <c r="AA10" i="7" s="1"/>
  <c r="Y55" i="7"/>
  <c r="X57" i="7"/>
  <c r="AD243" i="7" l="1"/>
  <c r="AD15" i="7" s="1"/>
  <c r="Y219" i="7"/>
  <c r="AD151" i="7"/>
  <c r="AD162" i="7" s="1"/>
  <c r="AD12" i="7" s="1"/>
  <c r="AD130" i="7"/>
  <c r="AD134" i="7" s="1"/>
  <c r="AD11" i="7" s="1"/>
  <c r="AB116" i="7"/>
  <c r="AB10" i="7" s="1"/>
  <c r="Z55" i="7"/>
  <c r="Y57" i="7"/>
  <c r="AE243" i="7" l="1"/>
  <c r="AE15" i="7" s="1"/>
  <c r="Z219" i="7"/>
  <c r="AE151" i="7"/>
  <c r="AE162" i="7" s="1"/>
  <c r="AE12" i="7" s="1"/>
  <c r="AE130" i="7"/>
  <c r="AE134" i="7" s="1"/>
  <c r="AE11" i="7" s="1"/>
  <c r="AC116" i="7"/>
  <c r="AC10" i="7" s="1"/>
  <c r="AA55" i="7"/>
  <c r="Z57" i="7"/>
  <c r="AG243" i="7" l="1"/>
  <c r="AG15" i="7" s="1"/>
  <c r="AF243" i="7"/>
  <c r="AF15" i="7" s="1"/>
  <c r="AA219" i="7"/>
  <c r="AG151" i="7"/>
  <c r="AG162" i="7" s="1"/>
  <c r="AG12" i="7" s="1"/>
  <c r="AF151" i="7"/>
  <c r="AF162" i="7" s="1"/>
  <c r="AF12" i="7" s="1"/>
  <c r="AG130" i="7"/>
  <c r="AG134" i="7" s="1"/>
  <c r="AG11" i="7" s="1"/>
  <c r="AF130" i="7"/>
  <c r="AF134" i="7" s="1"/>
  <c r="AF11" i="7" s="1"/>
  <c r="AD116" i="7"/>
  <c r="AD10" i="7" s="1"/>
  <c r="AB55" i="7"/>
  <c r="AA57" i="7"/>
  <c r="G11" i="7" l="1"/>
  <c r="F11" i="7"/>
  <c r="G15" i="7"/>
  <c r="F15" i="7"/>
  <c r="G12" i="7"/>
  <c r="F12" i="7"/>
  <c r="AB219" i="7"/>
  <c r="AE116" i="7"/>
  <c r="AE10" i="7" s="1"/>
  <c r="AC55" i="7"/>
  <c r="AB57" i="7"/>
  <c r="AC219" i="7" l="1"/>
  <c r="AF116" i="7"/>
  <c r="AF10" i="7" s="1"/>
  <c r="AD55" i="7"/>
  <c r="AC57" i="7"/>
  <c r="AD219" i="7" l="1"/>
  <c r="AG116" i="7"/>
  <c r="AG10" i="7" s="1"/>
  <c r="AE55" i="7"/>
  <c r="AD57" i="7"/>
  <c r="G10" i="7" l="1"/>
  <c r="F10" i="7"/>
  <c r="AE219" i="7"/>
  <c r="AF55" i="7"/>
  <c r="AE57" i="7"/>
  <c r="AF219" i="7" l="1"/>
  <c r="AG219" i="7"/>
  <c r="AG55" i="7"/>
  <c r="AG57" i="7" s="1"/>
  <c r="AF57" i="7"/>
  <c r="D25" i="7" l="1"/>
  <c r="D24" i="7"/>
  <c r="D26" i="7"/>
  <c r="D23" i="7"/>
  <c r="H29" i="7" s="1"/>
  <c r="C23" i="7"/>
  <c r="C26" i="7"/>
  <c r="C24" i="7"/>
  <c r="C25" i="7"/>
  <c r="B29" i="7"/>
  <c r="A3" i="7"/>
  <c r="A2" i="7"/>
  <c r="A1" i="7"/>
  <c r="A3" i="6"/>
  <c r="A2" i="6"/>
  <c r="A1" i="6"/>
  <c r="A3" i="3"/>
  <c r="C26" i="2"/>
  <c r="A2" i="3"/>
  <c r="A1" i="3"/>
  <c r="P23" i="3"/>
  <c r="G23" i="3"/>
  <c r="C23" i="3"/>
  <c r="P22" i="3"/>
  <c r="G22" i="3"/>
  <c r="C22" i="3"/>
  <c r="P21" i="3"/>
  <c r="G21" i="3"/>
  <c r="C21" i="3"/>
  <c r="P20" i="3"/>
  <c r="G20" i="3"/>
  <c r="C20" i="3"/>
  <c r="P19" i="3"/>
  <c r="G19" i="3"/>
  <c r="C19" i="3"/>
  <c r="P18" i="3"/>
  <c r="G18" i="3"/>
  <c r="C18" i="3"/>
  <c r="P17" i="3"/>
  <c r="C17" i="3"/>
  <c r="P16" i="3"/>
  <c r="G16" i="3"/>
  <c r="C16" i="3"/>
  <c r="P15" i="3"/>
  <c r="G15" i="3"/>
  <c r="C15" i="3"/>
  <c r="N62" i="3"/>
  <c r="M62" i="3"/>
  <c r="K62" i="3"/>
  <c r="P61" i="3"/>
  <c r="G61" i="3"/>
  <c r="C61" i="3"/>
  <c r="P60" i="3"/>
  <c r="G60" i="3"/>
  <c r="C60" i="3"/>
  <c r="L59" i="3"/>
  <c r="G59" i="3"/>
  <c r="C59" i="3"/>
  <c r="P58" i="3"/>
  <c r="G58" i="3"/>
  <c r="C58" i="3"/>
  <c r="P57" i="3"/>
  <c r="G57" i="3"/>
  <c r="C57" i="3"/>
  <c r="P56" i="3"/>
  <c r="G56" i="3"/>
  <c r="C56" i="3"/>
  <c r="J55" i="3"/>
  <c r="J62" i="3" s="1"/>
  <c r="C55" i="3"/>
  <c r="P54" i="3"/>
  <c r="G54" i="3"/>
  <c r="C54" i="3"/>
  <c r="P53" i="3"/>
  <c r="G53" i="3"/>
  <c r="C53" i="3"/>
  <c r="N43" i="3"/>
  <c r="N8" i="3" s="1"/>
  <c r="M43" i="3"/>
  <c r="M8" i="3" s="1"/>
  <c r="K43" i="3"/>
  <c r="J43" i="3"/>
  <c r="P42" i="3"/>
  <c r="G42" i="3"/>
  <c r="C42" i="3"/>
  <c r="P41" i="3"/>
  <c r="G41" i="3"/>
  <c r="C41" i="3"/>
  <c r="P40" i="3"/>
  <c r="G40" i="3"/>
  <c r="C40" i="3"/>
  <c r="P39" i="3"/>
  <c r="G39" i="3"/>
  <c r="C39" i="3"/>
  <c r="L38" i="3"/>
  <c r="G38" i="3"/>
  <c r="C38" i="3"/>
  <c r="P37" i="3"/>
  <c r="G37" i="3"/>
  <c r="C37" i="3"/>
  <c r="P36" i="3"/>
  <c r="C36" i="3"/>
  <c r="P35" i="3"/>
  <c r="G35" i="3"/>
  <c r="C35" i="3"/>
  <c r="P34" i="3"/>
  <c r="G34" i="3"/>
  <c r="C34" i="3"/>
  <c r="A1" i="2"/>
  <c r="X65" i="1" l="1"/>
  <c r="L65" i="1"/>
  <c r="Y64" i="1"/>
  <c r="M64" i="1"/>
  <c r="Z63" i="1"/>
  <c r="N63" i="1"/>
  <c r="AA62" i="1"/>
  <c r="O62" i="1"/>
  <c r="AC55" i="1"/>
  <c r="AC56" i="1" s="1"/>
  <c r="Q55" i="1"/>
  <c r="Q56" i="1" s="1"/>
  <c r="E55" i="1"/>
  <c r="S41" i="1"/>
  <c r="G41" i="1"/>
  <c r="T40" i="1"/>
  <c r="H40" i="1"/>
  <c r="U39" i="1"/>
  <c r="I39" i="1"/>
  <c r="V38" i="1"/>
  <c r="J38" i="1"/>
  <c r="K31" i="1"/>
  <c r="K32" i="1" s="1"/>
  <c r="W31" i="1"/>
  <c r="W32" i="1" s="1"/>
  <c r="Z62" i="1"/>
  <c r="P55" i="1"/>
  <c r="P56" i="1" s="1"/>
  <c r="F41" i="1"/>
  <c r="G40" i="1"/>
  <c r="H39" i="1"/>
  <c r="I38" i="1"/>
  <c r="X31" i="1"/>
  <c r="X32" i="1" s="1"/>
  <c r="R64" i="1"/>
  <c r="H62" i="1"/>
  <c r="X41" i="1"/>
  <c r="Z39" i="1"/>
  <c r="F31" i="1"/>
  <c r="P65" i="1"/>
  <c r="F63" i="1"/>
  <c r="X40" i="1"/>
  <c r="N38" i="1"/>
  <c r="Q63" i="1"/>
  <c r="T55" i="1"/>
  <c r="T56" i="1" s="1"/>
  <c r="W40" i="1"/>
  <c r="Y38" i="1"/>
  <c r="H31" i="1"/>
  <c r="H32" i="1" s="1"/>
  <c r="AA64" i="1"/>
  <c r="Q62" i="1"/>
  <c r="S55" i="1"/>
  <c r="S56" i="1" s="1"/>
  <c r="I41" i="1"/>
  <c r="K39" i="1"/>
  <c r="O63" i="1"/>
  <c r="F55" i="1"/>
  <c r="J39" i="1"/>
  <c r="W65" i="1"/>
  <c r="K65" i="1"/>
  <c r="X64" i="1"/>
  <c r="L64" i="1"/>
  <c r="Y63" i="1"/>
  <c r="M63" i="1"/>
  <c r="N62" i="1"/>
  <c r="AB55" i="1"/>
  <c r="AB56" i="1" s="1"/>
  <c r="R41" i="1"/>
  <c r="S40" i="1"/>
  <c r="T39" i="1"/>
  <c r="U38" i="1"/>
  <c r="L31" i="1"/>
  <c r="L32" i="1" s="1"/>
  <c r="E65" i="1"/>
  <c r="L41" i="1"/>
  <c r="AA38" i="1"/>
  <c r="R31" i="1"/>
  <c r="R32" i="1" s="1"/>
  <c r="E64" i="1"/>
  <c r="G62" i="1"/>
  <c r="W41" i="1"/>
  <c r="Y39" i="1"/>
  <c r="S31" i="1"/>
  <c r="S32" i="1" s="1"/>
  <c r="AB64" i="1"/>
  <c r="E63" i="1"/>
  <c r="R62" i="1"/>
  <c r="J41" i="1"/>
  <c r="L39" i="1"/>
  <c r="N65" i="1"/>
  <c r="AC62" i="1"/>
  <c r="U41" i="1"/>
  <c r="J40" i="1"/>
  <c r="L38" i="1"/>
  <c r="U31" i="1"/>
  <c r="U32" i="1" s="1"/>
  <c r="M65" i="1"/>
  <c r="AB62" i="1"/>
  <c r="H41" i="1"/>
  <c r="W38" i="1"/>
  <c r="J31" i="1"/>
  <c r="J32" i="1" s="1"/>
  <c r="V65" i="1"/>
  <c r="J65" i="1"/>
  <c r="W64" i="1"/>
  <c r="K64" i="1"/>
  <c r="X63" i="1"/>
  <c r="L63" i="1"/>
  <c r="Y62" i="1"/>
  <c r="M62" i="1"/>
  <c r="AA55" i="1"/>
  <c r="AA56" i="1" s="1"/>
  <c r="O55" i="1"/>
  <c r="O56" i="1" s="1"/>
  <c r="AC41" i="1"/>
  <c r="Q41" i="1"/>
  <c r="E41" i="1"/>
  <c r="R40" i="1"/>
  <c r="F40" i="1"/>
  <c r="S39" i="1"/>
  <c r="G39" i="1"/>
  <c r="T38" i="1"/>
  <c r="H38" i="1"/>
  <c r="M31" i="1"/>
  <c r="M32" i="1" s="1"/>
  <c r="Y31" i="1"/>
  <c r="Y32" i="1" s="1"/>
  <c r="N31" i="1"/>
  <c r="N32" i="1" s="1"/>
  <c r="Y41" i="1"/>
  <c r="N40" i="1"/>
  <c r="O39" i="1"/>
  <c r="Q31" i="1"/>
  <c r="Q32" i="1" s="1"/>
  <c r="AC65" i="1"/>
  <c r="S63" i="1"/>
  <c r="Y40" i="1"/>
  <c r="O38" i="1"/>
  <c r="E31" i="1"/>
  <c r="Q64" i="1"/>
  <c r="K41" i="1"/>
  <c r="Z38" i="1"/>
  <c r="O65" i="1"/>
  <c r="AC63" i="1"/>
  <c r="F62" i="1"/>
  <c r="H55" i="1"/>
  <c r="H56" i="1" s="1"/>
  <c r="X39" i="1"/>
  <c r="T31" i="1"/>
  <c r="T32" i="1" s="1"/>
  <c r="O64" i="1"/>
  <c r="P63" i="1"/>
  <c r="V40" i="1"/>
  <c r="X38" i="1"/>
  <c r="N64" i="1"/>
  <c r="R55" i="1"/>
  <c r="R56" i="1" s="1"/>
  <c r="I40" i="1"/>
  <c r="U65" i="1"/>
  <c r="I65" i="1"/>
  <c r="V64" i="1"/>
  <c r="J64" i="1"/>
  <c r="W63" i="1"/>
  <c r="K63" i="1"/>
  <c r="X62" i="1"/>
  <c r="L62" i="1"/>
  <c r="Z55" i="1"/>
  <c r="Z56" i="1" s="1"/>
  <c r="N55" i="1"/>
  <c r="N56" i="1" s="1"/>
  <c r="AB41" i="1"/>
  <c r="P41" i="1"/>
  <c r="AC40" i="1"/>
  <c r="Q40" i="1"/>
  <c r="E40" i="1"/>
  <c r="R39" i="1"/>
  <c r="F39" i="1"/>
  <c r="S38" i="1"/>
  <c r="G38" i="1"/>
  <c r="Z31" i="1"/>
  <c r="Z32" i="1" s="1"/>
  <c r="Z40" i="1"/>
  <c r="P38" i="1"/>
  <c r="G63" i="1"/>
  <c r="J55" i="1"/>
  <c r="J56" i="1" s="1"/>
  <c r="N39" i="1"/>
  <c r="AC64" i="1"/>
  <c r="S62" i="1"/>
  <c r="I55" i="1"/>
  <c r="I56" i="1" s="1"/>
  <c r="M39" i="1"/>
  <c r="AA65" i="1"/>
  <c r="P64" i="1"/>
  <c r="V41" i="1"/>
  <c r="K40" i="1"/>
  <c r="M38" i="1"/>
  <c r="Z65" i="1"/>
  <c r="AB63" i="1"/>
  <c r="E62" i="1"/>
  <c r="G55" i="1"/>
  <c r="W39" i="1"/>
  <c r="Y65" i="1"/>
  <c r="AA63" i="1"/>
  <c r="T41" i="1"/>
  <c r="V39" i="1"/>
  <c r="V31" i="1"/>
  <c r="V32" i="1" s="1"/>
  <c r="T65" i="1"/>
  <c r="H65" i="1"/>
  <c r="U64" i="1"/>
  <c r="I64" i="1"/>
  <c r="V63" i="1"/>
  <c r="J63" i="1"/>
  <c r="W62" i="1"/>
  <c r="K62" i="1"/>
  <c r="Y55" i="1"/>
  <c r="Y56" i="1" s="1"/>
  <c r="M55" i="1"/>
  <c r="M56" i="1" s="1"/>
  <c r="AA41" i="1"/>
  <c r="O41" i="1"/>
  <c r="AB40" i="1"/>
  <c r="P40" i="1"/>
  <c r="AC39" i="1"/>
  <c r="Q39" i="1"/>
  <c r="E39" i="1"/>
  <c r="R38" i="1"/>
  <c r="F38" i="1"/>
  <c r="O31" i="1"/>
  <c r="O32" i="1" s="1"/>
  <c r="AA31" i="1"/>
  <c r="AA32" i="1" s="1"/>
  <c r="G64" i="1"/>
  <c r="M41" i="1"/>
  <c r="AA39" i="1"/>
  <c r="AB38" i="1"/>
  <c r="AC31" i="1"/>
  <c r="AC32" i="1" s="1"/>
  <c r="Q65" i="1"/>
  <c r="F64" i="1"/>
  <c r="T62" i="1"/>
  <c r="V55" i="1"/>
  <c r="V56" i="1" s="1"/>
  <c r="M40" i="1"/>
  <c r="AB65" i="1"/>
  <c r="R63" i="1"/>
  <c r="U55" i="1"/>
  <c r="U56" i="1" s="1"/>
  <c r="L40" i="1"/>
  <c r="G31" i="1"/>
  <c r="I31" i="1"/>
  <c r="I32" i="1" s="1"/>
  <c r="Z64" i="1"/>
  <c r="P62" i="1"/>
  <c r="U40" i="1"/>
  <c r="K38" i="1"/>
  <c r="S65" i="1"/>
  <c r="G65" i="1"/>
  <c r="T64" i="1"/>
  <c r="H64" i="1"/>
  <c r="U63" i="1"/>
  <c r="I63" i="1"/>
  <c r="V62" i="1"/>
  <c r="J62" i="1"/>
  <c r="X55" i="1"/>
  <c r="X56" i="1" s="1"/>
  <c r="L55" i="1"/>
  <c r="L56" i="1" s="1"/>
  <c r="Z41" i="1"/>
  <c r="N41" i="1"/>
  <c r="AA40" i="1"/>
  <c r="O40" i="1"/>
  <c r="AB39" i="1"/>
  <c r="P39" i="1"/>
  <c r="AC38" i="1"/>
  <c r="Q38" i="1"/>
  <c r="E38" i="1"/>
  <c r="P31" i="1"/>
  <c r="P32" i="1" s="1"/>
  <c r="AB31" i="1"/>
  <c r="AB32" i="1" s="1"/>
  <c r="R65" i="1"/>
  <c r="F65" i="1"/>
  <c r="S64" i="1"/>
  <c r="T63" i="1"/>
  <c r="H63" i="1"/>
  <c r="U62" i="1"/>
  <c r="I62" i="1"/>
  <c r="W55" i="1"/>
  <c r="W56" i="1" s="1"/>
  <c r="K55" i="1"/>
  <c r="K56" i="1" s="1"/>
  <c r="P64" i="3"/>
  <c r="P66" i="3"/>
  <c r="P65" i="3"/>
  <c r="L27" i="3"/>
  <c r="K27" i="3"/>
  <c r="N27" i="3"/>
  <c r="M27" i="3"/>
  <c r="J27" i="3"/>
  <c r="N9" i="3"/>
  <c r="P38" i="3"/>
  <c r="P43" i="3" s="1"/>
  <c r="L45" i="3"/>
  <c r="P45" i="3" s="1"/>
  <c r="L47" i="3"/>
  <c r="P47" i="3" s="1"/>
  <c r="P59" i="3"/>
  <c r="M9" i="3"/>
  <c r="J46" i="3"/>
  <c r="M46" i="3"/>
  <c r="K46" i="3"/>
  <c r="N46" i="3"/>
  <c r="L46" i="3"/>
  <c r="P24" i="3"/>
  <c r="J8" i="3"/>
  <c r="E29" i="1"/>
  <c r="N7" i="3"/>
  <c r="I16" i="1"/>
  <c r="I20" i="1" s="1"/>
  <c r="J9" i="3"/>
  <c r="E53" i="1"/>
  <c r="J7" i="3"/>
  <c r="E16" i="1"/>
  <c r="K7" i="3"/>
  <c r="F16" i="1"/>
  <c r="F20" i="1" s="1"/>
  <c r="K8" i="3"/>
  <c r="F29" i="1"/>
  <c r="M7" i="3"/>
  <c r="H16" i="1"/>
  <c r="H20" i="1" s="1"/>
  <c r="K9" i="3"/>
  <c r="F53" i="1"/>
  <c r="I95" i="7"/>
  <c r="L62" i="3"/>
  <c r="L43" i="3"/>
  <c r="P55" i="3"/>
  <c r="F56" i="1" l="1"/>
  <c r="E56" i="1"/>
  <c r="F32" i="1"/>
  <c r="E32" i="1"/>
  <c r="P27" i="3"/>
  <c r="P46" i="3"/>
  <c r="P62" i="3"/>
  <c r="L7" i="3"/>
  <c r="G7" i="3" s="1"/>
  <c r="G16" i="1"/>
  <c r="G20" i="1" s="1"/>
  <c r="L8" i="3"/>
  <c r="G8" i="3" s="1"/>
  <c r="G29" i="1"/>
  <c r="G32" i="1" s="1"/>
  <c r="L9" i="3"/>
  <c r="G53" i="1"/>
  <c r="G56" i="1" s="1"/>
  <c r="G9" i="3"/>
  <c r="H9" i="3"/>
  <c r="E20" i="1"/>
  <c r="E60" i="1"/>
  <c r="E36" i="1"/>
  <c r="J95" i="7"/>
  <c r="J70" i="7"/>
  <c r="I29" i="7"/>
  <c r="C70" i="1" l="1"/>
  <c r="C46" i="1"/>
  <c r="H8" i="3"/>
  <c r="C22" i="1"/>
  <c r="H7" i="3"/>
  <c r="C24" i="1"/>
  <c r="F36" i="1"/>
  <c r="F60" i="1"/>
  <c r="K95" i="7"/>
  <c r="K70" i="7"/>
  <c r="J29" i="7"/>
  <c r="I42" i="7"/>
  <c r="E37" i="1" l="1"/>
  <c r="E61" i="1"/>
  <c r="E7" i="1" a="1"/>
  <c r="E7" i="1" s="1"/>
  <c r="E35" i="1"/>
  <c r="E59" i="1"/>
  <c r="G36" i="1"/>
  <c r="G60" i="1"/>
  <c r="L95" i="7"/>
  <c r="L9" i="7" s="1"/>
  <c r="L70" i="7"/>
  <c r="L8" i="7" s="1"/>
  <c r="K29" i="7"/>
  <c r="J42" i="7"/>
  <c r="E42" i="1" l="1"/>
  <c r="E44" i="1" s="1"/>
  <c r="E66" i="1"/>
  <c r="E68" i="1" s="1"/>
  <c r="F61" i="1"/>
  <c r="F37" i="1"/>
  <c r="H36" i="1"/>
  <c r="H60" i="1"/>
  <c r="F59" i="1"/>
  <c r="F35" i="1"/>
  <c r="M95" i="7"/>
  <c r="M9" i="7" s="1"/>
  <c r="M70" i="7"/>
  <c r="M8" i="7" s="1"/>
  <c r="L29" i="7"/>
  <c r="K42" i="7"/>
  <c r="F42" i="1" l="1"/>
  <c r="F44" i="1" s="1"/>
  <c r="F66" i="1"/>
  <c r="F68" i="1" s="1"/>
  <c r="G61" i="1"/>
  <c r="G37" i="1"/>
  <c r="I60" i="1"/>
  <c r="I36" i="1"/>
  <c r="G59" i="1"/>
  <c r="G35" i="1"/>
  <c r="N95" i="7"/>
  <c r="N9" i="7" s="1"/>
  <c r="N70" i="7"/>
  <c r="N8" i="7" s="1"/>
  <c r="M29" i="7"/>
  <c r="L42" i="7"/>
  <c r="L7" i="7" s="1"/>
  <c r="G42" i="1" l="1"/>
  <c r="G44" i="1" s="1"/>
  <c r="G66" i="1"/>
  <c r="G68" i="1" s="1"/>
  <c r="H37" i="1"/>
  <c r="H61" i="1"/>
  <c r="H35" i="1"/>
  <c r="H59" i="1"/>
  <c r="J36" i="1"/>
  <c r="J60" i="1"/>
  <c r="O95" i="7"/>
  <c r="O9" i="7" s="1"/>
  <c r="O70" i="7"/>
  <c r="O8" i="7" s="1"/>
  <c r="N29" i="7"/>
  <c r="M42" i="7"/>
  <c r="M7" i="7" s="1"/>
  <c r="H42" i="1" l="1"/>
  <c r="H44" i="1" s="1"/>
  <c r="H66" i="1"/>
  <c r="H68" i="1" s="1"/>
  <c r="I37" i="1"/>
  <c r="I61" i="1"/>
  <c r="I35" i="1"/>
  <c r="I59" i="1"/>
  <c r="K60" i="1"/>
  <c r="K36" i="1"/>
  <c r="P95" i="7"/>
  <c r="P9" i="7" s="1"/>
  <c r="P70" i="7"/>
  <c r="P8" i="7" s="1"/>
  <c r="O29" i="7"/>
  <c r="N42" i="7"/>
  <c r="N7" i="7" s="1"/>
  <c r="I42" i="1" l="1"/>
  <c r="I44" i="1" s="1"/>
  <c r="I66" i="1"/>
  <c r="I68" i="1" s="1"/>
  <c r="J37" i="1"/>
  <c r="J61" i="1"/>
  <c r="J59" i="1"/>
  <c r="J35" i="1"/>
  <c r="L60" i="1"/>
  <c r="L36" i="1"/>
  <c r="Q95" i="7"/>
  <c r="Q9" i="7" s="1"/>
  <c r="Q70" i="7"/>
  <c r="Q8" i="7" s="1"/>
  <c r="P29" i="7"/>
  <c r="O42" i="7"/>
  <c r="O7" i="7" s="1"/>
  <c r="J42" i="1" l="1"/>
  <c r="J44" i="1" s="1"/>
  <c r="J66" i="1"/>
  <c r="J68" i="1" s="1"/>
  <c r="K37" i="1"/>
  <c r="K61" i="1"/>
  <c r="K59" i="1"/>
  <c r="K35" i="1"/>
  <c r="M60" i="1"/>
  <c r="M36" i="1"/>
  <c r="R95" i="7"/>
  <c r="R9" i="7" s="1"/>
  <c r="R70" i="7"/>
  <c r="R8" i="7" s="1"/>
  <c r="Q29" i="7"/>
  <c r="P42" i="7"/>
  <c r="P7" i="7" s="1"/>
  <c r="K42" i="1" l="1"/>
  <c r="K44" i="1" s="1"/>
  <c r="K66" i="1"/>
  <c r="K68" i="1" s="1"/>
  <c r="L61" i="1"/>
  <c r="L37" i="1"/>
  <c r="L59" i="1"/>
  <c r="L35" i="1"/>
  <c r="N36" i="1"/>
  <c r="N60" i="1"/>
  <c r="S95" i="7"/>
  <c r="S9" i="7" s="1"/>
  <c r="S70" i="7"/>
  <c r="S8" i="7" s="1"/>
  <c r="R29" i="7"/>
  <c r="Q42" i="7"/>
  <c r="Q7" i="7" s="1"/>
  <c r="L42" i="1" l="1"/>
  <c r="L44" i="1" s="1"/>
  <c r="L66" i="1"/>
  <c r="L68" i="1" s="1"/>
  <c r="M61" i="1"/>
  <c r="M37" i="1"/>
  <c r="M59" i="1"/>
  <c r="M35" i="1"/>
  <c r="O36" i="1"/>
  <c r="O60" i="1"/>
  <c r="T95" i="7"/>
  <c r="T9" i="7" s="1"/>
  <c r="T70" i="7"/>
  <c r="T8" i="7" s="1"/>
  <c r="S29" i="7"/>
  <c r="R42" i="7"/>
  <c r="R7" i="7" s="1"/>
  <c r="N61" i="1" l="1"/>
  <c r="N37" i="1"/>
  <c r="M42" i="1"/>
  <c r="M44" i="1" s="1"/>
  <c r="M66" i="1"/>
  <c r="M68" i="1" s="1"/>
  <c r="N59" i="1"/>
  <c r="N35" i="1"/>
  <c r="P36" i="1"/>
  <c r="P60" i="1"/>
  <c r="U95" i="7"/>
  <c r="U9" i="7" s="1"/>
  <c r="U70" i="7"/>
  <c r="U8" i="7" s="1"/>
  <c r="T29" i="7"/>
  <c r="S42" i="7"/>
  <c r="S7" i="7" s="1"/>
  <c r="N42" i="1" l="1"/>
  <c r="N44" i="1" s="1"/>
  <c r="N66" i="1"/>
  <c r="N68" i="1" s="1"/>
  <c r="O61" i="1"/>
  <c r="O37" i="1"/>
  <c r="O35" i="1"/>
  <c r="O59" i="1"/>
  <c r="Q60" i="1"/>
  <c r="Q36" i="1"/>
  <c r="V95" i="7"/>
  <c r="V9" i="7" s="1"/>
  <c r="V70" i="7"/>
  <c r="V8" i="7" s="1"/>
  <c r="U29" i="7"/>
  <c r="T42" i="7"/>
  <c r="T7" i="7" s="1"/>
  <c r="O66" i="1" l="1"/>
  <c r="O68" i="1" s="1"/>
  <c r="O42" i="1"/>
  <c r="O44" i="1" s="1"/>
  <c r="P37" i="1"/>
  <c r="P61" i="1"/>
  <c r="P35" i="1"/>
  <c r="P59" i="1"/>
  <c r="R60" i="1"/>
  <c r="R36" i="1"/>
  <c r="W95" i="7"/>
  <c r="W9" i="7" s="1"/>
  <c r="W70" i="7"/>
  <c r="W8" i="7" s="1"/>
  <c r="V29" i="7"/>
  <c r="U42" i="7"/>
  <c r="U7" i="7" s="1"/>
  <c r="P42" i="1" l="1"/>
  <c r="P44" i="1" s="1"/>
  <c r="P66" i="1"/>
  <c r="P68" i="1" s="1"/>
  <c r="Q61" i="1"/>
  <c r="Q37" i="1"/>
  <c r="Q35" i="1"/>
  <c r="Q59" i="1"/>
  <c r="S60" i="1"/>
  <c r="S36" i="1"/>
  <c r="X95" i="7"/>
  <c r="X9" i="7" s="1"/>
  <c r="X70" i="7"/>
  <c r="X8" i="7" s="1"/>
  <c r="W29" i="7"/>
  <c r="V42" i="7"/>
  <c r="V7" i="7" s="1"/>
  <c r="Q42" i="1" l="1"/>
  <c r="Q44" i="1" s="1"/>
  <c r="Q66" i="1"/>
  <c r="Q68" i="1" s="1"/>
  <c r="R37" i="1"/>
  <c r="R61" i="1"/>
  <c r="R59" i="1"/>
  <c r="R35" i="1"/>
  <c r="T60" i="1"/>
  <c r="T36" i="1"/>
  <c r="Y95" i="7"/>
  <c r="Y9" i="7" s="1"/>
  <c r="Y70" i="7"/>
  <c r="Y8" i="7" s="1"/>
  <c r="X29" i="7"/>
  <c r="W42" i="7"/>
  <c r="W7" i="7" s="1"/>
  <c r="R42" i="1" l="1"/>
  <c r="R44" i="1" s="1"/>
  <c r="R66" i="1"/>
  <c r="R68" i="1" s="1"/>
  <c r="S61" i="1"/>
  <c r="S37" i="1"/>
  <c r="S35" i="1"/>
  <c r="S59" i="1"/>
  <c r="U60" i="1"/>
  <c r="U36" i="1"/>
  <c r="Z95" i="7"/>
  <c r="Z9" i="7" s="1"/>
  <c r="Z70" i="7"/>
  <c r="Z8" i="7" s="1"/>
  <c r="Y29" i="7"/>
  <c r="X42" i="7"/>
  <c r="X7" i="7" s="1"/>
  <c r="S66" i="1" l="1"/>
  <c r="S68" i="1" s="1"/>
  <c r="S42" i="1"/>
  <c r="S44" i="1" s="1"/>
  <c r="T61" i="1"/>
  <c r="T37" i="1"/>
  <c r="T59" i="1"/>
  <c r="T35" i="1"/>
  <c r="V60" i="1"/>
  <c r="V36" i="1"/>
  <c r="AA95" i="7"/>
  <c r="AA9" i="7" s="1"/>
  <c r="AA70" i="7"/>
  <c r="AA8" i="7" s="1"/>
  <c r="Z29" i="7"/>
  <c r="Y42" i="7"/>
  <c r="Y7" i="7" s="1"/>
  <c r="T66" i="1" l="1"/>
  <c r="T68" i="1" s="1"/>
  <c r="T42" i="1"/>
  <c r="T44" i="1" s="1"/>
  <c r="U37" i="1"/>
  <c r="U61" i="1"/>
  <c r="U59" i="1"/>
  <c r="U35" i="1"/>
  <c r="W60" i="1"/>
  <c r="W36" i="1"/>
  <c r="AB95" i="7"/>
  <c r="AB9" i="7" s="1"/>
  <c r="AB70" i="7"/>
  <c r="AB8" i="7" s="1"/>
  <c r="AA29" i="7"/>
  <c r="Z42" i="7"/>
  <c r="Z7" i="7" s="1"/>
  <c r="U66" i="1" l="1"/>
  <c r="U68" i="1" s="1"/>
  <c r="U42" i="1"/>
  <c r="U44" i="1" s="1"/>
  <c r="V37" i="1"/>
  <c r="V61" i="1"/>
  <c r="V35" i="1"/>
  <c r="V59" i="1"/>
  <c r="X60" i="1"/>
  <c r="X36" i="1"/>
  <c r="AC95" i="7"/>
  <c r="AC9" i="7" s="1"/>
  <c r="AC70" i="7"/>
  <c r="AC8" i="7" s="1"/>
  <c r="AB29" i="7"/>
  <c r="AA42" i="7"/>
  <c r="AA7" i="7" s="1"/>
  <c r="V66" i="1" l="1"/>
  <c r="V68" i="1" s="1"/>
  <c r="V42" i="1"/>
  <c r="V44" i="1" s="1"/>
  <c r="W37" i="1"/>
  <c r="W61" i="1"/>
  <c r="Y60" i="1"/>
  <c r="Y36" i="1"/>
  <c r="W35" i="1"/>
  <c r="W59" i="1"/>
  <c r="AD95" i="7"/>
  <c r="AD9" i="7" s="1"/>
  <c r="AD70" i="7"/>
  <c r="AD8" i="7" s="1"/>
  <c r="AC29" i="7"/>
  <c r="AB42" i="7"/>
  <c r="AB7" i="7" s="1"/>
  <c r="W66" i="1" l="1"/>
  <c r="W68" i="1" s="1"/>
  <c r="W42" i="1"/>
  <c r="W44" i="1" s="1"/>
  <c r="X37" i="1"/>
  <c r="X61" i="1"/>
  <c r="Z60" i="1"/>
  <c r="Z36" i="1"/>
  <c r="X59" i="1"/>
  <c r="X35" i="1"/>
  <c r="AE95" i="7"/>
  <c r="AE9" i="7" s="1"/>
  <c r="AE70" i="7"/>
  <c r="AE8" i="7" s="1"/>
  <c r="AD29" i="7"/>
  <c r="AC42" i="7"/>
  <c r="AC7" i="7" s="1"/>
  <c r="X42" i="1" l="1"/>
  <c r="X44" i="1" s="1"/>
  <c r="X66" i="1"/>
  <c r="X68" i="1" s="1"/>
  <c r="Y37" i="1"/>
  <c r="Y61" i="1"/>
  <c r="Y59" i="1"/>
  <c r="Y35" i="1"/>
  <c r="AA36" i="1"/>
  <c r="AA60" i="1"/>
  <c r="AF95" i="7"/>
  <c r="AF9" i="7" s="1"/>
  <c r="AG95" i="7"/>
  <c r="AG9" i="7" s="1"/>
  <c r="AF70" i="7"/>
  <c r="AF8" i="7" s="1"/>
  <c r="AG70" i="7"/>
  <c r="AG8" i="7" s="1"/>
  <c r="AE29" i="7"/>
  <c r="AD42" i="7"/>
  <c r="AD7" i="7" s="1"/>
  <c r="Y42" i="1" l="1"/>
  <c r="Y44" i="1" s="1"/>
  <c r="Y66" i="1"/>
  <c r="Y68" i="1" s="1"/>
  <c r="Z37" i="1"/>
  <c r="Z61" i="1"/>
  <c r="F9" i="7"/>
  <c r="G9" i="7"/>
  <c r="Z59" i="1"/>
  <c r="Z35" i="1"/>
  <c r="AC60" i="1"/>
  <c r="AC36" i="1"/>
  <c r="G8" i="7"/>
  <c r="F8" i="7"/>
  <c r="AB36" i="1"/>
  <c r="AB60" i="1"/>
  <c r="AF29" i="7"/>
  <c r="AE42" i="7"/>
  <c r="AE7" i="7" s="1"/>
  <c r="Z42" i="1" l="1"/>
  <c r="Z44" i="1" s="1"/>
  <c r="Z66" i="1"/>
  <c r="Z68" i="1" s="1"/>
  <c r="AA61" i="1"/>
  <c r="AA37" i="1"/>
  <c r="AA35" i="1"/>
  <c r="AA59" i="1"/>
  <c r="AG29" i="7"/>
  <c r="AG42" i="7" s="1"/>
  <c r="AG7" i="7" s="1"/>
  <c r="AF42" i="7"/>
  <c r="AF7" i="7" s="1"/>
  <c r="AA42" i="1" l="1"/>
  <c r="AA44" i="1" s="1"/>
  <c r="AA66" i="1"/>
  <c r="AA68" i="1" s="1"/>
  <c r="AB37" i="1"/>
  <c r="AB61" i="1"/>
  <c r="AC37" i="1"/>
  <c r="AC61" i="1"/>
  <c r="AC35" i="1"/>
  <c r="AC59" i="1"/>
  <c r="F7" i="7"/>
  <c r="G7" i="7"/>
  <c r="AB35" i="1"/>
  <c r="AB59" i="1"/>
  <c r="AB42" i="1" l="1"/>
  <c r="AB44" i="1" s="1"/>
  <c r="AB66" i="1"/>
  <c r="AB68" i="1" s="1"/>
  <c r="AC66" i="1"/>
  <c r="C71" i="1" s="1"/>
  <c r="AC42" i="1"/>
  <c r="AC44" i="1" s="1"/>
  <c r="C48" i="1" s="1"/>
  <c r="AC68" i="1" l="1"/>
  <c r="C72" i="1" s="1"/>
  <c r="E9" i="1" s="1" a="1"/>
  <c r="E9" i="1" s="1"/>
  <c r="C47" i="1"/>
  <c r="E8" i="1" s="1" a="1"/>
  <c r="E8" i="1" s="1"/>
  <c r="C8" i="5" l="1"/>
  <c r="B17" i="5" s="1" a="1"/>
  <c r="D9" i="1"/>
  <c r="D7" i="1"/>
  <c r="D8" i="1"/>
  <c r="B29" i="5" l="1"/>
  <c r="C30" i="5" a="1"/>
  <c r="C30" i="5" s="1"/>
  <c r="C33" i="5" s="1"/>
  <c r="C26" i="5" a="1"/>
  <c r="C26" i="5" s="1"/>
  <c r="B13" i="5" a="1"/>
  <c r="B13" i="5" s="1"/>
  <c r="C13" i="5" s="1" a="1"/>
  <c r="C13" i="5" s="1"/>
  <c r="B17" i="5"/>
  <c r="C17" i="5" s="1" a="1"/>
  <c r="C17" i="5" s="1"/>
  <c r="C21" i="5" a="1"/>
  <c r="C21" i="5" s="1"/>
  <c r="C18" i="5" a="1"/>
  <c r="C18" i="5" s="1"/>
  <c r="C19" i="5" a="1"/>
  <c r="C19" i="5" s="1"/>
  <c r="C23" i="5" a="1"/>
  <c r="C23" i="5" s="1"/>
  <c r="C22" i="5" a="1"/>
  <c r="C22" i="5" s="1"/>
  <c r="C20" i="5" a="1"/>
  <c r="C20" i="5" s="1"/>
  <c r="C12" i="5"/>
  <c r="C11" i="5" a="1"/>
  <c r="C11" i="5" s="1"/>
  <c r="C40" i="5" s="1"/>
  <c r="C16" i="5" a="1"/>
  <c r="C16" i="5" s="1"/>
  <c r="C41" i="5" s="1"/>
  <c r="D26" i="5" l="1"/>
  <c r="F33" i="5"/>
  <c r="D33" i="5"/>
  <c r="G33" i="5"/>
  <c r="E33" i="5"/>
  <c r="C4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<sst xmlns="http://schemas.openxmlformats.org/spreadsheetml/2006/main" count="1189" uniqueCount="224">
  <si>
    <t>Key:</t>
  </si>
  <si>
    <t>Input</t>
  </si>
  <si>
    <t>Regulation only input</t>
  </si>
  <si>
    <t>Regulatory assumptions</t>
  </si>
  <si>
    <t>Formula do not edit</t>
  </si>
  <si>
    <t>Assumption Types</t>
  </si>
  <si>
    <t>Assumptions</t>
  </si>
  <si>
    <t>Parameters</t>
  </si>
  <si>
    <t>Area Applied</t>
  </si>
  <si>
    <t>Business:</t>
  </si>
  <si>
    <t>Powercor</t>
  </si>
  <si>
    <t>Cost inputs from SME:</t>
  </si>
  <si>
    <t>2023/24</t>
  </si>
  <si>
    <t>Real Discount rate:</t>
  </si>
  <si>
    <t>Labour</t>
  </si>
  <si>
    <t>Materials</t>
  </si>
  <si>
    <t>Contracts</t>
  </si>
  <si>
    <t>Escalation: for Regulation use</t>
  </si>
  <si>
    <t>2022/23</t>
  </si>
  <si>
    <t>2024/25</t>
  </si>
  <si>
    <t>2025/26</t>
  </si>
  <si>
    <t>Multiply by:</t>
  </si>
  <si>
    <t>Option 2</t>
  </si>
  <si>
    <t>2026/27</t>
  </si>
  <si>
    <t>2027/28</t>
  </si>
  <si>
    <t>2028/29</t>
  </si>
  <si>
    <t>2029/30</t>
  </si>
  <si>
    <t>2030/31</t>
  </si>
  <si>
    <t>Total</t>
  </si>
  <si>
    <t xml:space="preserve">New Depot Design </t>
  </si>
  <si>
    <t>Staff Relocation / Alternative Accom</t>
  </si>
  <si>
    <t>Land acquisition</t>
  </si>
  <si>
    <t>Civil Works/Demolition works</t>
  </si>
  <si>
    <t xml:space="preserve">Building works </t>
  </si>
  <si>
    <t xml:space="preserve">Services </t>
  </si>
  <si>
    <t>Fixtures, Furniture &amp; equipment</t>
  </si>
  <si>
    <t>Other</t>
  </si>
  <si>
    <t>Project Management</t>
  </si>
  <si>
    <t>Total Property Cost</t>
  </si>
  <si>
    <t>Option 3</t>
  </si>
  <si>
    <t>Material</t>
  </si>
  <si>
    <t>Total Property Costs ($ 2025/26)</t>
  </si>
  <si>
    <t>Option 1</t>
  </si>
  <si>
    <t>Options</t>
  </si>
  <si>
    <t>Do nothing</t>
  </si>
  <si>
    <t>Redevelop existing site</t>
  </si>
  <si>
    <t>Develop greenfield site</t>
  </si>
  <si>
    <t>-</t>
  </si>
  <si>
    <t>Model name</t>
  </si>
  <si>
    <t>Geelong depot</t>
  </si>
  <si>
    <t>Preferred option:</t>
  </si>
  <si>
    <t>Cost summary</t>
  </si>
  <si>
    <t>Output for business case:</t>
  </si>
  <si>
    <t>Risk summary</t>
  </si>
  <si>
    <t>Option</t>
  </si>
  <si>
    <t>Cost inputs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</si>
  <si>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</si>
  <si>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</si>
  <si>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</si>
  <si>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</si>
  <si>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</si>
  <si>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</si>
  <si>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</si>
  <si>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</si>
  <si>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</si>
  <si>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</si>
  <si>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</si>
  <si>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</si>
  <si>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</si>
  <si>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</si>
  <si>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</si>
  <si>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</si>
  <si>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</si>
  <si>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</si>
  <si>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</si>
  <si>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</si>
  <si>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Risk category</t>
  </si>
  <si>
    <t>Suboptimal layout</t>
  </si>
  <si>
    <t>Inadequate storage</t>
  </si>
  <si>
    <t>Outdated facilities and inadequate office space</t>
  </si>
  <si>
    <t>Structural issues</t>
  </si>
  <si>
    <t>Safety risks</t>
  </si>
  <si>
    <t>Maintenance issues</t>
  </si>
  <si>
    <t>Risk calculations</t>
  </si>
  <si>
    <t>Loss of efficiency during redevelopment</t>
  </si>
  <si>
    <t>Suboptimal depot location</t>
  </si>
  <si>
    <t>Input name</t>
  </si>
  <si>
    <t>Unit</t>
  </si>
  <si>
    <t>Value</t>
  </si>
  <si>
    <t>Conversion required</t>
  </si>
  <si>
    <t>Connections</t>
  </si>
  <si>
    <t>Total customers served from depot in 2024</t>
  </si>
  <si>
    <t>New connections p.a.</t>
  </si>
  <si>
    <t>Forecast connections growth</t>
  </si>
  <si>
    <t>#</t>
  </si>
  <si>
    <t>%</t>
  </si>
  <si>
    <t>% connections delivered 1 day earlier</t>
  </si>
  <si>
    <t>Customer value per early connection</t>
  </si>
  <si>
    <t>Cost to customer of delays in new connections</t>
  </si>
  <si>
    <t>Forecast av. new connection growth</t>
  </si>
  <si>
    <t>% of connections delivered 1 day earlier</t>
  </si>
  <si>
    <t>Customer value per connection</t>
  </si>
  <si>
    <t>Unit used for risk calculations</t>
  </si>
  <si>
    <t>Value used for risk calculations</t>
  </si>
  <si>
    <t>2021/22</t>
  </si>
  <si>
    <t>2020/21</t>
  </si>
  <si>
    <t>2019/20</t>
  </si>
  <si>
    <t>Cost to customer of delays in restoring supply after forced outage (addition USE @ VCR)</t>
  </si>
  <si>
    <t>Average interruption cost per customer</t>
  </si>
  <si>
    <t>Total number of customers in 2024</t>
  </si>
  <si>
    <t>Outages</t>
  </si>
  <si>
    <t>Weighted average interruption cost</t>
  </si>
  <si>
    <t>$ 2024</t>
  </si>
  <si>
    <t>% cost of reduced capacity</t>
  </si>
  <si>
    <t>Additional cost of sourcing material off-site</t>
  </si>
  <si>
    <t>Staff</t>
  </si>
  <si>
    <t>Average cost per FTE</t>
  </si>
  <si>
    <t>Total field personnel (FTE)</t>
  </si>
  <si>
    <t>Field personnel (FTE)</t>
  </si>
  <si>
    <t>Office staff (FTE)</t>
  </si>
  <si>
    <t>Average cost per FTE p.a.</t>
  </si>
  <si>
    <t>Productivity loss</t>
  </si>
  <si>
    <t>Deterioration in productivity p.a.</t>
  </si>
  <si>
    <t>Increased outage time due to inadequate depot capacity</t>
  </si>
  <si>
    <t>Productivity loss as at 2024</t>
  </si>
  <si>
    <t>Annual lease cost</t>
  </si>
  <si>
    <t xml:space="preserve">Off-site storage </t>
  </si>
  <si>
    <t>Lease cost for off-site storage</t>
  </si>
  <si>
    <t>Reduced office productivity</t>
  </si>
  <si>
    <t>Reduced field productivity</t>
  </si>
  <si>
    <t>Productivity lost due to sourcing materials off-site in 2024</t>
  </si>
  <si>
    <t>Total office personnel (FTE)</t>
  </si>
  <si>
    <t>Productivity lost as at 2024 in office due to substandard facilities and inadequate capacity</t>
  </si>
  <si>
    <t>Productivity lost as at 2024 in field due to substandard depot facilities</t>
  </si>
  <si>
    <t>Death or serious injury caused by structural failure</t>
  </si>
  <si>
    <t>Safety</t>
  </si>
  <si>
    <t>Value of statistical life</t>
  </si>
  <si>
    <t>Disproportionality factor</t>
  </si>
  <si>
    <t>Increase in likelihood of minor structural failure</t>
  </si>
  <si>
    <t>Clean-up cost after major structural failure</t>
  </si>
  <si>
    <t>Clean-up cost after minor structural failure</t>
  </si>
  <si>
    <t>Probability of major structural failure p.a.</t>
  </si>
  <si>
    <t>Value of statistical life ($ 000)</t>
  </si>
  <si>
    <t>Annual major failure probability</t>
  </si>
  <si>
    <t>Clean-up cost after major failure ($000)</t>
  </si>
  <si>
    <t>Clean-up cost after minor failure ($000) per annum</t>
  </si>
  <si>
    <t>Escalation of minor failure cost with age per annum</t>
  </si>
  <si>
    <t>Risk of death or serious injury</t>
  </si>
  <si>
    <t>Restoration after major structural failure</t>
  </si>
  <si>
    <t>Restoration after minor structural failure</t>
  </si>
  <si>
    <t>Death or serious injury due to movement of vehicles in confined space</t>
  </si>
  <si>
    <t>Annual probability of incident</t>
  </si>
  <si>
    <t>Repair cost after incident</t>
  </si>
  <si>
    <t>Repair cost after vehicle incident in confined space</t>
  </si>
  <si>
    <t>Probability of incident involving vehicle in confined space</t>
  </si>
  <si>
    <t>Depot security</t>
  </si>
  <si>
    <t>Damage to equipment</t>
  </si>
  <si>
    <t>Cost of public enquiries, emergency services</t>
  </si>
  <si>
    <t>Total number of sites at risk</t>
  </si>
  <si>
    <t>Annual probability of incident per site</t>
  </si>
  <si>
    <t>Property</t>
  </si>
  <si>
    <t>Security</t>
  </si>
  <si>
    <t>Probability of unauthorised entry leading to death or serious injury</t>
  </si>
  <si>
    <t>Annual number of incidents of theft</t>
  </si>
  <si>
    <t>Average loss per theft</t>
  </si>
  <si>
    <t>Cost of damage due to serious incident resulting from unauthorised entry</t>
  </si>
  <si>
    <t>Cost of public inquiries and emergency services</t>
  </si>
  <si>
    <t>Cost of public enquiries and emergency services</t>
  </si>
  <si>
    <t>Number of depot sites at risk</t>
  </si>
  <si>
    <t>Copper theft</t>
  </si>
  <si>
    <t>Annual number of theft incidents</t>
  </si>
  <si>
    <t>Average loss per incident</t>
  </si>
  <si>
    <t>Death or serious injury due to external storage of EWP</t>
  </si>
  <si>
    <t>EWP storage</t>
  </si>
  <si>
    <t>Probability of serious incident as a result of external storage of EWPs</t>
  </si>
  <si>
    <t>Repair cost after serious incident</t>
  </si>
  <si>
    <t>Volume of EWPs stored without cover</t>
  </si>
  <si>
    <t>Annual service and maintenance cost savings of undercover EWP storage</t>
  </si>
  <si>
    <t>Average EWP cost</t>
  </si>
  <si>
    <t>Average asset life when stored undercover</t>
  </si>
  <si>
    <t>Average asset life when stored without cover</t>
  </si>
  <si>
    <t>years</t>
  </si>
  <si>
    <t>Additional maintenance costs due to external EWP storage</t>
  </si>
  <si>
    <t>Annual savings of undercover EWP storage</t>
  </si>
  <si>
    <t>Cost of reduced asset life of EWPs stored without cover</t>
  </si>
  <si>
    <t>Productivity reduction</t>
  </si>
  <si>
    <t>Reduced office productivity during disruption</t>
  </si>
  <si>
    <t>Reduced field productivity during disruption</t>
  </si>
  <si>
    <t>Productivity loss during depot redevelopment</t>
  </si>
  <si>
    <t>Productivity loss due to suboptimal depot location</t>
  </si>
  <si>
    <t>Increased outage time due to inadequate depot storage</t>
  </si>
  <si>
    <t>Increased outage time due to suboptimal depot location</t>
  </si>
  <si>
    <t>Cost to customer of delays in restoring supply after forced outage</t>
  </si>
  <si>
    <t>Lower reliability performance due to depot location</t>
  </si>
  <si>
    <t>New connections in 2024</t>
  </si>
  <si>
    <t>Forecast new connection growth</t>
  </si>
  <si>
    <t>Avoidable outage time due to depot location</t>
  </si>
  <si>
    <t>Reduced field productivity due to suboptimal depot location</t>
  </si>
  <si>
    <t>NPV</t>
  </si>
  <si>
    <t>Options summary</t>
  </si>
  <si>
    <t>Options Analysis</t>
  </si>
  <si>
    <t>Costs</t>
  </si>
  <si>
    <t>Capex</t>
  </si>
  <si>
    <t>Risks avoided</t>
  </si>
  <si>
    <t>PV costs</t>
  </si>
  <si>
    <t>PV benefits</t>
  </si>
  <si>
    <t>Additional costs</t>
  </si>
  <si>
    <t>Total costs</t>
  </si>
  <si>
    <t>Total benefits</t>
  </si>
  <si>
    <t>Benefits/Risks avoided</t>
  </si>
  <si>
    <t>PV Costs</t>
  </si>
  <si>
    <t>PV Benefits</t>
  </si>
  <si>
    <t>Preferred Option</t>
  </si>
  <si>
    <t>PV of benefits</t>
  </si>
  <si>
    <t>Sensitivity</t>
  </si>
  <si>
    <t>NPV (sensitivity)</t>
  </si>
  <si>
    <t>Shift values:</t>
  </si>
  <si>
    <t>PV of Costs</t>
  </si>
  <si>
    <t>Regulatory proposal 2026-31</t>
  </si>
  <si>
    <t>Model number:</t>
  </si>
  <si>
    <t>$ 2022</t>
  </si>
  <si>
    <t>CPI Lagged conversion to June 24</t>
  </si>
  <si>
    <t>CPI Lagged conversion to June 26</t>
  </si>
  <si>
    <t>Restoration after incident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</si>
</sst>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"/>
    <numFmt numFmtId="165" formatCode="_-* #,##0_-;\-* #,##0_-;_-* &quot;-&quot;??_-;_-@_-"/>
    <numFmt numFmtId="166" formatCode="0.0000"/>
    <numFmt numFmtId="167" formatCode="&quot;$&quot;\ mmmm\ yyyy"/>
    <numFmt numFmtId="168" formatCode="#,##0.00_ ;[Red]\-#,##0.00\ "/>
    <numFmt numFmtId="169" formatCode="#,##0_ ;[Red]\-#,##0\ "/>
    <numFmt numFmtId="170" formatCode="#,##0.0"/>
    <numFmt numFmtId="171" formatCode="#,##0.00\ ;[Red]\(#,##0.00\);\-"/>
    <numFmt numFmtId="172" formatCode="dd\ mmmm\ yyyy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FF"/>
      <name val="Calibri"/>
      <family val="2"/>
    </font>
    <font>
      <b/>
      <sz val="12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color rgb="FF0066FF"/>
      <name val="Calibri"/>
      <family val="2"/>
    </font>
    <font>
      <i/>
      <sz val="8"/>
      <color theme="0" tint="-0.34998626667073579"/>
      <name val="Calibri"/>
      <family val="2"/>
    </font>
    <font>
      <b/>
      <i/>
      <sz val="10"/>
      <color theme="0" tint="-0.34998626667073579"/>
      <name val="Calibri"/>
      <family val="2"/>
    </font>
    <font>
      <i/>
      <sz val="10"/>
      <color theme="0" tint="-0.34998626667073579"/>
      <name val="Calibri"/>
      <family val="2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5" fillId="0" borderId="0"/>
  </cellStyleXfs>
  <cellXfs count="158">
    <xf numFmtId="0" fontId="0" fillId="0" borderId="0" xfId="0"/>
    <xf numFmtId="0" fontId="3" fillId="2" borderId="0" xfId="2" applyFont="1" applyFill="1" applyAlignment="1">
      <alignment horizontal="right"/>
    </xf>
    <xf numFmtId="10" fontId="4" fillId="3" borderId="1" xfId="3" applyNumberFormat="1" applyFont="1" applyFill="1" applyBorder="1" applyAlignment="1">
      <alignment horizontal="left"/>
    </xf>
    <xf numFmtId="0" fontId="0" fillId="0" borderId="0" xfId="2" applyFont="1"/>
    <xf numFmtId="10" fontId="5" fillId="2" borderId="0" xfId="2" applyNumberFormat="1" applyFont="1" applyFill="1"/>
    <xf numFmtId="0" fontId="5" fillId="2" borderId="0" xfId="2" applyFont="1" applyFill="1"/>
    <xf numFmtId="10" fontId="4" fillId="4" borderId="1" xfId="3" applyNumberFormat="1" applyFont="1" applyFill="1" applyBorder="1" applyAlignment="1">
      <alignment horizontal="left"/>
    </xf>
    <xf numFmtId="0" fontId="6" fillId="2" borderId="0" xfId="2" applyFont="1" applyFill="1"/>
    <xf numFmtId="0" fontId="7" fillId="2" borderId="0" xfId="2" applyFont="1" applyFill="1"/>
    <xf numFmtId="0" fontId="8" fillId="5" borderId="1" xfId="2" applyFont="1" applyFill="1" applyBorder="1" applyAlignment="1">
      <alignment horizontal="left"/>
    </xf>
    <xf numFmtId="0" fontId="9" fillId="0" borderId="0" xfId="2" applyFont="1"/>
    <xf numFmtId="0" fontId="11" fillId="0" borderId="0" xfId="4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13" fillId="0" borderId="0" xfId="2" applyFont="1"/>
    <xf numFmtId="10" fontId="14" fillId="3" borderId="3" xfId="3" applyNumberFormat="1" applyFont="1" applyFill="1" applyBorder="1" applyProtection="1">
      <protection locked="0"/>
    </xf>
    <xf numFmtId="10" fontId="14" fillId="3" borderId="3" xfId="3" applyNumberFormat="1" applyFont="1" applyFill="1" applyBorder="1" applyAlignment="1">
      <alignment horizontal="left"/>
    </xf>
    <xf numFmtId="0" fontId="12" fillId="0" borderId="0" xfId="4" applyFont="1" applyAlignment="1">
      <alignment horizontal="right" vertical="center"/>
    </xf>
    <xf numFmtId="0" fontId="13" fillId="0" borderId="0" xfId="5" applyFont="1" applyAlignment="1">
      <alignment horizontal="left"/>
    </xf>
    <xf numFmtId="0" fontId="13" fillId="0" borderId="0" xfId="5" applyFont="1"/>
    <xf numFmtId="10" fontId="14" fillId="4" borderId="3" xfId="6" applyNumberFormat="1" applyFont="1" applyFill="1" applyBorder="1" applyAlignment="1">
      <alignment horizontal="right"/>
    </xf>
    <xf numFmtId="0" fontId="17" fillId="0" borderId="0" xfId="5" applyFont="1"/>
    <xf numFmtId="0" fontId="17" fillId="0" borderId="0" xfId="5" applyFont="1" applyAlignment="1">
      <alignment horizontal="right"/>
    </xf>
    <xf numFmtId="0" fontId="17" fillId="0" borderId="4" xfId="5" applyFont="1" applyBorder="1" applyAlignment="1">
      <alignment horizontal="right"/>
    </xf>
    <xf numFmtId="0" fontId="18" fillId="0" borderId="5" xfId="5" applyFont="1" applyBorder="1" applyAlignment="1">
      <alignment horizontal="left"/>
    </xf>
    <xf numFmtId="0" fontId="8" fillId="0" borderId="5" xfId="5" applyFont="1" applyBorder="1"/>
    <xf numFmtId="0" fontId="19" fillId="0" borderId="5" xfId="5" applyFont="1" applyBorder="1"/>
    <xf numFmtId="0" fontId="18" fillId="0" borderId="5" xfId="5" applyFont="1" applyBorder="1" applyAlignment="1">
      <alignment horizontal="right"/>
    </xf>
    <xf numFmtId="10" fontId="18" fillId="0" borderId="0" xfId="6" applyNumberFormat="1" applyFont="1"/>
    <xf numFmtId="0" fontId="15" fillId="0" borderId="0" xfId="5"/>
    <xf numFmtId="10" fontId="4" fillId="0" borderId="0" xfId="6" applyNumberFormat="1" applyFont="1"/>
    <xf numFmtId="0" fontId="20" fillId="0" borderId="0" xfId="5" applyFont="1"/>
    <xf numFmtId="164" fontId="13" fillId="0" borderId="3" xfId="5" applyNumberFormat="1" applyFont="1" applyBorder="1"/>
    <xf numFmtId="0" fontId="3" fillId="2" borderId="0" xfId="2" applyFont="1" applyFill="1"/>
    <xf numFmtId="0" fontId="17" fillId="6" borderId="0" xfId="5" applyFont="1" applyFill="1" applyAlignment="1">
      <alignment horizontal="left"/>
    </xf>
    <xf numFmtId="0" fontId="15" fillId="6" borderId="0" xfId="5" applyFill="1"/>
    <xf numFmtId="165" fontId="0" fillId="6" borderId="0" xfId="9" applyNumberFormat="1" applyFont="1" applyFill="1"/>
    <xf numFmtId="10" fontId="17" fillId="0" borderId="4" xfId="5" applyNumberFormat="1" applyFont="1" applyBorder="1" applyProtection="1">
      <protection locked="0"/>
    </xf>
    <xf numFmtId="0" fontId="15" fillId="0" borderId="4" xfId="5" applyBorder="1"/>
    <xf numFmtId="0" fontId="17" fillId="0" borderId="4" xfId="5" applyFont="1" applyBorder="1"/>
    <xf numFmtId="0" fontId="17" fillId="0" borderId="4" xfId="5" applyFont="1" applyBorder="1" applyAlignment="1">
      <alignment horizontal="left"/>
    </xf>
    <xf numFmtId="0" fontId="17" fillId="0" borderId="4" xfId="5" applyFont="1" applyBorder="1" applyAlignment="1">
      <alignment horizontal="center"/>
    </xf>
    <xf numFmtId="0" fontId="21" fillId="0" borderId="0" xfId="5" applyFont="1"/>
    <xf numFmtId="165" fontId="15" fillId="0" borderId="0" xfId="5" applyNumberFormat="1"/>
    <xf numFmtId="9" fontId="15" fillId="3" borderId="0" xfId="5" applyNumberFormat="1" applyFill="1" applyProtection="1">
      <protection locked="0"/>
    </xf>
    <xf numFmtId="9" fontId="15" fillId="0" borderId="0" xfId="5" applyNumberFormat="1"/>
    <xf numFmtId="165" fontId="0" fillId="3" borderId="0" xfId="9" applyNumberFormat="1" applyFont="1" applyFill="1" applyProtection="1">
      <protection locked="0"/>
    </xf>
    <xf numFmtId="165" fontId="15" fillId="0" borderId="0" xfId="5" applyNumberFormat="1" applyAlignment="1">
      <alignment horizontal="right"/>
    </xf>
    <xf numFmtId="0" fontId="15" fillId="7" borderId="0" xfId="5" applyFill="1"/>
    <xf numFmtId="0" fontId="21" fillId="0" borderId="4" xfId="5" applyFont="1" applyBorder="1"/>
    <xf numFmtId="0" fontId="22" fillId="0" borderId="0" xfId="5" applyFont="1"/>
    <xf numFmtId="165" fontId="17" fillId="0" borderId="5" xfId="9" applyNumberFormat="1" applyFont="1" applyBorder="1"/>
    <xf numFmtId="165" fontId="17" fillId="0" borderId="5" xfId="5" applyNumberFormat="1" applyFont="1" applyBorder="1" applyAlignment="1">
      <alignment horizontal="right"/>
    </xf>
    <xf numFmtId="165" fontId="17" fillId="0" borderId="0" xfId="9" applyNumberFormat="1" applyFont="1"/>
    <xf numFmtId="165" fontId="17" fillId="0" borderId="0" xfId="5" applyNumberFormat="1" applyFont="1" applyAlignment="1">
      <alignment horizontal="right"/>
    </xf>
    <xf numFmtId="165" fontId="0" fillId="0" borderId="0" xfId="9" applyNumberFormat="1" applyFont="1"/>
    <xf numFmtId="0" fontId="23" fillId="0" borderId="0" xfId="5" applyFont="1"/>
    <xf numFmtId="0" fontId="17" fillId="0" borderId="5" xfId="5" applyFont="1" applyBorder="1"/>
    <xf numFmtId="0" fontId="15" fillId="0" borderId="5" xfId="5" applyBorder="1"/>
    <xf numFmtId="10" fontId="6" fillId="2" borderId="0" xfId="2" applyNumberFormat="1" applyFont="1" applyFill="1"/>
    <xf numFmtId="167" fontId="14" fillId="3" borderId="3" xfId="6" applyNumberFormat="1" applyFont="1" applyFill="1" applyBorder="1" applyAlignment="1" applyProtection="1">
      <alignment horizontal="right"/>
      <protection locked="0"/>
    </xf>
    <xf numFmtId="0" fontId="24" fillId="0" borderId="0" xfId="4" applyFont="1" applyAlignment="1">
      <alignment horizontal="left" vertical="center"/>
    </xf>
    <xf numFmtId="10" fontId="4" fillId="3" borderId="3" xfId="3" applyNumberFormat="1" applyFont="1" applyFill="1" applyBorder="1" applyAlignment="1">
      <alignment horizontal="left"/>
    </xf>
    <xf numFmtId="0" fontId="8" fillId="5" borderId="3" xfId="2" applyFont="1" applyFill="1" applyBorder="1" applyAlignment="1">
      <alignment horizontal="left"/>
    </xf>
    <xf numFmtId="0" fontId="13" fillId="0" borderId="0" xfId="0" applyFont="1"/>
    <xf numFmtId="0" fontId="25" fillId="0" borderId="0" xfId="0" applyFont="1"/>
    <xf numFmtId="10" fontId="3" fillId="2" borderId="0" xfId="2" applyNumberFormat="1" applyFont="1" applyFill="1"/>
    <xf numFmtId="0" fontId="15" fillId="0" borderId="0" xfId="5" applyFont="1"/>
    <xf numFmtId="10" fontId="26" fillId="2" borderId="0" xfId="2" applyNumberFormat="1" applyFont="1" applyFill="1"/>
    <xf numFmtId="0" fontId="26" fillId="2" borderId="0" xfId="2" applyFont="1" applyFill="1"/>
    <xf numFmtId="0" fontId="16" fillId="0" borderId="4" xfId="0" applyFont="1" applyBorder="1"/>
    <xf numFmtId="0" fontId="16" fillId="0" borderId="4" xfId="0" applyFont="1" applyBorder="1" applyAlignment="1">
      <alignment wrapText="1"/>
    </xf>
    <xf numFmtId="0" fontId="16" fillId="0" borderId="0" xfId="0" applyFont="1"/>
    <xf numFmtId="10" fontId="18" fillId="3" borderId="3" xfId="3" applyNumberFormat="1" applyFont="1" applyFill="1" applyBorder="1" applyAlignment="1">
      <alignment horizontal="left"/>
    </xf>
    <xf numFmtId="10" fontId="18" fillId="3" borderId="3" xfId="3" applyNumberFormat="1" applyFont="1" applyFill="1" applyBorder="1" applyAlignment="1">
      <alignment horizontal="center"/>
    </xf>
    <xf numFmtId="3" fontId="18" fillId="3" borderId="3" xfId="3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10" fontId="18" fillId="3" borderId="3" xfId="3" applyNumberFormat="1" applyFont="1" applyFill="1" applyBorder="1" applyAlignment="1">
      <alignment horizontal="right"/>
    </xf>
    <xf numFmtId="49" fontId="18" fillId="3" borderId="3" xfId="3" applyNumberFormat="1" applyFont="1" applyFill="1" applyBorder="1" applyAlignment="1">
      <alignment horizontal="center"/>
    </xf>
    <xf numFmtId="10" fontId="17" fillId="8" borderId="4" xfId="5" applyNumberFormat="1" applyFont="1" applyFill="1" applyBorder="1" applyProtection="1">
      <protection locked="0"/>
    </xf>
    <xf numFmtId="0" fontId="17" fillId="8" borderId="4" xfId="5" applyFont="1" applyFill="1" applyBorder="1" applyAlignment="1">
      <alignment horizontal="center"/>
    </xf>
    <xf numFmtId="0" fontId="13" fillId="8" borderId="0" xfId="0" applyFont="1" applyFill="1"/>
    <xf numFmtId="0" fontId="13" fillId="9" borderId="0" xfId="0" applyFont="1" applyFill="1"/>
    <xf numFmtId="0" fontId="16" fillId="9" borderId="0" xfId="0" applyFont="1" applyFill="1"/>
    <xf numFmtId="3" fontId="13" fillId="0" borderId="0" xfId="0" applyNumberFormat="1" applyFont="1"/>
    <xf numFmtId="10" fontId="13" fillId="0" borderId="0" xfId="0" applyNumberFormat="1" applyFont="1"/>
    <xf numFmtId="6" fontId="13" fillId="0" borderId="0" xfId="0" applyNumberFormat="1" applyFont="1"/>
    <xf numFmtId="0" fontId="13" fillId="0" borderId="4" xfId="0" applyFont="1" applyBorder="1"/>
    <xf numFmtId="8" fontId="13" fillId="0" borderId="0" xfId="0" applyNumberFormat="1" applyFont="1"/>
    <xf numFmtId="168" fontId="13" fillId="0" borderId="0" xfId="0" applyNumberFormat="1" applyFont="1"/>
    <xf numFmtId="10" fontId="13" fillId="0" borderId="0" xfId="1" applyNumberFormat="1" applyFont="1"/>
    <xf numFmtId="0" fontId="17" fillId="0" borderId="0" xfId="5" applyFont="1" applyBorder="1" applyAlignment="1">
      <alignment horizontal="right"/>
    </xf>
    <xf numFmtId="0" fontId="18" fillId="0" borderId="0" xfId="5" applyFont="1" applyBorder="1" applyAlignment="1">
      <alignment horizontal="left"/>
    </xf>
    <xf numFmtId="0" fontId="8" fillId="0" borderId="0" xfId="5" applyFont="1" applyBorder="1"/>
    <xf numFmtId="0" fontId="19" fillId="0" borderId="0" xfId="5" applyFont="1" applyBorder="1"/>
    <xf numFmtId="0" fontId="18" fillId="0" borderId="0" xfId="5" applyFont="1" applyBorder="1" applyAlignment="1">
      <alignment horizontal="right"/>
    </xf>
    <xf numFmtId="166" fontId="4" fillId="3" borderId="8" xfId="1" applyNumberFormat="1" applyFont="1" applyFill="1" applyBorder="1" applyAlignment="1">
      <alignment horizontal="left"/>
    </xf>
    <xf numFmtId="166" fontId="4" fillId="3" borderId="7" xfId="1" applyNumberFormat="1" applyFont="1" applyFill="1" applyBorder="1" applyAlignment="1">
      <alignment horizontal="left"/>
    </xf>
    <xf numFmtId="1" fontId="13" fillId="0" borderId="0" xfId="0" applyNumberFormat="1" applyFont="1"/>
    <xf numFmtId="1" fontId="18" fillId="3" borderId="3" xfId="3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/>
    </xf>
    <xf numFmtId="10" fontId="13" fillId="0" borderId="0" xfId="0" applyNumberFormat="1" applyFont="1" applyAlignment="1">
      <alignment horizontal="right"/>
    </xf>
    <xf numFmtId="6" fontId="13" fillId="0" borderId="0" xfId="0" applyNumberFormat="1" applyFont="1" applyAlignment="1">
      <alignment horizontal="right"/>
    </xf>
    <xf numFmtId="169" fontId="13" fillId="0" borderId="0" xfId="0" applyNumberFormat="1" applyFont="1"/>
    <xf numFmtId="0" fontId="27" fillId="9" borderId="4" xfId="0" applyFont="1" applyFill="1" applyBorder="1"/>
    <xf numFmtId="169" fontId="28" fillId="9" borderId="0" xfId="0" applyNumberFormat="1" applyFont="1" applyFill="1"/>
    <xf numFmtId="0" fontId="13" fillId="0" borderId="0" xfId="0" applyFont="1" applyBorder="1"/>
    <xf numFmtId="0" fontId="27" fillId="9" borderId="0" xfId="0" applyFont="1" applyFill="1" applyBorder="1"/>
    <xf numFmtId="0" fontId="16" fillId="0" borderId="0" xfId="0" applyFont="1" applyBorder="1"/>
    <xf numFmtId="0" fontId="13" fillId="0" borderId="5" xfId="0" applyFont="1" applyBorder="1"/>
    <xf numFmtId="169" fontId="28" fillId="9" borderId="5" xfId="0" applyNumberFormat="1" applyFont="1" applyFill="1" applyBorder="1"/>
    <xf numFmtId="169" fontId="13" fillId="0" borderId="5" xfId="0" applyNumberFormat="1" applyFont="1" applyBorder="1"/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right"/>
    </xf>
    <xf numFmtId="0" fontId="16" fillId="9" borderId="0" xfId="0" applyFont="1" applyFill="1" applyAlignment="1">
      <alignment horizontal="right"/>
    </xf>
    <xf numFmtId="170" fontId="13" fillId="0" borderId="0" xfId="0" applyNumberFormat="1" applyFont="1"/>
    <xf numFmtId="0" fontId="13" fillId="9" borderId="0" xfId="0" applyFont="1" applyFill="1" applyAlignment="1">
      <alignment horizontal="right"/>
    </xf>
    <xf numFmtId="0" fontId="17" fillId="6" borderId="0" xfId="5" applyFont="1" applyFill="1" applyAlignment="1">
      <alignment horizontal="center"/>
    </xf>
    <xf numFmtId="0" fontId="15" fillId="6" borderId="0" xfId="5" applyFont="1" applyFill="1"/>
    <xf numFmtId="165" fontId="13" fillId="6" borderId="0" xfId="9" applyNumberFormat="1" applyFont="1" applyFill="1"/>
    <xf numFmtId="165" fontId="15" fillId="0" borderId="0" xfId="5" applyNumberFormat="1" applyFont="1"/>
    <xf numFmtId="0" fontId="15" fillId="0" borderId="5" xfId="5" applyFont="1" applyBorder="1"/>
    <xf numFmtId="0" fontId="16" fillId="0" borderId="5" xfId="0" applyFont="1" applyBorder="1"/>
    <xf numFmtId="165" fontId="15" fillId="0" borderId="5" xfId="5" applyNumberFormat="1" applyFont="1" applyBorder="1"/>
    <xf numFmtId="171" fontId="13" fillId="0" borderId="0" xfId="0" applyNumberFormat="1" applyFont="1"/>
    <xf numFmtId="0" fontId="13" fillId="0" borderId="9" xfId="0" applyFont="1" applyBorder="1"/>
    <xf numFmtId="171" fontId="13" fillId="0" borderId="9" xfId="0" applyNumberFormat="1" applyFont="1" applyBorder="1"/>
    <xf numFmtId="0" fontId="16" fillId="0" borderId="10" xfId="0" applyFont="1" applyBorder="1"/>
    <xf numFmtId="168" fontId="13" fillId="0" borderId="10" xfId="0" applyNumberFormat="1" applyFont="1" applyBorder="1"/>
    <xf numFmtId="165" fontId="17" fillId="0" borderId="0" xfId="5" applyNumberFormat="1" applyFont="1"/>
    <xf numFmtId="0" fontId="17" fillId="0" borderId="4" xfId="5" applyFont="1" applyBorder="1" applyAlignment="1">
      <alignment horizontal="center" wrapText="1"/>
    </xf>
    <xf numFmtId="171" fontId="13" fillId="0" borderId="0" xfId="0" applyNumberFormat="1" applyFont="1" applyAlignment="1">
      <alignment horizontal="center"/>
    </xf>
    <xf numFmtId="165" fontId="17" fillId="0" borderId="0" xfId="9" applyNumberFormat="1" applyFont="1" applyBorder="1"/>
    <xf numFmtId="165" fontId="17" fillId="0" borderId="0" xfId="5" applyNumberFormat="1" applyFont="1" applyBorder="1" applyAlignment="1">
      <alignment horizontal="right"/>
    </xf>
    <xf numFmtId="0" fontId="29" fillId="0" borderId="0" xfId="5" applyFont="1"/>
    <xf numFmtId="0" fontId="30" fillId="0" borderId="0" xfId="5" applyFont="1"/>
    <xf numFmtId="165" fontId="30" fillId="0" borderId="0" xfId="9" applyNumberFormat="1" applyFont="1" applyBorder="1"/>
    <xf numFmtId="165" fontId="29" fillId="0" borderId="0" xfId="5" applyNumberFormat="1" applyFont="1" applyBorder="1" applyAlignment="1">
      <alignment horizontal="right"/>
    </xf>
    <xf numFmtId="171" fontId="17" fillId="0" borderId="5" xfId="5" applyNumberFormat="1" applyFont="1" applyBorder="1"/>
    <xf numFmtId="168" fontId="13" fillId="0" borderId="0" xfId="0" applyNumberFormat="1" applyFont="1" applyBorder="1"/>
    <xf numFmtId="171" fontId="13" fillId="0" borderId="4" xfId="0" applyNumberFormat="1" applyFont="1" applyBorder="1"/>
    <xf numFmtId="0" fontId="2" fillId="0" borderId="0" xfId="0" applyFont="1"/>
    <xf numFmtId="0" fontId="1" fillId="10" borderId="0" xfId="10" applyFill="1"/>
    <xf numFmtId="0" fontId="1" fillId="0" borderId="0" xfId="10"/>
    <xf numFmtId="0" fontId="15" fillId="0" borderId="0" xfId="11"/>
    <xf numFmtId="0" fontId="31" fillId="0" borderId="0" xfId="10" applyFont="1"/>
    <xf numFmtId="0" fontId="32" fillId="0" borderId="0" xfId="10" applyFont="1"/>
    <xf numFmtId="0" fontId="33" fillId="0" borderId="0" xfId="10" applyFont="1"/>
    <xf numFmtId="0" fontId="34" fillId="0" borderId="0" xfId="10" applyFont="1"/>
    <xf numFmtId="0" fontId="35" fillId="0" borderId="0" xfId="10" applyFont="1"/>
    <xf numFmtId="166" fontId="35" fillId="0" borderId="0" xfId="10" applyNumberFormat="1" applyFont="1"/>
    <xf numFmtId="0" fontId="36" fillId="0" borderId="0" xfId="10" applyFont="1"/>
    <xf numFmtId="172" fontId="37" fillId="0" borderId="0" xfId="10" applyNumberFormat="1" applyFont="1" applyAlignment="1">
      <alignment horizontal="left"/>
    </xf>
    <xf numFmtId="0" fontId="38" fillId="0" borderId="0" xfId="10" applyFont="1"/>
    <xf numFmtId="9" fontId="4" fillId="3" borderId="1" xfId="3" applyNumberFormat="1" applyFont="1" applyFill="1" applyBorder="1" applyAlignment="1">
      <alignment horizontal="right"/>
    </xf>
    <xf numFmtId="0" fontId="39" fillId="0" borderId="0" xfId="0" applyFont="1"/>
    <xf numFmtId="10" fontId="14" fillId="3" borderId="1" xfId="3" applyNumberFormat="1" applyFont="1" applyFill="1" applyBorder="1" applyAlignment="1">
      <alignment horizontal="left"/>
    </xf>
    <xf numFmtId="10" fontId="14" fillId="3" borderId="6" xfId="3" applyNumberFormat="1" applyFont="1" applyFill="1" applyBorder="1" applyAlignment="1">
      <alignment horizontal="left"/>
    </xf>
    <xf numFmtId="10" fontId="14" fillId="3" borderId="2" xfId="3" applyNumberFormat="1" applyFont="1" applyFill="1" applyBorder="1" applyAlignment="1">
      <alignment horizontal="left"/>
    </xf>
  </cellXfs>
  <cellStyles count="12">
    <cellStyle name="Comma 2" xfId="9" xr:uid="{29ACAF46-E5CF-4863-A971-E0C3E971553D}"/>
    <cellStyle name="Currency 2" xfId="8" xr:uid="{F8A6AF19-DD6A-4C09-9156-2C0AA927DE0D}"/>
    <cellStyle name="Normal" xfId="0" builtinId="0"/>
    <cellStyle name="Normal 2" xfId="11" xr:uid="{A92F35C6-8433-418A-9A57-EE40E7EB37D2}"/>
    <cellStyle name="Normal 2 2" xfId="2" xr:uid="{77D75051-9ABA-4732-B399-D4AE86170AA1}"/>
    <cellStyle name="Normal 2 4" xfId="7" xr:uid="{E8FCC4CC-A52E-497F-8B1F-F3EEB1D9D36B}"/>
    <cellStyle name="Normal 3" xfId="5" xr:uid="{680F6498-641F-4505-A3A8-FF4B1D6795CA}"/>
    <cellStyle name="Normal 3 2" xfId="10" xr:uid="{2383E6CA-E8AF-423E-B0C5-E6B08DF5D966}"/>
    <cellStyle name="Normal 5" xfId="4" xr:uid="{5DDB2C1F-567F-4D59-BF0D-46A1AA7A3C42}"/>
    <cellStyle name="Percent" xfId="1" builtinId="5"/>
    <cellStyle name="Percent 2" xfId="3" xr:uid="{6914CC54-D415-4D22-A3FF-427C7001D9DA}"/>
    <cellStyle name="Percent 3" xfId="6" xr:uid="{369AA32A-AB01-4585-8626-DFAF59E1E513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5D3B5732-839F-4AD5-9D15-EE78350F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C0CB0-5E4B-4609-AE70-14E5B816D331}">
  <sheetPr codeName="Sheet4">
    <tabColor theme="1" tint="0.34998626667073579"/>
  </sheetPr>
  <dimension ref="A1:K43"/>
  <sheetViews>
    <sheetView showGridLines="0" tabSelected="1" workbookViewId="0">
      <selection activeCell="G30" sqref="G30"/>
    </sheetView>
  </sheetViews>
  <sheetFormatPr defaultColWidth="0" defaultRowHeight="13" customHeight="1" zeroHeight="1" x14ac:dyDescent="0.3"/>
  <cols>
    <col min="1" max="1" width="12.81640625" style="143" customWidth="1"/>
    <col min="2" max="2" width="2.54296875" style="143" customWidth="1"/>
    <col min="3" max="3" width="16.81640625" style="143" customWidth="1"/>
    <col min="4" max="11" width="10.6328125" style="143" customWidth="1"/>
    <col min="12" max="16384" width="10.6328125" style="143" hidden="1"/>
  </cols>
  <sheetData>
    <row r="1" spans="1:11" ht="14.5" x14ac:dyDescent="0.35">
      <c r="A1" s="141"/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23" x14ac:dyDescent="0.5">
      <c r="A2" s="141"/>
      <c r="B2" s="142"/>
      <c r="C2" s="144" t="s">
        <v>10</v>
      </c>
      <c r="D2" s="145"/>
      <c r="E2" s="145"/>
      <c r="F2" s="142"/>
      <c r="G2" s="142"/>
      <c r="H2" s="142"/>
      <c r="I2" s="142"/>
      <c r="J2" s="142"/>
      <c r="K2" s="142"/>
    </row>
    <row r="3" spans="1:11" ht="15.5" x14ac:dyDescent="0.35">
      <c r="A3" s="141"/>
      <c r="B3" s="142"/>
      <c r="C3" s="146" t="s">
        <v>218</v>
      </c>
      <c r="D3" s="145"/>
      <c r="E3" s="145"/>
      <c r="F3" s="142"/>
      <c r="G3" s="142"/>
      <c r="H3" s="142"/>
      <c r="I3" s="142"/>
      <c r="J3" s="142"/>
      <c r="K3" s="142"/>
    </row>
    <row r="4" spans="1:11" ht="14.5" x14ac:dyDescent="0.35">
      <c r="A4" s="141"/>
      <c r="B4" s="142"/>
      <c r="C4" s="142"/>
      <c r="D4" s="145"/>
      <c r="E4" s="145"/>
      <c r="F4" s="142"/>
      <c r="G4" s="142"/>
      <c r="H4" s="142"/>
      <c r="I4" s="142"/>
      <c r="J4" s="142"/>
      <c r="K4" s="142"/>
    </row>
    <row r="5" spans="1:11" ht="14.5" x14ac:dyDescent="0.35">
      <c r="A5" s="141"/>
      <c r="B5" s="142"/>
      <c r="C5" s="147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Geelong depot</v>
      </c>
      <c r="D5" s="142"/>
      <c r="E5" s="142"/>
      <c r="F5" s="142"/>
      <c r="G5" s="142"/>
      <c r="H5" s="142"/>
      <c r="I5" s="142"/>
      <c r="J5" s="142"/>
      <c r="K5" s="142"/>
    </row>
    <row r="6" spans="1:11" ht="14.5" x14ac:dyDescent="0.35">
      <c r="A6" s="141"/>
      <c r="B6" s="142"/>
      <c r="C6" s="148" t="s">
        <v>219</v>
      </c>
      <c r="D6" s="149" t="str" cm="1">
        <f t="array" aca="1" ref="D6" ca="1">LEFT(_xlfn.TEXTAFTER(CELL("filename")," MOD "),FIND(" - ",_xlfn.TEXTAFTER(CELL("filename")," MOD "),1)-1)</f>
        <v>8.03</v>
      </c>
      <c r="E6" s="148"/>
      <c r="F6" s="142"/>
      <c r="G6" s="142"/>
      <c r="H6" s="142"/>
      <c r="I6" s="142"/>
      <c r="J6" s="142"/>
      <c r="K6" s="142"/>
    </row>
    <row r="7" spans="1:11" ht="14.5" x14ac:dyDescent="0.35">
      <c r="A7" s="141"/>
      <c r="B7" s="142"/>
      <c r="C7" s="142"/>
      <c r="D7" s="142"/>
      <c r="E7" s="142"/>
      <c r="F7" s="150"/>
      <c r="G7" s="150"/>
      <c r="H7" s="150"/>
      <c r="I7" s="142"/>
      <c r="J7" s="150"/>
      <c r="K7" s="150"/>
    </row>
    <row r="8" spans="1:11" ht="14.5" x14ac:dyDescent="0.35">
      <c r="A8" s="141"/>
      <c r="B8" s="142"/>
      <c r="C8" s="151">
        <v>45688</v>
      </c>
      <c r="D8" s="142"/>
      <c r="E8" s="142"/>
      <c r="F8" s="150"/>
      <c r="G8" s="150"/>
      <c r="H8" s="150"/>
      <c r="I8" s="142"/>
      <c r="J8" s="150"/>
      <c r="K8" s="150"/>
    </row>
    <row r="9" spans="1:11" ht="14.5" x14ac:dyDescent="0.35">
      <c r="A9" s="141"/>
      <c r="B9" s="142"/>
      <c r="C9" s="152"/>
      <c r="D9" s="152"/>
      <c r="E9" s="142"/>
      <c r="F9" s="150"/>
      <c r="G9" s="150"/>
      <c r="H9" s="150"/>
      <c r="I9" s="150"/>
      <c r="J9" s="150"/>
      <c r="K9" s="150"/>
    </row>
    <row r="10" spans="1:11" ht="14.5" x14ac:dyDescent="0.35">
      <c r="A10" s="141"/>
      <c r="B10" s="142"/>
      <c r="C10" s="152"/>
      <c r="D10" s="152"/>
      <c r="E10" s="142"/>
      <c r="F10" s="150"/>
      <c r="G10" s="150"/>
      <c r="H10" s="150"/>
      <c r="I10" s="150"/>
      <c r="J10" s="150"/>
      <c r="K10" s="150"/>
    </row>
    <row r="11" spans="1:11" ht="14.5" x14ac:dyDescent="0.35">
      <c r="A11" s="141"/>
      <c r="B11" s="142"/>
      <c r="C11" s="152"/>
      <c r="D11" s="152"/>
      <c r="E11" s="142"/>
      <c r="F11" s="150"/>
      <c r="G11" s="150"/>
      <c r="H11" s="150"/>
      <c r="I11" s="150"/>
      <c r="J11" s="150"/>
      <c r="K11" s="150"/>
    </row>
    <row r="12" spans="1:11" ht="14.5" x14ac:dyDescent="0.35">
      <c r="A12" s="141"/>
      <c r="B12" s="142"/>
      <c r="C12" s="152"/>
      <c r="D12" s="152"/>
      <c r="E12" s="142"/>
      <c r="F12" s="150"/>
      <c r="G12" s="150"/>
      <c r="H12" s="150"/>
      <c r="I12" s="150"/>
      <c r="J12" s="150"/>
      <c r="K12" s="150"/>
    </row>
    <row r="13" spans="1:11" ht="14.5" x14ac:dyDescent="0.35">
      <c r="A13" s="141"/>
      <c r="B13" s="142"/>
      <c r="C13" s="152"/>
      <c r="D13" s="152"/>
      <c r="E13" s="142"/>
      <c r="F13" s="150"/>
      <c r="G13" s="150"/>
      <c r="H13" s="150"/>
      <c r="I13" s="150"/>
      <c r="J13" s="150"/>
      <c r="K13" s="150"/>
    </row>
    <row r="14" spans="1:11" ht="14.5" x14ac:dyDescent="0.35">
      <c r="A14" s="141"/>
      <c r="B14" s="142"/>
      <c r="C14" s="150"/>
      <c r="D14" s="150"/>
      <c r="E14" s="150"/>
      <c r="F14" s="150"/>
      <c r="G14" s="150"/>
      <c r="H14" s="150"/>
      <c r="I14" s="150"/>
      <c r="J14" s="150"/>
      <c r="K14" s="150"/>
    </row>
    <row r="15" spans="1:11" ht="14.5" x14ac:dyDescent="0.35">
      <c r="A15" s="141"/>
      <c r="B15" s="142"/>
      <c r="C15" s="147"/>
      <c r="D15" s="150"/>
      <c r="E15" s="150"/>
      <c r="F15" s="150"/>
      <c r="G15" s="150"/>
      <c r="H15" s="150"/>
      <c r="I15" s="150"/>
      <c r="J15" s="150"/>
      <c r="K15" s="150"/>
    </row>
    <row r="16" spans="1:11" ht="14.5" x14ac:dyDescent="0.35">
      <c r="A16" s="141"/>
      <c r="B16" s="142"/>
      <c r="C16" s="147"/>
      <c r="D16" s="150"/>
      <c r="E16" s="150"/>
      <c r="F16" s="150"/>
      <c r="G16" s="150"/>
      <c r="H16" s="150"/>
      <c r="I16" s="150"/>
      <c r="J16" s="150"/>
      <c r="K16" s="150"/>
    </row>
    <row r="17" spans="1:11" ht="14.5" x14ac:dyDescent="0.35">
      <c r="A17" s="141"/>
      <c r="B17" s="142"/>
      <c r="C17" s="150"/>
      <c r="D17" s="150"/>
      <c r="E17" s="150"/>
      <c r="F17" s="150"/>
      <c r="G17" s="150"/>
      <c r="H17" s="150"/>
      <c r="I17" s="150"/>
      <c r="J17" s="150"/>
      <c r="K17" s="150"/>
    </row>
    <row r="18" spans="1:11" ht="14.5" x14ac:dyDescent="0.35">
      <c r="A18" s="141"/>
      <c r="B18" s="142"/>
      <c r="C18" s="150"/>
      <c r="D18" s="150"/>
      <c r="E18" s="150"/>
      <c r="F18" s="150"/>
      <c r="G18" s="150"/>
      <c r="H18" s="150"/>
      <c r="I18" s="150"/>
      <c r="J18" s="150"/>
      <c r="K18" s="150"/>
    </row>
    <row r="19" spans="1:11" ht="14.5" x14ac:dyDescent="0.35">
      <c r="A19" s="141"/>
      <c r="B19" s="142"/>
      <c r="C19" s="150"/>
      <c r="D19" s="150"/>
      <c r="E19" s="150"/>
      <c r="F19" s="150"/>
      <c r="H19" s="150"/>
      <c r="I19" s="150"/>
      <c r="J19" s="150"/>
      <c r="K19" s="150"/>
    </row>
    <row r="20" spans="1:11" ht="14.5" x14ac:dyDescent="0.35">
      <c r="A20" s="141"/>
      <c r="B20" s="142"/>
      <c r="C20" s="150"/>
      <c r="D20" s="150"/>
      <c r="E20" s="150"/>
      <c r="F20" s="150"/>
      <c r="G20" s="150"/>
      <c r="H20" s="150"/>
      <c r="I20" s="150"/>
      <c r="J20" s="150"/>
      <c r="K20" s="150"/>
    </row>
    <row r="21" spans="1:11" ht="14.5" x14ac:dyDescent="0.35">
      <c r="A21" s="141"/>
      <c r="B21" s="142"/>
      <c r="C21" s="150"/>
      <c r="D21" s="150"/>
      <c r="E21" s="150"/>
      <c r="F21" s="150"/>
      <c r="G21" s="150"/>
      <c r="H21" s="150"/>
      <c r="I21" s="150"/>
      <c r="J21" s="150"/>
      <c r="K21" s="150"/>
    </row>
    <row r="22" spans="1:11" ht="14.5" x14ac:dyDescent="0.35">
      <c r="A22" s="141"/>
      <c r="B22" s="142"/>
      <c r="C22" s="150"/>
      <c r="D22" s="150"/>
      <c r="E22" s="150"/>
      <c r="F22" s="150"/>
      <c r="G22" s="150"/>
      <c r="H22" s="150"/>
      <c r="I22" s="150"/>
      <c r="J22" s="150"/>
      <c r="K22" s="150"/>
    </row>
    <row r="23" spans="1:11" ht="14.5" x14ac:dyDescent="0.35">
      <c r="A23" s="141"/>
      <c r="B23" s="142"/>
      <c r="C23" s="150"/>
      <c r="D23" s="150"/>
      <c r="E23" s="150"/>
      <c r="F23" s="150"/>
      <c r="G23" s="150"/>
      <c r="H23" s="150"/>
      <c r="I23" s="150"/>
      <c r="J23" s="150"/>
      <c r="K23" s="150"/>
    </row>
    <row r="24" spans="1:11" ht="14.5" x14ac:dyDescent="0.35">
      <c r="A24" s="141"/>
      <c r="B24" s="142"/>
      <c r="C24" s="150"/>
      <c r="D24" s="150"/>
      <c r="E24" s="150"/>
      <c r="F24" s="150"/>
      <c r="G24" s="150"/>
      <c r="H24" s="150"/>
      <c r="I24" s="150"/>
      <c r="J24" s="150"/>
      <c r="K24" s="150"/>
    </row>
    <row r="25" spans="1:11" ht="14.5" x14ac:dyDescent="0.35">
      <c r="A25" s="141"/>
      <c r="B25" s="142"/>
      <c r="C25" s="150"/>
      <c r="D25" s="150"/>
      <c r="E25" s="150"/>
      <c r="F25" s="150"/>
      <c r="G25" s="150"/>
      <c r="H25" s="150"/>
      <c r="I25" s="150"/>
      <c r="J25" s="150"/>
      <c r="K25" s="150"/>
    </row>
    <row r="26" spans="1:11" ht="14.5" x14ac:dyDescent="0.35">
      <c r="A26" s="141"/>
      <c r="B26" s="142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1:11" ht="14.5" x14ac:dyDescent="0.35">
      <c r="A27" s="141"/>
      <c r="B27" s="142"/>
      <c r="C27" s="150"/>
      <c r="D27" s="150"/>
      <c r="E27" s="150"/>
      <c r="F27" s="150"/>
      <c r="G27" s="150"/>
      <c r="H27" s="150"/>
      <c r="I27" s="150"/>
      <c r="J27" s="150"/>
      <c r="K27" s="150"/>
    </row>
    <row r="28" spans="1:11" ht="14.5" x14ac:dyDescent="0.35">
      <c r="A28" s="141"/>
      <c r="B28" s="142"/>
      <c r="C28" s="150"/>
      <c r="D28" s="150"/>
      <c r="E28" s="150"/>
      <c r="F28" s="150"/>
      <c r="G28" s="150"/>
      <c r="H28" s="150"/>
      <c r="I28" s="150"/>
      <c r="J28" s="150"/>
      <c r="K28" s="150"/>
    </row>
    <row r="29" spans="1:11" ht="14.5" x14ac:dyDescent="0.35">
      <c r="A29" s="141"/>
      <c r="B29" s="142"/>
      <c r="C29" s="150"/>
      <c r="D29" s="150"/>
      <c r="E29" s="150"/>
      <c r="F29" s="150"/>
      <c r="G29" s="150"/>
      <c r="H29" s="150"/>
      <c r="I29" s="150"/>
      <c r="J29" s="150"/>
      <c r="K29" s="150"/>
    </row>
    <row r="30" spans="1:11" ht="14.5" x14ac:dyDescent="0.35">
      <c r="A30" s="141"/>
      <c r="B30" s="142"/>
      <c r="C30" s="150"/>
      <c r="D30" s="142"/>
      <c r="E30" s="150"/>
      <c r="F30" s="150"/>
      <c r="G30" s="150"/>
      <c r="H30" s="150"/>
      <c r="I30" s="150"/>
      <c r="J30" s="150"/>
      <c r="K30" s="150"/>
    </row>
    <row r="31" spans="1:11" ht="14.5" x14ac:dyDescent="0.35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42"/>
    </row>
    <row r="32" spans="1:11" ht="14.5" x14ac:dyDescent="0.35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42"/>
    </row>
    <row r="33" spans="1:11" ht="14.5" x14ac:dyDescent="0.35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42"/>
    </row>
    <row r="34" spans="1:11" ht="14.5" x14ac:dyDescent="0.35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42"/>
    </row>
    <row r="35" spans="1:11" ht="14.5" x14ac:dyDescent="0.35">
      <c r="A35" s="141"/>
      <c r="B35" s="142"/>
      <c r="C35" s="142"/>
      <c r="D35" s="142"/>
      <c r="E35" s="142"/>
      <c r="F35" s="142"/>
      <c r="G35" s="142"/>
      <c r="H35" s="142"/>
      <c r="I35" s="142"/>
      <c r="J35" s="142"/>
      <c r="K35" s="142"/>
    </row>
    <row r="36" spans="1:11" ht="14.5" x14ac:dyDescent="0.35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42"/>
    </row>
    <row r="37" spans="1:11" ht="14.5" x14ac:dyDescent="0.35">
      <c r="A37" s="141"/>
      <c r="B37" s="142"/>
      <c r="C37" s="142"/>
      <c r="D37" s="142"/>
      <c r="E37" s="142"/>
      <c r="F37" s="142"/>
      <c r="G37" s="142"/>
      <c r="H37" s="142"/>
      <c r="I37" s="142"/>
      <c r="J37" s="142"/>
      <c r="K37" s="142"/>
    </row>
    <row r="38" spans="1:11" ht="14.5" x14ac:dyDescent="0.35">
      <c r="A38" s="141"/>
      <c r="B38" s="142"/>
      <c r="C38" s="142"/>
      <c r="D38" s="142"/>
      <c r="E38" s="142"/>
      <c r="F38" s="142"/>
      <c r="G38" s="142"/>
      <c r="H38" s="142"/>
      <c r="I38" s="142"/>
      <c r="J38" s="142"/>
      <c r="K38" s="142"/>
    </row>
    <row r="39" spans="1:11" ht="14.5" x14ac:dyDescent="0.35">
      <c r="A39" s="141"/>
      <c r="B39" s="142"/>
      <c r="C39" s="142"/>
      <c r="D39" s="142"/>
      <c r="E39" s="142"/>
      <c r="F39" s="142"/>
      <c r="G39" s="142"/>
      <c r="H39" s="142"/>
      <c r="I39" s="142"/>
      <c r="J39" s="142"/>
      <c r="K39" s="142"/>
    </row>
    <row r="40" spans="1:11" ht="14.5" x14ac:dyDescent="0.35">
      <c r="A40" s="141"/>
      <c r="B40" s="142"/>
      <c r="C40" s="142"/>
      <c r="D40" s="142"/>
      <c r="E40" s="142"/>
      <c r="F40" s="142"/>
      <c r="G40" s="142"/>
      <c r="H40" s="142"/>
      <c r="I40" s="142"/>
      <c r="J40" s="142"/>
      <c r="K40" s="142"/>
    </row>
    <row r="41" spans="1:11" ht="14.5" x14ac:dyDescent="0.35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</row>
    <row r="42" spans="1:11" ht="14.5" x14ac:dyDescent="0.35">
      <c r="A42" s="141"/>
      <c r="B42" s="142"/>
      <c r="C42" s="142"/>
      <c r="D42" s="142"/>
      <c r="E42" s="142"/>
      <c r="F42" s="142"/>
      <c r="G42" s="142"/>
      <c r="H42" s="142"/>
      <c r="I42" s="142"/>
      <c r="J42" s="142"/>
      <c r="K42" s="142"/>
    </row>
    <row r="43" spans="1:11" ht="14.5" x14ac:dyDescent="0.35">
      <c r="A43" s="141"/>
      <c r="B43" s="142"/>
      <c r="C43" s="142"/>
      <c r="D43" s="142"/>
      <c r="E43" s="142"/>
      <c r="F43" s="142"/>
      <c r="G43" s="142"/>
      <c r="H43" s="142"/>
      <c r="I43" s="142"/>
      <c r="J43" s="142"/>
      <c r="K43" s="142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F5C3-6A06-4993-8B73-7312427BC8EE}">
  <sheetPr codeName="Sheet5"/>
  <dimension ref="A1:J43"/>
  <sheetViews>
    <sheetView showGridLines="0" workbookViewId="0">
      <selection activeCell="B29" sqref="B29"/>
    </sheetView>
  </sheetViews>
  <sheetFormatPr defaultRowHeight="14.5" x14ac:dyDescent="0.35"/>
  <cols>
    <col min="2" max="2" width="31.1796875" bestFit="1" customWidth="1"/>
    <col min="3" max="3" width="11.1796875" bestFit="1" customWidth="1"/>
    <col min="4" max="5" width="12.08984375" bestFit="1" customWidth="1"/>
    <col min="6" max="7" width="8.81640625" bestFit="1" customWidth="1"/>
  </cols>
  <sheetData>
    <row r="1" spans="1:10" s="28" customFormat="1" ht="15.5" x14ac:dyDescent="0.35">
      <c r="A1" s="4" t="str">
        <f>business</f>
        <v>Powercor</v>
      </c>
      <c r="B1" s="5"/>
      <c r="C1" s="5"/>
      <c r="D1" s="5"/>
      <c r="E1" s="5"/>
      <c r="F1" s="5"/>
      <c r="G1" s="5"/>
      <c r="H1" s="5"/>
      <c r="I1" s="5"/>
      <c r="J1"/>
    </row>
    <row r="2" spans="1:10" s="28" customFormat="1" ht="15.5" x14ac:dyDescent="0.35">
      <c r="A2" s="58" t="str">
        <f>model_name</f>
        <v>Geelong depot</v>
      </c>
      <c r="B2" s="8"/>
      <c r="C2" s="8"/>
      <c r="D2" s="8"/>
      <c r="E2" s="8"/>
      <c r="F2" s="8"/>
      <c r="G2" s="8"/>
      <c r="H2" s="5"/>
      <c r="I2" s="5"/>
      <c r="J2"/>
    </row>
    <row r="3" spans="1:10" s="28" customFormat="1" ht="13" x14ac:dyDescent="0.3">
      <c r="A3" s="63" t="str">
        <f>"All dollar values are in "&amp;TEXT(output_dollars,"$""m"" mmmm yyyy")&amp;" unless otherwise stated"</f>
        <v>All dollar values are in $m June 2026 unless otherwise stated</v>
      </c>
    </row>
    <row r="6" spans="1:10" x14ac:dyDescent="0.35">
      <c r="A6" s="33" t="s">
        <v>51</v>
      </c>
      <c r="B6" s="33"/>
      <c r="C6" s="33"/>
      <c r="D6" s="33"/>
      <c r="E6" s="33"/>
      <c r="F6" s="33"/>
      <c r="G6" s="33"/>
      <c r="H6" s="33"/>
      <c r="I6" s="33"/>
    </row>
    <row r="7" spans="1:10" x14ac:dyDescent="0.35">
      <c r="B7" s="28"/>
      <c r="C7" s="28"/>
    </row>
    <row r="8" spans="1:10" x14ac:dyDescent="0.35">
      <c r="B8" s="28" t="s">
        <v>50</v>
      </c>
      <c r="C8" s="28" t="str">
        <f>INDEX('Options Analysis'!$B$7:$B$9,MATCH(MAX('Options Analysis'!$G$7:$G$9),'Options Analysis'!$G$7:$G$9,0))</f>
        <v>Option 2</v>
      </c>
    </row>
    <row r="9" spans="1:10" x14ac:dyDescent="0.35">
      <c r="B9" s="28"/>
      <c r="C9" s="28"/>
    </row>
    <row r="10" spans="1:10" x14ac:dyDescent="0.35">
      <c r="B10" s="28"/>
      <c r="C10" s="20"/>
    </row>
    <row r="11" spans="1:10" x14ac:dyDescent="0.35">
      <c r="B11" s="69" t="s">
        <v>217</v>
      </c>
      <c r="C11" s="139" cm="1">
        <f t="array" ref="C11">INDEX('Options Analysis'!$E$7:$E$9,MATCH(pref_option,'Options Analysis'!$B$7:$B$9,0),)</f>
        <v>-46.440125450234461</v>
      </c>
    </row>
    <row r="12" spans="1:10" x14ac:dyDescent="0.35">
      <c r="B12" s="64" t="s">
        <v>202</v>
      </c>
      <c r="C12" s="123">
        <f>-INDEX(Costs!$G$7:$G$9,MATCH(pref_option,Costs!$B$7:$B$9,0))*10^-6*esc_24_26</f>
        <v>-41.32165403483905</v>
      </c>
    </row>
    <row r="13" spans="1:10" x14ac:dyDescent="0.35">
      <c r="B13" s="64" t="str" cm="1">
        <f t="array" ref="B13">INDEX(('Options Analysis'!B17,'Options Analysis'!C31,'Options Analysis'!C55),,,MATCH(pref_option,'Reg Assumptions '!$B$14:$B$16,0))</f>
        <v>Loss of efficiency during redevelopment</v>
      </c>
      <c r="C13" s="123" cm="1">
        <f t="array" ref="C13">-SUMPRODUCT((B13=Risks!B14:B15)*Risks!F14:F15)*10^-6*esc_24_26</f>
        <v>-5.1184714153953994</v>
      </c>
    </row>
    <row r="15" spans="1:10" x14ac:dyDescent="0.35">
      <c r="B15" s="107"/>
      <c r="C15" s="138"/>
    </row>
    <row r="16" spans="1:10" x14ac:dyDescent="0.35">
      <c r="B16" s="69" t="s">
        <v>213</v>
      </c>
      <c r="C16" s="139" cm="1">
        <f t="array" ref="C16">INDEX('Options Analysis'!$F$7:$F$9,MATCH(pref_option,'Options Analysis'!$B$7:$B$9,0),)</f>
        <v>75.854821883688217</v>
      </c>
    </row>
    <row r="17" spans="2:7" x14ac:dyDescent="0.35">
      <c r="B17" s="64" t="str" cm="1">
        <f t="array" ref="B17:B23">INDEX(('Options Analysis'!B19,'Options Analysis'!C35:C41,'Options Analysis'!C59:C65),,,MATCH(pref_option,'Reg Assumptions '!$B$14:$B$16,0))</f>
        <v>Inadequate storage</v>
      </c>
      <c r="C17" s="123" cm="1">
        <f t="array" ref="C17">SUMPRODUCT((B17=Risks!$B$7:$B$13)*Risks!$F$7:$F$13)*10^-6*esc_24_26</f>
        <v>24.018254470010447</v>
      </c>
    </row>
    <row r="18" spans="2:7" x14ac:dyDescent="0.35">
      <c r="B18" s="64" t="str">
        <v>Outdated facilities and inadequate office space</v>
      </c>
      <c r="C18" s="123" cm="1">
        <f t="array" ref="C18">SUMPRODUCT((B18=Risks!$B$7:$B$13)*Risks!$F$7:$F$13)*10^-6*esc_24_26</f>
        <v>21.776516513434817</v>
      </c>
    </row>
    <row r="19" spans="2:7" x14ac:dyDescent="0.35">
      <c r="B19" s="64" t="str">
        <v>Suboptimal layout</v>
      </c>
      <c r="C19" s="123" cm="1">
        <f t="array" ref="C19">SUMPRODUCT((B19=Risks!$B$7:$B$13)*Risks!$F$7:$F$13)*10^-6*esc_24_26</f>
        <v>16.21793196418529</v>
      </c>
    </row>
    <row r="20" spans="2:7" x14ac:dyDescent="0.35">
      <c r="B20" s="64" t="str">
        <v>Depot security</v>
      </c>
      <c r="C20" s="123" cm="1">
        <f t="array" ref="C20">SUMPRODUCT((B20=Risks!$B$7:$B$13)*Risks!$F$7:$F$13)*10^-6*esc_24_26</f>
        <v>6.4223486477172145</v>
      </c>
    </row>
    <row r="21" spans="2:7" x14ac:dyDescent="0.35">
      <c r="B21" s="64" t="str">
        <v>Structural issues</v>
      </c>
      <c r="C21" s="123" cm="1">
        <f t="array" ref="C21">SUMPRODUCT((B21=Risks!$B$7:$B$13)*Risks!$F$7:$F$13)*10^-6*esc_24_26</f>
        <v>3.6391961209150163</v>
      </c>
    </row>
    <row r="22" spans="2:7" x14ac:dyDescent="0.35">
      <c r="B22" s="64" t="str">
        <v>Safety risks</v>
      </c>
      <c r="C22" s="123" cm="1">
        <f t="array" ref="C22">SUMPRODUCT((B22=Risks!$B$7:$B$13)*Risks!$F$7:$F$13)*10^-6*esc_24_26</f>
        <v>2.7558253726430513</v>
      </c>
    </row>
    <row r="23" spans="2:7" x14ac:dyDescent="0.35">
      <c r="B23" s="64" t="str">
        <v>Maintenance issues</v>
      </c>
      <c r="C23" s="123" cm="1">
        <f t="array" ref="C23">SUMPRODUCT((B23=Risks!$B$7:$B$13)*Risks!$F$7:$F$13)*10^-6*esc_24_26</f>
        <v>1.0247487947823803</v>
      </c>
    </row>
    <row r="24" spans="2:7" x14ac:dyDescent="0.35">
      <c r="B24" s="71"/>
      <c r="C24" s="88"/>
    </row>
    <row r="25" spans="2:7" x14ac:dyDescent="0.35">
      <c r="B25" s="71"/>
      <c r="C25" s="88"/>
    </row>
    <row r="26" spans="2:7" ht="15" thickBot="1" x14ac:dyDescent="0.4">
      <c r="B26" s="126" t="s">
        <v>198</v>
      </c>
      <c r="C26" s="127" cm="1">
        <f t="array" ref="C26">INDEX('Options Analysis'!$G$7:$G$9,MATCH(pref_option,'Options Analysis'!$B$7:$B$9,0),)</f>
        <v>29.414696433453749</v>
      </c>
      <c r="D26" s="140" t="str">
        <f>IF(AND(C26-SUM(C16,C11)&lt;0.0000001,C11-SUM(C12:C13)&lt;0.0000001,C16-SUM(C17:C23)&lt;0.0000001),"","CHECK")</f>
        <v/>
      </c>
    </row>
    <row r="27" spans="2:7" ht="15" thickTop="1" x14ac:dyDescent="0.35"/>
    <row r="29" spans="2:7" x14ac:dyDescent="0.35">
      <c r="B29" s="39" t="str">
        <f>pref_option&amp;" capex"</f>
        <v>Option 2 capex</v>
      </c>
      <c r="C29" s="40" t="s">
        <v>23</v>
      </c>
      <c r="D29" s="40" t="s">
        <v>24</v>
      </c>
      <c r="E29" s="40" t="s">
        <v>25</v>
      </c>
      <c r="F29" s="40" t="s">
        <v>26</v>
      </c>
      <c r="G29" s="40" t="s">
        <v>27</v>
      </c>
    </row>
    <row r="30" spans="2:7" x14ac:dyDescent="0.35">
      <c r="B30" s="28" t="s">
        <v>14</v>
      </c>
      <c r="C30" s="123" cm="1">
        <f t="array" ref="C30:G32">INDEX((Costs!J26:N28,Costs!J45:N47,Costs!J64:N66),,,MATCH(pref_option,'Reg Assumptions '!$B$14:$B$16,0))*10^-6*esc_24_26</f>
        <v>0</v>
      </c>
      <c r="D30" s="123">
        <v>0</v>
      </c>
      <c r="E30" s="123">
        <v>0</v>
      </c>
      <c r="F30" s="123">
        <v>0</v>
      </c>
      <c r="G30" s="123">
        <v>0</v>
      </c>
    </row>
    <row r="31" spans="2:7" x14ac:dyDescent="0.35">
      <c r="B31" s="28" t="s">
        <v>40</v>
      </c>
      <c r="C31" s="123">
        <v>2.7827722789316924</v>
      </c>
      <c r="D31" s="123">
        <v>15.112901436364043</v>
      </c>
      <c r="E31" s="123">
        <v>9.3552032544104975</v>
      </c>
      <c r="F31" s="123">
        <v>0</v>
      </c>
      <c r="G31" s="123">
        <v>0</v>
      </c>
    </row>
    <row r="32" spans="2:7" x14ac:dyDescent="0.35">
      <c r="B32" s="28" t="s">
        <v>16</v>
      </c>
      <c r="C32" s="123">
        <v>3.6181927580794455</v>
      </c>
      <c r="D32" s="123">
        <v>7.4395261975036515</v>
      </c>
      <c r="E32" s="123">
        <v>6.2602168257561068</v>
      </c>
      <c r="F32" s="123">
        <v>0</v>
      </c>
      <c r="G32" s="123">
        <v>0</v>
      </c>
    </row>
    <row r="33" spans="1:9" x14ac:dyDescent="0.35">
      <c r="B33" s="56" t="s">
        <v>41</v>
      </c>
      <c r="C33" s="137">
        <f>SUM(C30:C32)</f>
        <v>6.4009650370111384</v>
      </c>
      <c r="D33" s="137">
        <f t="shared" ref="D33:G33" si="0">SUM(D30:D32)</f>
        <v>22.552427633867694</v>
      </c>
      <c r="E33" s="137">
        <f t="shared" si="0"/>
        <v>15.615420080166604</v>
      </c>
      <c r="F33" s="137">
        <f t="shared" si="0"/>
        <v>0</v>
      </c>
      <c r="G33" s="137">
        <f t="shared" si="0"/>
        <v>0</v>
      </c>
    </row>
    <row r="36" spans="1:9" x14ac:dyDescent="0.35">
      <c r="A36" s="33" t="s">
        <v>214</v>
      </c>
      <c r="B36" s="33"/>
      <c r="C36" s="33"/>
      <c r="D36" s="33"/>
      <c r="E36" s="33"/>
      <c r="F36" s="33"/>
      <c r="G36" s="33"/>
      <c r="H36" s="33"/>
      <c r="I36" s="33"/>
    </row>
    <row r="37" spans="1:9" x14ac:dyDescent="0.35">
      <c r="B37" s="28"/>
      <c r="C37" s="28"/>
    </row>
    <row r="38" spans="1:9" x14ac:dyDescent="0.35">
      <c r="B38" s="28" t="s">
        <v>216</v>
      </c>
      <c r="C38" s="153">
        <v>0.1</v>
      </c>
    </row>
    <row r="39" spans="1:9" x14ac:dyDescent="0.35">
      <c r="B39" s="28"/>
      <c r="C39" s="28"/>
    </row>
    <row r="40" spans="1:9" x14ac:dyDescent="0.35">
      <c r="B40" s="71" t="str">
        <f>"PV of costs +"&amp;TEXT(C38,"#0%")</f>
        <v>PV of costs +10%</v>
      </c>
      <c r="C40" s="88">
        <f>C11*(1+C38)</f>
        <v>-51.084137995257912</v>
      </c>
    </row>
    <row r="41" spans="1:9" x14ac:dyDescent="0.35">
      <c r="B41" s="71" t="str">
        <f>"PV of benefits -"&amp;TEXT(C38,"#0%")</f>
        <v>PV of benefits -10%</v>
      </c>
      <c r="C41" s="88">
        <f>C16*(1-C38)</f>
        <v>68.269339695319402</v>
      </c>
    </row>
    <row r="42" spans="1:9" ht="15" thickBot="1" x14ac:dyDescent="0.4">
      <c r="B42" s="126" t="s">
        <v>215</v>
      </c>
      <c r="C42" s="127">
        <f>SUM(C40:C41)</f>
        <v>17.185201700061491</v>
      </c>
    </row>
    <row r="43" spans="1:9" ht="15" thickTop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04DB8-3969-49CB-A921-55646D198638}">
  <sheetPr codeName="Sheet1"/>
  <dimension ref="A1:AD73"/>
  <sheetViews>
    <sheetView showGridLines="0" workbookViewId="0"/>
  </sheetViews>
  <sheetFormatPr defaultRowHeight="13" x14ac:dyDescent="0.3"/>
  <cols>
    <col min="1" max="2" width="8.7265625" style="63"/>
    <col min="3" max="3" width="31.453125" style="63" bestFit="1" customWidth="1"/>
    <col min="4" max="4" width="8.7265625" style="63" customWidth="1"/>
    <col min="5" max="5" width="15.81640625" style="63" bestFit="1" customWidth="1"/>
    <col min="6" max="16384" width="8.7265625" style="63"/>
  </cols>
  <sheetData>
    <row r="1" spans="1:30" s="66" customFormat="1" x14ac:dyDescent="0.3">
      <c r="A1" s="65" t="str">
        <f>business</f>
        <v>Powercor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2" t="s">
        <v>1</v>
      </c>
    </row>
    <row r="2" spans="1:30" s="66" customFormat="1" x14ac:dyDescent="0.3">
      <c r="A2" s="67" t="str">
        <f>model_name</f>
        <v>Geelong depot</v>
      </c>
      <c r="B2" s="68"/>
      <c r="C2" s="68"/>
      <c r="D2" s="68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9" t="s">
        <v>4</v>
      </c>
    </row>
    <row r="3" spans="1:30" s="66" customFormat="1" x14ac:dyDescent="0.3">
      <c r="A3" s="63" t="str">
        <f>"All dollar values are in "&amp;TEXT(output_dollars,"$""m"" mmmm yyyy")&amp;" unless otherwise stated"</f>
        <v>All dollar values are in $m June 2026 unless otherwise stated</v>
      </c>
    </row>
    <row r="4" spans="1:30" s="66" customFormat="1" x14ac:dyDescent="0.3">
      <c r="A4" s="63"/>
    </row>
    <row r="5" spans="1:30" s="66" customFormat="1" x14ac:dyDescent="0.3">
      <c r="A5" s="33" t="s">
        <v>199</v>
      </c>
      <c r="B5" s="33"/>
      <c r="C5" s="33"/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</row>
    <row r="6" spans="1:30" s="66" customFormat="1" ht="26" x14ac:dyDescent="0.3">
      <c r="B6" s="36" t="s">
        <v>54</v>
      </c>
      <c r="C6" s="36"/>
      <c r="D6" s="129" t="s">
        <v>212</v>
      </c>
      <c r="E6" s="40" t="s">
        <v>210</v>
      </c>
      <c r="F6" s="40" t="s">
        <v>211</v>
      </c>
      <c r="G6" s="40" t="s">
        <v>198</v>
      </c>
    </row>
    <row r="7" spans="1:30" s="66" customFormat="1" x14ac:dyDescent="0.3">
      <c r="B7" s="66" t="s">
        <v>42</v>
      </c>
      <c r="D7" s="130" t="str">
        <f>IF(G7=MAX($G$7:$G$9),"*","")</f>
        <v/>
      </c>
      <c r="E7" s="123" cm="1">
        <f t="array" ref="E7:G7">TRANSPOSE(C22:C24)</f>
        <v>0</v>
      </c>
      <c r="F7" s="123">
        <v>0</v>
      </c>
      <c r="G7" s="123">
        <v>0</v>
      </c>
    </row>
    <row r="8" spans="1:30" s="66" customFormat="1" x14ac:dyDescent="0.3">
      <c r="B8" s="66" t="s">
        <v>22</v>
      </c>
      <c r="D8" s="130" t="str">
        <f>IF(G8=MAX($G$7:$G$9),"*","")</f>
        <v>*</v>
      </c>
      <c r="E8" s="123" cm="1">
        <f t="array" ref="E8:G8">TRANSPOSE(C46:C48)</f>
        <v>-46.440125450234461</v>
      </c>
      <c r="F8" s="123">
        <v>75.854821883688217</v>
      </c>
      <c r="G8" s="123">
        <v>29.414696433453749</v>
      </c>
    </row>
    <row r="9" spans="1:30" s="66" customFormat="1" x14ac:dyDescent="0.3">
      <c r="B9" s="66" t="s">
        <v>39</v>
      </c>
      <c r="D9" s="130" t="str">
        <f>IF(G9=MAX($G$7:$G$9),"*","")</f>
        <v/>
      </c>
      <c r="E9" s="123" cm="1">
        <f t="array" ref="E9:G9">TRANSPOSE(C70:C72)</f>
        <v>-54.968379823887247</v>
      </c>
      <c r="F9" s="123">
        <v>75.854821883688217</v>
      </c>
      <c r="G9" s="123">
        <v>20.886442059800963</v>
      </c>
    </row>
    <row r="10" spans="1:30" s="66" customFormat="1" x14ac:dyDescent="0.3">
      <c r="B10" s="120"/>
      <c r="C10" s="120"/>
      <c r="D10" s="120"/>
      <c r="E10" s="120"/>
      <c r="F10" s="120"/>
      <c r="G10" s="120"/>
    </row>
    <row r="11" spans="1:30" s="66" customFormat="1" x14ac:dyDescent="0.3"/>
    <row r="12" spans="1:30" s="66" customFormat="1" x14ac:dyDescent="0.3">
      <c r="A12" s="33" t="s">
        <v>200</v>
      </c>
      <c r="B12" s="33"/>
      <c r="C12" s="33"/>
      <c r="D12" s="117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</row>
    <row r="14" spans="1:30" x14ac:dyDescent="0.3">
      <c r="B14" s="38" t="s">
        <v>42</v>
      </c>
      <c r="C14" s="38" t="str">
        <f>INDEX('Reg Assumptions '!$C$14:$C$16,MATCH(B14,'Reg Assumptions '!$B$14:$B$16,0))</f>
        <v>Do nothing</v>
      </c>
      <c r="D14" s="38"/>
      <c r="E14" s="40" t="s">
        <v>23</v>
      </c>
      <c r="F14" s="40" t="s">
        <v>24</v>
      </c>
      <c r="G14" s="40" t="s">
        <v>25</v>
      </c>
      <c r="H14" s="40" t="s">
        <v>26</v>
      </c>
      <c r="I14" s="40" t="s">
        <v>27</v>
      </c>
      <c r="J14" s="40" t="s">
        <v>56</v>
      </c>
      <c r="K14" s="40" t="s">
        <v>57</v>
      </c>
      <c r="L14" s="40" t="s">
        <v>58</v>
      </c>
      <c r="M14" s="40" t="s">
        <v>59</v>
      </c>
      <c r="N14" s="40" t="s">
        <v>60</v>
      </c>
      <c r="O14" s="40" t="s">
        <v>61</v>
      </c>
      <c r="P14" s="40" t="s">
        <v>62</v>
      </c>
      <c r="Q14" s="40" t="s">
        <v>63</v>
      </c>
      <c r="R14" s="40" t="s">
        <v>64</v>
      </c>
      <c r="S14" s="40" t="s">
        <v>65</v>
      </c>
      <c r="T14" s="40" t="s">
        <v>66</v>
      </c>
      <c r="U14" s="40" t="s">
        <v>67</v>
      </c>
      <c r="V14" s="40" t="s">
        <v>68</v>
      </c>
      <c r="W14" s="40" t="s">
        <v>69</v>
      </c>
      <c r="X14" s="40" t="s">
        <v>70</v>
      </c>
      <c r="Y14" s="40" t="s">
        <v>71</v>
      </c>
      <c r="Z14" s="40" t="s">
        <v>72</v>
      </c>
      <c r="AA14" s="40" t="s">
        <v>73</v>
      </c>
      <c r="AB14" s="40" t="s">
        <v>74</v>
      </c>
      <c r="AC14" s="40" t="s">
        <v>75</v>
      </c>
    </row>
    <row r="16" spans="1:30" x14ac:dyDescent="0.3">
      <c r="B16" s="63" t="s">
        <v>201</v>
      </c>
      <c r="E16" s="128">
        <f>Costs!J24*10^-6*esc_24_26</f>
        <v>0</v>
      </c>
      <c r="F16" s="128">
        <f>Costs!K24*10^-6*esc_24_26</f>
        <v>0</v>
      </c>
      <c r="G16" s="128">
        <f>Costs!L24*10^-6*esc_24_26</f>
        <v>0</v>
      </c>
      <c r="H16" s="128">
        <f>Costs!M24*10^-6*esc_24_26</f>
        <v>0</v>
      </c>
      <c r="I16" s="128">
        <f>Costs!N24*10^-6*esc_24_26</f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0</v>
      </c>
      <c r="Z16" s="119">
        <v>0</v>
      </c>
      <c r="AA16" s="119">
        <v>0</v>
      </c>
      <c r="AB16" s="119">
        <v>0</v>
      </c>
      <c r="AC16" s="119">
        <v>0</v>
      </c>
    </row>
    <row r="18" spans="2:29" x14ac:dyDescent="0.3">
      <c r="B18" s="63" t="s">
        <v>209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  <c r="O18" s="119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>
        <v>0</v>
      </c>
      <c r="AA18" s="119">
        <v>0</v>
      </c>
      <c r="AB18" s="119">
        <v>0</v>
      </c>
      <c r="AC18" s="119">
        <v>0</v>
      </c>
    </row>
    <row r="20" spans="2:29" x14ac:dyDescent="0.3">
      <c r="B20" s="121" t="str">
        <f>"Total cost of "&amp;INDEX('Reg Assumptions '!$C$14:$C$16,MATCH(B14,'Reg Assumptions '!$B$14:$B$16,0))</f>
        <v>Total cost of Do nothing</v>
      </c>
      <c r="C20" s="108"/>
      <c r="D20" s="108"/>
      <c r="E20" s="122">
        <f>E16+E18</f>
        <v>0</v>
      </c>
      <c r="F20" s="122">
        <f t="shared" ref="F20:AC20" si="0">F16+F18</f>
        <v>0</v>
      </c>
      <c r="G20" s="122">
        <f t="shared" si="0"/>
        <v>0</v>
      </c>
      <c r="H20" s="122">
        <f t="shared" si="0"/>
        <v>0</v>
      </c>
      <c r="I20" s="122">
        <f t="shared" si="0"/>
        <v>0</v>
      </c>
      <c r="J20" s="122">
        <f t="shared" si="0"/>
        <v>0</v>
      </c>
      <c r="K20" s="122">
        <f t="shared" si="0"/>
        <v>0</v>
      </c>
      <c r="L20" s="122">
        <f t="shared" si="0"/>
        <v>0</v>
      </c>
      <c r="M20" s="122">
        <f t="shared" si="0"/>
        <v>0</v>
      </c>
      <c r="N20" s="122">
        <f t="shared" si="0"/>
        <v>0</v>
      </c>
      <c r="O20" s="122">
        <f t="shared" si="0"/>
        <v>0</v>
      </c>
      <c r="P20" s="122">
        <f t="shared" si="0"/>
        <v>0</v>
      </c>
      <c r="Q20" s="122">
        <f t="shared" si="0"/>
        <v>0</v>
      </c>
      <c r="R20" s="122">
        <f t="shared" si="0"/>
        <v>0</v>
      </c>
      <c r="S20" s="122">
        <f t="shared" si="0"/>
        <v>0</v>
      </c>
      <c r="T20" s="122">
        <f t="shared" si="0"/>
        <v>0</v>
      </c>
      <c r="U20" s="122">
        <f t="shared" si="0"/>
        <v>0</v>
      </c>
      <c r="V20" s="122">
        <f t="shared" si="0"/>
        <v>0</v>
      </c>
      <c r="W20" s="122">
        <f t="shared" si="0"/>
        <v>0</v>
      </c>
      <c r="X20" s="122">
        <f t="shared" si="0"/>
        <v>0</v>
      </c>
      <c r="Y20" s="122">
        <f t="shared" si="0"/>
        <v>0</v>
      </c>
      <c r="Z20" s="122">
        <f t="shared" si="0"/>
        <v>0</v>
      </c>
      <c r="AA20" s="122">
        <f t="shared" si="0"/>
        <v>0</v>
      </c>
      <c r="AB20" s="122">
        <f t="shared" si="0"/>
        <v>0</v>
      </c>
      <c r="AC20" s="122">
        <f t="shared" si="0"/>
        <v>0</v>
      </c>
    </row>
    <row r="22" spans="2:29" x14ac:dyDescent="0.3">
      <c r="B22" s="71" t="s">
        <v>204</v>
      </c>
      <c r="C22" s="87">
        <f>NPV(real_disc,E16:AC16)</f>
        <v>0</v>
      </c>
    </row>
    <row r="23" spans="2:29" x14ac:dyDescent="0.3">
      <c r="B23" s="71" t="s">
        <v>205</v>
      </c>
      <c r="C23" s="87">
        <f>NPV(real_disc,E18:AC18)</f>
        <v>0</v>
      </c>
    </row>
    <row r="24" spans="2:29" x14ac:dyDescent="0.3">
      <c r="B24" s="71" t="s">
        <v>198</v>
      </c>
      <c r="C24" s="87">
        <f>NPV(real_disc,E20:AC20)</f>
        <v>0</v>
      </c>
    </row>
    <row r="27" spans="2:29" x14ac:dyDescent="0.3">
      <c r="B27" s="38" t="s">
        <v>22</v>
      </c>
      <c r="C27" s="38" t="str">
        <f>INDEX('Reg Assumptions '!$C$14:$C$16,MATCH(B27,'Reg Assumptions '!$B$14:$B$16,0))</f>
        <v>Redevelop existing site</v>
      </c>
      <c r="D27" s="38"/>
      <c r="E27" s="40" t="s">
        <v>23</v>
      </c>
      <c r="F27" s="40" t="s">
        <v>24</v>
      </c>
      <c r="G27" s="40" t="s">
        <v>25</v>
      </c>
      <c r="H27" s="40" t="s">
        <v>26</v>
      </c>
      <c r="I27" s="40" t="s">
        <v>27</v>
      </c>
      <c r="J27" s="40" t="s">
        <v>56</v>
      </c>
      <c r="K27" s="40" t="s">
        <v>57</v>
      </c>
      <c r="L27" s="40" t="s">
        <v>58</v>
      </c>
      <c r="M27" s="40" t="s">
        <v>59</v>
      </c>
      <c r="N27" s="40" t="s">
        <v>60</v>
      </c>
      <c r="O27" s="40" t="s">
        <v>61</v>
      </c>
      <c r="P27" s="40" t="s">
        <v>62</v>
      </c>
      <c r="Q27" s="40" t="s">
        <v>63</v>
      </c>
      <c r="R27" s="40" t="s">
        <v>64</v>
      </c>
      <c r="S27" s="40" t="s">
        <v>65</v>
      </c>
      <c r="T27" s="40" t="s">
        <v>66</v>
      </c>
      <c r="U27" s="40" t="s">
        <v>67</v>
      </c>
      <c r="V27" s="40" t="s">
        <v>68</v>
      </c>
      <c r="W27" s="40" t="s">
        <v>69</v>
      </c>
      <c r="X27" s="40" t="s">
        <v>70</v>
      </c>
      <c r="Y27" s="40" t="s">
        <v>71</v>
      </c>
      <c r="Z27" s="40" t="s">
        <v>72</v>
      </c>
      <c r="AA27" s="40" t="s">
        <v>73</v>
      </c>
      <c r="AB27" s="40" t="s">
        <v>74</v>
      </c>
      <c r="AC27" s="40" t="s">
        <v>75</v>
      </c>
    </row>
    <row r="29" spans="2:29" x14ac:dyDescent="0.3">
      <c r="B29" s="63" t="s">
        <v>202</v>
      </c>
      <c r="E29" s="123">
        <f>-Costs!J43*10^-6*esc_24_26</f>
        <v>-6.4009650370111384</v>
      </c>
      <c r="F29" s="123">
        <f>-Costs!K43*10^-6*esc_24_26</f>
        <v>-22.552427633867698</v>
      </c>
      <c r="G29" s="123">
        <f>-Costs!L43*10^-6*esc_24_26</f>
        <v>-15.615420080166604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3">
        <v>0</v>
      </c>
      <c r="AB29" s="123">
        <v>0</v>
      </c>
      <c r="AC29" s="123">
        <v>0</v>
      </c>
    </row>
    <row r="30" spans="2:29" x14ac:dyDescent="0.3">
      <c r="B30" s="63" t="s">
        <v>206</v>
      </c>
    </row>
    <row r="31" spans="2:29" x14ac:dyDescent="0.3">
      <c r="B31" s="111" t="s">
        <v>47</v>
      </c>
      <c r="C31" s="63" t="s">
        <v>84</v>
      </c>
      <c r="E31" s="123">
        <f>-INDEX(Risks!I$7:I$15,MATCH('Options Analysis'!$C31,Risks!$B$7:$B$15,0))*10^-6*esc_24_26</f>
        <v>-1.8269574003574849</v>
      </c>
      <c r="F31" s="123">
        <f>-INDEX(Risks!J$7:J$15,MATCH('Options Analysis'!$C31,Risks!$B$7:$B$15,0))*10^-6*esc_24_26</f>
        <v>-1.8269574003574849</v>
      </c>
      <c r="G31" s="123">
        <f>-INDEX(Risks!K$7:K$15,MATCH('Options Analysis'!$C31,Risks!$B$7:$B$15,0))*10^-6*esc_24_26</f>
        <v>-1.8269574003574849</v>
      </c>
      <c r="H31" s="123">
        <f>-INDEX(Risks!L$7:L$15,MATCH('Options Analysis'!$C31,Risks!$B$7:$B$15,0))*10^-6*esc_24_26</f>
        <v>0</v>
      </c>
      <c r="I31" s="123">
        <f>-INDEX(Risks!M$7:M$15,MATCH('Options Analysis'!$C31,Risks!$B$7:$B$15,0))*10^-6*esc_24_26</f>
        <v>0</v>
      </c>
      <c r="J31" s="123">
        <f>-INDEX(Risks!N$7:N$15,MATCH('Options Analysis'!$C31,Risks!$B$7:$B$15,0))*10^-6*esc_24_26</f>
        <v>0</v>
      </c>
      <c r="K31" s="123">
        <f>-INDEX(Risks!O$7:O$15,MATCH('Options Analysis'!$C31,Risks!$B$7:$B$15,0))*10^-6*esc_24_26</f>
        <v>0</v>
      </c>
      <c r="L31" s="123">
        <f>-INDEX(Risks!P$7:P$15,MATCH('Options Analysis'!$C31,Risks!$B$7:$B$15,0))*10^-6*esc_24_26</f>
        <v>0</v>
      </c>
      <c r="M31" s="123">
        <f>-INDEX(Risks!Q$7:Q$15,MATCH('Options Analysis'!$C31,Risks!$B$7:$B$15,0))*10^-6*esc_24_26</f>
        <v>0</v>
      </c>
      <c r="N31" s="123">
        <f>-INDEX(Risks!R$7:R$15,MATCH('Options Analysis'!$C31,Risks!$B$7:$B$15,0))*10^-6*esc_24_26</f>
        <v>0</v>
      </c>
      <c r="O31" s="123">
        <f>-INDEX(Risks!S$7:S$15,MATCH('Options Analysis'!$C31,Risks!$B$7:$B$15,0))*10^-6*esc_24_26</f>
        <v>0</v>
      </c>
      <c r="P31" s="123">
        <f>-INDEX(Risks!T$7:T$15,MATCH('Options Analysis'!$C31,Risks!$B$7:$B$15,0))*10^-6*esc_24_26</f>
        <v>0</v>
      </c>
      <c r="Q31" s="123">
        <f>-INDEX(Risks!U$7:U$15,MATCH('Options Analysis'!$C31,Risks!$B$7:$B$15,0))*10^-6*esc_24_26</f>
        <v>0</v>
      </c>
      <c r="R31" s="123">
        <f>-INDEX(Risks!V$7:V$15,MATCH('Options Analysis'!$C31,Risks!$B$7:$B$15,0))*10^-6*esc_24_26</f>
        <v>0</v>
      </c>
      <c r="S31" s="123">
        <f>-INDEX(Risks!W$7:W$15,MATCH('Options Analysis'!$C31,Risks!$B$7:$B$15,0))*10^-6*esc_24_26</f>
        <v>0</v>
      </c>
      <c r="T31" s="123">
        <f>-INDEX(Risks!X$7:X$15,MATCH('Options Analysis'!$C31,Risks!$B$7:$B$15,0))*10^-6*esc_24_26</f>
        <v>0</v>
      </c>
      <c r="U31" s="123">
        <f>-INDEX(Risks!Y$7:Y$15,MATCH('Options Analysis'!$C31,Risks!$B$7:$B$15,0))*10^-6*esc_24_26</f>
        <v>0</v>
      </c>
      <c r="V31" s="123">
        <f>-INDEX(Risks!Z$7:Z$15,MATCH('Options Analysis'!$C31,Risks!$B$7:$B$15,0))*10^-6*esc_24_26</f>
        <v>0</v>
      </c>
      <c r="W31" s="123">
        <f>-INDEX(Risks!AA$7:AA$15,MATCH('Options Analysis'!$C31,Risks!$B$7:$B$15,0))*10^-6*esc_24_26</f>
        <v>0</v>
      </c>
      <c r="X31" s="123">
        <f>-INDEX(Risks!AB$7:AB$15,MATCH('Options Analysis'!$C31,Risks!$B$7:$B$15,0))*10^-6*esc_24_26</f>
        <v>0</v>
      </c>
      <c r="Y31" s="123">
        <f>-INDEX(Risks!AC$7:AC$15,MATCH('Options Analysis'!$C31,Risks!$B$7:$B$15,0))*10^-6*esc_24_26</f>
        <v>0</v>
      </c>
      <c r="Z31" s="123">
        <f>-INDEX(Risks!AD$7:AD$15,MATCH('Options Analysis'!$C31,Risks!$B$7:$B$15,0))*10^-6*esc_24_26</f>
        <v>0</v>
      </c>
      <c r="AA31" s="123">
        <f>-INDEX(Risks!AE$7:AE$15,MATCH('Options Analysis'!$C31,Risks!$B$7:$B$15,0))*10^-6*esc_24_26</f>
        <v>0</v>
      </c>
      <c r="AB31" s="123">
        <f>-INDEX(Risks!AF$7:AF$15,MATCH('Options Analysis'!$C31,Risks!$B$7:$B$15,0))*10^-6*esc_24_26</f>
        <v>0</v>
      </c>
      <c r="AC31" s="123">
        <f>-INDEX(Risks!AG$7:AG$15,MATCH('Options Analysis'!$C31,Risks!$B$7:$B$15,0))*10^-6*esc_24_26</f>
        <v>0</v>
      </c>
    </row>
    <row r="32" spans="2:29" x14ac:dyDescent="0.3">
      <c r="B32" s="124" t="s">
        <v>207</v>
      </c>
      <c r="C32" s="124"/>
      <c r="D32" s="124"/>
      <c r="E32" s="125">
        <f>E29+E31</f>
        <v>-8.2279224373686226</v>
      </c>
      <c r="F32" s="125">
        <f t="shared" ref="F32:AC32" si="1">F29+F31</f>
        <v>-24.379385034225184</v>
      </c>
      <c r="G32" s="125">
        <f t="shared" si="1"/>
        <v>-17.44237748052409</v>
      </c>
      <c r="H32" s="125">
        <f t="shared" si="1"/>
        <v>0</v>
      </c>
      <c r="I32" s="125">
        <f t="shared" si="1"/>
        <v>0</v>
      </c>
      <c r="J32" s="125">
        <f t="shared" si="1"/>
        <v>0</v>
      </c>
      <c r="K32" s="125">
        <f t="shared" si="1"/>
        <v>0</v>
      </c>
      <c r="L32" s="125">
        <f t="shared" si="1"/>
        <v>0</v>
      </c>
      <c r="M32" s="125">
        <f t="shared" si="1"/>
        <v>0</v>
      </c>
      <c r="N32" s="125">
        <f t="shared" si="1"/>
        <v>0</v>
      </c>
      <c r="O32" s="125">
        <f t="shared" si="1"/>
        <v>0</v>
      </c>
      <c r="P32" s="125">
        <f t="shared" si="1"/>
        <v>0</v>
      </c>
      <c r="Q32" s="125">
        <f t="shared" si="1"/>
        <v>0</v>
      </c>
      <c r="R32" s="125">
        <f t="shared" si="1"/>
        <v>0</v>
      </c>
      <c r="S32" s="125">
        <f t="shared" si="1"/>
        <v>0</v>
      </c>
      <c r="T32" s="125">
        <f t="shared" si="1"/>
        <v>0</v>
      </c>
      <c r="U32" s="125">
        <f t="shared" si="1"/>
        <v>0</v>
      </c>
      <c r="V32" s="125">
        <f t="shared" si="1"/>
        <v>0</v>
      </c>
      <c r="W32" s="125">
        <f t="shared" si="1"/>
        <v>0</v>
      </c>
      <c r="X32" s="125">
        <f t="shared" si="1"/>
        <v>0</v>
      </c>
      <c r="Y32" s="125">
        <f t="shared" si="1"/>
        <v>0</v>
      </c>
      <c r="Z32" s="125">
        <f t="shared" si="1"/>
        <v>0</v>
      </c>
      <c r="AA32" s="125">
        <f t="shared" si="1"/>
        <v>0</v>
      </c>
      <c r="AB32" s="125">
        <f t="shared" si="1"/>
        <v>0</v>
      </c>
      <c r="AC32" s="125">
        <f t="shared" si="1"/>
        <v>0</v>
      </c>
    </row>
    <row r="34" spans="2:29" x14ac:dyDescent="0.3">
      <c r="B34" s="63" t="s">
        <v>209</v>
      </c>
    </row>
    <row r="35" spans="2:29" x14ac:dyDescent="0.3">
      <c r="B35" s="111" t="s">
        <v>47</v>
      </c>
      <c r="C35" s="63" t="s">
        <v>78</v>
      </c>
      <c r="E35" s="123">
        <f>INDEX(Risks!I$7:I$15,MATCH('Options Analysis'!$C35,Risks!$B$7:$B$15,0))*10^-6*esc_24_26</f>
        <v>0</v>
      </c>
      <c r="F35" s="123">
        <f>INDEX(Risks!J$7:J$15,MATCH('Options Analysis'!$C35,Risks!$B$7:$B$15,0))*10^-6*esc_24_26</f>
        <v>0</v>
      </c>
      <c r="G35" s="123">
        <f>INDEX(Risks!K$7:K$15,MATCH('Options Analysis'!$C35,Risks!$B$7:$B$15,0))*10^-6*esc_24_26</f>
        <v>0</v>
      </c>
      <c r="H35" s="123">
        <f>INDEX(Risks!L$7:L$15,MATCH('Options Analysis'!$C35,Risks!$B$7:$B$15,0))*10^-6*esc_24_26</f>
        <v>1.4447607295703646</v>
      </c>
      <c r="I35" s="123">
        <f>INDEX(Risks!M$7:M$15,MATCH('Options Analysis'!$C35,Risks!$B$7:$B$15,0))*10^-6*esc_24_26</f>
        <v>1.4746062474416601</v>
      </c>
      <c r="J35" s="123">
        <f>INDEX(Risks!N$7:N$15,MATCH('Options Analysis'!$C35,Risks!$B$7:$B$15,0))*10^-6*esc_24_26</f>
        <v>1.5050691601834438</v>
      </c>
      <c r="K35" s="123">
        <f>INDEX(Risks!O$7:O$15,MATCH('Options Analysis'!$C35,Risks!$B$7:$B$15,0))*10^-6*esc_24_26</f>
        <v>1.5361622572524518</v>
      </c>
      <c r="L35" s="123">
        <f>INDEX(Risks!P$7:P$15,MATCH('Options Analysis'!$C35,Risks!$B$7:$B$15,0))*10^-6*esc_24_26</f>
        <v>1.5678985934127012</v>
      </c>
      <c r="M35" s="123">
        <f>INDEX(Risks!Q$7:Q$15,MATCH('Options Analysis'!$C35,Risks!$B$7:$B$15,0))*10^-6*esc_24_26</f>
        <v>1.6002914942468116</v>
      </c>
      <c r="N35" s="123">
        <f>INDEX(Risks!R$7:R$15,MATCH('Options Analysis'!$C35,Risks!$B$7:$B$15,0))*10^-6*esc_24_26</f>
        <v>1.6333545617819663</v>
      </c>
      <c r="O35" s="123">
        <f>INDEX(Risks!S$7:S$15,MATCH('Options Analysis'!$C35,Risks!$B$7:$B$15,0))*10^-6*esc_24_26</f>
        <v>1.6671016802329182</v>
      </c>
      <c r="P35" s="123">
        <f>INDEX(Risks!T$7:T$15,MATCH('Options Analysis'!$C35,Risks!$B$7:$B$15,0))*10^-6*esc_24_26</f>
        <v>1.7015470218644653</v>
      </c>
      <c r="Q35" s="123">
        <f>INDEX(Risks!U$7:U$15,MATCH('Options Analysis'!$C35,Risks!$B$7:$B$15,0))*10^-6*esc_24_26</f>
        <v>1.7367050529758958</v>
      </c>
      <c r="R35" s="123">
        <f>INDEX(Risks!V$7:V$15,MATCH('Options Analysis'!$C35,Risks!$B$7:$B$15,0))*10^-6*esc_24_26</f>
        <v>1.7725905400099353</v>
      </c>
      <c r="S35" s="123">
        <f>INDEX(Risks!W$7:W$15,MATCH('Options Analysis'!$C35,Risks!$B$7:$B$15,0))*10^-6*esc_24_26</f>
        <v>1.8092185557887921</v>
      </c>
      <c r="T35" s="123">
        <f>INDEX(Risks!X$7:X$15,MATCH('Options Analysis'!$C35,Risks!$B$7:$B$15,0))*10^-6*esc_24_26</f>
        <v>1.8466044858799544</v>
      </c>
      <c r="U35" s="123">
        <f>INDEX(Risks!Y$7:Y$15,MATCH('Options Analysis'!$C35,Risks!$B$7:$B$15,0))*10^-6*esc_24_26</f>
        <v>1.8847640350944337</v>
      </c>
      <c r="V35" s="123">
        <f>INDEX(Risks!Z$7:Z$15,MATCH('Options Analysis'!$C35,Risks!$B$7:$B$15,0))*10^-6*esc_24_26</f>
        <v>1.9237132341202208</v>
      </c>
      <c r="W35" s="123">
        <f>INDEX(Risks!AA$7:AA$15,MATCH('Options Analysis'!$C35,Risks!$B$7:$B$15,0))*10^-6*esc_24_26</f>
        <v>1.9634684462937677</v>
      </c>
      <c r="X35" s="123">
        <f>INDEX(Risks!AB$7:AB$15,MATCH('Options Analysis'!$C35,Risks!$B$7:$B$15,0))*10^-6*esc_24_26</f>
        <v>2.0040463745123756</v>
      </c>
      <c r="Y35" s="123">
        <f>INDEX(Risks!AC$7:AC$15,MATCH('Options Analysis'!$C35,Risks!$B$7:$B$15,0))*10^-6*esc_24_26</f>
        <v>2.045464068290419</v>
      </c>
      <c r="Z35" s="123">
        <f>INDEX(Risks!AD$7:AD$15,MATCH('Options Analysis'!$C35,Risks!$B$7:$B$15,0))*10^-6*esc_24_26</f>
        <v>2.0877389309624106</v>
      </c>
      <c r="AA35" s="123">
        <f>INDEX(Risks!AE$7:AE$15,MATCH('Options Analysis'!$C35,Risks!$B$7:$B$15,0))*10^-6*esc_24_26</f>
        <v>2.1308887270359604</v>
      </c>
      <c r="AB35" s="123">
        <f>INDEX(Risks!AF$7:AF$15,MATCH('Options Analysis'!$C35,Risks!$B$7:$B$15,0))*10^-6*esc_24_26</f>
        <v>2.1749315896977564</v>
      </c>
      <c r="AC35" s="123">
        <f>INDEX(Risks!AG$7:AG$15,MATCH('Options Analysis'!$C35,Risks!$B$7:$B$15,0))*10^-6*esc_24_26</f>
        <v>2.219886028475754</v>
      </c>
    </row>
    <row r="36" spans="2:29" x14ac:dyDescent="0.3">
      <c r="B36" s="111" t="s">
        <v>47</v>
      </c>
      <c r="C36" s="63" t="s">
        <v>79</v>
      </c>
      <c r="E36" s="123">
        <f>INDEX(Risks!I$7:I$15,MATCH('Options Analysis'!$C36,Risks!$B$7:$B$15,0))*10^-6*esc_24_26</f>
        <v>0</v>
      </c>
      <c r="F36" s="123">
        <f>INDEX(Risks!J$7:J$15,MATCH('Options Analysis'!$C36,Risks!$B$7:$B$15,0))*10^-6*esc_24_26</f>
        <v>0</v>
      </c>
      <c r="G36" s="123">
        <f>INDEX(Risks!K$7:K$15,MATCH('Options Analysis'!$C36,Risks!$B$7:$B$15,0))*10^-6*esc_24_26</f>
        <v>0</v>
      </c>
      <c r="H36" s="123">
        <f>INDEX(Risks!L$7:L$15,MATCH('Options Analysis'!$C36,Risks!$B$7:$B$15,0))*10^-6*esc_24_26</f>
        <v>1.3183716300646251</v>
      </c>
      <c r="I36" s="123">
        <f>INDEX(Risks!M$7:M$15,MATCH('Options Analysis'!$C36,Risks!$B$7:$B$15,0))*10^-6*esc_24_26</f>
        <v>1.3447390626659175</v>
      </c>
      <c r="J36" s="123">
        <f>INDEX(Risks!N$7:N$15,MATCH('Options Analysis'!$C36,Risks!$B$7:$B$15,0))*10^-6*esc_24_26</f>
        <v>1.3716338439192359</v>
      </c>
      <c r="K36" s="123">
        <f>INDEX(Risks!O$7:O$15,MATCH('Options Analysis'!$C36,Risks!$B$7:$B$15,0))*10^-6*esc_24_26</f>
        <v>1.3990665207976203</v>
      </c>
      <c r="L36" s="123">
        <f>INDEX(Risks!P$7:P$15,MATCH('Options Analysis'!$C36,Risks!$B$7:$B$15,0))*10^-6*esc_24_26</f>
        <v>1.4270478512135729</v>
      </c>
      <c r="M36" s="123">
        <f>INDEX(Risks!Q$7:Q$15,MATCH('Options Analysis'!$C36,Risks!$B$7:$B$15,0))*10^-6*esc_24_26</f>
        <v>1.4555888082378441</v>
      </c>
      <c r="N36" s="123">
        <f>INDEX(Risks!R$7:R$15,MATCH('Options Analysis'!$C36,Risks!$B$7:$B$15,0))*10^-6*esc_24_26</f>
        <v>1.4847005844026011</v>
      </c>
      <c r="O36" s="123">
        <f>INDEX(Risks!S$7:S$15,MATCH('Options Analysis'!$C36,Risks!$B$7:$B$15,0))*10^-6*esc_24_26</f>
        <v>1.5143945960906533</v>
      </c>
      <c r="P36" s="123">
        <f>INDEX(Risks!T$7:T$15,MATCH('Options Analysis'!$C36,Risks!$B$7:$B$15,0))*10^-6*esc_24_26</f>
        <v>1.5446824880124665</v>
      </c>
      <c r="Q36" s="123">
        <f>INDEX(Risks!U$7:U$15,MATCH('Options Analysis'!$C36,Risks!$B$7:$B$15,0))*10^-6*esc_24_26</f>
        <v>1.5755761377727153</v>
      </c>
      <c r="R36" s="123">
        <f>INDEX(Risks!V$7:V$15,MATCH('Options Analysis'!$C36,Risks!$B$7:$B$15,0))*10^-6*esc_24_26</f>
        <v>1.6070876605281699</v>
      </c>
      <c r="S36" s="123">
        <f>INDEX(Risks!W$7:W$15,MATCH('Options Analysis'!$C36,Risks!$B$7:$B$15,0))*10^-6*esc_24_26</f>
        <v>1.6392294137387331</v>
      </c>
      <c r="T36" s="123">
        <f>INDEX(Risks!X$7:X$15,MATCH('Options Analysis'!$C36,Risks!$B$7:$B$15,0))*10^-6*esc_24_26</f>
        <v>1.6720140020135079</v>
      </c>
      <c r="U36" s="123">
        <f>INDEX(Risks!Y$7:Y$15,MATCH('Options Analysis'!$C36,Risks!$B$7:$B$15,0))*10^-6*esc_24_26</f>
        <v>1.7054542820537779</v>
      </c>
      <c r="V36" s="123">
        <f>INDEX(Risks!Z$7:Z$15,MATCH('Options Analysis'!$C36,Risks!$B$7:$B$15,0))*10^-6*esc_24_26</f>
        <v>1.7395633676948536</v>
      </c>
      <c r="W36" s="123">
        <f>INDEX(Risks!AA$7:AA$15,MATCH('Options Analysis'!$C36,Risks!$B$7:$B$15,0))*10^-6*esc_24_26</f>
        <v>1.7743546350487507</v>
      </c>
      <c r="X36" s="123">
        <f>INDEX(Risks!AB$7:AB$15,MATCH('Options Analysis'!$C36,Risks!$B$7:$B$15,0))*10^-6*esc_24_26</f>
        <v>1.8098417277497258</v>
      </c>
      <c r="Y36" s="123">
        <f>INDEX(Risks!AC$7:AC$15,MATCH('Options Analysis'!$C36,Risks!$B$7:$B$15,0))*10^-6*esc_24_26</f>
        <v>1.8460385623047206</v>
      </c>
      <c r="Z36" s="123">
        <f>INDEX(Risks!AD$7:AD$15,MATCH('Options Analysis'!$C36,Risks!$B$7:$B$15,0))*10^-6*esc_24_26</f>
        <v>1.882959333550815</v>
      </c>
      <c r="AA36" s="123">
        <f>INDEX(Risks!AE$7:AE$15,MATCH('Options Analysis'!$C36,Risks!$B$7:$B$15,0))*10^-6*esc_24_26</f>
        <v>1.9206185202218313</v>
      </c>
      <c r="AB36" s="123">
        <f>INDEX(Risks!AF$7:AF$15,MATCH('Options Analysis'!$C36,Risks!$B$7:$B$15,0))*10^-6*esc_24_26</f>
        <v>1.9590308906262677</v>
      </c>
      <c r="AC36" s="123">
        <f>INDEX(Risks!AG$7:AG$15,MATCH('Options Analysis'!$C36,Risks!$B$7:$B$15,0))*10^-6*esc_24_26</f>
        <v>1.9982115084387932</v>
      </c>
    </row>
    <row r="37" spans="2:29" x14ac:dyDescent="0.3">
      <c r="B37" s="111" t="s">
        <v>47</v>
      </c>
      <c r="C37" s="63" t="s">
        <v>77</v>
      </c>
      <c r="E37" s="123">
        <f>INDEX(Risks!I$7:I$15,MATCH('Options Analysis'!$C37,Risks!$B$7:$B$15,0))*10^-6*esc_24_26</f>
        <v>0</v>
      </c>
      <c r="F37" s="123">
        <f>INDEX(Risks!J$7:J$15,MATCH('Options Analysis'!$C37,Risks!$B$7:$B$15,0))*10^-6*esc_24_26</f>
        <v>0</v>
      </c>
      <c r="G37" s="123">
        <f>INDEX(Risks!K$7:K$15,MATCH('Options Analysis'!$C37,Risks!$B$7:$B$15,0))*10^-6*esc_24_26</f>
        <v>0</v>
      </c>
      <c r="H37" s="123">
        <f>INDEX(Risks!L$7:L$15,MATCH('Options Analysis'!$C37,Risks!$B$7:$B$15,0))*10^-6*esc_24_26</f>
        <v>0.96708123734687967</v>
      </c>
      <c r="I37" s="123">
        <f>INDEX(Risks!M$7:M$15,MATCH('Options Analysis'!$C37,Risks!$B$7:$B$15,0))*10^-6*esc_24_26</f>
        <v>0.9879274120975623</v>
      </c>
      <c r="J37" s="123">
        <f>INDEX(Risks!N$7:N$15,MATCH('Options Analysis'!$C37,Risks!$B$7:$B$15,0))*10^-6*esc_24_26</f>
        <v>1.0092229420678001</v>
      </c>
      <c r="K37" s="123">
        <f>INDEX(Risks!O$7:O$15,MATCH('Options Analysis'!$C37,Risks!$B$7:$B$15,0))*10^-6*esc_24_26</f>
        <v>1.0309775134525794</v>
      </c>
      <c r="L37" s="123">
        <f>INDEX(Risks!P$7:P$15,MATCH('Options Analysis'!$C37,Risks!$B$7:$B$15,0))*10^-6*esc_24_26</f>
        <v>1.053201021240217</v>
      </c>
      <c r="M37" s="123">
        <f>INDEX(Risks!Q$7:Q$15,MATCH('Options Analysis'!$C37,Risks!$B$7:$B$15,0))*10^-6*esc_24_26</f>
        <v>1.0759035737130616</v>
      </c>
      <c r="N37" s="123">
        <f>INDEX(Risks!R$7:R$15,MATCH('Options Analysis'!$C37,Risks!$B$7:$B$15,0))*10^-6*esc_24_26</f>
        <v>1.0990954970452083</v>
      </c>
      <c r="O37" s="123">
        <f>INDEX(Risks!S$7:S$15,MATCH('Options Analysis'!$C37,Risks!$B$7:$B$15,0))*10^-6*esc_24_26</f>
        <v>1.1227873399993225</v>
      </c>
      <c r="P37" s="123">
        <f>INDEX(Risks!T$7:T$15,MATCH('Options Analysis'!$C37,Risks!$B$7:$B$15,0))*10^-6*esc_24_26</f>
        <v>1.1469898787247059</v>
      </c>
      <c r="Q37" s="123">
        <f>INDEX(Risks!U$7:U$15,MATCH('Options Analysis'!$C37,Risks!$B$7:$B$15,0))*10^-6*esc_24_26</f>
        <v>1.1717141216587907</v>
      </c>
      <c r="R37" s="123">
        <f>INDEX(Risks!V$7:V$15,MATCH('Options Analysis'!$C37,Risks!$B$7:$B$15,0))*10^-6*esc_24_26</f>
        <v>1.1969713145342848</v>
      </c>
      <c r="S37" s="123">
        <f>INDEX(Risks!W$7:W$15,MATCH('Options Analysis'!$C37,Risks!$B$7:$B$15,0))*10^-6*esc_24_26</f>
        <v>1.2227729454942553</v>
      </c>
      <c r="T37" s="123">
        <f>INDEX(Risks!X$7:X$15,MATCH('Options Analysis'!$C37,Risks!$B$7:$B$15,0))*10^-6*esc_24_26</f>
        <v>1.249130750317468</v>
      </c>
      <c r="U37" s="123">
        <f>INDEX(Risks!Y$7:Y$15,MATCH('Options Analysis'!$C37,Risks!$B$7:$B$15,0))*10^-6*esc_24_26</f>
        <v>1.276056717756364</v>
      </c>
      <c r="V37" s="123">
        <f>INDEX(Risks!Z$7:Z$15,MATCH('Options Analysis'!$C37,Risks!$B$7:$B$15,0))*10^-6*esc_24_26</f>
        <v>1.3035630949901</v>
      </c>
      <c r="W37" s="123">
        <f>INDEX(Risks!AA$7:AA$15,MATCH('Options Analysis'!$C37,Risks!$B$7:$B$15,0))*10^-6*esc_24_26</f>
        <v>1.331662393195135</v>
      </c>
      <c r="X37" s="123">
        <f>INDEX(Risks!AB$7:AB$15,MATCH('Options Analysis'!$C37,Risks!$B$7:$B$15,0))*10^-6*esc_24_26</f>
        <v>1.3603673932358924</v>
      </c>
      <c r="Y37" s="123">
        <f>INDEX(Risks!AC$7:AC$15,MATCH('Options Analysis'!$C37,Risks!$B$7:$B$15,0))*10^-6*esc_24_26</f>
        <v>1.3896911514780907</v>
      </c>
      <c r="Z37" s="123">
        <f>INDEX(Risks!AD$7:AD$15,MATCH('Options Analysis'!$C37,Risks!$B$7:$B$15,0))*10^-6*esc_24_26</f>
        <v>1.419647005727384</v>
      </c>
      <c r="AA37" s="123">
        <f>INDEX(Risks!AE$7:AE$15,MATCH('Options Analysis'!$C37,Risks!$B$7:$B$15,0))*10^-6*esc_24_26</f>
        <v>1.4502485812960157</v>
      </c>
      <c r="AB37" s="123">
        <f>INDEX(Risks!AF$7:AF$15,MATCH('Options Analysis'!$C37,Risks!$B$7:$B$15,0))*10^-6*esc_24_26</f>
        <v>1.4815097972002411</v>
      </c>
      <c r="AC37" s="123">
        <f>INDEX(Risks!AG$7:AG$15,MATCH('Options Analysis'!$C37,Risks!$B$7:$B$15,0))*10^-6*esc_24_26</f>
        <v>1.5134448724913427</v>
      </c>
    </row>
    <row r="38" spans="2:29" x14ac:dyDescent="0.3">
      <c r="B38" s="111" t="s">
        <v>47</v>
      </c>
      <c r="C38" s="63" t="s">
        <v>155</v>
      </c>
      <c r="E38" s="123">
        <f>INDEX(Risks!I$7:I$15,MATCH('Options Analysis'!$C38,Risks!$B$7:$B$15,0))*10^-6*esc_24_26</f>
        <v>0</v>
      </c>
      <c r="F38" s="123">
        <f>INDEX(Risks!J$7:J$15,MATCH('Options Analysis'!$C38,Risks!$B$7:$B$15,0))*10^-6*esc_24_26</f>
        <v>0</v>
      </c>
      <c r="G38" s="123">
        <f>INDEX(Risks!K$7:K$15,MATCH('Options Analysis'!$C38,Risks!$B$7:$B$15,0))*10^-6*esc_24_26</f>
        <v>0</v>
      </c>
      <c r="H38" s="123">
        <f>INDEX(Risks!L$7:L$15,MATCH('Options Analysis'!$C38,Risks!$B$7:$B$15,0))*10^-6*esc_24_26</f>
        <v>0.46947413055641352</v>
      </c>
      <c r="I38" s="123">
        <f>INDEX(Risks!M$7:M$15,MATCH('Options Analysis'!$C38,Risks!$B$7:$B$15,0))*10^-6*esc_24_26</f>
        <v>0.46947413055641352</v>
      </c>
      <c r="J38" s="123">
        <f>INDEX(Risks!N$7:N$15,MATCH('Options Analysis'!$C38,Risks!$B$7:$B$15,0))*10^-6*esc_24_26</f>
        <v>0.46947413055641352</v>
      </c>
      <c r="K38" s="123">
        <f>INDEX(Risks!O$7:O$15,MATCH('Options Analysis'!$C38,Risks!$B$7:$B$15,0))*10^-6*esc_24_26</f>
        <v>0.46947413055641352</v>
      </c>
      <c r="L38" s="123">
        <f>INDEX(Risks!P$7:P$15,MATCH('Options Analysis'!$C38,Risks!$B$7:$B$15,0))*10^-6*esc_24_26</f>
        <v>0.46947413055641352</v>
      </c>
      <c r="M38" s="123">
        <f>INDEX(Risks!Q$7:Q$15,MATCH('Options Analysis'!$C38,Risks!$B$7:$B$15,0))*10^-6*esc_24_26</f>
        <v>0.46947413055641352</v>
      </c>
      <c r="N38" s="123">
        <f>INDEX(Risks!R$7:R$15,MATCH('Options Analysis'!$C38,Risks!$B$7:$B$15,0))*10^-6*esc_24_26</f>
        <v>0.46947413055641352</v>
      </c>
      <c r="O38" s="123">
        <f>INDEX(Risks!S$7:S$15,MATCH('Options Analysis'!$C38,Risks!$B$7:$B$15,0))*10^-6*esc_24_26</f>
        <v>0.46947413055641352</v>
      </c>
      <c r="P38" s="123">
        <f>INDEX(Risks!T$7:T$15,MATCH('Options Analysis'!$C38,Risks!$B$7:$B$15,0))*10^-6*esc_24_26</f>
        <v>0.46947413055641352</v>
      </c>
      <c r="Q38" s="123">
        <f>INDEX(Risks!U$7:U$15,MATCH('Options Analysis'!$C38,Risks!$B$7:$B$15,0))*10^-6*esc_24_26</f>
        <v>0.46947413055641352</v>
      </c>
      <c r="R38" s="123">
        <f>INDEX(Risks!V$7:V$15,MATCH('Options Analysis'!$C38,Risks!$B$7:$B$15,0))*10^-6*esc_24_26</f>
        <v>0.46947413055641352</v>
      </c>
      <c r="S38" s="123">
        <f>INDEX(Risks!W$7:W$15,MATCH('Options Analysis'!$C38,Risks!$B$7:$B$15,0))*10^-6*esc_24_26</f>
        <v>0.46947413055641352</v>
      </c>
      <c r="T38" s="123">
        <f>INDEX(Risks!X$7:X$15,MATCH('Options Analysis'!$C38,Risks!$B$7:$B$15,0))*10^-6*esc_24_26</f>
        <v>0.46947413055641352</v>
      </c>
      <c r="U38" s="123">
        <f>INDEX(Risks!Y$7:Y$15,MATCH('Options Analysis'!$C38,Risks!$B$7:$B$15,0))*10^-6*esc_24_26</f>
        <v>0.46947413055641352</v>
      </c>
      <c r="V38" s="123">
        <f>INDEX(Risks!Z$7:Z$15,MATCH('Options Analysis'!$C38,Risks!$B$7:$B$15,0))*10^-6*esc_24_26</f>
        <v>0.46947413055641352</v>
      </c>
      <c r="W38" s="123">
        <f>INDEX(Risks!AA$7:AA$15,MATCH('Options Analysis'!$C38,Risks!$B$7:$B$15,0))*10^-6*esc_24_26</f>
        <v>0.46947413055641352</v>
      </c>
      <c r="X38" s="123">
        <f>INDEX(Risks!AB$7:AB$15,MATCH('Options Analysis'!$C38,Risks!$B$7:$B$15,0))*10^-6*esc_24_26</f>
        <v>0.46947413055641352</v>
      </c>
      <c r="Y38" s="123">
        <f>INDEX(Risks!AC$7:AC$15,MATCH('Options Analysis'!$C38,Risks!$B$7:$B$15,0))*10^-6*esc_24_26</f>
        <v>0.46947413055641352</v>
      </c>
      <c r="Z38" s="123">
        <f>INDEX(Risks!AD$7:AD$15,MATCH('Options Analysis'!$C38,Risks!$B$7:$B$15,0))*10^-6*esc_24_26</f>
        <v>0.46947413055641352</v>
      </c>
      <c r="AA38" s="123">
        <f>INDEX(Risks!AE$7:AE$15,MATCH('Options Analysis'!$C38,Risks!$B$7:$B$15,0))*10^-6*esc_24_26</f>
        <v>0.46947413055641352</v>
      </c>
      <c r="AB38" s="123">
        <f>INDEX(Risks!AF$7:AF$15,MATCH('Options Analysis'!$C38,Risks!$B$7:$B$15,0))*10^-6*esc_24_26</f>
        <v>0.46947413055641352</v>
      </c>
      <c r="AC38" s="123">
        <f>INDEX(Risks!AG$7:AG$15,MATCH('Options Analysis'!$C38,Risks!$B$7:$B$15,0))*10^-6*esc_24_26</f>
        <v>0.46947413055641352</v>
      </c>
    </row>
    <row r="39" spans="2:29" x14ac:dyDescent="0.3">
      <c r="B39" s="111" t="s">
        <v>47</v>
      </c>
      <c r="C39" s="63" t="s">
        <v>80</v>
      </c>
      <c r="E39" s="123">
        <f>INDEX(Risks!I$7:I$15,MATCH('Options Analysis'!$C39,Risks!$B$7:$B$15,0))*10^-6*esc_24_26</f>
        <v>0</v>
      </c>
      <c r="F39" s="123">
        <f>INDEX(Risks!J$7:J$15,MATCH('Options Analysis'!$C39,Risks!$B$7:$B$15,0))*10^-6*esc_24_26</f>
        <v>0</v>
      </c>
      <c r="G39" s="123">
        <f>INDEX(Risks!K$7:K$15,MATCH('Options Analysis'!$C39,Risks!$B$7:$B$15,0))*10^-6*esc_24_26</f>
        <v>0</v>
      </c>
      <c r="H39" s="123">
        <f>INDEX(Risks!L$7:L$15,MATCH('Options Analysis'!$C39,Risks!$B$7:$B$15,0))*10^-6*esc_24_26</f>
        <v>0.25626320264259428</v>
      </c>
      <c r="I39" s="123">
        <f>INDEX(Risks!M$7:M$15,MATCH('Options Analysis'!$C39,Risks!$B$7:$B$15,0))*10^-6*esc_24_26</f>
        <v>0.25726737496261975</v>
      </c>
      <c r="J39" s="123">
        <f>INDEX(Risks!N$7:N$15,MATCH('Options Analysis'!$C39,Risks!$B$7:$B$15,0))*10^-6*esc_24_26</f>
        <v>0.25828158900584536</v>
      </c>
      <c r="K39" s="123">
        <f>INDEX(Risks!O$7:O$15,MATCH('Options Analysis'!$C39,Risks!$B$7:$B$15,0))*10^-6*esc_24_26</f>
        <v>0.25930594518950334</v>
      </c>
      <c r="L39" s="123">
        <f>INDEX(Risks!P$7:P$15,MATCH('Options Analysis'!$C39,Risks!$B$7:$B$15,0))*10^-6*esc_24_26</f>
        <v>0.26034054493499786</v>
      </c>
      <c r="M39" s="123">
        <f>INDEX(Risks!Q$7:Q$15,MATCH('Options Analysis'!$C39,Risks!$B$7:$B$15,0))*10^-6*esc_24_26</f>
        <v>0.26138549067794731</v>
      </c>
      <c r="N39" s="123">
        <f>INDEX(Risks!R$7:R$15,MATCH('Options Analysis'!$C39,Risks!$B$7:$B$15,0))*10^-6*esc_24_26</f>
        <v>0.26244088587832626</v>
      </c>
      <c r="O39" s="123">
        <f>INDEX(Risks!S$7:S$15,MATCH('Options Analysis'!$C39,Risks!$B$7:$B$15,0))*10^-6*esc_24_26</f>
        <v>0.26350683503070899</v>
      </c>
      <c r="P39" s="123">
        <f>INDEX(Risks!T$7:T$15,MATCH('Options Analysis'!$C39,Risks!$B$7:$B$15,0))*10^-6*esc_24_26</f>
        <v>0.2645834436746155</v>
      </c>
      <c r="Q39" s="123">
        <f>INDEX(Risks!U$7:U$15,MATCH('Options Analysis'!$C39,Risks!$B$7:$B$15,0))*10^-6*esc_24_26</f>
        <v>0.26567081840496121</v>
      </c>
      <c r="R39" s="123">
        <f>INDEX(Risks!V$7:V$15,MATCH('Options Analysis'!$C39,Risks!$B$7:$B$15,0))*10^-6*esc_24_26</f>
        <v>0.26676906688261026</v>
      </c>
      <c r="S39" s="123">
        <f>INDEX(Risks!W$7:W$15,MATCH('Options Analysis'!$C39,Risks!$B$7:$B$15,0))*10^-6*esc_24_26</f>
        <v>0.26787829784503586</v>
      </c>
      <c r="T39" s="123">
        <f>INDEX(Risks!X$7:X$15,MATCH('Options Analysis'!$C39,Risks!$B$7:$B$15,0))*10^-6*esc_24_26</f>
        <v>0.26899862111708572</v>
      </c>
      <c r="U39" s="123">
        <f>INDEX(Risks!Y$7:Y$15,MATCH('Options Analysis'!$C39,Risks!$B$7:$B$15,0))*10^-6*esc_24_26</f>
        <v>0.270130147621856</v>
      </c>
      <c r="V39" s="123">
        <f>INDEX(Risks!Z$7:Z$15,MATCH('Options Analysis'!$C39,Risks!$B$7:$B$15,0))*10^-6*esc_24_26</f>
        <v>0.2712729893916741</v>
      </c>
      <c r="W39" s="123">
        <f>INDEX(Risks!AA$7:AA$15,MATCH('Options Analysis'!$C39,Risks!$B$7:$B$15,0))*10^-6*esc_24_26</f>
        <v>0.27242725957919028</v>
      </c>
      <c r="X39" s="123">
        <f>INDEX(Risks!AB$7:AB$15,MATCH('Options Analysis'!$C39,Risks!$B$7:$B$15,0))*10^-6*esc_24_26</f>
        <v>0.27359307246858167</v>
      </c>
      <c r="Y39" s="123">
        <f>INDEX(Risks!AC$7:AC$15,MATCH('Options Analysis'!$C39,Risks!$B$7:$B$15,0))*10^-6*esc_24_26</f>
        <v>0.27477054348686691</v>
      </c>
      <c r="Z39" s="123">
        <f>INDEX(Risks!AD$7:AD$15,MATCH('Options Analysis'!$C39,Risks!$B$7:$B$15,0))*10^-6*esc_24_26</f>
        <v>0.27595978921533509</v>
      </c>
      <c r="AA39" s="123">
        <f>INDEX(Risks!AE$7:AE$15,MATCH('Options Analysis'!$C39,Risks!$B$7:$B$15,0))*10^-6*esc_24_26</f>
        <v>0.27716092740108789</v>
      </c>
      <c r="AB39" s="123">
        <f>INDEX(Risks!AF$7:AF$15,MATCH('Options Analysis'!$C39,Risks!$B$7:$B$15,0))*10^-6*esc_24_26</f>
        <v>0.27837407696869826</v>
      </c>
      <c r="AC39" s="123">
        <f>INDEX(Risks!AG$7:AG$15,MATCH('Options Analysis'!$C39,Risks!$B$7:$B$15,0))*10^-6*esc_24_26</f>
        <v>0.27959935803198477</v>
      </c>
    </row>
    <row r="40" spans="2:29" x14ac:dyDescent="0.3">
      <c r="B40" s="111" t="s">
        <v>47</v>
      </c>
      <c r="C40" s="63" t="s">
        <v>81</v>
      </c>
      <c r="E40" s="123">
        <f>INDEX(Risks!I$7:I$15,MATCH('Options Analysis'!$C40,Risks!$B$7:$B$15,0))*10^-6*esc_24_26</f>
        <v>0</v>
      </c>
      <c r="F40" s="123">
        <f>INDEX(Risks!J$7:J$15,MATCH('Options Analysis'!$C40,Risks!$B$7:$B$15,0))*10^-6*esc_24_26</f>
        <v>0</v>
      </c>
      <c r="G40" s="123">
        <f>INDEX(Risks!K$7:K$15,MATCH('Options Analysis'!$C40,Risks!$B$7:$B$15,0))*10^-6*esc_24_26</f>
        <v>0</v>
      </c>
      <c r="H40" s="123">
        <f>INDEX(Risks!L$7:L$15,MATCH('Options Analysis'!$C40,Risks!$B$7:$B$15,0))*10^-6*esc_24_26</f>
        <v>0.20145102543549548</v>
      </c>
      <c r="I40" s="123">
        <f>INDEX(Risks!M$7:M$15,MATCH('Options Analysis'!$C40,Risks!$B$7:$B$15,0))*10^-6*esc_24_26</f>
        <v>0.20145102543549548</v>
      </c>
      <c r="J40" s="123">
        <f>INDEX(Risks!N$7:N$15,MATCH('Options Analysis'!$C40,Risks!$B$7:$B$15,0))*10^-6*esc_24_26</f>
        <v>0.20145102543549548</v>
      </c>
      <c r="K40" s="123">
        <f>INDEX(Risks!O$7:O$15,MATCH('Options Analysis'!$C40,Risks!$B$7:$B$15,0))*10^-6*esc_24_26</f>
        <v>0.20145102543549548</v>
      </c>
      <c r="L40" s="123">
        <f>INDEX(Risks!P$7:P$15,MATCH('Options Analysis'!$C40,Risks!$B$7:$B$15,0))*10^-6*esc_24_26</f>
        <v>0.20145102543549548</v>
      </c>
      <c r="M40" s="123">
        <f>INDEX(Risks!Q$7:Q$15,MATCH('Options Analysis'!$C40,Risks!$B$7:$B$15,0))*10^-6*esc_24_26</f>
        <v>0.20145102543549548</v>
      </c>
      <c r="N40" s="123">
        <f>INDEX(Risks!R$7:R$15,MATCH('Options Analysis'!$C40,Risks!$B$7:$B$15,0))*10^-6*esc_24_26</f>
        <v>0.20145102543549548</v>
      </c>
      <c r="O40" s="123">
        <f>INDEX(Risks!S$7:S$15,MATCH('Options Analysis'!$C40,Risks!$B$7:$B$15,0))*10^-6*esc_24_26</f>
        <v>0.20145102543549548</v>
      </c>
      <c r="P40" s="123">
        <f>INDEX(Risks!T$7:T$15,MATCH('Options Analysis'!$C40,Risks!$B$7:$B$15,0))*10^-6*esc_24_26</f>
        <v>0.20145102543549548</v>
      </c>
      <c r="Q40" s="123">
        <f>INDEX(Risks!U$7:U$15,MATCH('Options Analysis'!$C40,Risks!$B$7:$B$15,0))*10^-6*esc_24_26</f>
        <v>0.20145102543549548</v>
      </c>
      <c r="R40" s="123">
        <f>INDEX(Risks!V$7:V$15,MATCH('Options Analysis'!$C40,Risks!$B$7:$B$15,0))*10^-6*esc_24_26</f>
        <v>0.20145102543549548</v>
      </c>
      <c r="S40" s="123">
        <f>INDEX(Risks!W$7:W$15,MATCH('Options Analysis'!$C40,Risks!$B$7:$B$15,0))*10^-6*esc_24_26</f>
        <v>0.20145102543549548</v>
      </c>
      <c r="T40" s="123">
        <f>INDEX(Risks!X$7:X$15,MATCH('Options Analysis'!$C40,Risks!$B$7:$B$15,0))*10^-6*esc_24_26</f>
        <v>0.20145102543549548</v>
      </c>
      <c r="U40" s="123">
        <f>INDEX(Risks!Y$7:Y$15,MATCH('Options Analysis'!$C40,Risks!$B$7:$B$15,0))*10^-6*esc_24_26</f>
        <v>0.20145102543549548</v>
      </c>
      <c r="V40" s="123">
        <f>INDEX(Risks!Z$7:Z$15,MATCH('Options Analysis'!$C40,Risks!$B$7:$B$15,0))*10^-6*esc_24_26</f>
        <v>0.20145102543549548</v>
      </c>
      <c r="W40" s="123">
        <f>INDEX(Risks!AA$7:AA$15,MATCH('Options Analysis'!$C40,Risks!$B$7:$B$15,0))*10^-6*esc_24_26</f>
        <v>0.20145102543549548</v>
      </c>
      <c r="X40" s="123">
        <f>INDEX(Risks!AB$7:AB$15,MATCH('Options Analysis'!$C40,Risks!$B$7:$B$15,0))*10^-6*esc_24_26</f>
        <v>0.20145102543549548</v>
      </c>
      <c r="Y40" s="123">
        <f>INDEX(Risks!AC$7:AC$15,MATCH('Options Analysis'!$C40,Risks!$B$7:$B$15,0))*10^-6*esc_24_26</f>
        <v>0.20145102543549548</v>
      </c>
      <c r="Z40" s="123">
        <f>INDEX(Risks!AD$7:AD$15,MATCH('Options Analysis'!$C40,Risks!$B$7:$B$15,0))*10^-6*esc_24_26</f>
        <v>0.20145102543549548</v>
      </c>
      <c r="AA40" s="123">
        <f>INDEX(Risks!AE$7:AE$15,MATCH('Options Analysis'!$C40,Risks!$B$7:$B$15,0))*10^-6*esc_24_26</f>
        <v>0.20145102543549548</v>
      </c>
      <c r="AB40" s="123">
        <f>INDEX(Risks!AF$7:AF$15,MATCH('Options Analysis'!$C40,Risks!$B$7:$B$15,0))*10^-6*esc_24_26</f>
        <v>0.20145102543549548</v>
      </c>
      <c r="AC40" s="123">
        <f>INDEX(Risks!AG$7:AG$15,MATCH('Options Analysis'!$C40,Risks!$B$7:$B$15,0))*10^-6*esc_24_26</f>
        <v>0.20145102543549548</v>
      </c>
    </row>
    <row r="41" spans="2:29" x14ac:dyDescent="0.3">
      <c r="B41" s="111" t="s">
        <v>47</v>
      </c>
      <c r="C41" s="63" t="s">
        <v>82</v>
      </c>
      <c r="E41" s="123">
        <f>INDEX(Risks!I$7:I$15,MATCH('Options Analysis'!$C41,Risks!$B$7:$B$15,0))*10^-6*esc_24_26</f>
        <v>0</v>
      </c>
      <c r="F41" s="123">
        <f>INDEX(Risks!J$7:J$15,MATCH('Options Analysis'!$C41,Risks!$B$7:$B$15,0))*10^-6*esc_24_26</f>
        <v>0</v>
      </c>
      <c r="G41" s="123">
        <f>INDEX(Risks!K$7:K$15,MATCH('Options Analysis'!$C41,Risks!$B$7:$B$15,0))*10^-6*esc_24_26</f>
        <v>0</v>
      </c>
      <c r="H41" s="123">
        <f>INDEX(Risks!L$7:L$15,MATCH('Options Analysis'!$C41,Risks!$B$7:$B$15,0))*10^-6*esc_24_26</f>
        <v>7.4909207808298017E-2</v>
      </c>
      <c r="I41" s="123">
        <f>INDEX(Risks!M$7:M$15,MATCH('Options Analysis'!$C41,Risks!$B$7:$B$15,0))*10^-6*esc_24_26</f>
        <v>7.4909207808298017E-2</v>
      </c>
      <c r="J41" s="123">
        <f>INDEX(Risks!N$7:N$15,MATCH('Options Analysis'!$C41,Risks!$B$7:$B$15,0))*10^-6*esc_24_26</f>
        <v>7.4909207808298017E-2</v>
      </c>
      <c r="K41" s="123">
        <f>INDEX(Risks!O$7:O$15,MATCH('Options Analysis'!$C41,Risks!$B$7:$B$15,0))*10^-6*esc_24_26</f>
        <v>7.4909207808298017E-2</v>
      </c>
      <c r="L41" s="123">
        <f>INDEX(Risks!P$7:P$15,MATCH('Options Analysis'!$C41,Risks!$B$7:$B$15,0))*10^-6*esc_24_26</f>
        <v>7.4909207808298017E-2</v>
      </c>
      <c r="M41" s="123">
        <f>INDEX(Risks!Q$7:Q$15,MATCH('Options Analysis'!$C41,Risks!$B$7:$B$15,0))*10^-6*esc_24_26</f>
        <v>7.4909207808298017E-2</v>
      </c>
      <c r="N41" s="123">
        <f>INDEX(Risks!R$7:R$15,MATCH('Options Analysis'!$C41,Risks!$B$7:$B$15,0))*10^-6*esc_24_26</f>
        <v>7.4909207808298017E-2</v>
      </c>
      <c r="O41" s="123">
        <f>INDEX(Risks!S$7:S$15,MATCH('Options Analysis'!$C41,Risks!$B$7:$B$15,0))*10^-6*esc_24_26</f>
        <v>7.4909207808298017E-2</v>
      </c>
      <c r="P41" s="123">
        <f>INDEX(Risks!T$7:T$15,MATCH('Options Analysis'!$C41,Risks!$B$7:$B$15,0))*10^-6*esc_24_26</f>
        <v>7.4909207808298017E-2</v>
      </c>
      <c r="Q41" s="123">
        <f>INDEX(Risks!U$7:U$15,MATCH('Options Analysis'!$C41,Risks!$B$7:$B$15,0))*10^-6*esc_24_26</f>
        <v>7.4909207808298017E-2</v>
      </c>
      <c r="R41" s="123">
        <f>INDEX(Risks!V$7:V$15,MATCH('Options Analysis'!$C41,Risks!$B$7:$B$15,0))*10^-6*esc_24_26</f>
        <v>7.4909207808298017E-2</v>
      </c>
      <c r="S41" s="123">
        <f>INDEX(Risks!W$7:W$15,MATCH('Options Analysis'!$C41,Risks!$B$7:$B$15,0))*10^-6*esc_24_26</f>
        <v>7.4909207808298017E-2</v>
      </c>
      <c r="T41" s="123">
        <f>INDEX(Risks!X$7:X$15,MATCH('Options Analysis'!$C41,Risks!$B$7:$B$15,0))*10^-6*esc_24_26</f>
        <v>7.4909207808298017E-2</v>
      </c>
      <c r="U41" s="123">
        <f>INDEX(Risks!Y$7:Y$15,MATCH('Options Analysis'!$C41,Risks!$B$7:$B$15,0))*10^-6*esc_24_26</f>
        <v>7.4909207808298017E-2</v>
      </c>
      <c r="V41" s="123">
        <f>INDEX(Risks!Z$7:Z$15,MATCH('Options Analysis'!$C41,Risks!$B$7:$B$15,0))*10^-6*esc_24_26</f>
        <v>7.4909207808298017E-2</v>
      </c>
      <c r="W41" s="123">
        <f>INDEX(Risks!AA$7:AA$15,MATCH('Options Analysis'!$C41,Risks!$B$7:$B$15,0))*10^-6*esc_24_26</f>
        <v>7.4909207808298017E-2</v>
      </c>
      <c r="X41" s="123">
        <f>INDEX(Risks!AB$7:AB$15,MATCH('Options Analysis'!$C41,Risks!$B$7:$B$15,0))*10^-6*esc_24_26</f>
        <v>7.4909207808298017E-2</v>
      </c>
      <c r="Y41" s="123">
        <f>INDEX(Risks!AC$7:AC$15,MATCH('Options Analysis'!$C41,Risks!$B$7:$B$15,0))*10^-6*esc_24_26</f>
        <v>7.4909207808298017E-2</v>
      </c>
      <c r="Z41" s="123">
        <f>INDEX(Risks!AD$7:AD$15,MATCH('Options Analysis'!$C41,Risks!$B$7:$B$15,0))*10^-6*esc_24_26</f>
        <v>7.4909207808298017E-2</v>
      </c>
      <c r="AA41" s="123">
        <f>INDEX(Risks!AE$7:AE$15,MATCH('Options Analysis'!$C41,Risks!$B$7:$B$15,0))*10^-6*esc_24_26</f>
        <v>7.4909207808298017E-2</v>
      </c>
      <c r="AB41" s="123">
        <f>INDEX(Risks!AF$7:AF$15,MATCH('Options Analysis'!$C41,Risks!$B$7:$B$15,0))*10^-6*esc_24_26</f>
        <v>7.4909207808298017E-2</v>
      </c>
      <c r="AC41" s="123">
        <f>INDEX(Risks!AG$7:AG$15,MATCH('Options Analysis'!$C41,Risks!$B$7:$B$15,0))*10^-6*esc_24_26</f>
        <v>7.4909207808298017E-2</v>
      </c>
    </row>
    <row r="42" spans="2:29" x14ac:dyDescent="0.3">
      <c r="B42" s="124" t="s">
        <v>208</v>
      </c>
      <c r="C42" s="124"/>
      <c r="D42" s="124"/>
      <c r="E42" s="125">
        <f>SUM(E35:E41)</f>
        <v>0</v>
      </c>
      <c r="F42" s="125">
        <f t="shared" ref="F42:AC42" si="2">SUM(F35:F41)</f>
        <v>0</v>
      </c>
      <c r="G42" s="125">
        <f t="shared" si="2"/>
        <v>0</v>
      </c>
      <c r="H42" s="125">
        <f t="shared" si="2"/>
        <v>4.7323111634246704</v>
      </c>
      <c r="I42" s="125">
        <f t="shared" si="2"/>
        <v>4.8103744609679655</v>
      </c>
      <c r="J42" s="125">
        <f t="shared" si="2"/>
        <v>4.8900418989765324</v>
      </c>
      <c r="K42" s="125">
        <f t="shared" si="2"/>
        <v>4.9713466004923603</v>
      </c>
      <c r="L42" s="125">
        <f t="shared" si="2"/>
        <v>5.0543223746016963</v>
      </c>
      <c r="M42" s="125">
        <f t="shared" si="2"/>
        <v>5.1390037306758707</v>
      </c>
      <c r="N42" s="125">
        <f t="shared" si="2"/>
        <v>5.2254258929083086</v>
      </c>
      <c r="O42" s="125">
        <f t="shared" si="2"/>
        <v>5.3136248151538101</v>
      </c>
      <c r="P42" s="125">
        <f t="shared" si="2"/>
        <v>5.4036371960764598</v>
      </c>
      <c r="Q42" s="125">
        <f t="shared" si="2"/>
        <v>5.4955004946125694</v>
      </c>
      <c r="R42" s="125">
        <f t="shared" si="2"/>
        <v>5.5892529457552076</v>
      </c>
      <c r="S42" s="125">
        <f t="shared" si="2"/>
        <v>5.6849335766670244</v>
      </c>
      <c r="T42" s="125">
        <f t="shared" si="2"/>
        <v>5.7825822231282231</v>
      </c>
      <c r="U42" s="125">
        <f t="shared" si="2"/>
        <v>5.8822395463266393</v>
      </c>
      <c r="V42" s="125">
        <f t="shared" si="2"/>
        <v>5.983947049997056</v>
      </c>
      <c r="W42" s="125">
        <f t="shared" si="2"/>
        <v>6.0877470979170507</v>
      </c>
      <c r="X42" s="125">
        <f t="shared" si="2"/>
        <v>6.1936829317667819</v>
      </c>
      <c r="Y42" s="125">
        <f t="shared" si="2"/>
        <v>6.3017986893603037</v>
      </c>
      <c r="Z42" s="125">
        <f t="shared" si="2"/>
        <v>6.4121394232561517</v>
      </c>
      <c r="AA42" s="125">
        <f t="shared" si="2"/>
        <v>6.524751119755102</v>
      </c>
      <c r="AB42" s="125">
        <f t="shared" si="2"/>
        <v>6.639680718293171</v>
      </c>
      <c r="AC42" s="125">
        <f t="shared" si="2"/>
        <v>6.7569761312380816</v>
      </c>
    </row>
    <row r="44" spans="2:29" x14ac:dyDescent="0.3">
      <c r="B44" s="121" t="str">
        <f>"Total cost of "&amp;INDEX('Reg Assumptions '!$C$14:$C$16,MATCH(B27,'Reg Assumptions '!$B$14:$B$16,0))</f>
        <v>Total cost of Redevelop existing site</v>
      </c>
      <c r="C44" s="108"/>
      <c r="D44" s="108"/>
      <c r="E44" s="125">
        <f>E32+E42</f>
        <v>-8.2279224373686226</v>
      </c>
      <c r="F44" s="125">
        <f t="shared" ref="F44:AC44" si="3">F32+F42</f>
        <v>-24.379385034225184</v>
      </c>
      <c r="G44" s="125">
        <f t="shared" si="3"/>
        <v>-17.44237748052409</v>
      </c>
      <c r="H44" s="125">
        <f t="shared" si="3"/>
        <v>4.7323111634246704</v>
      </c>
      <c r="I44" s="125">
        <f t="shared" si="3"/>
        <v>4.8103744609679655</v>
      </c>
      <c r="J44" s="125">
        <f t="shared" si="3"/>
        <v>4.8900418989765324</v>
      </c>
      <c r="K44" s="125">
        <f t="shared" si="3"/>
        <v>4.9713466004923603</v>
      </c>
      <c r="L44" s="125">
        <f t="shared" si="3"/>
        <v>5.0543223746016963</v>
      </c>
      <c r="M44" s="125">
        <f t="shared" si="3"/>
        <v>5.1390037306758707</v>
      </c>
      <c r="N44" s="125">
        <f t="shared" si="3"/>
        <v>5.2254258929083086</v>
      </c>
      <c r="O44" s="125">
        <f t="shared" si="3"/>
        <v>5.3136248151538101</v>
      </c>
      <c r="P44" s="125">
        <f t="shared" si="3"/>
        <v>5.4036371960764598</v>
      </c>
      <c r="Q44" s="125">
        <f t="shared" si="3"/>
        <v>5.4955004946125694</v>
      </c>
      <c r="R44" s="125">
        <f t="shared" si="3"/>
        <v>5.5892529457552076</v>
      </c>
      <c r="S44" s="125">
        <f t="shared" si="3"/>
        <v>5.6849335766670244</v>
      </c>
      <c r="T44" s="125">
        <f t="shared" si="3"/>
        <v>5.7825822231282231</v>
      </c>
      <c r="U44" s="125">
        <f t="shared" si="3"/>
        <v>5.8822395463266393</v>
      </c>
      <c r="V44" s="125">
        <f t="shared" si="3"/>
        <v>5.983947049997056</v>
      </c>
      <c r="W44" s="125">
        <f t="shared" si="3"/>
        <v>6.0877470979170507</v>
      </c>
      <c r="X44" s="125">
        <f t="shared" si="3"/>
        <v>6.1936829317667819</v>
      </c>
      <c r="Y44" s="125">
        <f t="shared" si="3"/>
        <v>6.3017986893603037</v>
      </c>
      <c r="Z44" s="125">
        <f t="shared" si="3"/>
        <v>6.4121394232561517</v>
      </c>
      <c r="AA44" s="125">
        <f t="shared" si="3"/>
        <v>6.524751119755102</v>
      </c>
      <c r="AB44" s="125">
        <f t="shared" si="3"/>
        <v>6.639680718293171</v>
      </c>
      <c r="AC44" s="125">
        <f t="shared" si="3"/>
        <v>6.7569761312380816</v>
      </c>
    </row>
    <row r="46" spans="2:29" x14ac:dyDescent="0.3">
      <c r="B46" s="71" t="s">
        <v>204</v>
      </c>
      <c r="C46" s="88">
        <f>NPV(real_disc,E32:AC32)</f>
        <v>-46.440125450234461</v>
      </c>
    </row>
    <row r="47" spans="2:29" x14ac:dyDescent="0.3">
      <c r="B47" s="71" t="s">
        <v>205</v>
      </c>
      <c r="C47" s="88">
        <f>NPV(real_disc,E42:AC42)</f>
        <v>75.854821883688217</v>
      </c>
    </row>
    <row r="48" spans="2:29" ht="13.5" thickBot="1" x14ac:dyDescent="0.35">
      <c r="B48" s="126" t="s">
        <v>198</v>
      </c>
      <c r="C48" s="127">
        <f>NPV(real_disc,E44:AC44)</f>
        <v>29.414696433453749</v>
      </c>
    </row>
    <row r="49" spans="2:29" ht="13.5" thickTop="1" x14ac:dyDescent="0.3"/>
    <row r="51" spans="2:29" x14ac:dyDescent="0.3">
      <c r="B51" s="38" t="s">
        <v>39</v>
      </c>
      <c r="C51" s="38" t="str">
        <f>INDEX('Reg Assumptions '!$C$14:$C$16,MATCH(B51,'Reg Assumptions '!$B$14:$B$16,0))</f>
        <v>Develop greenfield site</v>
      </c>
      <c r="D51" s="38"/>
      <c r="E51" s="40" t="s">
        <v>23</v>
      </c>
      <c r="F51" s="40" t="s">
        <v>24</v>
      </c>
      <c r="G51" s="40" t="s">
        <v>25</v>
      </c>
      <c r="H51" s="40" t="s">
        <v>26</v>
      </c>
      <c r="I51" s="40" t="s">
        <v>27</v>
      </c>
      <c r="J51" s="40" t="s">
        <v>56</v>
      </c>
      <c r="K51" s="40" t="s">
        <v>57</v>
      </c>
      <c r="L51" s="40" t="s">
        <v>58</v>
      </c>
      <c r="M51" s="40" t="s">
        <v>59</v>
      </c>
      <c r="N51" s="40" t="s">
        <v>60</v>
      </c>
      <c r="O51" s="40" t="s">
        <v>61</v>
      </c>
      <c r="P51" s="40" t="s">
        <v>62</v>
      </c>
      <c r="Q51" s="40" t="s">
        <v>63</v>
      </c>
      <c r="R51" s="40" t="s">
        <v>64</v>
      </c>
      <c r="S51" s="40" t="s">
        <v>65</v>
      </c>
      <c r="T51" s="40" t="s">
        <v>66</v>
      </c>
      <c r="U51" s="40" t="s">
        <v>67</v>
      </c>
      <c r="V51" s="40" t="s">
        <v>68</v>
      </c>
      <c r="W51" s="40" t="s">
        <v>69</v>
      </c>
      <c r="X51" s="40" t="s">
        <v>70</v>
      </c>
      <c r="Y51" s="40" t="s">
        <v>71</v>
      </c>
      <c r="Z51" s="40" t="s">
        <v>72</v>
      </c>
      <c r="AA51" s="40" t="s">
        <v>73</v>
      </c>
      <c r="AB51" s="40" t="s">
        <v>74</v>
      </c>
      <c r="AC51" s="40" t="s">
        <v>75</v>
      </c>
    </row>
    <row r="53" spans="2:29" x14ac:dyDescent="0.3">
      <c r="B53" s="63" t="s">
        <v>202</v>
      </c>
      <c r="E53" s="123">
        <f>-Costs!J62*10^-6*esc_24_26</f>
        <v>-19.727358330681721</v>
      </c>
      <c r="F53" s="123">
        <f>-Costs!K62*10^-6*esc_24_26</f>
        <v>-18.036413554562618</v>
      </c>
      <c r="G53" s="123">
        <f>-Costs!L62*10^-6*esc_24_26</f>
        <v>-15.529620149229743</v>
      </c>
      <c r="H53" s="123">
        <v>0</v>
      </c>
      <c r="I53" s="123">
        <v>0</v>
      </c>
      <c r="J53" s="123">
        <v>0</v>
      </c>
      <c r="K53" s="123">
        <v>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3">
        <v>0</v>
      </c>
      <c r="T53" s="123">
        <v>0</v>
      </c>
      <c r="U53" s="123">
        <v>0</v>
      </c>
      <c r="V53" s="123">
        <v>0</v>
      </c>
      <c r="W53" s="123">
        <v>0</v>
      </c>
      <c r="X53" s="123">
        <v>0</v>
      </c>
      <c r="Y53" s="123">
        <v>0</v>
      </c>
      <c r="Z53" s="123">
        <v>0</v>
      </c>
      <c r="AA53" s="123">
        <v>0</v>
      </c>
      <c r="AB53" s="123">
        <v>0</v>
      </c>
      <c r="AC53" s="123">
        <v>0</v>
      </c>
    </row>
    <row r="54" spans="2:29" x14ac:dyDescent="0.3">
      <c r="B54" s="63" t="s">
        <v>206</v>
      </c>
    </row>
    <row r="55" spans="2:29" x14ac:dyDescent="0.3">
      <c r="B55" s="111" t="s">
        <v>47</v>
      </c>
      <c r="C55" s="63" t="s">
        <v>85</v>
      </c>
      <c r="E55" s="123">
        <f>-INDEX(Risks!I$7:I$15,MATCH('Options Analysis'!$C55,Risks!$B$7:$B$15,0))*10^-6*esc_24_26</f>
        <v>-0.3055956353594983</v>
      </c>
      <c r="F55" s="123">
        <f>-INDEX(Risks!J$7:J$15,MATCH('Options Analysis'!$C55,Risks!$B$7:$B$15,0))*10^-6*esc_24_26</f>
        <v>-0.30573455613556438</v>
      </c>
      <c r="G55" s="123">
        <f>-INDEX(Risks!K$7:K$15,MATCH('Options Analysis'!$C55,Risks!$B$7:$B$15,0))*10^-6*esc_24_26</f>
        <v>-0.30587647145506963</v>
      </c>
      <c r="H55" s="123">
        <f>-INDEX(Risks!L$7:L$15,MATCH('Options Analysis'!$C55,Risks!$B$7:$B$15,0))*10^-6*esc_24_26</f>
        <v>-0.30602144586768504</v>
      </c>
      <c r="I55" s="123">
        <f>-INDEX(Risks!M$7:M$15,MATCH('Options Analysis'!$C55,Risks!$B$7:$B$15,0))*10^-6*esc_24_26</f>
        <v>-0.30616954531449919</v>
      </c>
      <c r="J55" s="123">
        <f>-INDEX(Risks!N$7:N$15,MATCH('Options Analysis'!$C55,Risks!$B$7:$B$15,0))*10^-6*esc_24_26</f>
        <v>-0.30632083715801145</v>
      </c>
      <c r="K55" s="123">
        <f>-INDEX(Risks!O$7:O$15,MATCH('Options Analysis'!$C55,Risks!$B$7:$B$15,0))*10^-6*esc_24_26</f>
        <v>-0.30647539021277082</v>
      </c>
      <c r="L55" s="123">
        <f>-INDEX(Risks!P$7:P$15,MATCH('Options Analysis'!$C55,Risks!$B$7:$B$15,0))*10^-6*esc_24_26</f>
        <v>-0.3066332747766769</v>
      </c>
      <c r="M55" s="123">
        <f>-INDEX(Risks!Q$7:Q$15,MATCH('Options Analysis'!$C55,Risks!$B$7:$B$15,0))*10^-6*esc_24_26</f>
        <v>-0.30679456266295391</v>
      </c>
      <c r="N55" s="123">
        <f>-INDEX(Risks!R$7:R$15,MATCH('Options Analysis'!$C55,Risks!$B$7:$B$15,0))*10^-6*esc_24_26</f>
        <v>-0.30695932723281516</v>
      </c>
      <c r="O55" s="123">
        <f>-INDEX(Risks!S$7:S$15,MATCH('Options Analysis'!$C55,Risks!$B$7:$B$15,0))*10^-6*esc_24_26</f>
        <v>-0.30712764342883092</v>
      </c>
      <c r="P55" s="123">
        <f>-INDEX(Risks!T$7:T$15,MATCH('Options Analysis'!$C55,Risks!$B$7:$B$15,0))*10^-6*esc_24_26</f>
        <v>-0.30729958780901567</v>
      </c>
      <c r="Q55" s="123">
        <f>-INDEX(Risks!U$7:U$15,MATCH('Options Analysis'!$C55,Risks!$B$7:$B$15,0))*10^-6*esc_24_26</f>
        <v>-0.30747523858165055</v>
      </c>
      <c r="R55" s="123">
        <f>-INDEX(Risks!V$7:V$15,MATCH('Options Analysis'!$C55,Risks!$B$7:$B$15,0))*10^-6*esc_24_26</f>
        <v>-0.3076546756408558</v>
      </c>
      <c r="S55" s="123">
        <f>-INDEX(Risks!W$7:W$15,MATCH('Options Analysis'!$C55,Risks!$B$7:$B$15,0))*10^-6*esc_24_26</f>
        <v>-0.30783798060293049</v>
      </c>
      <c r="T55" s="123">
        <f>-INDEX(Risks!X$7:X$15,MATCH('Options Analysis'!$C55,Risks!$B$7:$B$15,0))*10^-6*esc_24_26</f>
        <v>-0.30802523684347544</v>
      </c>
      <c r="U55" s="123">
        <f>-INDEX(Risks!Y$7:Y$15,MATCH('Options Analysis'!$C55,Risks!$B$7:$B$15,0))*10^-6*esc_24_26</f>
        <v>-0.30821652953531609</v>
      </c>
      <c r="V55" s="123">
        <f>-INDEX(Risks!Z$7:Z$15,MATCH('Options Analysis'!$C55,Risks!$B$7:$B$15,0))*10^-6*esc_24_26</f>
        <v>-0.30841194568724328</v>
      </c>
      <c r="W55" s="123">
        <f>-INDEX(Risks!AA$7:AA$15,MATCH('Options Analysis'!$C55,Risks!$B$7:$B$15,0))*10^-6*esc_24_26</f>
        <v>-0.30861157418358875</v>
      </c>
      <c r="X55" s="123">
        <f>-INDEX(Risks!AB$7:AB$15,MATCH('Options Analysis'!$C55,Risks!$B$7:$B$15,0))*10^-6*esc_24_26</f>
        <v>-0.30881550582465395</v>
      </c>
      <c r="Y55" s="123">
        <f>-INDEX(Risks!AC$7:AC$15,MATCH('Options Analysis'!$C55,Risks!$B$7:$B$15,0))*10^-6*esc_24_26</f>
        <v>-0.3090238333680102</v>
      </c>
      <c r="Z55" s="123">
        <f>-INDEX(Risks!AD$7:AD$15,MATCH('Options Analysis'!$C55,Risks!$B$7:$B$15,0))*10^-6*esc_24_26</f>
        <v>-0.30923665157068897</v>
      </c>
      <c r="AA55" s="123">
        <f>-INDEX(Risks!AE$7:AE$15,MATCH('Options Analysis'!$C55,Risks!$B$7:$B$15,0))*10^-6*esc_24_26</f>
        <v>-0.30945405723228209</v>
      </c>
      <c r="AB55" s="123">
        <f>-INDEX(Risks!AF$7:AF$15,MATCH('Options Analysis'!$C55,Risks!$B$7:$B$15,0))*10^-6*esc_24_26</f>
        <v>-0.30967614923897052</v>
      </c>
      <c r="AC55" s="123">
        <f>-INDEX(Risks!AG$7:AG$15,MATCH('Options Analysis'!$C55,Risks!$B$7:$B$15,0))*10^-6*esc_24_26</f>
        <v>-0.30990302860850222</v>
      </c>
    </row>
    <row r="56" spans="2:29" x14ac:dyDescent="0.3">
      <c r="B56" s="124" t="s">
        <v>207</v>
      </c>
      <c r="C56" s="124"/>
      <c r="D56" s="124"/>
      <c r="E56" s="125">
        <f>E53+E55</f>
        <v>-20.032953966041219</v>
      </c>
      <c r="F56" s="125">
        <f t="shared" ref="F56" si="4">F53+F55</f>
        <v>-18.342148110698183</v>
      </c>
      <c r="G56" s="125">
        <f t="shared" ref="G56" si="5">G53+G55</f>
        <v>-15.835496620684813</v>
      </c>
      <c r="H56" s="125">
        <f t="shared" ref="H56" si="6">H53+H55</f>
        <v>-0.30602144586768504</v>
      </c>
      <c r="I56" s="125">
        <f t="shared" ref="I56" si="7">I53+I55</f>
        <v>-0.30616954531449919</v>
      </c>
      <c r="J56" s="125">
        <f t="shared" ref="J56" si="8">J53+J55</f>
        <v>-0.30632083715801145</v>
      </c>
      <c r="K56" s="125">
        <f t="shared" ref="K56" si="9">K53+K55</f>
        <v>-0.30647539021277082</v>
      </c>
      <c r="L56" s="125">
        <f t="shared" ref="L56" si="10">L53+L55</f>
        <v>-0.3066332747766769</v>
      </c>
      <c r="M56" s="125">
        <f t="shared" ref="M56" si="11">M53+M55</f>
        <v>-0.30679456266295391</v>
      </c>
      <c r="N56" s="125">
        <f t="shared" ref="N56" si="12">N53+N55</f>
        <v>-0.30695932723281516</v>
      </c>
      <c r="O56" s="125">
        <f t="shared" ref="O56" si="13">O53+O55</f>
        <v>-0.30712764342883092</v>
      </c>
      <c r="P56" s="125">
        <f t="shared" ref="P56" si="14">P53+P55</f>
        <v>-0.30729958780901567</v>
      </c>
      <c r="Q56" s="125">
        <f t="shared" ref="Q56" si="15">Q53+Q55</f>
        <v>-0.30747523858165055</v>
      </c>
      <c r="R56" s="125">
        <f t="shared" ref="R56" si="16">R53+R55</f>
        <v>-0.3076546756408558</v>
      </c>
      <c r="S56" s="125">
        <f t="shared" ref="S56" si="17">S53+S55</f>
        <v>-0.30783798060293049</v>
      </c>
      <c r="T56" s="125">
        <f t="shared" ref="T56" si="18">T53+T55</f>
        <v>-0.30802523684347544</v>
      </c>
      <c r="U56" s="125">
        <f t="shared" ref="U56" si="19">U53+U55</f>
        <v>-0.30821652953531609</v>
      </c>
      <c r="V56" s="125">
        <f t="shared" ref="V56" si="20">V53+V55</f>
        <v>-0.30841194568724328</v>
      </c>
      <c r="W56" s="125">
        <f t="shared" ref="W56" si="21">W53+W55</f>
        <v>-0.30861157418358875</v>
      </c>
      <c r="X56" s="125">
        <f t="shared" ref="X56" si="22">X53+X55</f>
        <v>-0.30881550582465395</v>
      </c>
      <c r="Y56" s="125">
        <f t="shared" ref="Y56" si="23">Y53+Y55</f>
        <v>-0.3090238333680102</v>
      </c>
      <c r="Z56" s="125">
        <f t="shared" ref="Z56" si="24">Z53+Z55</f>
        <v>-0.30923665157068897</v>
      </c>
      <c r="AA56" s="125">
        <f t="shared" ref="AA56" si="25">AA53+AA55</f>
        <v>-0.30945405723228209</v>
      </c>
      <c r="AB56" s="125">
        <f t="shared" ref="AB56" si="26">AB53+AB55</f>
        <v>-0.30967614923897052</v>
      </c>
      <c r="AC56" s="125">
        <f t="shared" ref="AC56" si="27">AC53+AC55</f>
        <v>-0.30990302860850222</v>
      </c>
    </row>
    <row r="58" spans="2:29" x14ac:dyDescent="0.3">
      <c r="B58" s="63" t="s">
        <v>203</v>
      </c>
    </row>
    <row r="59" spans="2:29" x14ac:dyDescent="0.3">
      <c r="B59" s="111" t="s">
        <v>47</v>
      </c>
      <c r="C59" s="63" t="s">
        <v>78</v>
      </c>
      <c r="E59" s="123">
        <f>INDEX(Risks!I$7:I$15,MATCH('Options Analysis'!$C59,Risks!$B$7:$B$15,0))*10^-6*esc_24_26</f>
        <v>0</v>
      </c>
      <c r="F59" s="123">
        <f>INDEX(Risks!J$7:J$15,MATCH('Options Analysis'!$C59,Risks!$B$7:$B$15,0))*10^-6*esc_24_26</f>
        <v>0</v>
      </c>
      <c r="G59" s="123">
        <f>INDEX(Risks!K$7:K$15,MATCH('Options Analysis'!$C59,Risks!$B$7:$B$15,0))*10^-6*esc_24_26</f>
        <v>0</v>
      </c>
      <c r="H59" s="123">
        <f>INDEX(Risks!L$7:L$15,MATCH('Options Analysis'!$C59,Risks!$B$7:$B$15,0))*10^-6*esc_24_26</f>
        <v>1.4447607295703646</v>
      </c>
      <c r="I59" s="123">
        <f>INDEX(Risks!M$7:M$15,MATCH('Options Analysis'!$C59,Risks!$B$7:$B$15,0))*10^-6*esc_24_26</f>
        <v>1.4746062474416601</v>
      </c>
      <c r="J59" s="123">
        <f>INDEX(Risks!N$7:N$15,MATCH('Options Analysis'!$C59,Risks!$B$7:$B$15,0))*10^-6*esc_24_26</f>
        <v>1.5050691601834438</v>
      </c>
      <c r="K59" s="123">
        <f>INDEX(Risks!O$7:O$15,MATCH('Options Analysis'!$C59,Risks!$B$7:$B$15,0))*10^-6*esc_24_26</f>
        <v>1.5361622572524518</v>
      </c>
      <c r="L59" s="123">
        <f>INDEX(Risks!P$7:P$15,MATCH('Options Analysis'!$C59,Risks!$B$7:$B$15,0))*10^-6*esc_24_26</f>
        <v>1.5678985934127012</v>
      </c>
      <c r="M59" s="123">
        <f>INDEX(Risks!Q$7:Q$15,MATCH('Options Analysis'!$C59,Risks!$B$7:$B$15,0))*10^-6*esc_24_26</f>
        <v>1.6002914942468116</v>
      </c>
      <c r="N59" s="123">
        <f>INDEX(Risks!R$7:R$15,MATCH('Options Analysis'!$C59,Risks!$B$7:$B$15,0))*10^-6*esc_24_26</f>
        <v>1.6333545617819663</v>
      </c>
      <c r="O59" s="123">
        <f>INDEX(Risks!S$7:S$15,MATCH('Options Analysis'!$C59,Risks!$B$7:$B$15,0))*10^-6*esc_24_26</f>
        <v>1.6671016802329182</v>
      </c>
      <c r="P59" s="123">
        <f>INDEX(Risks!T$7:T$15,MATCH('Options Analysis'!$C59,Risks!$B$7:$B$15,0))*10^-6*esc_24_26</f>
        <v>1.7015470218644653</v>
      </c>
      <c r="Q59" s="123">
        <f>INDEX(Risks!U$7:U$15,MATCH('Options Analysis'!$C59,Risks!$B$7:$B$15,0))*10^-6*esc_24_26</f>
        <v>1.7367050529758958</v>
      </c>
      <c r="R59" s="123">
        <f>INDEX(Risks!V$7:V$15,MATCH('Options Analysis'!$C59,Risks!$B$7:$B$15,0))*10^-6*esc_24_26</f>
        <v>1.7725905400099353</v>
      </c>
      <c r="S59" s="123">
        <f>INDEX(Risks!W$7:W$15,MATCH('Options Analysis'!$C59,Risks!$B$7:$B$15,0))*10^-6*esc_24_26</f>
        <v>1.8092185557887921</v>
      </c>
      <c r="T59" s="123">
        <f>INDEX(Risks!X$7:X$15,MATCH('Options Analysis'!$C59,Risks!$B$7:$B$15,0))*10^-6*esc_24_26</f>
        <v>1.8466044858799544</v>
      </c>
      <c r="U59" s="123">
        <f>INDEX(Risks!Y$7:Y$15,MATCH('Options Analysis'!$C59,Risks!$B$7:$B$15,0))*10^-6*esc_24_26</f>
        <v>1.8847640350944337</v>
      </c>
      <c r="V59" s="123">
        <f>INDEX(Risks!Z$7:Z$15,MATCH('Options Analysis'!$C59,Risks!$B$7:$B$15,0))*10^-6*esc_24_26</f>
        <v>1.9237132341202208</v>
      </c>
      <c r="W59" s="123">
        <f>INDEX(Risks!AA$7:AA$15,MATCH('Options Analysis'!$C59,Risks!$B$7:$B$15,0))*10^-6*esc_24_26</f>
        <v>1.9634684462937677</v>
      </c>
      <c r="X59" s="123">
        <f>INDEX(Risks!AB$7:AB$15,MATCH('Options Analysis'!$C59,Risks!$B$7:$B$15,0))*10^-6*esc_24_26</f>
        <v>2.0040463745123756</v>
      </c>
      <c r="Y59" s="123">
        <f>INDEX(Risks!AC$7:AC$15,MATCH('Options Analysis'!$C59,Risks!$B$7:$B$15,0))*10^-6*esc_24_26</f>
        <v>2.045464068290419</v>
      </c>
      <c r="Z59" s="123">
        <f>INDEX(Risks!AD$7:AD$15,MATCH('Options Analysis'!$C59,Risks!$B$7:$B$15,0))*10^-6*esc_24_26</f>
        <v>2.0877389309624106</v>
      </c>
      <c r="AA59" s="123">
        <f>INDEX(Risks!AE$7:AE$15,MATCH('Options Analysis'!$C59,Risks!$B$7:$B$15,0))*10^-6*esc_24_26</f>
        <v>2.1308887270359604</v>
      </c>
      <c r="AB59" s="123">
        <f>INDEX(Risks!AF$7:AF$15,MATCH('Options Analysis'!$C59,Risks!$B$7:$B$15,0))*10^-6*esc_24_26</f>
        <v>2.1749315896977564</v>
      </c>
      <c r="AC59" s="123">
        <f>INDEX(Risks!AG$7:AG$15,MATCH('Options Analysis'!$C59,Risks!$B$7:$B$15,0))*10^-6*esc_24_26</f>
        <v>2.219886028475754</v>
      </c>
    </row>
    <row r="60" spans="2:29" x14ac:dyDescent="0.3">
      <c r="B60" s="111" t="s">
        <v>47</v>
      </c>
      <c r="C60" s="63" t="s">
        <v>79</v>
      </c>
      <c r="E60" s="123">
        <f>INDEX(Risks!I$7:I$15,MATCH('Options Analysis'!$C60,Risks!$B$7:$B$15,0))*10^-6*esc_24_26</f>
        <v>0</v>
      </c>
      <c r="F60" s="123">
        <f>INDEX(Risks!J$7:J$15,MATCH('Options Analysis'!$C60,Risks!$B$7:$B$15,0))*10^-6*esc_24_26</f>
        <v>0</v>
      </c>
      <c r="G60" s="123">
        <f>INDEX(Risks!K$7:K$15,MATCH('Options Analysis'!$C60,Risks!$B$7:$B$15,0))*10^-6*esc_24_26</f>
        <v>0</v>
      </c>
      <c r="H60" s="123">
        <f>INDEX(Risks!L$7:L$15,MATCH('Options Analysis'!$C60,Risks!$B$7:$B$15,0))*10^-6*esc_24_26</f>
        <v>1.3183716300646251</v>
      </c>
      <c r="I60" s="123">
        <f>INDEX(Risks!M$7:M$15,MATCH('Options Analysis'!$C60,Risks!$B$7:$B$15,0))*10^-6*esc_24_26</f>
        <v>1.3447390626659175</v>
      </c>
      <c r="J60" s="123">
        <f>INDEX(Risks!N$7:N$15,MATCH('Options Analysis'!$C60,Risks!$B$7:$B$15,0))*10^-6*esc_24_26</f>
        <v>1.3716338439192359</v>
      </c>
      <c r="K60" s="123">
        <f>INDEX(Risks!O$7:O$15,MATCH('Options Analysis'!$C60,Risks!$B$7:$B$15,0))*10^-6*esc_24_26</f>
        <v>1.3990665207976203</v>
      </c>
      <c r="L60" s="123">
        <f>INDEX(Risks!P$7:P$15,MATCH('Options Analysis'!$C60,Risks!$B$7:$B$15,0))*10^-6*esc_24_26</f>
        <v>1.4270478512135729</v>
      </c>
      <c r="M60" s="123">
        <f>INDEX(Risks!Q$7:Q$15,MATCH('Options Analysis'!$C60,Risks!$B$7:$B$15,0))*10^-6*esc_24_26</f>
        <v>1.4555888082378441</v>
      </c>
      <c r="N60" s="123">
        <f>INDEX(Risks!R$7:R$15,MATCH('Options Analysis'!$C60,Risks!$B$7:$B$15,0))*10^-6*esc_24_26</f>
        <v>1.4847005844026011</v>
      </c>
      <c r="O60" s="123">
        <f>INDEX(Risks!S$7:S$15,MATCH('Options Analysis'!$C60,Risks!$B$7:$B$15,0))*10^-6*esc_24_26</f>
        <v>1.5143945960906533</v>
      </c>
      <c r="P60" s="123">
        <f>INDEX(Risks!T$7:T$15,MATCH('Options Analysis'!$C60,Risks!$B$7:$B$15,0))*10^-6*esc_24_26</f>
        <v>1.5446824880124665</v>
      </c>
      <c r="Q60" s="123">
        <f>INDEX(Risks!U$7:U$15,MATCH('Options Analysis'!$C60,Risks!$B$7:$B$15,0))*10^-6*esc_24_26</f>
        <v>1.5755761377727153</v>
      </c>
      <c r="R60" s="123">
        <f>INDEX(Risks!V$7:V$15,MATCH('Options Analysis'!$C60,Risks!$B$7:$B$15,0))*10^-6*esc_24_26</f>
        <v>1.6070876605281699</v>
      </c>
      <c r="S60" s="123">
        <f>INDEX(Risks!W$7:W$15,MATCH('Options Analysis'!$C60,Risks!$B$7:$B$15,0))*10^-6*esc_24_26</f>
        <v>1.6392294137387331</v>
      </c>
      <c r="T60" s="123">
        <f>INDEX(Risks!X$7:X$15,MATCH('Options Analysis'!$C60,Risks!$B$7:$B$15,0))*10^-6*esc_24_26</f>
        <v>1.6720140020135079</v>
      </c>
      <c r="U60" s="123">
        <f>INDEX(Risks!Y$7:Y$15,MATCH('Options Analysis'!$C60,Risks!$B$7:$B$15,0))*10^-6*esc_24_26</f>
        <v>1.7054542820537779</v>
      </c>
      <c r="V60" s="123">
        <f>INDEX(Risks!Z$7:Z$15,MATCH('Options Analysis'!$C60,Risks!$B$7:$B$15,0))*10^-6*esc_24_26</f>
        <v>1.7395633676948536</v>
      </c>
      <c r="W60" s="123">
        <f>INDEX(Risks!AA$7:AA$15,MATCH('Options Analysis'!$C60,Risks!$B$7:$B$15,0))*10^-6*esc_24_26</f>
        <v>1.7743546350487507</v>
      </c>
      <c r="X60" s="123">
        <f>INDEX(Risks!AB$7:AB$15,MATCH('Options Analysis'!$C60,Risks!$B$7:$B$15,0))*10^-6*esc_24_26</f>
        <v>1.8098417277497258</v>
      </c>
      <c r="Y60" s="123">
        <f>INDEX(Risks!AC$7:AC$15,MATCH('Options Analysis'!$C60,Risks!$B$7:$B$15,0))*10^-6*esc_24_26</f>
        <v>1.8460385623047206</v>
      </c>
      <c r="Z60" s="123">
        <f>INDEX(Risks!AD$7:AD$15,MATCH('Options Analysis'!$C60,Risks!$B$7:$B$15,0))*10^-6*esc_24_26</f>
        <v>1.882959333550815</v>
      </c>
      <c r="AA60" s="123">
        <f>INDEX(Risks!AE$7:AE$15,MATCH('Options Analysis'!$C60,Risks!$B$7:$B$15,0))*10^-6*esc_24_26</f>
        <v>1.9206185202218313</v>
      </c>
      <c r="AB60" s="123">
        <f>INDEX(Risks!AF$7:AF$15,MATCH('Options Analysis'!$C60,Risks!$B$7:$B$15,0))*10^-6*esc_24_26</f>
        <v>1.9590308906262677</v>
      </c>
      <c r="AC60" s="123">
        <f>INDEX(Risks!AG$7:AG$15,MATCH('Options Analysis'!$C60,Risks!$B$7:$B$15,0))*10^-6*esc_24_26</f>
        <v>1.9982115084387932</v>
      </c>
    </row>
    <row r="61" spans="2:29" x14ac:dyDescent="0.3">
      <c r="B61" s="111" t="s">
        <v>47</v>
      </c>
      <c r="C61" s="63" t="s">
        <v>77</v>
      </c>
      <c r="E61" s="123">
        <f>INDEX(Risks!I$7:I$15,MATCH('Options Analysis'!$C61,Risks!$B$7:$B$15,0))*10^-6*esc_24_26</f>
        <v>0</v>
      </c>
      <c r="F61" s="123">
        <f>INDEX(Risks!J$7:J$15,MATCH('Options Analysis'!$C61,Risks!$B$7:$B$15,0))*10^-6*esc_24_26</f>
        <v>0</v>
      </c>
      <c r="G61" s="123">
        <f>INDEX(Risks!K$7:K$15,MATCH('Options Analysis'!$C61,Risks!$B$7:$B$15,0))*10^-6*esc_24_26</f>
        <v>0</v>
      </c>
      <c r="H61" s="123">
        <f>INDEX(Risks!L$7:L$15,MATCH('Options Analysis'!$C61,Risks!$B$7:$B$15,0))*10^-6*esc_24_26</f>
        <v>0.96708123734687967</v>
      </c>
      <c r="I61" s="123">
        <f>INDEX(Risks!M$7:M$15,MATCH('Options Analysis'!$C61,Risks!$B$7:$B$15,0))*10^-6*esc_24_26</f>
        <v>0.9879274120975623</v>
      </c>
      <c r="J61" s="123">
        <f>INDEX(Risks!N$7:N$15,MATCH('Options Analysis'!$C61,Risks!$B$7:$B$15,0))*10^-6*esc_24_26</f>
        <v>1.0092229420678001</v>
      </c>
      <c r="K61" s="123">
        <f>INDEX(Risks!O$7:O$15,MATCH('Options Analysis'!$C61,Risks!$B$7:$B$15,0))*10^-6*esc_24_26</f>
        <v>1.0309775134525794</v>
      </c>
      <c r="L61" s="123">
        <f>INDEX(Risks!P$7:P$15,MATCH('Options Analysis'!$C61,Risks!$B$7:$B$15,0))*10^-6*esc_24_26</f>
        <v>1.053201021240217</v>
      </c>
      <c r="M61" s="123">
        <f>INDEX(Risks!Q$7:Q$15,MATCH('Options Analysis'!$C61,Risks!$B$7:$B$15,0))*10^-6*esc_24_26</f>
        <v>1.0759035737130616</v>
      </c>
      <c r="N61" s="123">
        <f>INDEX(Risks!R$7:R$15,MATCH('Options Analysis'!$C61,Risks!$B$7:$B$15,0))*10^-6*esc_24_26</f>
        <v>1.0990954970452083</v>
      </c>
      <c r="O61" s="123">
        <f>INDEX(Risks!S$7:S$15,MATCH('Options Analysis'!$C61,Risks!$B$7:$B$15,0))*10^-6*esc_24_26</f>
        <v>1.1227873399993225</v>
      </c>
      <c r="P61" s="123">
        <f>INDEX(Risks!T$7:T$15,MATCH('Options Analysis'!$C61,Risks!$B$7:$B$15,0))*10^-6*esc_24_26</f>
        <v>1.1469898787247059</v>
      </c>
      <c r="Q61" s="123">
        <f>INDEX(Risks!U$7:U$15,MATCH('Options Analysis'!$C61,Risks!$B$7:$B$15,0))*10^-6*esc_24_26</f>
        <v>1.1717141216587907</v>
      </c>
      <c r="R61" s="123">
        <f>INDEX(Risks!V$7:V$15,MATCH('Options Analysis'!$C61,Risks!$B$7:$B$15,0))*10^-6*esc_24_26</f>
        <v>1.1969713145342848</v>
      </c>
      <c r="S61" s="123">
        <f>INDEX(Risks!W$7:W$15,MATCH('Options Analysis'!$C61,Risks!$B$7:$B$15,0))*10^-6*esc_24_26</f>
        <v>1.2227729454942553</v>
      </c>
      <c r="T61" s="123">
        <f>INDEX(Risks!X$7:X$15,MATCH('Options Analysis'!$C61,Risks!$B$7:$B$15,0))*10^-6*esc_24_26</f>
        <v>1.249130750317468</v>
      </c>
      <c r="U61" s="123">
        <f>INDEX(Risks!Y$7:Y$15,MATCH('Options Analysis'!$C61,Risks!$B$7:$B$15,0))*10^-6*esc_24_26</f>
        <v>1.276056717756364</v>
      </c>
      <c r="V61" s="123">
        <f>INDEX(Risks!Z$7:Z$15,MATCH('Options Analysis'!$C61,Risks!$B$7:$B$15,0))*10^-6*esc_24_26</f>
        <v>1.3035630949901</v>
      </c>
      <c r="W61" s="123">
        <f>INDEX(Risks!AA$7:AA$15,MATCH('Options Analysis'!$C61,Risks!$B$7:$B$15,0))*10^-6*esc_24_26</f>
        <v>1.331662393195135</v>
      </c>
      <c r="X61" s="123">
        <f>INDEX(Risks!AB$7:AB$15,MATCH('Options Analysis'!$C61,Risks!$B$7:$B$15,0))*10^-6*esc_24_26</f>
        <v>1.3603673932358924</v>
      </c>
      <c r="Y61" s="123">
        <f>INDEX(Risks!AC$7:AC$15,MATCH('Options Analysis'!$C61,Risks!$B$7:$B$15,0))*10^-6*esc_24_26</f>
        <v>1.3896911514780907</v>
      </c>
      <c r="Z61" s="123">
        <f>INDEX(Risks!AD$7:AD$15,MATCH('Options Analysis'!$C61,Risks!$B$7:$B$15,0))*10^-6*esc_24_26</f>
        <v>1.419647005727384</v>
      </c>
      <c r="AA61" s="123">
        <f>INDEX(Risks!AE$7:AE$15,MATCH('Options Analysis'!$C61,Risks!$B$7:$B$15,0))*10^-6*esc_24_26</f>
        <v>1.4502485812960157</v>
      </c>
      <c r="AB61" s="123">
        <f>INDEX(Risks!AF$7:AF$15,MATCH('Options Analysis'!$C61,Risks!$B$7:$B$15,0))*10^-6*esc_24_26</f>
        <v>1.4815097972002411</v>
      </c>
      <c r="AC61" s="123">
        <f>INDEX(Risks!AG$7:AG$15,MATCH('Options Analysis'!$C61,Risks!$B$7:$B$15,0))*10^-6*esc_24_26</f>
        <v>1.5134448724913427</v>
      </c>
    </row>
    <row r="62" spans="2:29" x14ac:dyDescent="0.3">
      <c r="B62" s="111" t="s">
        <v>47</v>
      </c>
      <c r="C62" s="63" t="s">
        <v>155</v>
      </c>
      <c r="E62" s="123">
        <f>INDEX(Risks!I$7:I$15,MATCH('Options Analysis'!$C62,Risks!$B$7:$B$15,0))*10^-6*esc_24_26</f>
        <v>0</v>
      </c>
      <c r="F62" s="123">
        <f>INDEX(Risks!J$7:J$15,MATCH('Options Analysis'!$C62,Risks!$B$7:$B$15,0))*10^-6*esc_24_26</f>
        <v>0</v>
      </c>
      <c r="G62" s="123">
        <f>INDEX(Risks!K$7:K$15,MATCH('Options Analysis'!$C62,Risks!$B$7:$B$15,0))*10^-6*esc_24_26</f>
        <v>0</v>
      </c>
      <c r="H62" s="123">
        <f>INDEX(Risks!L$7:L$15,MATCH('Options Analysis'!$C62,Risks!$B$7:$B$15,0))*10^-6*esc_24_26</f>
        <v>0.46947413055641352</v>
      </c>
      <c r="I62" s="123">
        <f>INDEX(Risks!M$7:M$15,MATCH('Options Analysis'!$C62,Risks!$B$7:$B$15,0))*10^-6*esc_24_26</f>
        <v>0.46947413055641352</v>
      </c>
      <c r="J62" s="123">
        <f>INDEX(Risks!N$7:N$15,MATCH('Options Analysis'!$C62,Risks!$B$7:$B$15,0))*10^-6*esc_24_26</f>
        <v>0.46947413055641352</v>
      </c>
      <c r="K62" s="123">
        <f>INDEX(Risks!O$7:O$15,MATCH('Options Analysis'!$C62,Risks!$B$7:$B$15,0))*10^-6*esc_24_26</f>
        <v>0.46947413055641352</v>
      </c>
      <c r="L62" s="123">
        <f>INDEX(Risks!P$7:P$15,MATCH('Options Analysis'!$C62,Risks!$B$7:$B$15,0))*10^-6*esc_24_26</f>
        <v>0.46947413055641352</v>
      </c>
      <c r="M62" s="123">
        <f>INDEX(Risks!Q$7:Q$15,MATCH('Options Analysis'!$C62,Risks!$B$7:$B$15,0))*10^-6*esc_24_26</f>
        <v>0.46947413055641352</v>
      </c>
      <c r="N62" s="123">
        <f>INDEX(Risks!R$7:R$15,MATCH('Options Analysis'!$C62,Risks!$B$7:$B$15,0))*10^-6*esc_24_26</f>
        <v>0.46947413055641352</v>
      </c>
      <c r="O62" s="123">
        <f>INDEX(Risks!S$7:S$15,MATCH('Options Analysis'!$C62,Risks!$B$7:$B$15,0))*10^-6*esc_24_26</f>
        <v>0.46947413055641352</v>
      </c>
      <c r="P62" s="123">
        <f>INDEX(Risks!T$7:T$15,MATCH('Options Analysis'!$C62,Risks!$B$7:$B$15,0))*10^-6*esc_24_26</f>
        <v>0.46947413055641352</v>
      </c>
      <c r="Q62" s="123">
        <f>INDEX(Risks!U$7:U$15,MATCH('Options Analysis'!$C62,Risks!$B$7:$B$15,0))*10^-6*esc_24_26</f>
        <v>0.46947413055641352</v>
      </c>
      <c r="R62" s="123">
        <f>INDEX(Risks!V$7:V$15,MATCH('Options Analysis'!$C62,Risks!$B$7:$B$15,0))*10^-6*esc_24_26</f>
        <v>0.46947413055641352</v>
      </c>
      <c r="S62" s="123">
        <f>INDEX(Risks!W$7:W$15,MATCH('Options Analysis'!$C62,Risks!$B$7:$B$15,0))*10^-6*esc_24_26</f>
        <v>0.46947413055641352</v>
      </c>
      <c r="T62" s="123">
        <f>INDEX(Risks!X$7:X$15,MATCH('Options Analysis'!$C62,Risks!$B$7:$B$15,0))*10^-6*esc_24_26</f>
        <v>0.46947413055641352</v>
      </c>
      <c r="U62" s="123">
        <f>INDEX(Risks!Y$7:Y$15,MATCH('Options Analysis'!$C62,Risks!$B$7:$B$15,0))*10^-6*esc_24_26</f>
        <v>0.46947413055641352</v>
      </c>
      <c r="V62" s="123">
        <f>INDEX(Risks!Z$7:Z$15,MATCH('Options Analysis'!$C62,Risks!$B$7:$B$15,0))*10^-6*esc_24_26</f>
        <v>0.46947413055641352</v>
      </c>
      <c r="W62" s="123">
        <f>INDEX(Risks!AA$7:AA$15,MATCH('Options Analysis'!$C62,Risks!$B$7:$B$15,0))*10^-6*esc_24_26</f>
        <v>0.46947413055641352</v>
      </c>
      <c r="X62" s="123">
        <f>INDEX(Risks!AB$7:AB$15,MATCH('Options Analysis'!$C62,Risks!$B$7:$B$15,0))*10^-6*esc_24_26</f>
        <v>0.46947413055641352</v>
      </c>
      <c r="Y62" s="123">
        <f>INDEX(Risks!AC$7:AC$15,MATCH('Options Analysis'!$C62,Risks!$B$7:$B$15,0))*10^-6*esc_24_26</f>
        <v>0.46947413055641352</v>
      </c>
      <c r="Z62" s="123">
        <f>INDEX(Risks!AD$7:AD$15,MATCH('Options Analysis'!$C62,Risks!$B$7:$B$15,0))*10^-6*esc_24_26</f>
        <v>0.46947413055641352</v>
      </c>
      <c r="AA62" s="123">
        <f>INDEX(Risks!AE$7:AE$15,MATCH('Options Analysis'!$C62,Risks!$B$7:$B$15,0))*10^-6*esc_24_26</f>
        <v>0.46947413055641352</v>
      </c>
      <c r="AB62" s="123">
        <f>INDEX(Risks!AF$7:AF$15,MATCH('Options Analysis'!$C62,Risks!$B$7:$B$15,0))*10^-6*esc_24_26</f>
        <v>0.46947413055641352</v>
      </c>
      <c r="AC62" s="123">
        <f>INDEX(Risks!AG$7:AG$15,MATCH('Options Analysis'!$C62,Risks!$B$7:$B$15,0))*10^-6*esc_24_26</f>
        <v>0.46947413055641352</v>
      </c>
    </row>
    <row r="63" spans="2:29" x14ac:dyDescent="0.3">
      <c r="B63" s="111" t="s">
        <v>47</v>
      </c>
      <c r="C63" s="63" t="s">
        <v>80</v>
      </c>
      <c r="E63" s="123">
        <f>INDEX(Risks!I$7:I$15,MATCH('Options Analysis'!$C63,Risks!$B$7:$B$15,0))*10^-6*esc_24_26</f>
        <v>0</v>
      </c>
      <c r="F63" s="123">
        <f>INDEX(Risks!J$7:J$15,MATCH('Options Analysis'!$C63,Risks!$B$7:$B$15,0))*10^-6*esc_24_26</f>
        <v>0</v>
      </c>
      <c r="G63" s="123">
        <f>INDEX(Risks!K$7:K$15,MATCH('Options Analysis'!$C63,Risks!$B$7:$B$15,0))*10^-6*esc_24_26</f>
        <v>0</v>
      </c>
      <c r="H63" s="123">
        <f>INDEX(Risks!L$7:L$15,MATCH('Options Analysis'!$C63,Risks!$B$7:$B$15,0))*10^-6*esc_24_26</f>
        <v>0.25626320264259428</v>
      </c>
      <c r="I63" s="123">
        <f>INDEX(Risks!M$7:M$15,MATCH('Options Analysis'!$C63,Risks!$B$7:$B$15,0))*10^-6*esc_24_26</f>
        <v>0.25726737496261975</v>
      </c>
      <c r="J63" s="123">
        <f>INDEX(Risks!N$7:N$15,MATCH('Options Analysis'!$C63,Risks!$B$7:$B$15,0))*10^-6*esc_24_26</f>
        <v>0.25828158900584536</v>
      </c>
      <c r="K63" s="123">
        <f>INDEX(Risks!O$7:O$15,MATCH('Options Analysis'!$C63,Risks!$B$7:$B$15,0))*10^-6*esc_24_26</f>
        <v>0.25930594518950334</v>
      </c>
      <c r="L63" s="123">
        <f>INDEX(Risks!P$7:P$15,MATCH('Options Analysis'!$C63,Risks!$B$7:$B$15,0))*10^-6*esc_24_26</f>
        <v>0.26034054493499786</v>
      </c>
      <c r="M63" s="123">
        <f>INDEX(Risks!Q$7:Q$15,MATCH('Options Analysis'!$C63,Risks!$B$7:$B$15,0))*10^-6*esc_24_26</f>
        <v>0.26138549067794731</v>
      </c>
      <c r="N63" s="123">
        <f>INDEX(Risks!R$7:R$15,MATCH('Options Analysis'!$C63,Risks!$B$7:$B$15,0))*10^-6*esc_24_26</f>
        <v>0.26244088587832626</v>
      </c>
      <c r="O63" s="123">
        <f>INDEX(Risks!S$7:S$15,MATCH('Options Analysis'!$C63,Risks!$B$7:$B$15,0))*10^-6*esc_24_26</f>
        <v>0.26350683503070899</v>
      </c>
      <c r="P63" s="123">
        <f>INDEX(Risks!T$7:T$15,MATCH('Options Analysis'!$C63,Risks!$B$7:$B$15,0))*10^-6*esc_24_26</f>
        <v>0.2645834436746155</v>
      </c>
      <c r="Q63" s="123">
        <f>INDEX(Risks!U$7:U$15,MATCH('Options Analysis'!$C63,Risks!$B$7:$B$15,0))*10^-6*esc_24_26</f>
        <v>0.26567081840496121</v>
      </c>
      <c r="R63" s="123">
        <f>INDEX(Risks!V$7:V$15,MATCH('Options Analysis'!$C63,Risks!$B$7:$B$15,0))*10^-6*esc_24_26</f>
        <v>0.26676906688261026</v>
      </c>
      <c r="S63" s="123">
        <f>INDEX(Risks!W$7:W$15,MATCH('Options Analysis'!$C63,Risks!$B$7:$B$15,0))*10^-6*esc_24_26</f>
        <v>0.26787829784503586</v>
      </c>
      <c r="T63" s="123">
        <f>INDEX(Risks!X$7:X$15,MATCH('Options Analysis'!$C63,Risks!$B$7:$B$15,0))*10^-6*esc_24_26</f>
        <v>0.26899862111708572</v>
      </c>
      <c r="U63" s="123">
        <f>INDEX(Risks!Y$7:Y$15,MATCH('Options Analysis'!$C63,Risks!$B$7:$B$15,0))*10^-6*esc_24_26</f>
        <v>0.270130147621856</v>
      </c>
      <c r="V63" s="123">
        <f>INDEX(Risks!Z$7:Z$15,MATCH('Options Analysis'!$C63,Risks!$B$7:$B$15,0))*10^-6*esc_24_26</f>
        <v>0.2712729893916741</v>
      </c>
      <c r="W63" s="123">
        <f>INDEX(Risks!AA$7:AA$15,MATCH('Options Analysis'!$C63,Risks!$B$7:$B$15,0))*10^-6*esc_24_26</f>
        <v>0.27242725957919028</v>
      </c>
      <c r="X63" s="123">
        <f>INDEX(Risks!AB$7:AB$15,MATCH('Options Analysis'!$C63,Risks!$B$7:$B$15,0))*10^-6*esc_24_26</f>
        <v>0.27359307246858167</v>
      </c>
      <c r="Y63" s="123">
        <f>INDEX(Risks!AC$7:AC$15,MATCH('Options Analysis'!$C63,Risks!$B$7:$B$15,0))*10^-6*esc_24_26</f>
        <v>0.27477054348686691</v>
      </c>
      <c r="Z63" s="123">
        <f>INDEX(Risks!AD$7:AD$15,MATCH('Options Analysis'!$C63,Risks!$B$7:$B$15,0))*10^-6*esc_24_26</f>
        <v>0.27595978921533509</v>
      </c>
      <c r="AA63" s="123">
        <f>INDEX(Risks!AE$7:AE$15,MATCH('Options Analysis'!$C63,Risks!$B$7:$B$15,0))*10^-6*esc_24_26</f>
        <v>0.27716092740108789</v>
      </c>
      <c r="AB63" s="123">
        <f>INDEX(Risks!AF$7:AF$15,MATCH('Options Analysis'!$C63,Risks!$B$7:$B$15,0))*10^-6*esc_24_26</f>
        <v>0.27837407696869826</v>
      </c>
      <c r="AC63" s="123">
        <f>INDEX(Risks!AG$7:AG$15,MATCH('Options Analysis'!$C63,Risks!$B$7:$B$15,0))*10^-6*esc_24_26</f>
        <v>0.27959935803198477</v>
      </c>
    </row>
    <row r="64" spans="2:29" x14ac:dyDescent="0.3">
      <c r="B64" s="111" t="s">
        <v>47</v>
      </c>
      <c r="C64" s="63" t="s">
        <v>81</v>
      </c>
      <c r="E64" s="123">
        <f>INDEX(Risks!I$7:I$15,MATCH('Options Analysis'!$C64,Risks!$B$7:$B$15,0))*10^-6*esc_24_26</f>
        <v>0</v>
      </c>
      <c r="F64" s="123">
        <f>INDEX(Risks!J$7:J$15,MATCH('Options Analysis'!$C64,Risks!$B$7:$B$15,0))*10^-6*esc_24_26</f>
        <v>0</v>
      </c>
      <c r="G64" s="123">
        <f>INDEX(Risks!K$7:K$15,MATCH('Options Analysis'!$C64,Risks!$B$7:$B$15,0))*10^-6*esc_24_26</f>
        <v>0</v>
      </c>
      <c r="H64" s="123">
        <f>INDEX(Risks!L$7:L$15,MATCH('Options Analysis'!$C64,Risks!$B$7:$B$15,0))*10^-6*esc_24_26</f>
        <v>0.20145102543549548</v>
      </c>
      <c r="I64" s="123">
        <f>INDEX(Risks!M$7:M$15,MATCH('Options Analysis'!$C64,Risks!$B$7:$B$15,0))*10^-6*esc_24_26</f>
        <v>0.20145102543549548</v>
      </c>
      <c r="J64" s="123">
        <f>INDEX(Risks!N$7:N$15,MATCH('Options Analysis'!$C64,Risks!$B$7:$B$15,0))*10^-6*esc_24_26</f>
        <v>0.20145102543549548</v>
      </c>
      <c r="K64" s="123">
        <f>INDEX(Risks!O$7:O$15,MATCH('Options Analysis'!$C64,Risks!$B$7:$B$15,0))*10^-6*esc_24_26</f>
        <v>0.20145102543549548</v>
      </c>
      <c r="L64" s="123">
        <f>INDEX(Risks!P$7:P$15,MATCH('Options Analysis'!$C64,Risks!$B$7:$B$15,0))*10^-6*esc_24_26</f>
        <v>0.20145102543549548</v>
      </c>
      <c r="M64" s="123">
        <f>INDEX(Risks!Q$7:Q$15,MATCH('Options Analysis'!$C64,Risks!$B$7:$B$15,0))*10^-6*esc_24_26</f>
        <v>0.20145102543549548</v>
      </c>
      <c r="N64" s="123">
        <f>INDEX(Risks!R$7:R$15,MATCH('Options Analysis'!$C64,Risks!$B$7:$B$15,0))*10^-6*esc_24_26</f>
        <v>0.20145102543549548</v>
      </c>
      <c r="O64" s="123">
        <f>INDEX(Risks!S$7:S$15,MATCH('Options Analysis'!$C64,Risks!$B$7:$B$15,0))*10^-6*esc_24_26</f>
        <v>0.20145102543549548</v>
      </c>
      <c r="P64" s="123">
        <f>INDEX(Risks!T$7:T$15,MATCH('Options Analysis'!$C64,Risks!$B$7:$B$15,0))*10^-6*esc_24_26</f>
        <v>0.20145102543549548</v>
      </c>
      <c r="Q64" s="123">
        <f>INDEX(Risks!U$7:U$15,MATCH('Options Analysis'!$C64,Risks!$B$7:$B$15,0))*10^-6*esc_24_26</f>
        <v>0.20145102543549548</v>
      </c>
      <c r="R64" s="123">
        <f>INDEX(Risks!V$7:V$15,MATCH('Options Analysis'!$C64,Risks!$B$7:$B$15,0))*10^-6*esc_24_26</f>
        <v>0.20145102543549548</v>
      </c>
      <c r="S64" s="123">
        <f>INDEX(Risks!W$7:W$15,MATCH('Options Analysis'!$C64,Risks!$B$7:$B$15,0))*10^-6*esc_24_26</f>
        <v>0.20145102543549548</v>
      </c>
      <c r="T64" s="123">
        <f>INDEX(Risks!X$7:X$15,MATCH('Options Analysis'!$C64,Risks!$B$7:$B$15,0))*10^-6*esc_24_26</f>
        <v>0.20145102543549548</v>
      </c>
      <c r="U64" s="123">
        <f>INDEX(Risks!Y$7:Y$15,MATCH('Options Analysis'!$C64,Risks!$B$7:$B$15,0))*10^-6*esc_24_26</f>
        <v>0.20145102543549548</v>
      </c>
      <c r="V64" s="123">
        <f>INDEX(Risks!Z$7:Z$15,MATCH('Options Analysis'!$C64,Risks!$B$7:$B$15,0))*10^-6*esc_24_26</f>
        <v>0.20145102543549548</v>
      </c>
      <c r="W64" s="123">
        <f>INDEX(Risks!AA$7:AA$15,MATCH('Options Analysis'!$C64,Risks!$B$7:$B$15,0))*10^-6*esc_24_26</f>
        <v>0.20145102543549548</v>
      </c>
      <c r="X64" s="123">
        <f>INDEX(Risks!AB$7:AB$15,MATCH('Options Analysis'!$C64,Risks!$B$7:$B$15,0))*10^-6*esc_24_26</f>
        <v>0.20145102543549548</v>
      </c>
      <c r="Y64" s="123">
        <f>INDEX(Risks!AC$7:AC$15,MATCH('Options Analysis'!$C64,Risks!$B$7:$B$15,0))*10^-6*esc_24_26</f>
        <v>0.20145102543549548</v>
      </c>
      <c r="Z64" s="123">
        <f>INDEX(Risks!AD$7:AD$15,MATCH('Options Analysis'!$C64,Risks!$B$7:$B$15,0))*10^-6*esc_24_26</f>
        <v>0.20145102543549548</v>
      </c>
      <c r="AA64" s="123">
        <f>INDEX(Risks!AE$7:AE$15,MATCH('Options Analysis'!$C64,Risks!$B$7:$B$15,0))*10^-6*esc_24_26</f>
        <v>0.20145102543549548</v>
      </c>
      <c r="AB64" s="123">
        <f>INDEX(Risks!AF$7:AF$15,MATCH('Options Analysis'!$C64,Risks!$B$7:$B$15,0))*10^-6*esc_24_26</f>
        <v>0.20145102543549548</v>
      </c>
      <c r="AC64" s="123">
        <f>INDEX(Risks!AG$7:AG$15,MATCH('Options Analysis'!$C64,Risks!$B$7:$B$15,0))*10^-6*esc_24_26</f>
        <v>0.20145102543549548</v>
      </c>
    </row>
    <row r="65" spans="2:29" x14ac:dyDescent="0.3">
      <c r="B65" s="111" t="s">
        <v>47</v>
      </c>
      <c r="C65" s="63" t="s">
        <v>82</v>
      </c>
      <c r="E65" s="123">
        <f>INDEX(Risks!I$7:I$15,MATCH('Options Analysis'!$C65,Risks!$B$7:$B$15,0))*10^-6*esc_24_26</f>
        <v>0</v>
      </c>
      <c r="F65" s="123">
        <f>INDEX(Risks!J$7:J$15,MATCH('Options Analysis'!$C65,Risks!$B$7:$B$15,0))*10^-6*esc_24_26</f>
        <v>0</v>
      </c>
      <c r="G65" s="123">
        <f>INDEX(Risks!K$7:K$15,MATCH('Options Analysis'!$C65,Risks!$B$7:$B$15,0))*10^-6*esc_24_26</f>
        <v>0</v>
      </c>
      <c r="H65" s="123">
        <f>INDEX(Risks!L$7:L$15,MATCH('Options Analysis'!$C65,Risks!$B$7:$B$15,0))*10^-6*esc_24_26</f>
        <v>7.4909207808298017E-2</v>
      </c>
      <c r="I65" s="123">
        <f>INDEX(Risks!M$7:M$15,MATCH('Options Analysis'!$C65,Risks!$B$7:$B$15,0))*10^-6*esc_24_26</f>
        <v>7.4909207808298017E-2</v>
      </c>
      <c r="J65" s="123">
        <f>INDEX(Risks!N$7:N$15,MATCH('Options Analysis'!$C65,Risks!$B$7:$B$15,0))*10^-6*esc_24_26</f>
        <v>7.4909207808298017E-2</v>
      </c>
      <c r="K65" s="123">
        <f>INDEX(Risks!O$7:O$15,MATCH('Options Analysis'!$C65,Risks!$B$7:$B$15,0))*10^-6*esc_24_26</f>
        <v>7.4909207808298017E-2</v>
      </c>
      <c r="L65" s="123">
        <f>INDEX(Risks!P$7:P$15,MATCH('Options Analysis'!$C65,Risks!$B$7:$B$15,0))*10^-6*esc_24_26</f>
        <v>7.4909207808298017E-2</v>
      </c>
      <c r="M65" s="123">
        <f>INDEX(Risks!Q$7:Q$15,MATCH('Options Analysis'!$C65,Risks!$B$7:$B$15,0))*10^-6*esc_24_26</f>
        <v>7.4909207808298017E-2</v>
      </c>
      <c r="N65" s="123">
        <f>INDEX(Risks!R$7:R$15,MATCH('Options Analysis'!$C65,Risks!$B$7:$B$15,0))*10^-6*esc_24_26</f>
        <v>7.4909207808298017E-2</v>
      </c>
      <c r="O65" s="123">
        <f>INDEX(Risks!S$7:S$15,MATCH('Options Analysis'!$C65,Risks!$B$7:$B$15,0))*10^-6*esc_24_26</f>
        <v>7.4909207808298017E-2</v>
      </c>
      <c r="P65" s="123">
        <f>INDEX(Risks!T$7:T$15,MATCH('Options Analysis'!$C65,Risks!$B$7:$B$15,0))*10^-6*esc_24_26</f>
        <v>7.4909207808298017E-2</v>
      </c>
      <c r="Q65" s="123">
        <f>INDEX(Risks!U$7:U$15,MATCH('Options Analysis'!$C65,Risks!$B$7:$B$15,0))*10^-6*esc_24_26</f>
        <v>7.4909207808298017E-2</v>
      </c>
      <c r="R65" s="123">
        <f>INDEX(Risks!V$7:V$15,MATCH('Options Analysis'!$C65,Risks!$B$7:$B$15,0))*10^-6*esc_24_26</f>
        <v>7.4909207808298017E-2</v>
      </c>
      <c r="S65" s="123">
        <f>INDEX(Risks!W$7:W$15,MATCH('Options Analysis'!$C65,Risks!$B$7:$B$15,0))*10^-6*esc_24_26</f>
        <v>7.4909207808298017E-2</v>
      </c>
      <c r="T65" s="123">
        <f>INDEX(Risks!X$7:X$15,MATCH('Options Analysis'!$C65,Risks!$B$7:$B$15,0))*10^-6*esc_24_26</f>
        <v>7.4909207808298017E-2</v>
      </c>
      <c r="U65" s="123">
        <f>INDEX(Risks!Y$7:Y$15,MATCH('Options Analysis'!$C65,Risks!$B$7:$B$15,0))*10^-6*esc_24_26</f>
        <v>7.4909207808298017E-2</v>
      </c>
      <c r="V65" s="123">
        <f>INDEX(Risks!Z$7:Z$15,MATCH('Options Analysis'!$C65,Risks!$B$7:$B$15,0))*10^-6*esc_24_26</f>
        <v>7.4909207808298017E-2</v>
      </c>
      <c r="W65" s="123">
        <f>INDEX(Risks!AA$7:AA$15,MATCH('Options Analysis'!$C65,Risks!$B$7:$B$15,0))*10^-6*esc_24_26</f>
        <v>7.4909207808298017E-2</v>
      </c>
      <c r="X65" s="123">
        <f>INDEX(Risks!AB$7:AB$15,MATCH('Options Analysis'!$C65,Risks!$B$7:$B$15,0))*10^-6*esc_24_26</f>
        <v>7.4909207808298017E-2</v>
      </c>
      <c r="Y65" s="123">
        <f>INDEX(Risks!AC$7:AC$15,MATCH('Options Analysis'!$C65,Risks!$B$7:$B$15,0))*10^-6*esc_24_26</f>
        <v>7.4909207808298017E-2</v>
      </c>
      <c r="Z65" s="123">
        <f>INDEX(Risks!AD$7:AD$15,MATCH('Options Analysis'!$C65,Risks!$B$7:$B$15,0))*10^-6*esc_24_26</f>
        <v>7.4909207808298017E-2</v>
      </c>
      <c r="AA65" s="123">
        <f>INDEX(Risks!AE$7:AE$15,MATCH('Options Analysis'!$C65,Risks!$B$7:$B$15,0))*10^-6*esc_24_26</f>
        <v>7.4909207808298017E-2</v>
      </c>
      <c r="AB65" s="123">
        <f>INDEX(Risks!AF$7:AF$15,MATCH('Options Analysis'!$C65,Risks!$B$7:$B$15,0))*10^-6*esc_24_26</f>
        <v>7.4909207808298017E-2</v>
      </c>
      <c r="AC65" s="123">
        <f>INDEX(Risks!AG$7:AG$15,MATCH('Options Analysis'!$C65,Risks!$B$7:$B$15,0))*10^-6*esc_24_26</f>
        <v>7.4909207808298017E-2</v>
      </c>
    </row>
    <row r="66" spans="2:29" x14ac:dyDescent="0.3">
      <c r="B66" s="124" t="s">
        <v>208</v>
      </c>
      <c r="C66" s="124"/>
      <c r="D66" s="124"/>
      <c r="E66" s="125">
        <f>SUM(E59:E65)</f>
        <v>0</v>
      </c>
      <c r="F66" s="125">
        <f t="shared" ref="F66" si="28">SUM(F59:F65)</f>
        <v>0</v>
      </c>
      <c r="G66" s="125">
        <f t="shared" ref="G66" si="29">SUM(G59:G65)</f>
        <v>0</v>
      </c>
      <c r="H66" s="125">
        <f t="shared" ref="H66" si="30">SUM(H59:H65)</f>
        <v>4.7323111634246704</v>
      </c>
      <c r="I66" s="125">
        <f t="shared" ref="I66" si="31">SUM(I59:I65)</f>
        <v>4.8103744609679655</v>
      </c>
      <c r="J66" s="125">
        <f t="shared" ref="J66" si="32">SUM(J59:J65)</f>
        <v>4.8900418989765324</v>
      </c>
      <c r="K66" s="125">
        <f t="shared" ref="K66" si="33">SUM(K59:K65)</f>
        <v>4.9713466004923603</v>
      </c>
      <c r="L66" s="125">
        <f t="shared" ref="L66" si="34">SUM(L59:L65)</f>
        <v>5.0543223746016963</v>
      </c>
      <c r="M66" s="125">
        <f t="shared" ref="M66" si="35">SUM(M59:M65)</f>
        <v>5.1390037306758707</v>
      </c>
      <c r="N66" s="125">
        <f t="shared" ref="N66" si="36">SUM(N59:N65)</f>
        <v>5.2254258929083086</v>
      </c>
      <c r="O66" s="125">
        <f t="shared" ref="O66" si="37">SUM(O59:O65)</f>
        <v>5.3136248151538101</v>
      </c>
      <c r="P66" s="125">
        <f t="shared" ref="P66" si="38">SUM(P59:P65)</f>
        <v>5.4036371960764598</v>
      </c>
      <c r="Q66" s="125">
        <f t="shared" ref="Q66" si="39">SUM(Q59:Q65)</f>
        <v>5.4955004946125694</v>
      </c>
      <c r="R66" s="125">
        <f t="shared" ref="R66" si="40">SUM(R59:R65)</f>
        <v>5.5892529457552076</v>
      </c>
      <c r="S66" s="125">
        <f t="shared" ref="S66" si="41">SUM(S59:S65)</f>
        <v>5.6849335766670244</v>
      </c>
      <c r="T66" s="125">
        <f t="shared" ref="T66" si="42">SUM(T59:T65)</f>
        <v>5.7825822231282231</v>
      </c>
      <c r="U66" s="125">
        <f t="shared" ref="U66" si="43">SUM(U59:U65)</f>
        <v>5.8822395463266393</v>
      </c>
      <c r="V66" s="125">
        <f t="shared" ref="V66" si="44">SUM(V59:V65)</f>
        <v>5.983947049997056</v>
      </c>
      <c r="W66" s="125">
        <f t="shared" ref="W66" si="45">SUM(W59:W65)</f>
        <v>6.0877470979170507</v>
      </c>
      <c r="X66" s="125">
        <f t="shared" ref="X66" si="46">SUM(X59:X65)</f>
        <v>6.1936829317667819</v>
      </c>
      <c r="Y66" s="125">
        <f t="shared" ref="Y66" si="47">SUM(Y59:Y65)</f>
        <v>6.3017986893603037</v>
      </c>
      <c r="Z66" s="125">
        <f t="shared" ref="Z66" si="48">SUM(Z59:Z65)</f>
        <v>6.4121394232561517</v>
      </c>
      <c r="AA66" s="125">
        <f t="shared" ref="AA66" si="49">SUM(AA59:AA65)</f>
        <v>6.524751119755102</v>
      </c>
      <c r="AB66" s="125">
        <f t="shared" ref="AB66" si="50">SUM(AB59:AB65)</f>
        <v>6.639680718293171</v>
      </c>
      <c r="AC66" s="125">
        <f t="shared" ref="AC66" si="51">SUM(AC59:AC65)</f>
        <v>6.7569761312380816</v>
      </c>
    </row>
    <row r="68" spans="2:29" x14ac:dyDescent="0.3">
      <c r="B68" s="121" t="str">
        <f>"Total cost of "&amp;INDEX('Reg Assumptions '!$C$14:$C$16,MATCH(B51,'Reg Assumptions '!$B$14:$B$16,0))</f>
        <v>Total cost of Develop greenfield site</v>
      </c>
      <c r="C68" s="108"/>
      <c r="D68" s="108"/>
      <c r="E68" s="125">
        <f>E56+E66</f>
        <v>-20.032953966041219</v>
      </c>
      <c r="F68" s="125">
        <f t="shared" ref="F68:AC68" si="52">F56+F66</f>
        <v>-18.342148110698183</v>
      </c>
      <c r="G68" s="125">
        <f t="shared" si="52"/>
        <v>-15.835496620684813</v>
      </c>
      <c r="H68" s="125">
        <f t="shared" si="52"/>
        <v>4.4262897175569851</v>
      </c>
      <c r="I68" s="125">
        <f t="shared" si="52"/>
        <v>4.5042049156534665</v>
      </c>
      <c r="J68" s="125">
        <f t="shared" si="52"/>
        <v>4.5837210618185207</v>
      </c>
      <c r="K68" s="125">
        <f t="shared" si="52"/>
        <v>4.6648712102795891</v>
      </c>
      <c r="L68" s="125">
        <f t="shared" si="52"/>
        <v>4.7476890998250196</v>
      </c>
      <c r="M68" s="125">
        <f t="shared" si="52"/>
        <v>4.8322091680129171</v>
      </c>
      <c r="N68" s="125">
        <f t="shared" si="52"/>
        <v>4.9184665656754936</v>
      </c>
      <c r="O68" s="125">
        <f t="shared" si="52"/>
        <v>5.0064971717249795</v>
      </c>
      <c r="P68" s="125">
        <f t="shared" si="52"/>
        <v>5.0963376082674436</v>
      </c>
      <c r="Q68" s="125">
        <f t="shared" si="52"/>
        <v>5.1880252560309188</v>
      </c>
      <c r="R68" s="125">
        <f t="shared" si="52"/>
        <v>5.281598270114352</v>
      </c>
      <c r="S68" s="125">
        <f t="shared" si="52"/>
        <v>5.3770955960640938</v>
      </c>
      <c r="T68" s="125">
        <f t="shared" si="52"/>
        <v>5.4745569862847479</v>
      </c>
      <c r="U68" s="125">
        <f t="shared" si="52"/>
        <v>5.5740230167913234</v>
      </c>
      <c r="V68" s="125">
        <f t="shared" si="52"/>
        <v>5.6755351043098123</v>
      </c>
      <c r="W68" s="125">
        <f t="shared" si="52"/>
        <v>5.7791355237334621</v>
      </c>
      <c r="X68" s="125">
        <f t="shared" si="52"/>
        <v>5.8848674259421276</v>
      </c>
      <c r="Y68" s="125">
        <f t="shared" si="52"/>
        <v>5.9927748559922938</v>
      </c>
      <c r="Z68" s="125">
        <f t="shared" si="52"/>
        <v>6.1029027716854625</v>
      </c>
      <c r="AA68" s="125">
        <f t="shared" si="52"/>
        <v>6.2152970625228203</v>
      </c>
      <c r="AB68" s="125">
        <f t="shared" si="52"/>
        <v>6.3300045690542008</v>
      </c>
      <c r="AC68" s="125">
        <f t="shared" si="52"/>
        <v>6.4470731026295791</v>
      </c>
    </row>
    <row r="70" spans="2:29" x14ac:dyDescent="0.3">
      <c r="B70" s="71" t="s">
        <v>204</v>
      </c>
      <c r="C70" s="88">
        <f>NPV(real_disc,E56:AC56)</f>
        <v>-54.968379823887247</v>
      </c>
    </row>
    <row r="71" spans="2:29" x14ac:dyDescent="0.3">
      <c r="B71" s="71" t="s">
        <v>205</v>
      </c>
      <c r="C71" s="88">
        <f>NPV(real_disc,E66:AC66)</f>
        <v>75.854821883688217</v>
      </c>
    </row>
    <row r="72" spans="2:29" ht="13.5" thickBot="1" x14ac:dyDescent="0.35">
      <c r="B72" s="126" t="s">
        <v>198</v>
      </c>
      <c r="C72" s="127">
        <f>NPV(real_disc,E68:AC68)</f>
        <v>20.886442059800963</v>
      </c>
    </row>
    <row r="73" spans="2:29" ht="13.5" thickTop="1" x14ac:dyDescent="0.3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F63263-735F-4C33-9F7A-9B7A2BE7FC55}">
          <x14:formula1>
            <xm:f>Risks!$B$7:$B$15</xm:f>
          </x14:formula1>
          <xm:sqref>C31 C55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FD846-6229-4353-B298-8FEC50899DC5}">
  <sheetPr codeName="Sheet3"/>
  <dimension ref="A1:P66"/>
  <sheetViews>
    <sheetView showGridLines="0" workbookViewId="0"/>
  </sheetViews>
  <sheetFormatPr defaultColWidth="9" defaultRowHeight="13" x14ac:dyDescent="0.3"/>
  <cols>
    <col min="1" max="1" width="3.54296875" style="28" customWidth="1"/>
    <col min="2" max="2" width="30" style="28" customWidth="1"/>
    <col min="3" max="3" width="29" style="28" bestFit="1" customWidth="1"/>
    <col min="4" max="4" width="3.54296875" style="28" customWidth="1"/>
    <col min="5" max="5" width="2.26953125" style="28" customWidth="1"/>
    <col min="6" max="6" width="8.7265625" style="28" customWidth="1"/>
    <col min="7" max="8" width="10.453125" style="28" bestFit="1" customWidth="1"/>
    <col min="9" max="9" width="4.1796875" style="28" customWidth="1"/>
    <col min="10" max="12" width="12.453125" style="28" customWidth="1"/>
    <col min="13" max="14" width="10.26953125" style="28" customWidth="1"/>
    <col min="15" max="15" width="4.81640625" style="28" customWidth="1"/>
    <col min="16" max="16" width="11" style="28" customWidth="1"/>
    <col min="17" max="16384" width="9" style="28"/>
  </cols>
  <sheetData>
    <row r="1" spans="1:16" ht="15.5" x14ac:dyDescent="0.35">
      <c r="A1" s="4" t="str">
        <f>business</f>
        <v>Powercor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32"/>
      <c r="P1" s="2" t="s">
        <v>1</v>
      </c>
    </row>
    <row r="2" spans="1:16" ht="15.5" x14ac:dyDescent="0.35">
      <c r="A2" s="58" t="str">
        <f>model_name</f>
        <v>Geelong depot</v>
      </c>
      <c r="B2" s="8"/>
      <c r="C2" s="8"/>
      <c r="D2" s="8"/>
      <c r="E2" s="8"/>
      <c r="F2" s="8"/>
      <c r="G2" s="8"/>
      <c r="H2" s="5"/>
      <c r="I2" s="5"/>
      <c r="J2" s="5"/>
      <c r="K2" s="5"/>
      <c r="L2" s="5"/>
      <c r="M2" s="5"/>
      <c r="N2" s="5"/>
      <c r="O2" s="32"/>
      <c r="P2" s="9" t="s">
        <v>4</v>
      </c>
    </row>
    <row r="3" spans="1:16" x14ac:dyDescent="0.3">
      <c r="A3" s="64" t="str">
        <f>"All dollar values are in "&amp;TEXT(input_dollars,"$ mmmm yyyy")&amp;" unless otherwise stated"</f>
        <v>All dollar values are in $ June 2024 unless otherwise stated</v>
      </c>
    </row>
    <row r="4" spans="1:16" x14ac:dyDescent="0.3">
      <c r="A4" s="64"/>
    </row>
    <row r="5" spans="1:16" ht="14.5" x14ac:dyDescent="0.35">
      <c r="A5" s="33" t="s">
        <v>51</v>
      </c>
      <c r="B5" s="33"/>
      <c r="C5" s="33"/>
      <c r="D5" s="33"/>
      <c r="E5" s="34"/>
      <c r="F5" s="33"/>
      <c r="G5" s="34"/>
      <c r="H5" s="34"/>
      <c r="I5" s="34"/>
      <c r="J5" s="35"/>
      <c r="K5" s="35"/>
      <c r="L5" s="35"/>
      <c r="M5" s="35"/>
      <c r="N5" s="35"/>
      <c r="O5" s="35"/>
      <c r="P5" s="35"/>
    </row>
    <row r="6" spans="1:16" x14ac:dyDescent="0.3">
      <c r="B6" s="36" t="s">
        <v>54</v>
      </c>
      <c r="C6" s="36"/>
      <c r="D6" s="36"/>
      <c r="E6" s="36"/>
      <c r="F6" s="36"/>
      <c r="G6" s="36" t="s">
        <v>198</v>
      </c>
      <c r="H6" s="36" t="s">
        <v>28</v>
      </c>
      <c r="I6" s="36"/>
      <c r="J6" s="40" t="s">
        <v>23</v>
      </c>
      <c r="K6" s="40" t="s">
        <v>24</v>
      </c>
      <c r="L6" s="40" t="s">
        <v>25</v>
      </c>
      <c r="M6" s="40" t="s">
        <v>26</v>
      </c>
      <c r="N6" s="40" t="s">
        <v>27</v>
      </c>
    </row>
    <row r="7" spans="1:16" x14ac:dyDescent="0.3">
      <c r="B7" s="28" t="s">
        <v>42</v>
      </c>
      <c r="G7" s="42">
        <f>NPV(real_disc,J7:N7)</f>
        <v>0</v>
      </c>
      <c r="H7" s="42">
        <f>SUM(J7:N7)</f>
        <v>0</v>
      </c>
      <c r="J7" s="42">
        <f>J24</f>
        <v>0</v>
      </c>
      <c r="K7" s="42">
        <f t="shared" ref="K7:N7" si="0">K24</f>
        <v>0</v>
      </c>
      <c r="L7" s="42">
        <f t="shared" si="0"/>
        <v>0</v>
      </c>
      <c r="M7" s="42">
        <f t="shared" si="0"/>
        <v>0</v>
      </c>
      <c r="N7" s="42">
        <f t="shared" si="0"/>
        <v>0</v>
      </c>
    </row>
    <row r="8" spans="1:16" x14ac:dyDescent="0.3">
      <c r="B8" s="28" t="s">
        <v>22</v>
      </c>
      <c r="G8" s="42">
        <f>NPV(real_disc,J8:N8)</f>
        <v>37129287.880669042</v>
      </c>
      <c r="H8" s="42">
        <f>SUM(J8:N8)</f>
        <v>40046999.999999993</v>
      </c>
      <c r="J8" s="42">
        <f>J43</f>
        <v>5751543.0861723404</v>
      </c>
      <c r="K8" s="42">
        <f t="shared" ref="K8:N8" si="1">K43</f>
        <v>20264328.657314625</v>
      </c>
      <c r="L8" s="42">
        <f t="shared" si="1"/>
        <v>14031128.256513031</v>
      </c>
      <c r="M8" s="42">
        <f t="shared" si="1"/>
        <v>0</v>
      </c>
      <c r="N8" s="42">
        <f t="shared" si="1"/>
        <v>0</v>
      </c>
    </row>
    <row r="9" spans="1:16" x14ac:dyDescent="0.3">
      <c r="B9" s="28" t="s">
        <v>39</v>
      </c>
      <c r="G9" s="42">
        <f>NPV(real_disc,J9:N9)</f>
        <v>44841131.440420032</v>
      </c>
      <c r="H9" s="42">
        <f>SUM(J9:N9)</f>
        <v>47886410.677487046</v>
      </c>
      <c r="J9" s="42">
        <f>J62</f>
        <v>17725882.075471699</v>
      </c>
      <c r="K9" s="42">
        <f t="shared" ref="K9:N9" si="2">K62</f>
        <v>16206495.283018867</v>
      </c>
      <c r="L9" s="42">
        <f t="shared" si="2"/>
        <v>13954033.318996485</v>
      </c>
      <c r="M9" s="42">
        <f t="shared" si="2"/>
        <v>0</v>
      </c>
      <c r="N9" s="42">
        <f t="shared" si="2"/>
        <v>0</v>
      </c>
    </row>
    <row r="10" spans="1:16" x14ac:dyDescent="0.3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2" spans="1:16" ht="14.5" x14ac:dyDescent="0.35">
      <c r="A12" s="33" t="s">
        <v>55</v>
      </c>
      <c r="B12" s="33"/>
      <c r="C12" s="33"/>
      <c r="D12" s="33"/>
      <c r="E12" s="34"/>
      <c r="F12" s="33"/>
      <c r="G12" s="34"/>
      <c r="H12" s="34"/>
      <c r="I12" s="34"/>
      <c r="J12" s="35"/>
      <c r="K12" s="35"/>
      <c r="L12" s="35"/>
      <c r="M12" s="35"/>
      <c r="N12" s="35"/>
      <c r="O12" s="35"/>
      <c r="P12" s="35"/>
    </row>
    <row r="13" spans="1:16" x14ac:dyDescent="0.3">
      <c r="B13" s="20"/>
    </row>
    <row r="14" spans="1:16" x14ac:dyDescent="0.3">
      <c r="B14" s="38" t="s">
        <v>42</v>
      </c>
      <c r="C14" s="38"/>
      <c r="D14" s="39"/>
      <c r="F14" s="40" t="s">
        <v>14</v>
      </c>
      <c r="G14" s="40" t="s">
        <v>15</v>
      </c>
      <c r="H14" s="40" t="s">
        <v>16</v>
      </c>
      <c r="J14" s="40" t="s">
        <v>23</v>
      </c>
      <c r="K14" s="40" t="s">
        <v>24</v>
      </c>
      <c r="L14" s="40" t="s">
        <v>25</v>
      </c>
      <c r="M14" s="40" t="s">
        <v>26</v>
      </c>
      <c r="N14" s="40" t="s">
        <v>27</v>
      </c>
      <c r="P14" s="40" t="s">
        <v>28</v>
      </c>
    </row>
    <row r="15" spans="1:16" ht="14.5" x14ac:dyDescent="0.35">
      <c r="B15" s="28" t="s">
        <v>29</v>
      </c>
      <c r="C15" s="41" t="str">
        <f t="shared" ref="C15:C23" si="3">$B$33&amp;" "&amp;B15</f>
        <v xml:space="preserve">Option 2 New Depot Design </v>
      </c>
      <c r="E15" s="42"/>
      <c r="F15" s="43">
        <v>0</v>
      </c>
      <c r="G15" s="44">
        <f>1-SUM(F15,H15)</f>
        <v>0</v>
      </c>
      <c r="H15" s="43">
        <v>1</v>
      </c>
      <c r="I15" s="42"/>
      <c r="J15" s="45">
        <v>0</v>
      </c>
      <c r="K15" s="45"/>
      <c r="L15" s="45">
        <v>0</v>
      </c>
      <c r="M15" s="45">
        <v>0</v>
      </c>
      <c r="N15" s="45">
        <v>0</v>
      </c>
      <c r="P15" s="46">
        <f t="shared" ref="P15:P23" si="4">SUM(J15:N15)</f>
        <v>0</v>
      </c>
    </row>
    <row r="16" spans="1:16" ht="14.5" x14ac:dyDescent="0.35">
      <c r="B16" s="28" t="s">
        <v>30</v>
      </c>
      <c r="C16" s="41" t="str">
        <f t="shared" si="3"/>
        <v>Option 2 Staff Relocation / Alternative Accom</v>
      </c>
      <c r="E16" s="42"/>
      <c r="F16" s="43">
        <v>0</v>
      </c>
      <c r="G16" s="44">
        <f>1-SUM(F16,H16)</f>
        <v>9.9999999999999978E-2</v>
      </c>
      <c r="H16" s="43">
        <v>0.9</v>
      </c>
      <c r="I16" s="42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P16" s="46">
        <f t="shared" si="4"/>
        <v>0</v>
      </c>
    </row>
    <row r="17" spans="2:16" ht="14.5" x14ac:dyDescent="0.35">
      <c r="B17" s="28" t="s">
        <v>31</v>
      </c>
      <c r="C17" s="41" t="str">
        <f t="shared" si="3"/>
        <v>Option 2 Land acquisition</v>
      </c>
      <c r="E17" s="42"/>
      <c r="F17" s="47"/>
      <c r="G17" s="43">
        <v>1</v>
      </c>
      <c r="H17" s="47"/>
      <c r="I17" s="42"/>
      <c r="J17" s="45">
        <v>0</v>
      </c>
      <c r="K17" s="45">
        <v>0</v>
      </c>
      <c r="L17" s="45">
        <v>0</v>
      </c>
      <c r="M17" s="45">
        <v>0</v>
      </c>
      <c r="N17" s="45">
        <v>0</v>
      </c>
      <c r="P17" s="46">
        <f t="shared" si="4"/>
        <v>0</v>
      </c>
    </row>
    <row r="18" spans="2:16" ht="14.5" x14ac:dyDescent="0.35">
      <c r="B18" s="28" t="s">
        <v>32</v>
      </c>
      <c r="C18" s="41" t="str">
        <f t="shared" si="3"/>
        <v>Option 2 Civil Works/Demolition works</v>
      </c>
      <c r="E18" s="42"/>
      <c r="F18" s="43">
        <v>0</v>
      </c>
      <c r="G18" s="44">
        <f t="shared" ref="G18:G23" si="5">1-SUM(F18,H18)</f>
        <v>0.5</v>
      </c>
      <c r="H18" s="43">
        <v>0.5</v>
      </c>
      <c r="I18" s="42"/>
      <c r="J18" s="45">
        <v>0</v>
      </c>
      <c r="K18" s="45">
        <v>0</v>
      </c>
      <c r="L18" s="45">
        <v>0</v>
      </c>
      <c r="M18" s="45">
        <v>0</v>
      </c>
      <c r="N18" s="45">
        <v>0</v>
      </c>
      <c r="P18" s="46">
        <f t="shared" si="4"/>
        <v>0</v>
      </c>
    </row>
    <row r="19" spans="2:16" ht="14.5" x14ac:dyDescent="0.35">
      <c r="B19" s="28" t="s">
        <v>33</v>
      </c>
      <c r="C19" s="41" t="str">
        <f t="shared" si="3"/>
        <v xml:space="preserve">Option 2 Building works </v>
      </c>
      <c r="E19" s="42"/>
      <c r="F19" s="43">
        <v>0</v>
      </c>
      <c r="G19" s="44">
        <f t="shared" si="5"/>
        <v>0.7</v>
      </c>
      <c r="H19" s="43">
        <v>0.3</v>
      </c>
      <c r="I19" s="42"/>
      <c r="J19" s="45">
        <v>0</v>
      </c>
      <c r="K19" s="45">
        <v>0</v>
      </c>
      <c r="L19" s="45">
        <v>0</v>
      </c>
      <c r="M19" s="45">
        <v>0</v>
      </c>
      <c r="N19" s="45">
        <v>0</v>
      </c>
      <c r="P19" s="46">
        <f t="shared" si="4"/>
        <v>0</v>
      </c>
    </row>
    <row r="20" spans="2:16" ht="14.5" x14ac:dyDescent="0.35">
      <c r="B20" s="28" t="s">
        <v>34</v>
      </c>
      <c r="C20" s="41" t="str">
        <f t="shared" si="3"/>
        <v xml:space="preserve">Option 2 Services </v>
      </c>
      <c r="E20" s="42"/>
      <c r="F20" s="43">
        <v>0</v>
      </c>
      <c r="G20" s="44">
        <f t="shared" si="5"/>
        <v>0.19999999999999996</v>
      </c>
      <c r="H20" s="43">
        <v>0.8</v>
      </c>
      <c r="I20" s="42"/>
      <c r="J20" s="45">
        <v>0</v>
      </c>
      <c r="K20" s="45">
        <v>0</v>
      </c>
      <c r="L20" s="45">
        <v>0</v>
      </c>
      <c r="M20" s="45">
        <v>0</v>
      </c>
      <c r="N20" s="45">
        <v>0</v>
      </c>
      <c r="P20" s="46">
        <f t="shared" si="4"/>
        <v>0</v>
      </c>
    </row>
    <row r="21" spans="2:16" ht="14.5" x14ac:dyDescent="0.35">
      <c r="B21" s="28" t="s">
        <v>35</v>
      </c>
      <c r="C21" s="41" t="str">
        <f t="shared" si="3"/>
        <v>Option 2 Fixtures, Furniture &amp; equipment</v>
      </c>
      <c r="E21" s="42"/>
      <c r="F21" s="43">
        <v>0</v>
      </c>
      <c r="G21" s="44">
        <f t="shared" si="5"/>
        <v>1</v>
      </c>
      <c r="H21" s="43">
        <v>0</v>
      </c>
      <c r="I21" s="42"/>
      <c r="J21" s="45">
        <v>0</v>
      </c>
      <c r="K21" s="45">
        <v>0</v>
      </c>
      <c r="L21" s="45">
        <v>0</v>
      </c>
      <c r="M21" s="45">
        <v>0</v>
      </c>
      <c r="N21" s="45">
        <v>0</v>
      </c>
      <c r="P21" s="46">
        <f t="shared" si="4"/>
        <v>0</v>
      </c>
    </row>
    <row r="22" spans="2:16" ht="14.5" x14ac:dyDescent="0.35">
      <c r="B22" s="28" t="s">
        <v>36</v>
      </c>
      <c r="C22" s="41" t="str">
        <f t="shared" si="3"/>
        <v>Option 2 Other</v>
      </c>
      <c r="E22" s="42"/>
      <c r="F22" s="43">
        <v>0</v>
      </c>
      <c r="G22" s="44">
        <f t="shared" si="5"/>
        <v>1</v>
      </c>
      <c r="H22" s="43">
        <v>0</v>
      </c>
      <c r="I22" s="42"/>
      <c r="J22" s="45">
        <v>0</v>
      </c>
      <c r="K22" s="45">
        <v>0</v>
      </c>
      <c r="L22" s="45">
        <v>0</v>
      </c>
      <c r="M22" s="45">
        <v>0</v>
      </c>
      <c r="N22" s="45">
        <v>0</v>
      </c>
      <c r="P22" s="46">
        <f t="shared" si="4"/>
        <v>0</v>
      </c>
    </row>
    <row r="23" spans="2:16" ht="14.5" x14ac:dyDescent="0.35">
      <c r="B23" s="37" t="s">
        <v>37</v>
      </c>
      <c r="C23" s="48" t="str">
        <f t="shared" si="3"/>
        <v>Option 2 Project Management</v>
      </c>
      <c r="D23" s="37"/>
      <c r="E23" s="42"/>
      <c r="F23" s="43">
        <v>0.5</v>
      </c>
      <c r="G23" s="44">
        <f t="shared" si="5"/>
        <v>0</v>
      </c>
      <c r="H23" s="43">
        <v>0.5</v>
      </c>
      <c r="I23" s="42"/>
      <c r="J23" s="45">
        <v>0</v>
      </c>
      <c r="K23" s="45">
        <v>0</v>
      </c>
      <c r="L23" s="45">
        <v>0</v>
      </c>
      <c r="M23" s="45">
        <v>0</v>
      </c>
      <c r="N23" s="45">
        <v>0</v>
      </c>
      <c r="P23" s="46">
        <f t="shared" si="4"/>
        <v>0</v>
      </c>
    </row>
    <row r="24" spans="2:16" x14ac:dyDescent="0.3">
      <c r="B24" s="20" t="s">
        <v>38</v>
      </c>
      <c r="C24" s="49"/>
      <c r="D24" s="20"/>
      <c r="F24" s="50"/>
      <c r="G24" s="50"/>
      <c r="H24" s="50"/>
      <c r="J24" s="51">
        <f>SUM(J15:J23)</f>
        <v>0</v>
      </c>
      <c r="K24" s="51">
        <f>SUM(K15:K23)</f>
        <v>0</v>
      </c>
      <c r="L24" s="51">
        <f>SUM(L15:L23)</f>
        <v>0</v>
      </c>
      <c r="M24" s="51">
        <f>SUM(M15:M23)</f>
        <v>0</v>
      </c>
      <c r="N24" s="51">
        <f>SUM(N15:N23)</f>
        <v>0</v>
      </c>
      <c r="P24" s="51">
        <f>SUM(P15:P23)</f>
        <v>0</v>
      </c>
    </row>
    <row r="25" spans="2:16" x14ac:dyDescent="0.3">
      <c r="B25" s="20"/>
      <c r="C25" s="49"/>
      <c r="D25" s="20"/>
      <c r="F25" s="131"/>
      <c r="G25" s="131"/>
      <c r="H25" s="131"/>
      <c r="J25" s="132"/>
      <c r="K25" s="132"/>
      <c r="L25" s="132"/>
      <c r="M25" s="132"/>
      <c r="N25" s="132"/>
      <c r="P25" s="132"/>
    </row>
    <row r="26" spans="2:16" x14ac:dyDescent="0.3">
      <c r="B26" s="133" t="s">
        <v>14</v>
      </c>
      <c r="C26" s="49"/>
      <c r="D26" s="134"/>
      <c r="E26" s="133"/>
      <c r="F26" s="135"/>
      <c r="G26" s="135"/>
      <c r="H26" s="135"/>
      <c r="I26" s="133"/>
      <c r="J26" s="136">
        <f>SUMPRODUCT($F15:$F23,J$15:J$23)</f>
        <v>0</v>
      </c>
      <c r="K26" s="136">
        <f t="shared" ref="K26:N26" si="6">SUMPRODUCT($F15:$F23,K$15:K$23)</f>
        <v>0</v>
      </c>
      <c r="L26" s="136">
        <f t="shared" si="6"/>
        <v>0</v>
      </c>
      <c r="M26" s="136">
        <f t="shared" si="6"/>
        <v>0</v>
      </c>
      <c r="N26" s="136">
        <f t="shared" si="6"/>
        <v>0</v>
      </c>
      <c r="O26" s="133"/>
      <c r="P26" s="46">
        <f t="shared" ref="P26:P28" si="7">SUM(J26:N26)</f>
        <v>0</v>
      </c>
    </row>
    <row r="27" spans="2:16" x14ac:dyDescent="0.3">
      <c r="B27" s="133" t="s">
        <v>40</v>
      </c>
      <c r="C27" s="49"/>
      <c r="D27" s="134"/>
      <c r="E27" s="133"/>
      <c r="F27" s="135"/>
      <c r="G27" s="135"/>
      <c r="H27" s="135"/>
      <c r="I27" s="133"/>
      <c r="J27" s="136">
        <f>SUMPRODUCT($G15:$G23,J$15:J$23)</f>
        <v>0</v>
      </c>
      <c r="K27" s="136">
        <f t="shared" ref="K27:N27" si="8">SUMPRODUCT($G15:$G23,K$15:K$23)</f>
        <v>0</v>
      </c>
      <c r="L27" s="136">
        <f t="shared" si="8"/>
        <v>0</v>
      </c>
      <c r="M27" s="136">
        <f t="shared" si="8"/>
        <v>0</v>
      </c>
      <c r="N27" s="136">
        <f t="shared" si="8"/>
        <v>0</v>
      </c>
      <c r="O27" s="133"/>
      <c r="P27" s="46">
        <f t="shared" si="7"/>
        <v>0</v>
      </c>
    </row>
    <row r="28" spans="2:16" x14ac:dyDescent="0.3">
      <c r="B28" s="133" t="s">
        <v>16</v>
      </c>
      <c r="C28" s="49"/>
      <c r="D28" s="134"/>
      <c r="E28" s="133"/>
      <c r="F28" s="135"/>
      <c r="G28" s="135"/>
      <c r="H28" s="135"/>
      <c r="I28" s="133"/>
      <c r="J28" s="136">
        <f>SUMPRODUCT($H15:$H23,J$15:J$23)</f>
        <v>0</v>
      </c>
      <c r="K28" s="136">
        <f t="shared" ref="K28:N28" si="9">SUMPRODUCT($H15:$H23,K$15:K$23)</f>
        <v>0</v>
      </c>
      <c r="L28" s="136">
        <f t="shared" si="9"/>
        <v>0</v>
      </c>
      <c r="M28" s="136">
        <f t="shared" si="9"/>
        <v>0</v>
      </c>
      <c r="N28" s="136">
        <f t="shared" si="9"/>
        <v>0</v>
      </c>
      <c r="O28" s="133"/>
      <c r="P28" s="46">
        <f t="shared" si="7"/>
        <v>0</v>
      </c>
    </row>
    <row r="29" spans="2:16" x14ac:dyDescent="0.3">
      <c r="B29" s="133"/>
      <c r="C29" s="49"/>
      <c r="D29" s="134"/>
      <c r="E29" s="133"/>
      <c r="F29" s="135"/>
      <c r="G29" s="135"/>
      <c r="H29" s="135"/>
      <c r="I29" s="133"/>
      <c r="J29" s="136"/>
      <c r="K29" s="136"/>
      <c r="L29" s="136"/>
      <c r="M29" s="136"/>
      <c r="N29" s="136"/>
      <c r="O29" s="133"/>
      <c r="P29" s="46"/>
    </row>
    <row r="30" spans="2:16" x14ac:dyDescent="0.3">
      <c r="B30" s="133"/>
      <c r="C30" s="49"/>
      <c r="D30" s="134"/>
      <c r="E30" s="133"/>
      <c r="F30" s="135"/>
      <c r="G30" s="135"/>
      <c r="H30" s="135"/>
      <c r="I30" s="133"/>
      <c r="J30" s="136"/>
      <c r="K30" s="136"/>
      <c r="L30" s="136"/>
      <c r="M30" s="136"/>
      <c r="N30" s="136"/>
      <c r="O30" s="133"/>
      <c r="P30" s="46"/>
    </row>
    <row r="31" spans="2:16" x14ac:dyDescent="0.3">
      <c r="B31" s="20"/>
      <c r="C31" s="49"/>
      <c r="D31" s="20"/>
      <c r="F31" s="52"/>
      <c r="G31" s="52"/>
      <c r="H31" s="52"/>
      <c r="J31" s="53"/>
      <c r="K31" s="53"/>
      <c r="L31" s="53"/>
      <c r="M31" s="53"/>
      <c r="N31" s="53"/>
      <c r="P31" s="53"/>
    </row>
    <row r="32" spans="2:16" ht="14.5" x14ac:dyDescent="0.35">
      <c r="B32" s="20"/>
      <c r="C32" s="49"/>
      <c r="J32" s="54"/>
      <c r="K32" s="54"/>
      <c r="L32" s="54"/>
      <c r="M32" s="54"/>
    </row>
    <row r="33" spans="2:16" x14ac:dyDescent="0.3">
      <c r="B33" s="38" t="s">
        <v>22</v>
      </c>
      <c r="C33" s="38"/>
      <c r="D33" s="39"/>
      <c r="F33" s="40" t="s">
        <v>14</v>
      </c>
      <c r="G33" s="40" t="s">
        <v>15</v>
      </c>
      <c r="H33" s="40" t="s">
        <v>16</v>
      </c>
      <c r="J33" s="40" t="s">
        <v>23</v>
      </c>
      <c r="K33" s="40" t="s">
        <v>24</v>
      </c>
      <c r="L33" s="40" t="s">
        <v>25</v>
      </c>
      <c r="M33" s="40" t="s">
        <v>26</v>
      </c>
      <c r="N33" s="40" t="s">
        <v>27</v>
      </c>
      <c r="P33" s="40" t="s">
        <v>28</v>
      </c>
    </row>
    <row r="34" spans="2:16" ht="14.5" x14ac:dyDescent="0.35">
      <c r="B34" s="28" t="s">
        <v>29</v>
      </c>
      <c r="C34" s="41" t="str">
        <f t="shared" ref="C34:C42" si="10">$B$33&amp;" "&amp;B34</f>
        <v xml:space="preserve">Option 2 New Depot Design </v>
      </c>
      <c r="E34" s="42"/>
      <c r="F34" s="43">
        <v>0</v>
      </c>
      <c r="G34" s="44">
        <f>1-SUM(F34,H34)</f>
        <v>0</v>
      </c>
      <c r="H34" s="43">
        <v>1</v>
      </c>
      <c r="I34" s="42"/>
      <c r="J34" s="45">
        <v>750661.32264529052</v>
      </c>
      <c r="K34" s="45">
        <v>0</v>
      </c>
      <c r="L34" s="45">
        <v>0</v>
      </c>
      <c r="M34" s="45">
        <v>0</v>
      </c>
      <c r="N34" s="45">
        <v>0</v>
      </c>
      <c r="P34" s="46">
        <f t="shared" ref="P34:P42" si="11">SUM(J34:N34)</f>
        <v>750661.32264529052</v>
      </c>
    </row>
    <row r="35" spans="2:16" ht="14.5" x14ac:dyDescent="0.35">
      <c r="B35" s="28" t="s">
        <v>30</v>
      </c>
      <c r="C35" s="41" t="str">
        <f t="shared" si="10"/>
        <v>Option 2 Staff Relocation / Alternative Accom</v>
      </c>
      <c r="E35" s="42"/>
      <c r="F35" s="43">
        <v>0</v>
      </c>
      <c r="G35" s="44">
        <f>1-SUM(F35,H35)</f>
        <v>9.9999999999999978E-2</v>
      </c>
      <c r="H35" s="43">
        <v>0.9</v>
      </c>
      <c r="I35" s="42"/>
      <c r="J35" s="45">
        <v>0</v>
      </c>
      <c r="K35" s="45">
        <v>900705.41082164296</v>
      </c>
      <c r="L35" s="45">
        <v>0</v>
      </c>
      <c r="M35" s="45">
        <v>0</v>
      </c>
      <c r="N35" s="45">
        <v>0</v>
      </c>
      <c r="P35" s="46">
        <f t="shared" si="11"/>
        <v>900705.41082164296</v>
      </c>
    </row>
    <row r="36" spans="2:16" ht="14.5" x14ac:dyDescent="0.35">
      <c r="B36" s="28" t="s">
        <v>31</v>
      </c>
      <c r="C36" s="41" t="str">
        <f t="shared" si="10"/>
        <v>Option 2 Land acquisition</v>
      </c>
      <c r="E36" s="42"/>
      <c r="F36" s="47"/>
      <c r="G36" s="43">
        <v>1</v>
      </c>
      <c r="H36" s="47"/>
      <c r="I36" s="42"/>
      <c r="J36" s="45">
        <v>0</v>
      </c>
      <c r="K36" s="45">
        <v>0</v>
      </c>
      <c r="L36" s="45">
        <v>0</v>
      </c>
      <c r="M36" s="45">
        <v>0</v>
      </c>
      <c r="N36" s="45">
        <v>0</v>
      </c>
      <c r="P36" s="46">
        <f t="shared" si="11"/>
        <v>0</v>
      </c>
    </row>
    <row r="37" spans="2:16" ht="14.5" x14ac:dyDescent="0.35">
      <c r="B37" s="28" t="s">
        <v>32</v>
      </c>
      <c r="C37" s="41" t="str">
        <f t="shared" si="10"/>
        <v>Option 2 Civil Works/Demolition works</v>
      </c>
      <c r="E37" s="42"/>
      <c r="F37" s="43">
        <v>0</v>
      </c>
      <c r="G37" s="44">
        <f t="shared" ref="G37:G42" si="12">1-SUM(F37,H37)</f>
        <v>0.5</v>
      </c>
      <c r="H37" s="43">
        <v>0.5</v>
      </c>
      <c r="I37" s="42"/>
      <c r="J37" s="45">
        <v>5000881.7635270497</v>
      </c>
      <c r="K37" s="45">
        <v>3201939.8797595198</v>
      </c>
      <c r="L37" s="45">
        <v>0</v>
      </c>
      <c r="M37" s="45">
        <v>0</v>
      </c>
      <c r="N37" s="45">
        <v>0</v>
      </c>
      <c r="P37" s="46">
        <f t="shared" si="11"/>
        <v>8202821.643286569</v>
      </c>
    </row>
    <row r="38" spans="2:16" ht="14.5" x14ac:dyDescent="0.35">
      <c r="B38" s="28" t="s">
        <v>33</v>
      </c>
      <c r="C38" s="41" t="str">
        <f t="shared" si="10"/>
        <v xml:space="preserve">Option 2 Building works </v>
      </c>
      <c r="E38" s="42"/>
      <c r="F38" s="43">
        <v>0</v>
      </c>
      <c r="G38" s="44">
        <f t="shared" si="12"/>
        <v>0.7</v>
      </c>
      <c r="H38" s="43">
        <v>0.3</v>
      </c>
      <c r="I38" s="42"/>
      <c r="J38" s="45">
        <v>0</v>
      </c>
      <c r="K38" s="45">
        <v>11708200.400801601</v>
      </c>
      <c r="L38" s="45">
        <f>8403879.75951904+475000</f>
        <v>8878879.7595190406</v>
      </c>
      <c r="M38" s="45">
        <v>0</v>
      </c>
      <c r="N38" s="45">
        <v>0</v>
      </c>
      <c r="P38" s="46">
        <f t="shared" si="11"/>
        <v>20587080.16032064</v>
      </c>
    </row>
    <row r="39" spans="2:16" ht="14.5" x14ac:dyDescent="0.35">
      <c r="B39" s="28" t="s">
        <v>34</v>
      </c>
      <c r="C39" s="41" t="str">
        <f t="shared" si="10"/>
        <v xml:space="preserve">Option 2 Services </v>
      </c>
      <c r="E39" s="42"/>
      <c r="F39" s="43">
        <v>0</v>
      </c>
      <c r="G39" s="44">
        <f t="shared" si="12"/>
        <v>0.19999999999999996</v>
      </c>
      <c r="H39" s="43">
        <v>0.8</v>
      </c>
      <c r="I39" s="42"/>
      <c r="J39" s="45">
        <v>0</v>
      </c>
      <c r="K39" s="45">
        <v>950837.67535070144</v>
      </c>
      <c r="L39" s="45">
        <v>3701763.5270541101</v>
      </c>
      <c r="M39" s="45">
        <v>0</v>
      </c>
      <c r="N39" s="45">
        <v>0</v>
      </c>
      <c r="P39" s="46">
        <f t="shared" si="11"/>
        <v>4652601.202404812</v>
      </c>
    </row>
    <row r="40" spans="2:16" ht="14.5" x14ac:dyDescent="0.35">
      <c r="B40" s="28" t="s">
        <v>35</v>
      </c>
      <c r="C40" s="41" t="str">
        <f t="shared" si="10"/>
        <v>Option 2 Fixtures, Furniture &amp; equipment</v>
      </c>
      <c r="E40" s="42"/>
      <c r="F40" s="43">
        <v>0</v>
      </c>
      <c r="G40" s="44">
        <f t="shared" si="12"/>
        <v>1</v>
      </c>
      <c r="H40" s="43">
        <v>0</v>
      </c>
      <c r="I40" s="42"/>
      <c r="J40" s="45">
        <v>0</v>
      </c>
      <c r="K40" s="45">
        <v>0</v>
      </c>
      <c r="L40" s="45">
        <v>1450484.9699398801</v>
      </c>
      <c r="M40" s="45">
        <v>0</v>
      </c>
      <c r="N40" s="45">
        <v>0</v>
      </c>
      <c r="P40" s="46">
        <f t="shared" si="11"/>
        <v>1450484.9699398801</v>
      </c>
    </row>
    <row r="41" spans="2:16" ht="14.5" x14ac:dyDescent="0.35">
      <c r="B41" s="28" t="s">
        <v>36</v>
      </c>
      <c r="C41" s="41" t="str">
        <f t="shared" si="10"/>
        <v>Option 2 Other</v>
      </c>
      <c r="E41" s="42"/>
      <c r="F41" s="43">
        <v>0</v>
      </c>
      <c r="G41" s="44">
        <f t="shared" si="12"/>
        <v>1</v>
      </c>
      <c r="H41" s="43">
        <v>0</v>
      </c>
      <c r="I41" s="42"/>
      <c r="J41" s="45">
        <v>0</v>
      </c>
      <c r="K41" s="45">
        <v>3502645.2905811602</v>
      </c>
      <c r="L41" s="45">
        <v>0</v>
      </c>
      <c r="M41" s="45">
        <v>0</v>
      </c>
      <c r="N41" s="45">
        <v>0</v>
      </c>
      <c r="P41" s="46">
        <f t="shared" si="11"/>
        <v>3502645.2905811602</v>
      </c>
    </row>
    <row r="42" spans="2:16" ht="14.5" x14ac:dyDescent="0.35">
      <c r="B42" s="37" t="s">
        <v>37</v>
      </c>
      <c r="C42" s="48" t="str">
        <f t="shared" si="10"/>
        <v>Option 2 Project Management</v>
      </c>
      <c r="D42" s="37"/>
      <c r="E42" s="42"/>
      <c r="F42" s="43">
        <v>0.5</v>
      </c>
      <c r="G42" s="44">
        <f t="shared" si="12"/>
        <v>0</v>
      </c>
      <c r="H42" s="43">
        <v>0.5</v>
      </c>
      <c r="I42" s="42"/>
      <c r="J42" s="45">
        <v>0</v>
      </c>
      <c r="K42" s="45">
        <v>0</v>
      </c>
      <c r="L42" s="45">
        <v>0</v>
      </c>
      <c r="M42" s="45">
        <v>0</v>
      </c>
      <c r="N42" s="45">
        <v>0</v>
      </c>
      <c r="P42" s="46">
        <f t="shared" si="11"/>
        <v>0</v>
      </c>
    </row>
    <row r="43" spans="2:16" x14ac:dyDescent="0.3">
      <c r="B43" s="20" t="s">
        <v>38</v>
      </c>
      <c r="C43" s="49"/>
      <c r="D43" s="20"/>
      <c r="F43" s="50"/>
      <c r="G43" s="50"/>
      <c r="H43" s="50"/>
      <c r="J43" s="51">
        <f>SUM(J34:J42)</f>
        <v>5751543.0861723404</v>
      </c>
      <c r="K43" s="51">
        <f>SUM(K34:K42)</f>
        <v>20264328.657314625</v>
      </c>
      <c r="L43" s="51">
        <f>SUM(L34:L42)</f>
        <v>14031128.256513031</v>
      </c>
      <c r="M43" s="51">
        <f>SUM(M34:M42)</f>
        <v>0</v>
      </c>
      <c r="N43" s="51">
        <f>SUM(N34:N42)</f>
        <v>0</v>
      </c>
      <c r="P43" s="51">
        <f>SUM(P34:P42)</f>
        <v>40046999.999999993</v>
      </c>
    </row>
    <row r="44" spans="2:16" x14ac:dyDescent="0.3">
      <c r="B44" s="20"/>
      <c r="C44" s="49"/>
      <c r="D44" s="20"/>
      <c r="F44" s="131"/>
      <c r="G44" s="131"/>
      <c r="H44" s="131"/>
      <c r="J44" s="132"/>
      <c r="K44" s="132"/>
      <c r="L44" s="132"/>
      <c r="M44" s="132"/>
      <c r="N44" s="132"/>
      <c r="P44" s="132"/>
    </row>
    <row r="45" spans="2:16" x14ac:dyDescent="0.3">
      <c r="B45" s="133" t="s">
        <v>14</v>
      </c>
      <c r="C45" s="49"/>
      <c r="D45" s="134"/>
      <c r="E45" s="133"/>
      <c r="F45" s="135"/>
      <c r="G45" s="135"/>
      <c r="H45" s="135"/>
      <c r="I45" s="133"/>
      <c r="J45" s="136">
        <f>SUMPRODUCT($F34:$F42,J$34:J$42)</f>
        <v>0</v>
      </c>
      <c r="K45" s="136">
        <f t="shared" ref="K45:N45" si="13">SUMPRODUCT($F34:$F42,K$34:K$42)</f>
        <v>0</v>
      </c>
      <c r="L45" s="136">
        <f t="shared" si="13"/>
        <v>0</v>
      </c>
      <c r="M45" s="136">
        <f t="shared" si="13"/>
        <v>0</v>
      </c>
      <c r="N45" s="136">
        <f t="shared" si="13"/>
        <v>0</v>
      </c>
      <c r="O45" s="133"/>
      <c r="P45" s="46">
        <f t="shared" ref="P45:P47" si="14">SUM(J45:N45)</f>
        <v>0</v>
      </c>
    </row>
    <row r="46" spans="2:16" x14ac:dyDescent="0.3">
      <c r="B46" s="133" t="s">
        <v>40</v>
      </c>
      <c r="C46" s="49"/>
      <c r="D46" s="134"/>
      <c r="E46" s="133"/>
      <c r="F46" s="135"/>
      <c r="G46" s="135"/>
      <c r="H46" s="135"/>
      <c r="I46" s="133"/>
      <c r="J46" s="136">
        <f>SUMPRODUCT($G34:$G42,J$34:J$42)</f>
        <v>2500440.8817635248</v>
      </c>
      <c r="K46" s="136">
        <f t="shared" ref="K46:N46" si="15">SUMPRODUCT($G34:$G42,K$34:K$42)</f>
        <v>13579593.587174345</v>
      </c>
      <c r="L46" s="136">
        <f t="shared" si="15"/>
        <v>8406053.5070140306</v>
      </c>
      <c r="M46" s="136">
        <f t="shared" si="15"/>
        <v>0</v>
      </c>
      <c r="N46" s="136">
        <f t="shared" si="15"/>
        <v>0</v>
      </c>
      <c r="O46" s="133"/>
      <c r="P46" s="46">
        <f t="shared" si="14"/>
        <v>24486087.975951903</v>
      </c>
    </row>
    <row r="47" spans="2:16" x14ac:dyDescent="0.3">
      <c r="B47" s="133" t="s">
        <v>16</v>
      </c>
      <c r="C47" s="49"/>
      <c r="D47" s="134"/>
      <c r="E47" s="133"/>
      <c r="F47" s="135"/>
      <c r="G47" s="135"/>
      <c r="H47" s="135"/>
      <c r="I47" s="133"/>
      <c r="J47" s="136">
        <f>SUMPRODUCT($H34:$H42,J$34:J$42)</f>
        <v>3251102.2044088151</v>
      </c>
      <c r="K47" s="136">
        <f t="shared" ref="K47:N47" si="16">SUMPRODUCT($H34:$H42,K$34:K$42)</f>
        <v>6684735.0701402798</v>
      </c>
      <c r="L47" s="136">
        <f t="shared" si="16"/>
        <v>5625074.7494990006</v>
      </c>
      <c r="M47" s="136">
        <f t="shared" si="16"/>
        <v>0</v>
      </c>
      <c r="N47" s="136">
        <f t="shared" si="16"/>
        <v>0</v>
      </c>
      <c r="O47" s="133"/>
      <c r="P47" s="46">
        <f t="shared" si="14"/>
        <v>15560912.024048096</v>
      </c>
    </row>
    <row r="48" spans="2:16" x14ac:dyDescent="0.3">
      <c r="B48" s="133"/>
      <c r="C48" s="49"/>
      <c r="D48" s="134"/>
      <c r="E48" s="133"/>
      <c r="F48" s="135"/>
      <c r="G48" s="135"/>
      <c r="H48" s="135"/>
      <c r="I48" s="133"/>
      <c r="J48" s="136"/>
      <c r="K48" s="136"/>
      <c r="L48" s="136"/>
      <c r="M48" s="136"/>
      <c r="N48" s="136"/>
      <c r="O48" s="133"/>
      <c r="P48" s="46"/>
    </row>
    <row r="49" spans="2:16" x14ac:dyDescent="0.3">
      <c r="B49" s="133"/>
      <c r="C49" s="49"/>
      <c r="D49" s="134"/>
      <c r="E49" s="133"/>
      <c r="F49" s="135"/>
      <c r="G49" s="135"/>
      <c r="H49" s="135"/>
      <c r="I49" s="133"/>
      <c r="J49" s="136"/>
      <c r="K49" s="136"/>
      <c r="L49" s="136"/>
      <c r="M49" s="136"/>
      <c r="N49" s="136"/>
      <c r="O49" s="133"/>
      <c r="P49" s="46"/>
    </row>
    <row r="50" spans="2:16" x14ac:dyDescent="0.3">
      <c r="B50" s="20"/>
      <c r="C50" s="49"/>
      <c r="D50" s="20"/>
      <c r="F50" s="52"/>
      <c r="G50" s="52"/>
      <c r="H50" s="52"/>
      <c r="J50" s="53"/>
      <c r="K50" s="53"/>
      <c r="L50" s="53"/>
      <c r="M50" s="53"/>
      <c r="N50" s="53"/>
    </row>
    <row r="51" spans="2:16" ht="14.5" x14ac:dyDescent="0.35">
      <c r="B51" s="20"/>
      <c r="C51" s="49"/>
      <c r="J51" s="54"/>
      <c r="K51" s="54"/>
      <c r="L51" s="54"/>
      <c r="M51" s="54"/>
    </row>
    <row r="52" spans="2:16" x14ac:dyDescent="0.3">
      <c r="B52" s="38" t="s">
        <v>39</v>
      </c>
      <c r="C52" s="38"/>
      <c r="D52" s="39"/>
      <c r="F52" s="40" t="s">
        <v>14</v>
      </c>
      <c r="G52" s="40" t="s">
        <v>15</v>
      </c>
      <c r="H52" s="40" t="s">
        <v>16</v>
      </c>
      <c r="J52" s="40" t="s">
        <v>23</v>
      </c>
      <c r="K52" s="40" t="s">
        <v>24</v>
      </c>
      <c r="L52" s="40" t="s">
        <v>25</v>
      </c>
      <c r="M52" s="40" t="s">
        <v>26</v>
      </c>
      <c r="N52" s="40" t="s">
        <v>27</v>
      </c>
      <c r="P52" s="40" t="s">
        <v>28</v>
      </c>
    </row>
    <row r="53" spans="2:16" ht="14.5" x14ac:dyDescent="0.35">
      <c r="B53" s="28" t="s">
        <v>29</v>
      </c>
      <c r="C53" s="41" t="str">
        <f t="shared" ref="C53:C61" si="17">$B$52&amp;" "&amp;B53</f>
        <v xml:space="preserve">Option 3 New Depot Design </v>
      </c>
      <c r="E53" s="42"/>
      <c r="F53" s="43">
        <v>0</v>
      </c>
      <c r="G53" s="44">
        <f>1-SUM(F53,H53)</f>
        <v>0</v>
      </c>
      <c r="H53" s="43">
        <v>1</v>
      </c>
      <c r="I53" s="42"/>
      <c r="J53" s="45">
        <v>925000</v>
      </c>
      <c r="K53" s="45">
        <v>0</v>
      </c>
      <c r="L53" s="45">
        <v>0</v>
      </c>
      <c r="M53" s="45">
        <v>0</v>
      </c>
      <c r="N53" s="45">
        <v>0</v>
      </c>
      <c r="P53" s="46">
        <f t="shared" ref="P53:P61" si="18">SUM(J53:N53)</f>
        <v>925000</v>
      </c>
    </row>
    <row r="54" spans="2:16" ht="14.5" x14ac:dyDescent="0.35">
      <c r="B54" s="28" t="s">
        <v>30</v>
      </c>
      <c r="C54" s="41" t="str">
        <f t="shared" si="17"/>
        <v>Option 3 Staff Relocation / Alternative Accom</v>
      </c>
      <c r="E54" s="42"/>
      <c r="F54" s="43">
        <v>0</v>
      </c>
      <c r="G54" s="44">
        <f>1-SUM(F54,H54)</f>
        <v>9.9999999999999978E-2</v>
      </c>
      <c r="H54" s="43">
        <v>0.9</v>
      </c>
      <c r="I54" s="42"/>
      <c r="J54" s="45">
        <v>0</v>
      </c>
      <c r="K54" s="45">
        <v>0</v>
      </c>
      <c r="L54" s="45">
        <v>850340.80188679241</v>
      </c>
      <c r="M54" s="45">
        <v>0</v>
      </c>
      <c r="N54" s="45">
        <v>0</v>
      </c>
      <c r="P54" s="46">
        <f t="shared" si="18"/>
        <v>850340.80188679241</v>
      </c>
    </row>
    <row r="55" spans="2:16" ht="14.5" x14ac:dyDescent="0.35">
      <c r="B55" s="28" t="s">
        <v>31</v>
      </c>
      <c r="C55" s="41" t="str">
        <f t="shared" si="17"/>
        <v>Option 3 Land acquisition</v>
      </c>
      <c r="E55" s="42"/>
      <c r="F55" s="47"/>
      <c r="G55" s="43">
        <v>1</v>
      </c>
      <c r="H55" s="47"/>
      <c r="I55" s="42"/>
      <c r="J55" s="45">
        <f>40000*365</f>
        <v>14600000</v>
      </c>
      <c r="K55" s="45">
        <v>0</v>
      </c>
      <c r="L55" s="45">
        <v>0</v>
      </c>
      <c r="M55" s="45">
        <v>0</v>
      </c>
      <c r="N55" s="45">
        <v>0</v>
      </c>
      <c r="P55" s="46">
        <f t="shared" si="18"/>
        <v>14600000</v>
      </c>
    </row>
    <row r="56" spans="2:16" ht="14.5" x14ac:dyDescent="0.35">
      <c r="B56" s="28" t="s">
        <v>32</v>
      </c>
      <c r="C56" s="41" t="str">
        <f t="shared" si="17"/>
        <v>Option 3 Civil Works/Demolition works</v>
      </c>
      <c r="E56" s="42"/>
      <c r="F56" s="43">
        <v>0</v>
      </c>
      <c r="G56" s="44">
        <f t="shared" ref="G56:G61" si="19">1-SUM(F56,H56)</f>
        <v>0.5</v>
      </c>
      <c r="H56" s="43">
        <v>0.5</v>
      </c>
      <c r="I56" s="42"/>
      <c r="J56" s="45">
        <v>2200882.0754716983</v>
      </c>
      <c r="K56" s="45">
        <v>3001202.830188679</v>
      </c>
      <c r="L56" s="45">
        <v>0</v>
      </c>
      <c r="M56" s="45">
        <v>0</v>
      </c>
      <c r="N56" s="45">
        <v>0</v>
      </c>
      <c r="P56" s="46">
        <f t="shared" si="18"/>
        <v>5202084.9056603778</v>
      </c>
    </row>
    <row r="57" spans="2:16" ht="14.5" x14ac:dyDescent="0.35">
      <c r="B57" s="28" t="s">
        <v>33</v>
      </c>
      <c r="C57" s="41" t="str">
        <f t="shared" si="17"/>
        <v xml:space="preserve">Option 3 Building works </v>
      </c>
      <c r="E57" s="42"/>
      <c r="F57" s="43">
        <v>0</v>
      </c>
      <c r="G57" s="44">
        <f t="shared" si="19"/>
        <v>0.7</v>
      </c>
      <c r="H57" s="43">
        <v>0.3</v>
      </c>
      <c r="I57" s="42"/>
      <c r="J57" s="45">
        <v>0</v>
      </c>
      <c r="K57" s="45">
        <v>12004811.320754716</v>
      </c>
      <c r="L57" s="45">
        <v>8003207.547169812</v>
      </c>
      <c r="M57" s="45">
        <v>0</v>
      </c>
      <c r="N57" s="45">
        <v>0</v>
      </c>
      <c r="P57" s="46">
        <f t="shared" si="18"/>
        <v>20008018.867924526</v>
      </c>
    </row>
    <row r="58" spans="2:16" ht="14.5" x14ac:dyDescent="0.35">
      <c r="B58" s="28" t="s">
        <v>34</v>
      </c>
      <c r="C58" s="41" t="str">
        <f t="shared" si="17"/>
        <v xml:space="preserve">Option 3 Services </v>
      </c>
      <c r="E58" s="42"/>
      <c r="F58" s="43">
        <v>0</v>
      </c>
      <c r="G58" s="44">
        <f t="shared" si="19"/>
        <v>0.19999999999999996</v>
      </c>
      <c r="H58" s="43">
        <v>0.8</v>
      </c>
      <c r="I58" s="42"/>
      <c r="J58" s="45">
        <v>0</v>
      </c>
      <c r="K58" s="45">
        <v>1200481.1320754718</v>
      </c>
      <c r="L58" s="45">
        <v>3650000</v>
      </c>
      <c r="M58" s="45">
        <v>0</v>
      </c>
      <c r="N58" s="45">
        <v>0</v>
      </c>
      <c r="P58" s="46">
        <f t="shared" si="18"/>
        <v>4850481.1320754718</v>
      </c>
    </row>
    <row r="59" spans="2:16" ht="14.5" x14ac:dyDescent="0.35">
      <c r="B59" s="28" t="s">
        <v>35</v>
      </c>
      <c r="C59" s="41" t="str">
        <f t="shared" si="17"/>
        <v>Option 3 Fixtures, Furniture &amp; equipment</v>
      </c>
      <c r="E59" s="42"/>
      <c r="F59" s="43">
        <v>0</v>
      </c>
      <c r="G59" s="44">
        <f t="shared" si="19"/>
        <v>1</v>
      </c>
      <c r="H59" s="43">
        <v>0</v>
      </c>
      <c r="I59" s="42"/>
      <c r="J59" s="45">
        <v>0</v>
      </c>
      <c r="K59" s="45">
        <v>0</v>
      </c>
      <c r="L59" s="45">
        <f>L40</f>
        <v>1450484.9699398801</v>
      </c>
      <c r="M59" s="45">
        <v>0</v>
      </c>
      <c r="N59" s="45">
        <v>0</v>
      </c>
      <c r="P59" s="46">
        <f t="shared" si="18"/>
        <v>1450484.9699398801</v>
      </c>
    </row>
    <row r="60" spans="2:16" ht="14.5" x14ac:dyDescent="0.35">
      <c r="B60" s="28" t="s">
        <v>36</v>
      </c>
      <c r="C60" s="41" t="str">
        <f t="shared" si="17"/>
        <v>Option 3 Other</v>
      </c>
      <c r="E60" s="42"/>
      <c r="F60" s="43">
        <v>0</v>
      </c>
      <c r="G60" s="44">
        <f t="shared" si="19"/>
        <v>1</v>
      </c>
      <c r="H60" s="43">
        <v>0</v>
      </c>
      <c r="I60" s="42"/>
      <c r="J60" s="45">
        <v>0</v>
      </c>
      <c r="K60" s="45">
        <v>0</v>
      </c>
      <c r="L60" s="45">
        <v>0</v>
      </c>
      <c r="M60" s="45">
        <v>0</v>
      </c>
      <c r="N60" s="45">
        <v>0</v>
      </c>
      <c r="P60" s="46">
        <f t="shared" si="18"/>
        <v>0</v>
      </c>
    </row>
    <row r="61" spans="2:16" ht="14.5" x14ac:dyDescent="0.35">
      <c r="B61" s="37" t="s">
        <v>37</v>
      </c>
      <c r="C61" s="48" t="str">
        <f t="shared" si="17"/>
        <v>Option 3 Project Management</v>
      </c>
      <c r="D61" s="37"/>
      <c r="E61" s="42"/>
      <c r="F61" s="43">
        <v>0.5</v>
      </c>
      <c r="G61" s="44">
        <f t="shared" si="19"/>
        <v>0</v>
      </c>
      <c r="H61" s="43">
        <v>0.5</v>
      </c>
      <c r="I61" s="42"/>
      <c r="J61" s="45">
        <v>0</v>
      </c>
      <c r="K61" s="45">
        <v>0</v>
      </c>
      <c r="L61" s="45">
        <v>0</v>
      </c>
      <c r="M61" s="45">
        <v>0</v>
      </c>
      <c r="N61" s="45">
        <v>0</v>
      </c>
      <c r="P61" s="46">
        <f t="shared" si="18"/>
        <v>0</v>
      </c>
    </row>
    <row r="62" spans="2:16" x14ac:dyDescent="0.3">
      <c r="B62" s="20" t="s">
        <v>38</v>
      </c>
      <c r="C62" s="49"/>
      <c r="D62" s="20"/>
      <c r="F62" s="50"/>
      <c r="G62" s="50"/>
      <c r="H62" s="50"/>
      <c r="J62" s="51">
        <f>SUM(J53:J61)</f>
        <v>17725882.075471699</v>
      </c>
      <c r="K62" s="51">
        <f>SUM(K53:K61)</f>
        <v>16206495.283018867</v>
      </c>
      <c r="L62" s="51">
        <f>SUM(L53:L61)</f>
        <v>13954033.318996485</v>
      </c>
      <c r="M62" s="51">
        <f>SUM(M53:M61)</f>
        <v>0</v>
      </c>
      <c r="N62" s="51">
        <f>SUM(N53:N61)</f>
        <v>0</v>
      </c>
      <c r="P62" s="51">
        <f>SUM(P53:P61)</f>
        <v>47886410.677487053</v>
      </c>
    </row>
    <row r="63" spans="2:16" ht="14.5" x14ac:dyDescent="0.35">
      <c r="C63" s="55"/>
      <c r="J63" s="54"/>
      <c r="K63" s="54"/>
      <c r="L63" s="54"/>
      <c r="M63" s="54"/>
    </row>
    <row r="64" spans="2:16" x14ac:dyDescent="0.3">
      <c r="B64" s="133" t="s">
        <v>14</v>
      </c>
      <c r="C64" s="49"/>
      <c r="D64" s="134"/>
      <c r="E64" s="133"/>
      <c r="F64" s="135"/>
      <c r="G64" s="135"/>
      <c r="H64" s="135"/>
      <c r="I64" s="133"/>
      <c r="J64" s="136">
        <f>SUMPRODUCT($F53:$F61,J$53:J$61)</f>
        <v>0</v>
      </c>
      <c r="K64" s="136">
        <f t="shared" ref="K64:N64" si="20">SUMPRODUCT($F53:$F61,K$53:K$61)</f>
        <v>0</v>
      </c>
      <c r="L64" s="136">
        <f t="shared" si="20"/>
        <v>0</v>
      </c>
      <c r="M64" s="136">
        <f t="shared" si="20"/>
        <v>0</v>
      </c>
      <c r="N64" s="136">
        <f t="shared" si="20"/>
        <v>0</v>
      </c>
      <c r="O64" s="133"/>
      <c r="P64" s="46">
        <f t="shared" ref="P64:P66" si="21">SUM(J64:N64)</f>
        <v>0</v>
      </c>
    </row>
    <row r="65" spans="2:16" x14ac:dyDescent="0.3">
      <c r="B65" s="133" t="s">
        <v>40</v>
      </c>
      <c r="C65" s="49"/>
      <c r="D65" s="134"/>
      <c r="E65" s="133"/>
      <c r="F65" s="135"/>
      <c r="G65" s="135"/>
      <c r="H65" s="135"/>
      <c r="I65" s="133"/>
      <c r="J65" s="136">
        <f>SUMPRODUCT($G53:$G61,J$53:J$61)</f>
        <v>15700441.03773585</v>
      </c>
      <c r="K65" s="136">
        <f t="shared" ref="K65:N65" si="22">SUMPRODUCT($G53:$G61,K$53:K$61)</f>
        <v>10144065.566037735</v>
      </c>
      <c r="L65" s="136">
        <f t="shared" si="22"/>
        <v>7867764.333147428</v>
      </c>
      <c r="M65" s="136">
        <f t="shared" si="22"/>
        <v>0</v>
      </c>
      <c r="N65" s="136">
        <f t="shared" si="22"/>
        <v>0</v>
      </c>
      <c r="O65" s="133"/>
      <c r="P65" s="46">
        <f t="shared" si="21"/>
        <v>33712270.936921015</v>
      </c>
    </row>
    <row r="66" spans="2:16" x14ac:dyDescent="0.3">
      <c r="B66" s="133" t="s">
        <v>16</v>
      </c>
      <c r="C66" s="49"/>
      <c r="D66" s="134"/>
      <c r="E66" s="133"/>
      <c r="F66" s="135"/>
      <c r="G66" s="135"/>
      <c r="H66" s="135"/>
      <c r="I66" s="133"/>
      <c r="J66" s="136">
        <f>SUMPRODUCT($H53:$H61,J$53:J$61)</f>
        <v>2025441.0377358492</v>
      </c>
      <c r="K66" s="136">
        <f t="shared" ref="K66:N66" si="23">SUMPRODUCT($H53:$H61,K$53:K$61)</f>
        <v>6062429.7169811325</v>
      </c>
      <c r="L66" s="136">
        <f t="shared" si="23"/>
        <v>6086268.9858490564</v>
      </c>
      <c r="M66" s="136">
        <f t="shared" si="23"/>
        <v>0</v>
      </c>
      <c r="N66" s="136">
        <f t="shared" si="23"/>
        <v>0</v>
      </c>
      <c r="O66" s="133"/>
      <c r="P66" s="46">
        <f t="shared" si="21"/>
        <v>14174139.740566038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2768-9BA9-47B1-B8C9-1CA2DD7D8BDE}">
  <sheetPr codeName="Sheet7"/>
  <dimension ref="A1:BB243"/>
  <sheetViews>
    <sheetView showGridLines="0" zoomScaleNormal="100" workbookViewId="0">
      <selection activeCell="I6" sqref="I6"/>
    </sheetView>
  </sheetViews>
  <sheetFormatPr defaultRowHeight="14.5" outlineLevelRow="1" x14ac:dyDescent="0.35"/>
  <cols>
    <col min="2" max="2" width="37.453125" bestFit="1" customWidth="1"/>
    <col min="3" max="3" width="9.81640625" bestFit="1" customWidth="1"/>
    <col min="4" max="4" width="12.08984375" bestFit="1" customWidth="1"/>
    <col min="5" max="5" width="12.81640625" bestFit="1" customWidth="1"/>
    <col min="6" max="6" width="12.54296875" customWidth="1"/>
    <col min="7" max="7" width="9.81640625" bestFit="1" customWidth="1"/>
    <col min="8" max="8" width="9.90625" bestFit="1" customWidth="1"/>
    <col min="9" max="21" width="8.81640625" bestFit="1" customWidth="1"/>
    <col min="22" max="33" width="10.1796875" bestFit="1" customWidth="1"/>
  </cols>
  <sheetData>
    <row r="1" spans="1:54" x14ac:dyDescent="0.35">
      <c r="A1" s="65" t="str">
        <f>business</f>
        <v>Powercor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61" t="s">
        <v>1</v>
      </c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1:54" x14ac:dyDescent="0.35">
      <c r="A2" s="67" t="str">
        <f>model_name</f>
        <v>Geelong depot</v>
      </c>
      <c r="B2" s="68"/>
      <c r="C2" s="68"/>
      <c r="D2" s="68"/>
      <c r="E2" s="68"/>
      <c r="F2" s="68"/>
      <c r="G2" s="32"/>
      <c r="H2" s="32"/>
      <c r="I2" s="32"/>
      <c r="J2" s="32"/>
      <c r="K2" s="32"/>
      <c r="L2" s="32"/>
      <c r="M2" s="68"/>
      <c r="N2" s="68"/>
      <c r="O2" s="68"/>
      <c r="P2" s="68"/>
      <c r="Q2" s="68"/>
      <c r="R2" s="32"/>
      <c r="S2" s="32"/>
      <c r="T2" s="32"/>
      <c r="U2" s="32"/>
      <c r="V2" s="32"/>
      <c r="W2" s="32"/>
      <c r="X2" s="68"/>
      <c r="Y2" s="32"/>
      <c r="Z2" s="32"/>
      <c r="AA2" s="32"/>
      <c r="AB2" s="32"/>
      <c r="AC2" s="32"/>
      <c r="AD2" s="32"/>
      <c r="AE2" s="32"/>
      <c r="AF2" s="32"/>
      <c r="AG2" s="32"/>
      <c r="AH2" s="62" t="s">
        <v>4</v>
      </c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</row>
    <row r="3" spans="1:54" x14ac:dyDescent="0.35">
      <c r="A3" s="63" t="str">
        <f>"All dollar values are in "&amp;TEXT(input_dollars,"$ mmmm yyyy")&amp;" unless otherwise stated"</f>
        <v>All dollar values are in $ June 2024 unless otherwise stated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54" x14ac:dyDescent="0.3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</row>
    <row r="5" spans="1:54" x14ac:dyDescent="0.35">
      <c r="A5" s="33" t="s">
        <v>53</v>
      </c>
      <c r="B5" s="33"/>
      <c r="C5" s="33"/>
      <c r="D5" s="33"/>
      <c r="E5" s="116"/>
      <c r="F5" s="33"/>
      <c r="G5" s="11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 spans="1:54" x14ac:dyDescent="0.35">
      <c r="A6" s="63"/>
      <c r="B6" s="36" t="s">
        <v>76</v>
      </c>
      <c r="C6" s="36"/>
      <c r="D6" s="36"/>
      <c r="E6" s="36"/>
      <c r="F6" s="36" t="s">
        <v>198</v>
      </c>
      <c r="G6" s="36" t="s">
        <v>28</v>
      </c>
      <c r="H6" s="40"/>
      <c r="I6" s="40" t="s">
        <v>23</v>
      </c>
      <c r="J6" s="40" t="s">
        <v>24</v>
      </c>
      <c r="K6" s="40" t="s">
        <v>25</v>
      </c>
      <c r="L6" s="40" t="s">
        <v>26</v>
      </c>
      <c r="M6" s="40" t="s">
        <v>27</v>
      </c>
      <c r="N6" s="40" t="s">
        <v>56</v>
      </c>
      <c r="O6" s="40" t="s">
        <v>57</v>
      </c>
      <c r="P6" s="40" t="s">
        <v>58</v>
      </c>
      <c r="Q6" s="40" t="s">
        <v>59</v>
      </c>
      <c r="R6" s="40" t="s">
        <v>60</v>
      </c>
      <c r="S6" s="40" t="s">
        <v>61</v>
      </c>
      <c r="T6" s="40" t="s">
        <v>62</v>
      </c>
      <c r="U6" s="40" t="s">
        <v>63</v>
      </c>
      <c r="V6" s="40" t="s">
        <v>64</v>
      </c>
      <c r="W6" s="40" t="s">
        <v>65</v>
      </c>
      <c r="X6" s="40" t="s">
        <v>66</v>
      </c>
      <c r="Y6" s="40" t="s">
        <v>67</v>
      </c>
      <c r="Z6" s="40" t="s">
        <v>68</v>
      </c>
      <c r="AA6" s="40" t="s">
        <v>69</v>
      </c>
      <c r="AB6" s="40" t="s">
        <v>70</v>
      </c>
      <c r="AC6" s="40" t="s">
        <v>71</v>
      </c>
      <c r="AD6" s="40" t="s">
        <v>72</v>
      </c>
      <c r="AE6" s="40" t="s">
        <v>73</v>
      </c>
      <c r="AF6" s="40" t="s">
        <v>74</v>
      </c>
      <c r="AG6" s="40" t="s">
        <v>75</v>
      </c>
      <c r="AH6" s="63"/>
    </row>
    <row r="7" spans="1:54" x14ac:dyDescent="0.35">
      <c r="A7" s="63"/>
      <c r="B7" s="63" t="s">
        <v>77</v>
      </c>
      <c r="C7" s="63"/>
      <c r="D7" s="63"/>
      <c r="E7" s="102"/>
      <c r="F7" s="102">
        <f t="shared" ref="F7:F15" si="0">NPV(real_disc,I7:AG7)</f>
        <v>14572511.16375079</v>
      </c>
      <c r="G7" s="102">
        <f>SUM(I7:AG7)</f>
        <v>24134838.112899125</v>
      </c>
      <c r="H7" s="63"/>
      <c r="I7" s="102">
        <v>0</v>
      </c>
      <c r="J7" s="102">
        <v>0</v>
      </c>
      <c r="K7" s="102">
        <v>0</v>
      </c>
      <c r="L7" s="102">
        <f t="shared" ref="J7:AG7" si="1">L42</f>
        <v>868964.19090997754</v>
      </c>
      <c r="M7" s="102">
        <f t="shared" si="1"/>
        <v>887695.37778057682</v>
      </c>
      <c r="N7" s="102">
        <f t="shared" si="1"/>
        <v>906830.32969149831</v>
      </c>
      <c r="O7" s="102">
        <f t="shared" si="1"/>
        <v>926377.75010659161</v>
      </c>
      <c r="P7" s="102">
        <f t="shared" si="1"/>
        <v>946346.5300995172</v>
      </c>
      <c r="Q7" s="102">
        <f t="shared" si="1"/>
        <v>966745.75239781989</v>
      </c>
      <c r="R7" s="102">
        <f t="shared" si="1"/>
        <v>987584.69551417406</v>
      </c>
      <c r="S7" s="102">
        <f t="shared" si="1"/>
        <v>1008872.837966682</v>
      </c>
      <c r="T7" s="102">
        <f t="shared" si="1"/>
        <v>1030619.8625901438</v>
      </c>
      <c r="U7" s="102">
        <f t="shared" si="1"/>
        <v>1052835.6609402595</v>
      </c>
      <c r="V7" s="102">
        <f t="shared" si="1"/>
        <v>1075530.3377927674</v>
      </c>
      <c r="W7" s="102">
        <f t="shared" si="1"/>
        <v>1098714.2157395657</v>
      </c>
      <c r="X7" s="102">
        <f t="shared" si="1"/>
        <v>1122397.8398839049</v>
      </c>
      <c r="Y7" s="102">
        <f t="shared" si="1"/>
        <v>1146591.9826367914</v>
      </c>
      <c r="Z7" s="102">
        <f t="shared" si="1"/>
        <v>1171307.6486167787</v>
      </c>
      <c r="AA7" s="102">
        <f t="shared" si="1"/>
        <v>1196556.0796553784</v>
      </c>
      <c r="AB7" s="102">
        <f t="shared" si="1"/>
        <v>1222348.7599103679</v>
      </c>
      <c r="AC7" s="102">
        <f t="shared" si="1"/>
        <v>1248697.4210893167</v>
      </c>
      <c r="AD7" s="102">
        <f t="shared" si="1"/>
        <v>1275614.0477857124</v>
      </c>
      <c r="AE7" s="102">
        <f t="shared" si="1"/>
        <v>1303110.8829301093</v>
      </c>
      <c r="AF7" s="102">
        <f t="shared" si="1"/>
        <v>1331200.433358781</v>
      </c>
      <c r="AG7" s="102">
        <f t="shared" si="1"/>
        <v>1359895.4755024097</v>
      </c>
      <c r="AH7" s="63"/>
    </row>
    <row r="8" spans="1:54" x14ac:dyDescent="0.35">
      <c r="A8" s="63"/>
      <c r="B8" s="63" t="s">
        <v>78</v>
      </c>
      <c r="C8" s="63"/>
      <c r="D8" s="63"/>
      <c r="E8" s="102"/>
      <c r="F8" s="102">
        <f t="shared" si="0"/>
        <v>21581437.273936499</v>
      </c>
      <c r="G8" s="102">
        <f t="shared" ref="G8:G15" si="2">SUM(I8:AG8)</f>
        <v>35699847.551424108</v>
      </c>
      <c r="H8" s="63"/>
      <c r="I8" s="102">
        <v>0</v>
      </c>
      <c r="J8" s="102">
        <v>0</v>
      </c>
      <c r="K8" s="102">
        <v>0</v>
      </c>
      <c r="L8" s="102">
        <f t="shared" ref="J8:AG8" si="3">L70</f>
        <v>1298179.8115263283</v>
      </c>
      <c r="M8" s="102">
        <f t="shared" si="3"/>
        <v>1324997.2962295469</v>
      </c>
      <c r="N8" s="102">
        <f t="shared" si="3"/>
        <v>1352369.5368450792</v>
      </c>
      <c r="O8" s="102">
        <f t="shared" si="3"/>
        <v>1380308.0252512649</v>
      </c>
      <c r="P8" s="102">
        <f t="shared" si="3"/>
        <v>1408824.4917164773</v>
      </c>
      <c r="Q8" s="102">
        <f t="shared" si="3"/>
        <v>1437930.9098512791</v>
      </c>
      <c r="R8" s="102">
        <f t="shared" si="3"/>
        <v>1467639.501663595</v>
      </c>
      <c r="S8" s="102">
        <f t="shared" si="3"/>
        <v>1497962.7427190472</v>
      </c>
      <c r="T8" s="102">
        <f t="shared" si="3"/>
        <v>1528913.3674086449</v>
      </c>
      <c r="U8" s="102">
        <f t="shared" si="3"/>
        <v>1560504.3743260647</v>
      </c>
      <c r="V8" s="102">
        <f t="shared" si="3"/>
        <v>1592749.0317568029</v>
      </c>
      <c r="W8" s="102">
        <f t="shared" si="3"/>
        <v>1625660.8832815322</v>
      </c>
      <c r="X8" s="102">
        <f t="shared" si="3"/>
        <v>1659253.7534960448</v>
      </c>
      <c r="Y8" s="102">
        <f t="shared" si="3"/>
        <v>1693541.753850203</v>
      </c>
      <c r="Z8" s="102">
        <f t="shared" si="3"/>
        <v>1728539.2886083866</v>
      </c>
      <c r="AA8" s="102">
        <f t="shared" si="3"/>
        <v>1764261.0609339618</v>
      </c>
      <c r="AB8" s="102">
        <f t="shared" si="3"/>
        <v>1800722.0791003581</v>
      </c>
      <c r="AC8" s="102">
        <f t="shared" si="3"/>
        <v>1837937.6628313921</v>
      </c>
      <c r="AD8" s="102">
        <f t="shared" si="3"/>
        <v>1875923.44977353</v>
      </c>
      <c r="AE8" s="102">
        <f t="shared" si="3"/>
        <v>1914695.4021028394</v>
      </c>
      <c r="AF8" s="102">
        <f t="shared" si="3"/>
        <v>1954269.8132694364</v>
      </c>
      <c r="AG8" s="102">
        <f t="shared" si="3"/>
        <v>1994663.3148822933</v>
      </c>
      <c r="AH8" s="63"/>
    </row>
    <row r="9" spans="1:54" x14ac:dyDescent="0.35">
      <c r="A9" s="63"/>
      <c r="B9" s="63" t="s">
        <v>79</v>
      </c>
      <c r="C9" s="63"/>
      <c r="D9" s="63"/>
      <c r="E9" s="102"/>
      <c r="F9" s="102">
        <f t="shared" si="0"/>
        <v>19567139.059432715</v>
      </c>
      <c r="G9" s="102">
        <f t="shared" si="2"/>
        <v>32338751.422252227</v>
      </c>
      <c r="H9" s="63"/>
      <c r="I9" s="102">
        <v>0</v>
      </c>
      <c r="J9" s="102">
        <v>0</v>
      </c>
      <c r="K9" s="102">
        <v>0</v>
      </c>
      <c r="L9" s="102">
        <f t="shared" ref="J9:AG9" si="4">L95</f>
        <v>1184613.7559040003</v>
      </c>
      <c r="M9" s="102">
        <f t="shared" si="4"/>
        <v>1208306.0310220802</v>
      </c>
      <c r="N9" s="102">
        <f t="shared" si="4"/>
        <v>1232472.1516425218</v>
      </c>
      <c r="O9" s="102">
        <f t="shared" si="4"/>
        <v>1257121.5946753721</v>
      </c>
      <c r="P9" s="102">
        <f t="shared" si="4"/>
        <v>1282264.0265688796</v>
      </c>
      <c r="Q9" s="102">
        <f t="shared" si="4"/>
        <v>1307909.3071002571</v>
      </c>
      <c r="R9" s="102">
        <f t="shared" si="4"/>
        <v>1334067.4932422624</v>
      </c>
      <c r="S9" s="102">
        <f t="shared" si="4"/>
        <v>1360748.8431071076</v>
      </c>
      <c r="T9" s="102">
        <f t="shared" si="4"/>
        <v>1387963.8199692499</v>
      </c>
      <c r="U9" s="102">
        <f t="shared" si="4"/>
        <v>1415723.0963686346</v>
      </c>
      <c r="V9" s="102">
        <f t="shared" si="4"/>
        <v>1444037.5582960073</v>
      </c>
      <c r="W9" s="102">
        <f t="shared" si="4"/>
        <v>1472918.3094619275</v>
      </c>
      <c r="X9" s="102">
        <f t="shared" si="4"/>
        <v>1502376.6756511661</v>
      </c>
      <c r="Y9" s="102">
        <f t="shared" si="4"/>
        <v>1532424.2091641892</v>
      </c>
      <c r="Z9" s="102">
        <f t="shared" si="4"/>
        <v>1563072.6933474732</v>
      </c>
      <c r="AA9" s="102">
        <f t="shared" si="4"/>
        <v>1594334.1472144227</v>
      </c>
      <c r="AB9" s="102">
        <f t="shared" si="4"/>
        <v>1626220.8301587112</v>
      </c>
      <c r="AC9" s="102">
        <f t="shared" si="4"/>
        <v>1658745.2467618855</v>
      </c>
      <c r="AD9" s="102">
        <f t="shared" si="4"/>
        <v>1691920.1516971232</v>
      </c>
      <c r="AE9" s="102">
        <f t="shared" si="4"/>
        <v>1725758.5547310656</v>
      </c>
      <c r="AF9" s="102">
        <f t="shared" si="4"/>
        <v>1760273.7258256869</v>
      </c>
      <c r="AG9" s="102">
        <f t="shared" si="4"/>
        <v>1795479.2003422007</v>
      </c>
      <c r="AH9" s="63"/>
    </row>
    <row r="10" spans="1:54" x14ac:dyDescent="0.35">
      <c r="A10" s="63"/>
      <c r="B10" s="63" t="s">
        <v>80</v>
      </c>
      <c r="C10" s="63"/>
      <c r="D10" s="63"/>
      <c r="E10" s="102"/>
      <c r="F10" s="102">
        <f t="shared" si="0"/>
        <v>3269974.6315514115</v>
      </c>
      <c r="G10" s="102">
        <f t="shared" si="2"/>
        <v>5288807.0769651653</v>
      </c>
      <c r="H10" s="63"/>
      <c r="I10" s="102">
        <v>0</v>
      </c>
      <c r="J10" s="102">
        <v>0</v>
      </c>
      <c r="K10" s="102">
        <v>0</v>
      </c>
      <c r="L10" s="102">
        <f t="shared" ref="J10:AG10" si="5">L116</f>
        <v>230263.53727556378</v>
      </c>
      <c r="M10" s="102">
        <f t="shared" si="5"/>
        <v>231165.82940357464</v>
      </c>
      <c r="N10" s="102">
        <f t="shared" si="5"/>
        <v>232077.14445286558</v>
      </c>
      <c r="O10" s="102">
        <f t="shared" si="5"/>
        <v>232997.57265264948</v>
      </c>
      <c r="P10" s="102">
        <f t="shared" si="5"/>
        <v>233927.20513443119</v>
      </c>
      <c r="Q10" s="102">
        <f t="shared" si="5"/>
        <v>234866.13394103071</v>
      </c>
      <c r="R10" s="102">
        <f t="shared" si="5"/>
        <v>235814.45203569622</v>
      </c>
      <c r="S10" s="102">
        <f t="shared" si="5"/>
        <v>236772.25331130839</v>
      </c>
      <c r="T10" s="102">
        <f t="shared" si="5"/>
        <v>237739.63259967667</v>
      </c>
      <c r="U10" s="102">
        <f t="shared" si="5"/>
        <v>238716.68568092867</v>
      </c>
      <c r="V10" s="102">
        <f t="shared" si="5"/>
        <v>239703.50929299317</v>
      </c>
      <c r="W10" s="102">
        <f t="shared" si="5"/>
        <v>240700.20114117832</v>
      </c>
      <c r="X10" s="102">
        <f t="shared" si="5"/>
        <v>241706.85990784533</v>
      </c>
      <c r="Y10" s="102">
        <f t="shared" si="5"/>
        <v>242723.58526217897</v>
      </c>
      <c r="Z10" s="102">
        <f t="shared" si="5"/>
        <v>243750.477870056</v>
      </c>
      <c r="AA10" s="102">
        <f t="shared" si="5"/>
        <v>244787.63940401177</v>
      </c>
      <c r="AB10" s="102">
        <f t="shared" si="5"/>
        <v>245835.17255330709</v>
      </c>
      <c r="AC10" s="102">
        <f t="shared" si="5"/>
        <v>246893.18103409535</v>
      </c>
      <c r="AD10" s="102">
        <f t="shared" si="5"/>
        <v>247961.76959969153</v>
      </c>
      <c r="AE10" s="102">
        <f t="shared" si="5"/>
        <v>249041.04405094366</v>
      </c>
      <c r="AF10" s="102">
        <f t="shared" si="5"/>
        <v>250131.11124670831</v>
      </c>
      <c r="AG10" s="102">
        <f t="shared" si="5"/>
        <v>251232.07911443061</v>
      </c>
      <c r="AH10" s="63"/>
    </row>
    <row r="11" spans="1:54" x14ac:dyDescent="0.35">
      <c r="A11" s="63"/>
      <c r="B11" s="63" t="s">
        <v>81</v>
      </c>
      <c r="C11" s="63"/>
      <c r="D11" s="63"/>
      <c r="E11" s="102"/>
      <c r="F11" s="102">
        <f t="shared" si="0"/>
        <v>2476227.9245512886</v>
      </c>
      <c r="G11" s="102">
        <f t="shared" si="2"/>
        <v>3982273.5179180419</v>
      </c>
      <c r="H11" s="63"/>
      <c r="I11" s="102">
        <v>0</v>
      </c>
      <c r="J11" s="102">
        <v>0</v>
      </c>
      <c r="K11" s="102">
        <v>0</v>
      </c>
      <c r="L11" s="102">
        <f t="shared" ref="J11:AG11" si="6">L134</f>
        <v>181012.43263263837</v>
      </c>
      <c r="M11" s="102">
        <f t="shared" si="6"/>
        <v>181012.43263263837</v>
      </c>
      <c r="N11" s="102">
        <f t="shared" si="6"/>
        <v>181012.43263263837</v>
      </c>
      <c r="O11" s="102">
        <f t="shared" si="6"/>
        <v>181012.43263263837</v>
      </c>
      <c r="P11" s="102">
        <f t="shared" si="6"/>
        <v>181012.43263263837</v>
      </c>
      <c r="Q11" s="102">
        <f t="shared" si="6"/>
        <v>181012.43263263837</v>
      </c>
      <c r="R11" s="102">
        <f t="shared" si="6"/>
        <v>181012.43263263837</v>
      </c>
      <c r="S11" s="102">
        <f t="shared" si="6"/>
        <v>181012.43263263837</v>
      </c>
      <c r="T11" s="102">
        <f t="shared" si="6"/>
        <v>181012.43263263837</v>
      </c>
      <c r="U11" s="102">
        <f t="shared" si="6"/>
        <v>181012.43263263837</v>
      </c>
      <c r="V11" s="102">
        <f t="shared" si="6"/>
        <v>181012.43263263837</v>
      </c>
      <c r="W11" s="102">
        <f t="shared" si="6"/>
        <v>181012.43263263837</v>
      </c>
      <c r="X11" s="102">
        <f t="shared" si="6"/>
        <v>181012.43263263837</v>
      </c>
      <c r="Y11" s="102">
        <f t="shared" si="6"/>
        <v>181012.43263263837</v>
      </c>
      <c r="Z11" s="102">
        <f t="shared" si="6"/>
        <v>181012.43263263837</v>
      </c>
      <c r="AA11" s="102">
        <f t="shared" si="6"/>
        <v>181012.43263263837</v>
      </c>
      <c r="AB11" s="102">
        <f t="shared" si="6"/>
        <v>181012.43263263837</v>
      </c>
      <c r="AC11" s="102">
        <f t="shared" si="6"/>
        <v>181012.43263263837</v>
      </c>
      <c r="AD11" s="102">
        <f t="shared" si="6"/>
        <v>181012.43263263837</v>
      </c>
      <c r="AE11" s="102">
        <f t="shared" si="6"/>
        <v>181012.43263263837</v>
      </c>
      <c r="AF11" s="102">
        <f t="shared" si="6"/>
        <v>181012.43263263837</v>
      </c>
      <c r="AG11" s="102">
        <f t="shared" si="6"/>
        <v>181012.43263263837</v>
      </c>
      <c r="AH11" s="63"/>
    </row>
    <row r="12" spans="1:54" x14ac:dyDescent="0.35">
      <c r="A12" s="63"/>
      <c r="B12" s="63" t="s">
        <v>155</v>
      </c>
      <c r="C12" s="63"/>
      <c r="D12" s="63"/>
      <c r="E12" s="102"/>
      <c r="F12" s="102">
        <f t="shared" si="0"/>
        <v>5770757.1824223269</v>
      </c>
      <c r="G12" s="102">
        <f t="shared" si="2"/>
        <v>9280540.4858117271</v>
      </c>
      <c r="H12" s="63"/>
      <c r="I12" s="102">
        <v>0</v>
      </c>
      <c r="J12" s="102">
        <v>0</v>
      </c>
      <c r="K12" s="102">
        <v>0</v>
      </c>
      <c r="L12" s="102">
        <f t="shared" ref="J12:AG12" si="7">L162</f>
        <v>421842.74935507856</v>
      </c>
      <c r="M12" s="102">
        <f t="shared" si="7"/>
        <v>421842.74935507856</v>
      </c>
      <c r="N12" s="102">
        <f t="shared" si="7"/>
        <v>421842.74935507856</v>
      </c>
      <c r="O12" s="102">
        <f t="shared" si="7"/>
        <v>421842.74935507856</v>
      </c>
      <c r="P12" s="102">
        <f t="shared" si="7"/>
        <v>421842.74935507856</v>
      </c>
      <c r="Q12" s="102">
        <f t="shared" si="7"/>
        <v>421842.74935507856</v>
      </c>
      <c r="R12" s="102">
        <f t="shared" si="7"/>
        <v>421842.74935507856</v>
      </c>
      <c r="S12" s="102">
        <f t="shared" si="7"/>
        <v>421842.74935507856</v>
      </c>
      <c r="T12" s="102">
        <f t="shared" si="7"/>
        <v>421842.74935507856</v>
      </c>
      <c r="U12" s="102">
        <f t="shared" si="7"/>
        <v>421842.74935507856</v>
      </c>
      <c r="V12" s="102">
        <f t="shared" si="7"/>
        <v>421842.74935507856</v>
      </c>
      <c r="W12" s="102">
        <f t="shared" si="7"/>
        <v>421842.74935507856</v>
      </c>
      <c r="X12" s="102">
        <f t="shared" si="7"/>
        <v>421842.74935507856</v>
      </c>
      <c r="Y12" s="102">
        <f t="shared" si="7"/>
        <v>421842.74935507856</v>
      </c>
      <c r="Z12" s="102">
        <f t="shared" si="7"/>
        <v>421842.74935507856</v>
      </c>
      <c r="AA12" s="102">
        <f t="shared" si="7"/>
        <v>421842.74935507856</v>
      </c>
      <c r="AB12" s="102">
        <f t="shared" si="7"/>
        <v>421842.74935507856</v>
      </c>
      <c r="AC12" s="102">
        <f t="shared" si="7"/>
        <v>421842.74935507856</v>
      </c>
      <c r="AD12" s="102">
        <f t="shared" si="7"/>
        <v>421842.74935507856</v>
      </c>
      <c r="AE12" s="102">
        <f t="shared" si="7"/>
        <v>421842.74935507856</v>
      </c>
      <c r="AF12" s="102">
        <f t="shared" si="7"/>
        <v>421842.74935507856</v>
      </c>
      <c r="AG12" s="102">
        <f t="shared" si="7"/>
        <v>421842.74935507856</v>
      </c>
      <c r="AH12" s="63"/>
    </row>
    <row r="13" spans="1:54" x14ac:dyDescent="0.35">
      <c r="A13" s="63"/>
      <c r="B13" s="63" t="s">
        <v>82</v>
      </c>
      <c r="C13" s="63"/>
      <c r="D13" s="63"/>
      <c r="E13" s="102"/>
      <c r="F13" s="102">
        <f t="shared" si="0"/>
        <v>920780.97780801577</v>
      </c>
      <c r="G13" s="102">
        <f t="shared" si="2"/>
        <v>1480801.3702502756</v>
      </c>
      <c r="H13" s="63"/>
      <c r="I13" s="102">
        <v>0</v>
      </c>
      <c r="J13" s="102">
        <v>0</v>
      </c>
      <c r="K13" s="102">
        <v>0</v>
      </c>
      <c r="L13" s="102">
        <f t="shared" ref="J13:AG13" si="8">L196</f>
        <v>67309.153193194332</v>
      </c>
      <c r="M13" s="102">
        <f t="shared" si="8"/>
        <v>67309.153193194332</v>
      </c>
      <c r="N13" s="102">
        <f t="shared" si="8"/>
        <v>67309.153193194332</v>
      </c>
      <c r="O13" s="102">
        <f t="shared" si="8"/>
        <v>67309.153193194332</v>
      </c>
      <c r="P13" s="102">
        <f t="shared" si="8"/>
        <v>67309.153193194332</v>
      </c>
      <c r="Q13" s="102">
        <f t="shared" si="8"/>
        <v>67309.153193194332</v>
      </c>
      <c r="R13" s="102">
        <f t="shared" si="8"/>
        <v>67309.153193194332</v>
      </c>
      <c r="S13" s="102">
        <f t="shared" si="8"/>
        <v>67309.153193194332</v>
      </c>
      <c r="T13" s="102">
        <f t="shared" si="8"/>
        <v>67309.153193194332</v>
      </c>
      <c r="U13" s="102">
        <f t="shared" si="8"/>
        <v>67309.153193194332</v>
      </c>
      <c r="V13" s="102">
        <f t="shared" si="8"/>
        <v>67309.153193194332</v>
      </c>
      <c r="W13" s="102">
        <f t="shared" si="8"/>
        <v>67309.153193194332</v>
      </c>
      <c r="X13" s="102">
        <f t="shared" si="8"/>
        <v>67309.153193194332</v>
      </c>
      <c r="Y13" s="102">
        <f t="shared" si="8"/>
        <v>67309.153193194332</v>
      </c>
      <c r="Z13" s="102">
        <f t="shared" si="8"/>
        <v>67309.153193194332</v>
      </c>
      <c r="AA13" s="102">
        <f t="shared" si="8"/>
        <v>67309.153193194332</v>
      </c>
      <c r="AB13" s="102">
        <f t="shared" si="8"/>
        <v>67309.153193194332</v>
      </c>
      <c r="AC13" s="102">
        <f t="shared" si="8"/>
        <v>67309.153193194332</v>
      </c>
      <c r="AD13" s="102">
        <f t="shared" si="8"/>
        <v>67309.153193194332</v>
      </c>
      <c r="AE13" s="102">
        <f t="shared" si="8"/>
        <v>67309.153193194332</v>
      </c>
      <c r="AF13" s="102">
        <f t="shared" si="8"/>
        <v>67309.153193194332</v>
      </c>
      <c r="AG13" s="102">
        <f t="shared" si="8"/>
        <v>67309.153193194332</v>
      </c>
      <c r="AH13" s="63"/>
    </row>
    <row r="14" spans="1:54" x14ac:dyDescent="0.35">
      <c r="A14" s="63"/>
      <c r="B14" s="63" t="s">
        <v>84</v>
      </c>
      <c r="C14" s="63"/>
      <c r="D14" s="63"/>
      <c r="E14" s="102"/>
      <c r="F14" s="102">
        <f t="shared" si="0"/>
        <v>4599167.267867852</v>
      </c>
      <c r="G14" s="102">
        <f t="shared" si="2"/>
        <v>4924800</v>
      </c>
      <c r="H14" s="63"/>
      <c r="I14" s="102">
        <f>I219</f>
        <v>1641600</v>
      </c>
      <c r="J14" s="102">
        <f t="shared" ref="J14:AG14" si="9">J219</f>
        <v>1641600</v>
      </c>
      <c r="K14" s="102">
        <f t="shared" si="9"/>
        <v>1641600</v>
      </c>
      <c r="L14" s="102">
        <f t="shared" si="9"/>
        <v>0</v>
      </c>
      <c r="M14" s="102">
        <f t="shared" si="9"/>
        <v>0</v>
      </c>
      <c r="N14" s="102">
        <f t="shared" si="9"/>
        <v>0</v>
      </c>
      <c r="O14" s="102">
        <f t="shared" si="9"/>
        <v>0</v>
      </c>
      <c r="P14" s="102">
        <f t="shared" si="9"/>
        <v>0</v>
      </c>
      <c r="Q14" s="102">
        <f t="shared" si="9"/>
        <v>0</v>
      </c>
      <c r="R14" s="102">
        <f t="shared" si="9"/>
        <v>0</v>
      </c>
      <c r="S14" s="102">
        <f t="shared" si="9"/>
        <v>0</v>
      </c>
      <c r="T14" s="102">
        <f t="shared" si="9"/>
        <v>0</v>
      </c>
      <c r="U14" s="102">
        <f t="shared" si="9"/>
        <v>0</v>
      </c>
      <c r="V14" s="102">
        <f t="shared" si="9"/>
        <v>0</v>
      </c>
      <c r="W14" s="102">
        <f t="shared" si="9"/>
        <v>0</v>
      </c>
      <c r="X14" s="102">
        <f t="shared" si="9"/>
        <v>0</v>
      </c>
      <c r="Y14" s="102">
        <f t="shared" si="9"/>
        <v>0</v>
      </c>
      <c r="Z14" s="102">
        <f t="shared" si="9"/>
        <v>0</v>
      </c>
      <c r="AA14" s="102">
        <f t="shared" si="9"/>
        <v>0</v>
      </c>
      <c r="AB14" s="102">
        <f t="shared" si="9"/>
        <v>0</v>
      </c>
      <c r="AC14" s="102">
        <f t="shared" si="9"/>
        <v>0</v>
      </c>
      <c r="AD14" s="102">
        <f t="shared" si="9"/>
        <v>0</v>
      </c>
      <c r="AE14" s="102">
        <f t="shared" si="9"/>
        <v>0</v>
      </c>
      <c r="AF14" s="102">
        <f t="shared" si="9"/>
        <v>0</v>
      </c>
      <c r="AG14" s="102">
        <f t="shared" si="9"/>
        <v>0</v>
      </c>
      <c r="AH14" s="63"/>
    </row>
    <row r="15" spans="1:54" x14ac:dyDescent="0.35">
      <c r="A15" s="63"/>
      <c r="B15" s="63" t="s">
        <v>85</v>
      </c>
      <c r="C15" s="63"/>
      <c r="D15" s="63"/>
      <c r="E15" s="102"/>
      <c r="F15" s="102">
        <f t="shared" si="0"/>
        <v>4550327.9889222216</v>
      </c>
      <c r="G15" s="102">
        <f t="shared" si="2"/>
        <v>6909213.1436281707</v>
      </c>
      <c r="H15" s="63"/>
      <c r="I15" s="102">
        <f>I243</f>
        <v>274590.855215338</v>
      </c>
      <c r="J15" s="102">
        <f t="shared" ref="J15:AG15" si="10">J243</f>
        <v>274715.68152269768</v>
      </c>
      <c r="K15" s="102">
        <f t="shared" si="10"/>
        <v>274843.19855645782</v>
      </c>
      <c r="L15" s="102">
        <f t="shared" si="10"/>
        <v>274973.46431728121</v>
      </c>
      <c r="M15" s="102">
        <f t="shared" si="10"/>
        <v>275106.53805607918</v>
      </c>
      <c r="N15" s="102">
        <f t="shared" si="10"/>
        <v>275242.48030096188</v>
      </c>
      <c r="O15" s="102">
        <f t="shared" si="10"/>
        <v>275381.35288476892</v>
      </c>
      <c r="P15" s="102">
        <f t="shared" si="10"/>
        <v>275523.21897319413</v>
      </c>
      <c r="Q15" s="102">
        <f t="shared" si="10"/>
        <v>275668.143093516</v>
      </c>
      <c r="R15" s="102">
        <f t="shared" si="10"/>
        <v>275816.19116394792</v>
      </c>
      <c r="S15" s="102">
        <f t="shared" si="10"/>
        <v>275967.43052362069</v>
      </c>
      <c r="T15" s="102">
        <f t="shared" si="10"/>
        <v>276121.92996321135</v>
      </c>
      <c r="U15" s="102">
        <f t="shared" si="10"/>
        <v>276279.75975623279</v>
      </c>
      <c r="V15" s="102">
        <f t="shared" si="10"/>
        <v>276440.99169099698</v>
      </c>
      <c r="W15" s="102">
        <f t="shared" si="10"/>
        <v>276605.69910326775</v>
      </c>
      <c r="X15" s="102">
        <f t="shared" si="10"/>
        <v>276773.95690961747</v>
      </c>
      <c r="Y15" s="102">
        <f t="shared" si="10"/>
        <v>276945.8416415024</v>
      </c>
      <c r="Z15" s="102">
        <f t="shared" si="10"/>
        <v>277121.43148007273</v>
      </c>
      <c r="AA15" s="102">
        <f t="shared" si="10"/>
        <v>277300.80629173317</v>
      </c>
      <c r="AB15" s="102">
        <f t="shared" si="10"/>
        <v>277484.04766446969</v>
      </c>
      <c r="AC15" s="102">
        <f t="shared" si="10"/>
        <v>277671.23894495965</v>
      </c>
      <c r="AD15" s="102">
        <f t="shared" si="10"/>
        <v>277862.46527648176</v>
      </c>
      <c r="AE15" s="102">
        <f t="shared" si="10"/>
        <v>278057.813637643</v>
      </c>
      <c r="AF15" s="102">
        <f t="shared" si="10"/>
        <v>278257.37288194086</v>
      </c>
      <c r="AG15" s="102">
        <f t="shared" si="10"/>
        <v>278461.23377817764</v>
      </c>
      <c r="AH15" s="63"/>
    </row>
    <row r="16" spans="1:54" x14ac:dyDescent="0.3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</row>
    <row r="17" spans="1:34" x14ac:dyDescent="0.3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</row>
    <row r="18" spans="1:34" x14ac:dyDescent="0.35">
      <c r="A18" s="33" t="s">
        <v>83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spans="1:34" x14ac:dyDescent="0.3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</row>
    <row r="20" spans="1:34" x14ac:dyDescent="0.35">
      <c r="A20" s="80"/>
      <c r="B20" s="78" t="s">
        <v>77</v>
      </c>
      <c r="C20" s="78"/>
      <c r="D20" s="78"/>
      <c r="E20" s="78"/>
      <c r="F20" s="78"/>
      <c r="G20" s="78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80"/>
    </row>
    <row r="21" spans="1:34" x14ac:dyDescent="0.3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</row>
    <row r="22" spans="1:34" hidden="1" outlineLevel="1" x14ac:dyDescent="0.35">
      <c r="A22" s="63"/>
      <c r="B22" s="82" t="s">
        <v>98</v>
      </c>
      <c r="C22" s="82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63"/>
    </row>
    <row r="23" spans="1:34" hidden="1" outlineLevel="1" x14ac:dyDescent="0.35">
      <c r="A23" s="63"/>
      <c r="B23" s="63" t="s">
        <v>194</v>
      </c>
      <c r="C23" s="99" t="str">
        <f>'Risk Assumptions'!F9</f>
        <v>#</v>
      </c>
      <c r="D23" s="83">
        <f>'Risk Assumptions'!G9</f>
        <v>3753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</row>
    <row r="24" spans="1:34" hidden="1" outlineLevel="1" x14ac:dyDescent="0.35">
      <c r="A24" s="63"/>
      <c r="B24" s="63" t="s">
        <v>100</v>
      </c>
      <c r="C24" s="100" t="str">
        <f>'Risk Assumptions'!F11</f>
        <v>%</v>
      </c>
      <c r="D24" s="84">
        <f>'Risk Assumptions'!G11</f>
        <v>0.1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</row>
    <row r="25" spans="1:34" hidden="1" outlineLevel="1" x14ac:dyDescent="0.35">
      <c r="A25" s="63"/>
      <c r="B25" s="63" t="s">
        <v>101</v>
      </c>
      <c r="C25" s="101" t="str">
        <f>'Risk Assumptions'!F12</f>
        <v>$ June 2024</v>
      </c>
      <c r="D25" s="85">
        <f>'Risk Assumptions'!G12</f>
        <v>107.10104529616724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</row>
    <row r="26" spans="1:34" hidden="1" outlineLevel="1" x14ac:dyDescent="0.35">
      <c r="A26" s="63"/>
      <c r="B26" s="63" t="s">
        <v>99</v>
      </c>
      <c r="C26" s="100" t="str">
        <f>'Risk Assumptions'!F10</f>
        <v>%</v>
      </c>
      <c r="D26" s="84">
        <f>'Risk Assumptions'!G10</f>
        <v>2.1555763823805061E-2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</row>
    <row r="27" spans="1:34" hidden="1" outlineLevel="1" x14ac:dyDescent="0.3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</row>
    <row r="28" spans="1:34" hidden="1" outlineLevel="1" x14ac:dyDescent="0.35">
      <c r="A28" s="63"/>
      <c r="B28" s="86"/>
      <c r="C28" s="86"/>
      <c r="D28" s="86"/>
      <c r="E28" s="86"/>
      <c r="F28" s="86"/>
      <c r="G28" s="86"/>
      <c r="H28" s="103" t="s">
        <v>20</v>
      </c>
      <c r="I28" s="69" t="s">
        <v>23</v>
      </c>
      <c r="J28" s="69" t="s">
        <v>24</v>
      </c>
      <c r="K28" s="69" t="s">
        <v>25</v>
      </c>
      <c r="L28" s="69" t="s">
        <v>26</v>
      </c>
      <c r="M28" s="69" t="s">
        <v>27</v>
      </c>
      <c r="N28" s="69" t="s">
        <v>56</v>
      </c>
      <c r="O28" s="69" t="s">
        <v>57</v>
      </c>
      <c r="P28" s="69" t="s">
        <v>58</v>
      </c>
      <c r="Q28" s="69" t="s">
        <v>59</v>
      </c>
      <c r="R28" s="69" t="s">
        <v>60</v>
      </c>
      <c r="S28" s="69" t="s">
        <v>61</v>
      </c>
      <c r="T28" s="69" t="s">
        <v>62</v>
      </c>
      <c r="U28" s="69" t="s">
        <v>63</v>
      </c>
      <c r="V28" s="69" t="s">
        <v>64</v>
      </c>
      <c r="W28" s="69" t="s">
        <v>65</v>
      </c>
      <c r="X28" s="69" t="s">
        <v>66</v>
      </c>
      <c r="Y28" s="69" t="s">
        <v>67</v>
      </c>
      <c r="Z28" s="69" t="s">
        <v>68</v>
      </c>
      <c r="AA28" s="69" t="s">
        <v>69</v>
      </c>
      <c r="AB28" s="69" t="s">
        <v>70</v>
      </c>
      <c r="AC28" s="69" t="s">
        <v>71</v>
      </c>
      <c r="AD28" s="69" t="s">
        <v>72</v>
      </c>
      <c r="AE28" s="69" t="s">
        <v>73</v>
      </c>
      <c r="AF28" s="69" t="s">
        <v>74</v>
      </c>
      <c r="AG28" s="69" t="s">
        <v>75</v>
      </c>
      <c r="AH28" s="63"/>
    </row>
    <row r="29" spans="1:34" hidden="1" outlineLevel="1" x14ac:dyDescent="0.35">
      <c r="A29" s="63"/>
      <c r="B29" s="63" t="str">
        <f>B22</f>
        <v>Cost to customer of delays in new connections</v>
      </c>
      <c r="C29" s="63"/>
      <c r="D29" s="63"/>
      <c r="E29" s="63"/>
      <c r="F29" s="63"/>
      <c r="G29" s="63"/>
      <c r="H29" s="104">
        <f>D23*D24*D25*(1+D26)^2</f>
        <v>41946.567770277994</v>
      </c>
      <c r="I29" s="102">
        <f t="shared" ref="I29:AG29" si="11">H29*(1+$D$26)</f>
        <v>42850.758078353341</v>
      </c>
      <c r="J29" s="102">
        <f t="shared" si="11"/>
        <v>43774.43889916133</v>
      </c>
      <c r="K29" s="102">
        <f t="shared" si="11"/>
        <v>44718.030365591236</v>
      </c>
      <c r="L29" s="102">
        <f t="shared" si="11"/>
        <v>45681.961666817668</v>
      </c>
      <c r="M29" s="102">
        <f t="shared" si="11"/>
        <v>46666.67124351571</v>
      </c>
      <c r="N29" s="102">
        <f t="shared" si="11"/>
        <v>47672.606987284089</v>
      </c>
      <c r="O29" s="102">
        <f t="shared" si="11"/>
        <v>48700.226444367065</v>
      </c>
      <c r="P29" s="102">
        <f t="shared" si="11"/>
        <v>49749.997023767668</v>
      </c>
      <c r="Q29" s="102">
        <f t="shared" si="11"/>
        <v>50822.396209847007</v>
      </c>
      <c r="R29" s="102">
        <f t="shared" si="11"/>
        <v>51917.911779506314</v>
      </c>
      <c r="S29" s="102">
        <f t="shared" si="11"/>
        <v>53037.042024050497</v>
      </c>
      <c r="T29" s="102">
        <f t="shared" si="11"/>
        <v>54180.295975834153</v>
      </c>
      <c r="U29" s="102">
        <f t="shared" si="11"/>
        <v>55348.193639793091</v>
      </c>
      <c r="V29" s="102">
        <f t="shared" si="11"/>
        <v>56541.266229966699</v>
      </c>
      <c r="W29" s="102">
        <f t="shared" si="11"/>
        <v>57760.056411118749</v>
      </c>
      <c r="X29" s="102">
        <f t="shared" si="11"/>
        <v>59005.118545566482</v>
      </c>
      <c r="Y29" s="102">
        <f t="shared" si="11"/>
        <v>60277.018945330332</v>
      </c>
      <c r="Z29" s="102">
        <f t="shared" si="11"/>
        <v>61576.336129718897</v>
      </c>
      <c r="AA29" s="102">
        <f t="shared" si="11"/>
        <v>62903.661088466353</v>
      </c>
      <c r="AB29" s="102">
        <f t="shared" si="11"/>
        <v>64259.597550542014</v>
      </c>
      <c r="AC29" s="102">
        <f t="shared" si="11"/>
        <v>65644.762258754257</v>
      </c>
      <c r="AD29" s="102">
        <f t="shared" si="11"/>
        <v>67059.785250273795</v>
      </c>
      <c r="AE29" s="102">
        <f t="shared" si="11"/>
        <v>68505.31014320378</v>
      </c>
      <c r="AF29" s="102">
        <f t="shared" si="11"/>
        <v>69981.994429327198</v>
      </c>
      <c r="AG29" s="102">
        <f t="shared" si="11"/>
        <v>71490.509773164624</v>
      </c>
      <c r="AH29" s="63"/>
    </row>
    <row r="30" spans="1:34" hidden="1" outlineLevel="1" x14ac:dyDescent="0.3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</row>
    <row r="31" spans="1:34" hidden="1" outlineLevel="1" x14ac:dyDescent="0.35">
      <c r="A31" s="63"/>
      <c r="B31" s="82" t="s">
        <v>192</v>
      </c>
      <c r="C31" s="82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63"/>
    </row>
    <row r="32" spans="1:34" hidden="1" outlineLevel="1" x14ac:dyDescent="0.35">
      <c r="A32" s="63"/>
      <c r="B32" s="63" t="s">
        <v>108</v>
      </c>
      <c r="C32" s="99" t="str">
        <f>'Risk Assumptions'!F14</f>
        <v>$ June 2024</v>
      </c>
      <c r="D32" s="83">
        <f>'Risk Assumptions'!G14</f>
        <v>144.73644680623994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</row>
    <row r="33" spans="1:34" hidden="1" outlineLevel="1" x14ac:dyDescent="0.35">
      <c r="A33" s="63"/>
      <c r="B33" s="63" t="s">
        <v>109</v>
      </c>
      <c r="C33" s="99" t="str">
        <f>'Risk Assumptions'!C8</f>
        <v>#</v>
      </c>
      <c r="D33" s="83">
        <f>'Risk Assumptions'!D8</f>
        <v>174101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</row>
    <row r="34" spans="1:34" hidden="1" outlineLevel="1" x14ac:dyDescent="0.35">
      <c r="A34" s="63"/>
      <c r="B34" s="63" t="s">
        <v>113</v>
      </c>
      <c r="C34" s="100" t="str">
        <f>'Risk Assumptions'!C15</f>
        <v>%</v>
      </c>
      <c r="D34" s="84">
        <f>'Risk Assumptions'!D15</f>
        <v>0.03</v>
      </c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</row>
    <row r="35" spans="1:34" hidden="1" outlineLevel="1" x14ac:dyDescent="0.35">
      <c r="A35" s="63"/>
      <c r="B35" s="63" t="s">
        <v>99</v>
      </c>
      <c r="C35" s="100" t="str">
        <f>'Risk Assumptions'!C10</f>
        <v>%</v>
      </c>
      <c r="D35" s="84">
        <f>'Risk Assumptions'!D10</f>
        <v>2.1555763823805061E-2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</row>
    <row r="36" spans="1:34" hidden="1" outlineLevel="1" x14ac:dyDescent="0.3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</row>
    <row r="37" spans="1:34" hidden="1" outlineLevel="1" x14ac:dyDescent="0.35">
      <c r="A37" s="63"/>
      <c r="B37" s="86"/>
      <c r="C37" s="86"/>
      <c r="D37" s="86"/>
      <c r="E37" s="86"/>
      <c r="F37" s="86"/>
      <c r="G37" s="86"/>
      <c r="H37" s="103" t="s">
        <v>20</v>
      </c>
      <c r="I37" s="69" t="s">
        <v>23</v>
      </c>
      <c r="J37" s="69" t="s">
        <v>24</v>
      </c>
      <c r="K37" s="69" t="s">
        <v>25</v>
      </c>
      <c r="L37" s="69" t="s">
        <v>26</v>
      </c>
      <c r="M37" s="69" t="s">
        <v>27</v>
      </c>
      <c r="N37" s="69" t="s">
        <v>56</v>
      </c>
      <c r="O37" s="69" t="s">
        <v>57</v>
      </c>
      <c r="P37" s="69" t="s">
        <v>58</v>
      </c>
      <c r="Q37" s="69" t="s">
        <v>59</v>
      </c>
      <c r="R37" s="69" t="s">
        <v>60</v>
      </c>
      <c r="S37" s="69" t="s">
        <v>61</v>
      </c>
      <c r="T37" s="69" t="s">
        <v>62</v>
      </c>
      <c r="U37" s="69" t="s">
        <v>63</v>
      </c>
      <c r="V37" s="69" t="s">
        <v>64</v>
      </c>
      <c r="W37" s="69" t="s">
        <v>65</v>
      </c>
      <c r="X37" s="69" t="s">
        <v>66</v>
      </c>
      <c r="Y37" s="69" t="s">
        <v>67</v>
      </c>
      <c r="Z37" s="69" t="s">
        <v>68</v>
      </c>
      <c r="AA37" s="69" t="s">
        <v>69</v>
      </c>
      <c r="AB37" s="69" t="s">
        <v>70</v>
      </c>
      <c r="AC37" s="69" t="s">
        <v>71</v>
      </c>
      <c r="AD37" s="69" t="s">
        <v>72</v>
      </c>
      <c r="AE37" s="69" t="s">
        <v>73</v>
      </c>
      <c r="AF37" s="69" t="s">
        <v>74</v>
      </c>
      <c r="AG37" s="69" t="s">
        <v>75</v>
      </c>
      <c r="AH37" s="63"/>
    </row>
    <row r="38" spans="1:34" hidden="1" outlineLevel="1" x14ac:dyDescent="0.35">
      <c r="A38" s="63"/>
      <c r="B38" s="63" t="str">
        <f>B31</f>
        <v>Cost to customer of delays in restoring supply after forced outage</v>
      </c>
      <c r="C38" s="63"/>
      <c r="D38" s="63"/>
      <c r="E38" s="63"/>
      <c r="F38" s="63"/>
      <c r="G38" s="63"/>
      <c r="H38" s="104">
        <f>D32*D34*D33</f>
        <v>755962.80376239528</v>
      </c>
      <c r="I38" s="102">
        <f>H38*(1+$D$35)</f>
        <v>772258.15941987897</v>
      </c>
      <c r="J38" s="102">
        <f t="shared" ref="J38:AG38" si="12">I38*(1+$D$35)</f>
        <v>788904.77391534031</v>
      </c>
      <c r="K38" s="102">
        <f t="shared" si="12"/>
        <v>805910.21890133177</v>
      </c>
      <c r="L38" s="102">
        <f t="shared" si="12"/>
        <v>823282.22924315988</v>
      </c>
      <c r="M38" s="102">
        <f t="shared" si="12"/>
        <v>841028.70653706114</v>
      </c>
      <c r="N38" s="102">
        <f t="shared" si="12"/>
        <v>859157.72270421428</v>
      </c>
      <c r="O38" s="102">
        <f t="shared" si="12"/>
        <v>877677.52366222453</v>
      </c>
      <c r="P38" s="102">
        <f t="shared" si="12"/>
        <v>896596.53307574952</v>
      </c>
      <c r="Q38" s="102">
        <f t="shared" si="12"/>
        <v>915923.35618797282</v>
      </c>
      <c r="R38" s="102">
        <f t="shared" si="12"/>
        <v>935666.7837346677</v>
      </c>
      <c r="S38" s="102">
        <f t="shared" si="12"/>
        <v>955835.79594263155</v>
      </c>
      <c r="T38" s="102">
        <f t="shared" si="12"/>
        <v>976439.56661430968</v>
      </c>
      <c r="U38" s="102">
        <f t="shared" si="12"/>
        <v>997487.46730046638</v>
      </c>
      <c r="V38" s="102">
        <f t="shared" si="12"/>
        <v>1018989.0715628007</v>
      </c>
      <c r="W38" s="102">
        <f t="shared" si="12"/>
        <v>1040954.1593284468</v>
      </c>
      <c r="X38" s="102">
        <f t="shared" si="12"/>
        <v>1063392.7213383385</v>
      </c>
      <c r="Y38" s="102">
        <f t="shared" si="12"/>
        <v>1086314.9636914611</v>
      </c>
      <c r="Z38" s="102">
        <f t="shared" si="12"/>
        <v>1109731.3124870597</v>
      </c>
      <c r="AA38" s="102">
        <f t="shared" si="12"/>
        <v>1133652.4185669119</v>
      </c>
      <c r="AB38" s="102">
        <f t="shared" si="12"/>
        <v>1158089.1623598258</v>
      </c>
      <c r="AC38" s="102">
        <f t="shared" si="12"/>
        <v>1183052.6588305624</v>
      </c>
      <c r="AD38" s="102">
        <f t="shared" si="12"/>
        <v>1208554.2625354386</v>
      </c>
      <c r="AE38" s="102">
        <f t="shared" si="12"/>
        <v>1234605.5727869056</v>
      </c>
      <c r="AF38" s="102">
        <f t="shared" si="12"/>
        <v>1261218.4389294537</v>
      </c>
      <c r="AG38" s="102">
        <f t="shared" si="12"/>
        <v>1288404.9657292452</v>
      </c>
      <c r="AH38" s="63"/>
    </row>
    <row r="39" spans="1:34" hidden="1" outlineLevel="1" x14ac:dyDescent="0.35"/>
    <row r="40" spans="1:34" hidden="1" outlineLevel="1" x14ac:dyDescent="0.35"/>
    <row r="41" spans="1:34" collapsed="1" x14ac:dyDescent="0.35">
      <c r="A41" s="63"/>
      <c r="B41" s="86"/>
      <c r="C41" s="86"/>
      <c r="D41" s="86"/>
      <c r="E41" s="86"/>
      <c r="F41" s="86"/>
      <c r="G41" s="86"/>
      <c r="H41" s="69"/>
      <c r="I41" s="69" t="s">
        <v>23</v>
      </c>
      <c r="J41" s="69" t="s">
        <v>24</v>
      </c>
      <c r="K41" s="69" t="s">
        <v>25</v>
      </c>
      <c r="L41" s="69" t="s">
        <v>26</v>
      </c>
      <c r="M41" s="69" t="s">
        <v>27</v>
      </c>
      <c r="N41" s="69" t="s">
        <v>56</v>
      </c>
      <c r="O41" s="69" t="s">
        <v>57</v>
      </c>
      <c r="P41" s="69" t="s">
        <v>58</v>
      </c>
      <c r="Q41" s="69" t="s">
        <v>59</v>
      </c>
      <c r="R41" s="69" t="s">
        <v>60</v>
      </c>
      <c r="S41" s="69" t="s">
        <v>61</v>
      </c>
      <c r="T41" s="69" t="s">
        <v>62</v>
      </c>
      <c r="U41" s="69" t="s">
        <v>63</v>
      </c>
      <c r="V41" s="69" t="s">
        <v>64</v>
      </c>
      <c r="W41" s="69" t="s">
        <v>65</v>
      </c>
      <c r="X41" s="69" t="s">
        <v>66</v>
      </c>
      <c r="Y41" s="69" t="s">
        <v>67</v>
      </c>
      <c r="Z41" s="69" t="s">
        <v>68</v>
      </c>
      <c r="AA41" s="69" t="s">
        <v>69</v>
      </c>
      <c r="AB41" s="69" t="s">
        <v>70</v>
      </c>
      <c r="AC41" s="69" t="s">
        <v>71</v>
      </c>
      <c r="AD41" s="69" t="s">
        <v>72</v>
      </c>
      <c r="AE41" s="69" t="s">
        <v>73</v>
      </c>
      <c r="AF41" s="69" t="s">
        <v>74</v>
      </c>
      <c r="AG41" s="69" t="s">
        <v>75</v>
      </c>
      <c r="AH41" s="63"/>
    </row>
    <row r="42" spans="1:34" x14ac:dyDescent="0.35">
      <c r="A42" s="63"/>
      <c r="B42" s="71" t="str">
        <f>"Total risk due to "&amp;B20</f>
        <v>Total risk due to Suboptimal layout</v>
      </c>
      <c r="C42" s="63"/>
      <c r="D42" s="63"/>
      <c r="E42" s="63"/>
      <c r="F42" s="63"/>
      <c r="G42" s="63"/>
      <c r="H42" s="102"/>
      <c r="I42" s="102">
        <f t="shared" ref="I42:AG42" si="13">I29+I38</f>
        <v>815108.91749823233</v>
      </c>
      <c r="J42" s="102">
        <f t="shared" si="13"/>
        <v>832679.2128145016</v>
      </c>
      <c r="K42" s="102">
        <f t="shared" si="13"/>
        <v>850628.24926692306</v>
      </c>
      <c r="L42" s="102">
        <f t="shared" si="13"/>
        <v>868964.19090997754</v>
      </c>
      <c r="M42" s="102">
        <f t="shared" si="13"/>
        <v>887695.37778057682</v>
      </c>
      <c r="N42" s="102">
        <f t="shared" si="13"/>
        <v>906830.32969149831</v>
      </c>
      <c r="O42" s="102">
        <f t="shared" si="13"/>
        <v>926377.75010659161</v>
      </c>
      <c r="P42" s="102">
        <f t="shared" si="13"/>
        <v>946346.5300995172</v>
      </c>
      <c r="Q42" s="102">
        <f t="shared" si="13"/>
        <v>966745.75239781989</v>
      </c>
      <c r="R42" s="102">
        <f t="shared" si="13"/>
        <v>987584.69551417406</v>
      </c>
      <c r="S42" s="102">
        <f t="shared" si="13"/>
        <v>1008872.837966682</v>
      </c>
      <c r="T42" s="102">
        <f t="shared" si="13"/>
        <v>1030619.8625901438</v>
      </c>
      <c r="U42" s="102">
        <f t="shared" si="13"/>
        <v>1052835.6609402595</v>
      </c>
      <c r="V42" s="102">
        <f t="shared" si="13"/>
        <v>1075530.3377927674</v>
      </c>
      <c r="W42" s="102">
        <f t="shared" si="13"/>
        <v>1098714.2157395657</v>
      </c>
      <c r="X42" s="102">
        <f t="shared" si="13"/>
        <v>1122397.8398839049</v>
      </c>
      <c r="Y42" s="102">
        <f t="shared" si="13"/>
        <v>1146591.9826367914</v>
      </c>
      <c r="Z42" s="102">
        <f t="shared" si="13"/>
        <v>1171307.6486167787</v>
      </c>
      <c r="AA42" s="102">
        <f t="shared" si="13"/>
        <v>1196556.0796553784</v>
      </c>
      <c r="AB42" s="102">
        <f t="shared" si="13"/>
        <v>1222348.7599103679</v>
      </c>
      <c r="AC42" s="102">
        <f t="shared" si="13"/>
        <v>1248697.4210893167</v>
      </c>
      <c r="AD42" s="102">
        <f t="shared" si="13"/>
        <v>1275614.0477857124</v>
      </c>
      <c r="AE42" s="102">
        <f t="shared" si="13"/>
        <v>1303110.8829301093</v>
      </c>
      <c r="AF42" s="102">
        <f t="shared" si="13"/>
        <v>1331200.433358781</v>
      </c>
      <c r="AG42" s="102">
        <f t="shared" si="13"/>
        <v>1359895.4755024097</v>
      </c>
      <c r="AH42" s="63"/>
    </row>
    <row r="45" spans="1:34" x14ac:dyDescent="0.35">
      <c r="A45" s="80"/>
      <c r="B45" s="78" t="s">
        <v>78</v>
      </c>
      <c r="C45" s="78"/>
      <c r="D45" s="78"/>
      <c r="E45" s="78"/>
      <c r="F45" s="78"/>
      <c r="G45" s="78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80"/>
    </row>
    <row r="46" spans="1:34" x14ac:dyDescent="0.3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</row>
    <row r="47" spans="1:34" hidden="1" outlineLevel="1" x14ac:dyDescent="0.35">
      <c r="A47" s="63"/>
      <c r="B47" s="82" t="s">
        <v>114</v>
      </c>
      <c r="C47" s="82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63"/>
    </row>
    <row r="48" spans="1:34" hidden="1" outlineLevel="1" x14ac:dyDescent="0.35">
      <c r="A48" s="63"/>
      <c r="B48" s="63" t="s">
        <v>117</v>
      </c>
      <c r="C48" s="99" t="str">
        <f>'Risk Assumptions'!F26</f>
        <v>#</v>
      </c>
      <c r="D48" s="83">
        <f>'Risk Assumptions'!G26</f>
        <v>84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</row>
    <row r="49" spans="1:34" hidden="1" outlineLevel="1" x14ac:dyDescent="0.35">
      <c r="A49" s="63"/>
      <c r="B49" s="63" t="s">
        <v>120</v>
      </c>
      <c r="C49" s="99" t="str">
        <f>'Risk Assumptions'!F28</f>
        <v>$ June 2024</v>
      </c>
      <c r="D49" s="83">
        <f>'Risk Assumptions'!G28</f>
        <v>160000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</row>
    <row r="50" spans="1:34" hidden="1" outlineLevel="1" x14ac:dyDescent="0.35">
      <c r="A50" s="63"/>
      <c r="B50" s="63" t="s">
        <v>124</v>
      </c>
      <c r="C50" s="100" t="str">
        <f>'Risk Assumptions'!F20</f>
        <v>%</v>
      </c>
      <c r="D50" s="84">
        <f>'Risk Assumptions'!G20</f>
        <v>0.05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</row>
    <row r="51" spans="1:34" hidden="1" outlineLevel="1" x14ac:dyDescent="0.35">
      <c r="A51" s="63"/>
      <c r="B51" s="63" t="s">
        <v>122</v>
      </c>
      <c r="C51" s="100" t="str">
        <f>'Risk Assumptions'!F19</f>
        <v>%</v>
      </c>
      <c r="D51" s="84">
        <f>'Risk Assumptions'!G19</f>
        <v>0.02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</row>
    <row r="52" spans="1:34" hidden="1" outlineLevel="1" x14ac:dyDescent="0.35">
      <c r="A52" s="63"/>
      <c r="B52" s="63" t="s">
        <v>125</v>
      </c>
      <c r="C52" s="83" t="str">
        <f>'Risk Assumptions'!F31</f>
        <v>$ June 2024</v>
      </c>
      <c r="D52" s="83">
        <f>'Risk Assumptions'!G31</f>
        <v>24000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</row>
    <row r="53" spans="1:34" hidden="1" outlineLevel="1" x14ac:dyDescent="0.3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</row>
    <row r="54" spans="1:34" hidden="1" outlineLevel="1" x14ac:dyDescent="0.35">
      <c r="A54" s="63"/>
      <c r="B54" s="86"/>
      <c r="C54" s="86"/>
      <c r="D54" s="86"/>
      <c r="E54" s="86"/>
      <c r="F54" s="86"/>
      <c r="G54" s="86"/>
      <c r="H54" s="103" t="s">
        <v>20</v>
      </c>
      <c r="I54" s="69" t="s">
        <v>23</v>
      </c>
      <c r="J54" s="69" t="s">
        <v>24</v>
      </c>
      <c r="K54" s="69" t="s">
        <v>25</v>
      </c>
      <c r="L54" s="69" t="s">
        <v>26</v>
      </c>
      <c r="M54" s="69" t="s">
        <v>27</v>
      </c>
      <c r="N54" s="69" t="s">
        <v>56</v>
      </c>
      <c r="O54" s="69" t="s">
        <v>57</v>
      </c>
      <c r="P54" s="69" t="s">
        <v>58</v>
      </c>
      <c r="Q54" s="69" t="s">
        <v>59</v>
      </c>
      <c r="R54" s="69" t="s">
        <v>60</v>
      </c>
      <c r="S54" s="69" t="s">
        <v>61</v>
      </c>
      <c r="T54" s="69" t="s">
        <v>62</v>
      </c>
      <c r="U54" s="69" t="s">
        <v>63</v>
      </c>
      <c r="V54" s="69" t="s">
        <v>64</v>
      </c>
      <c r="W54" s="69" t="s">
        <v>65</v>
      </c>
      <c r="X54" s="69" t="s">
        <v>66</v>
      </c>
      <c r="Y54" s="69" t="s">
        <v>67</v>
      </c>
      <c r="Z54" s="69" t="s">
        <v>68</v>
      </c>
      <c r="AA54" s="69" t="s">
        <v>69</v>
      </c>
      <c r="AB54" s="69" t="s">
        <v>70</v>
      </c>
      <c r="AC54" s="69" t="s">
        <v>71</v>
      </c>
      <c r="AD54" s="69" t="s">
        <v>72</v>
      </c>
      <c r="AE54" s="69" t="s">
        <v>73</v>
      </c>
      <c r="AF54" s="69" t="s">
        <v>74</v>
      </c>
      <c r="AG54" s="69" t="s">
        <v>75</v>
      </c>
      <c r="AH54" s="63"/>
    </row>
    <row r="55" spans="1:34" hidden="1" outlineLevel="1" x14ac:dyDescent="0.35">
      <c r="A55" s="63"/>
      <c r="B55" s="63" t="s">
        <v>121</v>
      </c>
      <c r="C55" s="63"/>
      <c r="D55" s="63"/>
      <c r="E55" s="63"/>
      <c r="F55" s="63"/>
      <c r="G55" s="63"/>
      <c r="H55" s="104">
        <f>D48*D49*D50*(1+D51)^1.5</f>
        <v>692260.46649509028</v>
      </c>
      <c r="I55" s="102">
        <f>H55*(1+$D$51)</f>
        <v>706105.67582499213</v>
      </c>
      <c r="J55" s="102">
        <f t="shared" ref="J55:AG55" si="14">I55*(1+$D$51)</f>
        <v>720227.789341492</v>
      </c>
      <c r="K55" s="102">
        <f t="shared" si="14"/>
        <v>734632.3451283219</v>
      </c>
      <c r="L55" s="102">
        <f t="shared" si="14"/>
        <v>749324.99203088833</v>
      </c>
      <c r="M55" s="102">
        <f t="shared" si="14"/>
        <v>764311.49187150609</v>
      </c>
      <c r="N55" s="102">
        <f t="shared" si="14"/>
        <v>779597.72170893627</v>
      </c>
      <c r="O55" s="102">
        <f t="shared" si="14"/>
        <v>795189.67614311504</v>
      </c>
      <c r="P55" s="102">
        <f t="shared" si="14"/>
        <v>811093.46966597741</v>
      </c>
      <c r="Q55" s="102">
        <f t="shared" si="14"/>
        <v>827315.339059297</v>
      </c>
      <c r="R55" s="102">
        <f t="shared" si="14"/>
        <v>843861.6458404829</v>
      </c>
      <c r="S55" s="102">
        <f t="shared" si="14"/>
        <v>860738.87875729252</v>
      </c>
      <c r="T55" s="102">
        <f t="shared" si="14"/>
        <v>877953.65633243835</v>
      </c>
      <c r="U55" s="102">
        <f t="shared" si="14"/>
        <v>895512.72945908713</v>
      </c>
      <c r="V55" s="102">
        <f t="shared" si="14"/>
        <v>913422.98404826887</v>
      </c>
      <c r="W55" s="102">
        <f t="shared" si="14"/>
        <v>931691.44372923428</v>
      </c>
      <c r="X55" s="102">
        <f t="shared" si="14"/>
        <v>950325.27260381903</v>
      </c>
      <c r="Y55" s="102">
        <f t="shared" si="14"/>
        <v>969331.77805589547</v>
      </c>
      <c r="Z55" s="102">
        <f t="shared" si="14"/>
        <v>988718.41361701337</v>
      </c>
      <c r="AA55" s="102">
        <f t="shared" si="14"/>
        <v>1008492.7818893536</v>
      </c>
      <c r="AB55" s="102">
        <f t="shared" si="14"/>
        <v>1028662.6375271408</v>
      </c>
      <c r="AC55" s="102">
        <f t="shared" si="14"/>
        <v>1049235.8902776837</v>
      </c>
      <c r="AD55" s="102">
        <f t="shared" si="14"/>
        <v>1070220.6080832374</v>
      </c>
      <c r="AE55" s="102">
        <f t="shared" si="14"/>
        <v>1091625.0202449022</v>
      </c>
      <c r="AF55" s="102">
        <f t="shared" si="14"/>
        <v>1113457.5206498003</v>
      </c>
      <c r="AG55" s="102">
        <f t="shared" si="14"/>
        <v>1135726.6710627964</v>
      </c>
      <c r="AH55" s="63"/>
    </row>
    <row r="56" spans="1:34" hidden="1" outlineLevel="1" x14ac:dyDescent="0.35">
      <c r="A56" s="63"/>
      <c r="B56" s="63" t="s">
        <v>127</v>
      </c>
      <c r="C56" s="63"/>
      <c r="D56" s="63"/>
      <c r="E56" s="63"/>
      <c r="F56" s="63"/>
      <c r="G56" s="63"/>
      <c r="H56" s="104">
        <f>$D$52</f>
        <v>24000</v>
      </c>
      <c r="I56" s="102">
        <f>$D$52</f>
        <v>24000</v>
      </c>
      <c r="J56" s="102">
        <f t="shared" ref="J56:AG56" si="15">$D$52</f>
        <v>24000</v>
      </c>
      <c r="K56" s="102">
        <f t="shared" si="15"/>
        <v>24000</v>
      </c>
      <c r="L56" s="102">
        <f t="shared" si="15"/>
        <v>24000</v>
      </c>
      <c r="M56" s="102">
        <f t="shared" si="15"/>
        <v>24000</v>
      </c>
      <c r="N56" s="102">
        <f t="shared" si="15"/>
        <v>24000</v>
      </c>
      <c r="O56" s="102">
        <f t="shared" si="15"/>
        <v>24000</v>
      </c>
      <c r="P56" s="102">
        <f t="shared" si="15"/>
        <v>24000</v>
      </c>
      <c r="Q56" s="102">
        <f t="shared" si="15"/>
        <v>24000</v>
      </c>
      <c r="R56" s="102">
        <f t="shared" si="15"/>
        <v>24000</v>
      </c>
      <c r="S56" s="102">
        <f t="shared" si="15"/>
        <v>24000</v>
      </c>
      <c r="T56" s="102">
        <f t="shared" si="15"/>
        <v>24000</v>
      </c>
      <c r="U56" s="102">
        <f t="shared" si="15"/>
        <v>24000</v>
      </c>
      <c r="V56" s="102">
        <f t="shared" si="15"/>
        <v>24000</v>
      </c>
      <c r="W56" s="102">
        <f t="shared" si="15"/>
        <v>24000</v>
      </c>
      <c r="X56" s="102">
        <f t="shared" si="15"/>
        <v>24000</v>
      </c>
      <c r="Y56" s="102">
        <f t="shared" si="15"/>
        <v>24000</v>
      </c>
      <c r="Z56" s="102">
        <f t="shared" si="15"/>
        <v>24000</v>
      </c>
      <c r="AA56" s="102">
        <f t="shared" si="15"/>
        <v>24000</v>
      </c>
      <c r="AB56" s="102">
        <f t="shared" si="15"/>
        <v>24000</v>
      </c>
      <c r="AC56" s="102">
        <f t="shared" si="15"/>
        <v>24000</v>
      </c>
      <c r="AD56" s="102">
        <f t="shared" si="15"/>
        <v>24000</v>
      </c>
      <c r="AE56" s="102">
        <f t="shared" si="15"/>
        <v>24000</v>
      </c>
      <c r="AF56" s="102">
        <f t="shared" si="15"/>
        <v>24000</v>
      </c>
      <c r="AG56" s="102">
        <f t="shared" si="15"/>
        <v>24000</v>
      </c>
      <c r="AH56" s="63"/>
    </row>
    <row r="57" spans="1:34" hidden="1" outlineLevel="1" x14ac:dyDescent="0.35">
      <c r="A57" s="63"/>
      <c r="B57" s="108" t="str">
        <f>B47</f>
        <v>Additional cost of sourcing material off-site</v>
      </c>
      <c r="C57" s="108"/>
      <c r="D57" s="108"/>
      <c r="E57" s="108"/>
      <c r="F57" s="108"/>
      <c r="G57" s="108"/>
      <c r="H57" s="109">
        <f>SUM(H55:H56)</f>
        <v>716260.46649509028</v>
      </c>
      <c r="I57" s="110">
        <f t="shared" ref="I57:AF57" si="16">SUM(I55:I56)</f>
        <v>730105.67582499213</v>
      </c>
      <c r="J57" s="110">
        <f t="shared" si="16"/>
        <v>744227.789341492</v>
      </c>
      <c r="K57" s="110">
        <f t="shared" si="16"/>
        <v>758632.3451283219</v>
      </c>
      <c r="L57" s="110">
        <f t="shared" si="16"/>
        <v>773324.99203088833</v>
      </c>
      <c r="M57" s="110">
        <f t="shared" si="16"/>
        <v>788311.49187150609</v>
      </c>
      <c r="N57" s="110">
        <f t="shared" si="16"/>
        <v>803597.72170893627</v>
      </c>
      <c r="O57" s="110">
        <f t="shared" si="16"/>
        <v>819189.67614311504</v>
      </c>
      <c r="P57" s="110">
        <f t="shared" si="16"/>
        <v>835093.46966597741</v>
      </c>
      <c r="Q57" s="110">
        <f t="shared" si="16"/>
        <v>851315.339059297</v>
      </c>
      <c r="R57" s="110">
        <f t="shared" si="16"/>
        <v>867861.6458404829</v>
      </c>
      <c r="S57" s="110">
        <f t="shared" si="16"/>
        <v>884738.87875729252</v>
      </c>
      <c r="T57" s="110">
        <f t="shared" si="16"/>
        <v>901953.65633243835</v>
      </c>
      <c r="U57" s="110">
        <f t="shared" si="16"/>
        <v>919512.72945908713</v>
      </c>
      <c r="V57" s="110">
        <f t="shared" si="16"/>
        <v>937422.98404826887</v>
      </c>
      <c r="W57" s="110">
        <f t="shared" si="16"/>
        <v>955691.44372923428</v>
      </c>
      <c r="X57" s="110">
        <f t="shared" si="16"/>
        <v>974325.27260381903</v>
      </c>
      <c r="Y57" s="110">
        <f t="shared" si="16"/>
        <v>993331.77805589547</v>
      </c>
      <c r="Z57" s="110">
        <f t="shared" si="16"/>
        <v>1012718.4136170134</v>
      </c>
      <c r="AA57" s="110">
        <f t="shared" si="16"/>
        <v>1032492.7818893536</v>
      </c>
      <c r="AB57" s="110">
        <f t="shared" si="16"/>
        <v>1052662.6375271408</v>
      </c>
      <c r="AC57" s="110">
        <f t="shared" si="16"/>
        <v>1073235.8902776837</v>
      </c>
      <c r="AD57" s="110">
        <f t="shared" si="16"/>
        <v>1094220.6080832374</v>
      </c>
      <c r="AE57" s="110">
        <f t="shared" si="16"/>
        <v>1115625.0202449022</v>
      </c>
      <c r="AF57" s="110">
        <f t="shared" si="16"/>
        <v>1137457.5206498003</v>
      </c>
      <c r="AG57" s="110">
        <f>SUM(AG55:AG56)</f>
        <v>1159726.6710627964</v>
      </c>
      <c r="AH57" s="63"/>
    </row>
    <row r="58" spans="1:34" hidden="1" outlineLevel="1" x14ac:dyDescent="0.3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</row>
    <row r="59" spans="1:34" hidden="1" outlineLevel="1" x14ac:dyDescent="0.35">
      <c r="A59" s="63"/>
      <c r="B59" s="82" t="s">
        <v>107</v>
      </c>
      <c r="C59" s="82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63"/>
    </row>
    <row r="60" spans="1:34" hidden="1" outlineLevel="1" x14ac:dyDescent="0.35">
      <c r="A60" s="63"/>
      <c r="B60" s="63" t="s">
        <v>108</v>
      </c>
      <c r="C60" s="99" t="str">
        <f>'Risk Assumptions'!F14</f>
        <v>$ June 2024</v>
      </c>
      <c r="D60" s="83">
        <f>'Risk Assumptions'!G14</f>
        <v>144.73644680623994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</row>
    <row r="61" spans="1:34" hidden="1" outlineLevel="1" x14ac:dyDescent="0.35">
      <c r="A61" s="63"/>
      <c r="B61" s="63" t="s">
        <v>109</v>
      </c>
      <c r="C61" s="99" t="str">
        <f>'Risk Assumptions'!C8</f>
        <v>#</v>
      </c>
      <c r="D61" s="83">
        <f>'Risk Assumptions'!D8</f>
        <v>174101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</row>
    <row r="62" spans="1:34" hidden="1" outlineLevel="1" x14ac:dyDescent="0.35">
      <c r="A62" s="63"/>
      <c r="B62" s="63" t="s">
        <v>113</v>
      </c>
      <c r="C62" s="100" t="str">
        <f>'Risk Assumptions'!C16</f>
        <v>%</v>
      </c>
      <c r="D62" s="84">
        <f>'Risk Assumptions'!D16</f>
        <v>0.02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</row>
    <row r="63" spans="1:34" hidden="1" outlineLevel="1" x14ac:dyDescent="0.35">
      <c r="A63" s="63"/>
      <c r="B63" s="63" t="s">
        <v>99</v>
      </c>
      <c r="C63" s="100" t="str">
        <f>'Risk Assumptions'!C10</f>
        <v>%</v>
      </c>
      <c r="D63" s="84">
        <f>'Risk Assumptions'!D10</f>
        <v>2.1555763823805061E-2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</row>
    <row r="64" spans="1:34" hidden="1" outlineLevel="1" x14ac:dyDescent="0.3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</row>
    <row r="65" spans="1:34" hidden="1" outlineLevel="1" x14ac:dyDescent="0.35">
      <c r="A65" s="63"/>
      <c r="B65" s="86"/>
      <c r="C65" s="86"/>
      <c r="D65" s="86"/>
      <c r="E65" s="86"/>
      <c r="F65" s="86"/>
      <c r="G65" s="86"/>
      <c r="H65" s="103" t="s">
        <v>20</v>
      </c>
      <c r="I65" s="69" t="s">
        <v>23</v>
      </c>
      <c r="J65" s="69" t="s">
        <v>24</v>
      </c>
      <c r="K65" s="69" t="s">
        <v>25</v>
      </c>
      <c r="L65" s="69" t="s">
        <v>26</v>
      </c>
      <c r="M65" s="69" t="s">
        <v>27</v>
      </c>
      <c r="N65" s="69" t="s">
        <v>56</v>
      </c>
      <c r="O65" s="69" t="s">
        <v>57</v>
      </c>
      <c r="P65" s="69" t="s">
        <v>58</v>
      </c>
      <c r="Q65" s="69" t="s">
        <v>59</v>
      </c>
      <c r="R65" s="69" t="s">
        <v>60</v>
      </c>
      <c r="S65" s="69" t="s">
        <v>61</v>
      </c>
      <c r="T65" s="69" t="s">
        <v>62</v>
      </c>
      <c r="U65" s="69" t="s">
        <v>63</v>
      </c>
      <c r="V65" s="69" t="s">
        <v>64</v>
      </c>
      <c r="W65" s="69" t="s">
        <v>65</v>
      </c>
      <c r="X65" s="69" t="s">
        <v>66</v>
      </c>
      <c r="Y65" s="69" t="s">
        <v>67</v>
      </c>
      <c r="Z65" s="69" t="s">
        <v>68</v>
      </c>
      <c r="AA65" s="69" t="s">
        <v>69</v>
      </c>
      <c r="AB65" s="69" t="s">
        <v>70</v>
      </c>
      <c r="AC65" s="69" t="s">
        <v>71</v>
      </c>
      <c r="AD65" s="69" t="s">
        <v>72</v>
      </c>
      <c r="AE65" s="69" t="s">
        <v>73</v>
      </c>
      <c r="AF65" s="69" t="s">
        <v>74</v>
      </c>
      <c r="AG65" s="69" t="s">
        <v>75</v>
      </c>
      <c r="AH65" s="63"/>
    </row>
    <row r="66" spans="1:34" hidden="1" outlineLevel="1" x14ac:dyDescent="0.35">
      <c r="A66" s="63"/>
      <c r="B66" s="63" t="str">
        <f>B59</f>
        <v>Cost to customer of delays in restoring supply after forced outage (addition USE @ VCR)</v>
      </c>
      <c r="C66" s="63"/>
      <c r="D66" s="63"/>
      <c r="E66" s="63"/>
      <c r="F66" s="63"/>
      <c r="G66" s="63"/>
      <c r="H66" s="104">
        <f>D60*D62*D61</f>
        <v>503975.20250826358</v>
      </c>
      <c r="I66" s="102">
        <f>H66*(1+$D$35)</f>
        <v>514838.77294658608</v>
      </c>
      <c r="J66" s="102">
        <f t="shared" ref="J66:AG66" si="17">I66*(1+$D$35)</f>
        <v>525936.51594356028</v>
      </c>
      <c r="K66" s="102">
        <f t="shared" si="17"/>
        <v>537273.47926755459</v>
      </c>
      <c r="L66" s="102">
        <f t="shared" si="17"/>
        <v>548854.81949544</v>
      </c>
      <c r="M66" s="102">
        <f t="shared" si="17"/>
        <v>560685.80435804091</v>
      </c>
      <c r="N66" s="102">
        <f t="shared" si="17"/>
        <v>572771.81513614301</v>
      </c>
      <c r="O66" s="102">
        <f t="shared" si="17"/>
        <v>585118.34910814988</v>
      </c>
      <c r="P66" s="102">
        <f t="shared" si="17"/>
        <v>597731.02205049992</v>
      </c>
      <c r="Q66" s="102">
        <f t="shared" si="17"/>
        <v>610615.57079198211</v>
      </c>
      <c r="R66" s="102">
        <f t="shared" si="17"/>
        <v>623777.85582311207</v>
      </c>
      <c r="S66" s="102">
        <f t="shared" si="17"/>
        <v>637223.8639617546</v>
      </c>
      <c r="T66" s="102">
        <f t="shared" si="17"/>
        <v>650959.71107620664</v>
      </c>
      <c r="U66" s="102">
        <f t="shared" si="17"/>
        <v>664991.6448669777</v>
      </c>
      <c r="V66" s="102">
        <f t="shared" si="17"/>
        <v>679326.04770853394</v>
      </c>
      <c r="W66" s="102">
        <f t="shared" si="17"/>
        <v>693969.43955229805</v>
      </c>
      <c r="X66" s="102">
        <f t="shared" si="17"/>
        <v>708928.48089222575</v>
      </c>
      <c r="Y66" s="102">
        <f t="shared" si="17"/>
        <v>724209.97579430754</v>
      </c>
      <c r="Z66" s="102">
        <f t="shared" si="17"/>
        <v>739820.87499137328</v>
      </c>
      <c r="AA66" s="102">
        <f t="shared" si="17"/>
        <v>755768.27904460812</v>
      </c>
      <c r="AB66" s="102">
        <f t="shared" si="17"/>
        <v>772059.44157321728</v>
      </c>
      <c r="AC66" s="102">
        <f t="shared" si="17"/>
        <v>788701.7725537084</v>
      </c>
      <c r="AD66" s="102">
        <f t="shared" si="17"/>
        <v>805702.84169029258</v>
      </c>
      <c r="AE66" s="102">
        <f t="shared" si="17"/>
        <v>823070.3818579372</v>
      </c>
      <c r="AF66" s="102">
        <f t="shared" si="17"/>
        <v>840812.29261963593</v>
      </c>
      <c r="AG66" s="102">
        <f t="shared" si="17"/>
        <v>858936.64381949685</v>
      </c>
      <c r="AH66" s="63"/>
    </row>
    <row r="67" spans="1:34" hidden="1" outlineLevel="1" x14ac:dyDescent="0.35"/>
    <row r="68" spans="1:34" hidden="1" outlineLevel="1" x14ac:dyDescent="0.35"/>
    <row r="69" spans="1:34" collapsed="1" x14ac:dyDescent="0.35">
      <c r="A69" s="63"/>
      <c r="B69" s="86"/>
      <c r="C69" s="86"/>
      <c r="D69" s="86"/>
      <c r="E69" s="86"/>
      <c r="F69" s="86"/>
      <c r="G69" s="86"/>
      <c r="H69" s="69"/>
      <c r="I69" s="69" t="s">
        <v>23</v>
      </c>
      <c r="J69" s="69" t="s">
        <v>24</v>
      </c>
      <c r="K69" s="69" t="s">
        <v>25</v>
      </c>
      <c r="L69" s="69" t="s">
        <v>26</v>
      </c>
      <c r="M69" s="69" t="s">
        <v>27</v>
      </c>
      <c r="N69" s="69" t="s">
        <v>56</v>
      </c>
      <c r="O69" s="69" t="s">
        <v>57</v>
      </c>
      <c r="P69" s="69" t="s">
        <v>58</v>
      </c>
      <c r="Q69" s="69" t="s">
        <v>59</v>
      </c>
      <c r="R69" s="69" t="s">
        <v>60</v>
      </c>
      <c r="S69" s="69" t="s">
        <v>61</v>
      </c>
      <c r="T69" s="69" t="s">
        <v>62</v>
      </c>
      <c r="U69" s="69" t="s">
        <v>63</v>
      </c>
      <c r="V69" s="69" t="s">
        <v>64</v>
      </c>
      <c r="W69" s="69" t="s">
        <v>65</v>
      </c>
      <c r="X69" s="69" t="s">
        <v>66</v>
      </c>
      <c r="Y69" s="69" t="s">
        <v>67</v>
      </c>
      <c r="Z69" s="69" t="s">
        <v>68</v>
      </c>
      <c r="AA69" s="69" t="s">
        <v>69</v>
      </c>
      <c r="AB69" s="69" t="s">
        <v>70</v>
      </c>
      <c r="AC69" s="69" t="s">
        <v>71</v>
      </c>
      <c r="AD69" s="69" t="s">
        <v>72</v>
      </c>
      <c r="AE69" s="69" t="s">
        <v>73</v>
      </c>
      <c r="AF69" s="69" t="s">
        <v>74</v>
      </c>
      <c r="AG69" s="69" t="s">
        <v>75</v>
      </c>
      <c r="AH69" s="63"/>
    </row>
    <row r="70" spans="1:34" x14ac:dyDescent="0.35">
      <c r="A70" s="63"/>
      <c r="B70" s="71" t="str">
        <f>"Total risk due to "&amp;B45</f>
        <v>Total risk due to Inadequate storage</v>
      </c>
      <c r="C70" s="63"/>
      <c r="D70" s="63"/>
      <c r="E70" s="63"/>
      <c r="F70" s="63"/>
      <c r="G70" s="63"/>
      <c r="H70" s="102"/>
      <c r="I70" s="102">
        <f>I57+I66</f>
        <v>1244944.4487715783</v>
      </c>
      <c r="J70" s="102">
        <f t="shared" ref="J70:AG70" si="18">J55+J66</f>
        <v>1246164.3052850524</v>
      </c>
      <c r="K70" s="102">
        <f t="shared" si="18"/>
        <v>1271905.8243958764</v>
      </c>
      <c r="L70" s="102">
        <f t="shared" si="18"/>
        <v>1298179.8115263283</v>
      </c>
      <c r="M70" s="102">
        <f t="shared" si="18"/>
        <v>1324997.2962295469</v>
      </c>
      <c r="N70" s="102">
        <f t="shared" si="18"/>
        <v>1352369.5368450792</v>
      </c>
      <c r="O70" s="102">
        <f t="shared" si="18"/>
        <v>1380308.0252512649</v>
      </c>
      <c r="P70" s="102">
        <f t="shared" si="18"/>
        <v>1408824.4917164773</v>
      </c>
      <c r="Q70" s="102">
        <f t="shared" si="18"/>
        <v>1437930.9098512791</v>
      </c>
      <c r="R70" s="102">
        <f t="shared" si="18"/>
        <v>1467639.501663595</v>
      </c>
      <c r="S70" s="102">
        <f t="shared" si="18"/>
        <v>1497962.7427190472</v>
      </c>
      <c r="T70" s="102">
        <f t="shared" si="18"/>
        <v>1528913.3674086449</v>
      </c>
      <c r="U70" s="102">
        <f t="shared" si="18"/>
        <v>1560504.3743260647</v>
      </c>
      <c r="V70" s="102">
        <f t="shared" si="18"/>
        <v>1592749.0317568029</v>
      </c>
      <c r="W70" s="102">
        <f t="shared" si="18"/>
        <v>1625660.8832815322</v>
      </c>
      <c r="X70" s="102">
        <f t="shared" si="18"/>
        <v>1659253.7534960448</v>
      </c>
      <c r="Y70" s="102">
        <f t="shared" si="18"/>
        <v>1693541.753850203</v>
      </c>
      <c r="Z70" s="102">
        <f t="shared" si="18"/>
        <v>1728539.2886083866</v>
      </c>
      <c r="AA70" s="102">
        <f t="shared" si="18"/>
        <v>1764261.0609339618</v>
      </c>
      <c r="AB70" s="102">
        <f t="shared" si="18"/>
        <v>1800722.0791003581</v>
      </c>
      <c r="AC70" s="102">
        <f t="shared" si="18"/>
        <v>1837937.6628313921</v>
      </c>
      <c r="AD70" s="102">
        <f t="shared" si="18"/>
        <v>1875923.44977353</v>
      </c>
      <c r="AE70" s="102">
        <f t="shared" si="18"/>
        <v>1914695.4021028394</v>
      </c>
      <c r="AF70" s="102">
        <f t="shared" si="18"/>
        <v>1954269.8132694364</v>
      </c>
      <c r="AG70" s="102">
        <f t="shared" si="18"/>
        <v>1994663.3148822933</v>
      </c>
      <c r="AH70" s="63"/>
    </row>
    <row r="73" spans="1:34" x14ac:dyDescent="0.35">
      <c r="A73" s="80"/>
      <c r="B73" s="78" t="s">
        <v>79</v>
      </c>
      <c r="C73" s="78"/>
      <c r="D73" s="78"/>
      <c r="E73" s="78"/>
      <c r="F73" s="78"/>
      <c r="G73" s="78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80"/>
    </row>
    <row r="74" spans="1:34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</row>
    <row r="75" spans="1:34" hidden="1" outlineLevel="1" x14ac:dyDescent="0.35">
      <c r="A75" s="63"/>
      <c r="B75" s="82" t="s">
        <v>128</v>
      </c>
      <c r="C75" s="82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63"/>
    </row>
    <row r="76" spans="1:34" hidden="1" outlineLevel="1" x14ac:dyDescent="0.35">
      <c r="A76" s="63"/>
      <c r="B76" s="63" t="s">
        <v>131</v>
      </c>
      <c r="C76" s="99" t="str">
        <f>'Risk Assumptions'!F27</f>
        <v>#</v>
      </c>
      <c r="D76" s="83">
        <f>'Risk Assumptions'!G27</f>
        <v>258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</row>
    <row r="77" spans="1:34" hidden="1" outlineLevel="1" x14ac:dyDescent="0.35">
      <c r="A77" s="63"/>
      <c r="B77" s="63" t="s">
        <v>120</v>
      </c>
      <c r="C77" s="99" t="str">
        <f>'Risk Assumptions'!F28</f>
        <v>$ June 2024</v>
      </c>
      <c r="D77" s="83">
        <f>'Risk Assumptions'!G28</f>
        <v>160000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</row>
    <row r="78" spans="1:34" hidden="1" outlineLevel="1" x14ac:dyDescent="0.35">
      <c r="A78" s="63"/>
      <c r="B78" s="63" t="s">
        <v>124</v>
      </c>
      <c r="C78" s="100" t="str">
        <f>'Risk Assumptions'!F21</f>
        <v>%</v>
      </c>
      <c r="D78" s="84">
        <f>'Risk Assumptions'!G21</f>
        <v>0.02</v>
      </c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</row>
    <row r="79" spans="1:34" hidden="1" outlineLevel="1" x14ac:dyDescent="0.35">
      <c r="A79" s="63"/>
      <c r="B79" s="63" t="s">
        <v>122</v>
      </c>
      <c r="C79" s="100" t="str">
        <f>'Risk Assumptions'!F19</f>
        <v>%</v>
      </c>
      <c r="D79" s="84">
        <f>'Risk Assumptions'!G19</f>
        <v>0.02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</row>
    <row r="80" spans="1:34" hidden="1" outlineLevel="1" x14ac:dyDescent="0.35">
      <c r="A80" s="63"/>
      <c r="B80" s="63"/>
      <c r="C80" s="111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</row>
    <row r="81" spans="1:34" hidden="1" outlineLevel="1" x14ac:dyDescent="0.35">
      <c r="A81" s="63"/>
      <c r="B81" s="86"/>
      <c r="C81" s="112"/>
      <c r="D81" s="86"/>
      <c r="E81" s="86"/>
      <c r="F81" s="86"/>
      <c r="G81" s="86"/>
      <c r="H81" s="103" t="s">
        <v>20</v>
      </c>
      <c r="I81" s="69" t="s">
        <v>23</v>
      </c>
      <c r="J81" s="69" t="s">
        <v>24</v>
      </c>
      <c r="K81" s="69" t="s">
        <v>25</v>
      </c>
      <c r="L81" s="69" t="s">
        <v>26</v>
      </c>
      <c r="M81" s="69" t="s">
        <v>27</v>
      </c>
      <c r="N81" s="69" t="s">
        <v>56</v>
      </c>
      <c r="O81" s="69" t="s">
        <v>57</v>
      </c>
      <c r="P81" s="69" t="s">
        <v>58</v>
      </c>
      <c r="Q81" s="69" t="s">
        <v>59</v>
      </c>
      <c r="R81" s="69" t="s">
        <v>60</v>
      </c>
      <c r="S81" s="69" t="s">
        <v>61</v>
      </c>
      <c r="T81" s="69" t="s">
        <v>62</v>
      </c>
      <c r="U81" s="69" t="s">
        <v>63</v>
      </c>
      <c r="V81" s="69" t="s">
        <v>64</v>
      </c>
      <c r="W81" s="69" t="s">
        <v>65</v>
      </c>
      <c r="X81" s="69" t="s">
        <v>66</v>
      </c>
      <c r="Y81" s="69" t="s">
        <v>67</v>
      </c>
      <c r="Z81" s="69" t="s">
        <v>68</v>
      </c>
      <c r="AA81" s="69" t="s">
        <v>69</v>
      </c>
      <c r="AB81" s="69" t="s">
        <v>70</v>
      </c>
      <c r="AC81" s="69" t="s">
        <v>71</v>
      </c>
      <c r="AD81" s="69" t="s">
        <v>72</v>
      </c>
      <c r="AE81" s="69" t="s">
        <v>73</v>
      </c>
      <c r="AF81" s="69" t="s">
        <v>74</v>
      </c>
      <c r="AG81" s="69" t="s">
        <v>75</v>
      </c>
      <c r="AH81" s="63"/>
    </row>
    <row r="82" spans="1:34" hidden="1" outlineLevel="1" x14ac:dyDescent="0.35">
      <c r="A82" s="63"/>
      <c r="B82" s="63" t="str">
        <f>B75</f>
        <v>Reduced office productivity</v>
      </c>
      <c r="C82" s="111"/>
      <c r="D82" s="63"/>
      <c r="E82" s="63"/>
      <c r="F82" s="63"/>
      <c r="G82" s="63"/>
      <c r="H82" s="104">
        <f>D76*D77*D78</f>
        <v>825600</v>
      </c>
      <c r="I82" s="102">
        <f>H82*(1+$D$79)</f>
        <v>842112</v>
      </c>
      <c r="J82" s="102">
        <f t="shared" ref="J82:AG82" si="19">I82*(1+$D$79)</f>
        <v>858954.23999999999</v>
      </c>
      <c r="K82" s="102">
        <f t="shared" si="19"/>
        <v>876133.32480000006</v>
      </c>
      <c r="L82" s="102">
        <f t="shared" si="19"/>
        <v>893655.99129600008</v>
      </c>
      <c r="M82" s="102">
        <f t="shared" si="19"/>
        <v>911529.11112192005</v>
      </c>
      <c r="N82" s="102">
        <f t="shared" si="19"/>
        <v>929759.69334435847</v>
      </c>
      <c r="O82" s="102">
        <f t="shared" si="19"/>
        <v>948354.8872112456</v>
      </c>
      <c r="P82" s="102">
        <f t="shared" si="19"/>
        <v>967321.98495547054</v>
      </c>
      <c r="Q82" s="102">
        <f t="shared" si="19"/>
        <v>986668.42465457995</v>
      </c>
      <c r="R82" s="102">
        <f t="shared" si="19"/>
        <v>1006401.7931476716</v>
      </c>
      <c r="S82" s="102">
        <f t="shared" si="19"/>
        <v>1026529.829010625</v>
      </c>
      <c r="T82" s="102">
        <f t="shared" si="19"/>
        <v>1047060.4255908375</v>
      </c>
      <c r="U82" s="102">
        <f t="shared" si="19"/>
        <v>1068001.6341026542</v>
      </c>
      <c r="V82" s="102">
        <f t="shared" si="19"/>
        <v>1089361.6667847072</v>
      </c>
      <c r="W82" s="102">
        <f t="shared" si="19"/>
        <v>1111148.9001204013</v>
      </c>
      <c r="X82" s="102">
        <f t="shared" si="19"/>
        <v>1133371.8781228093</v>
      </c>
      <c r="Y82" s="102">
        <f t="shared" si="19"/>
        <v>1156039.3156852655</v>
      </c>
      <c r="Z82" s="102">
        <f t="shared" si="19"/>
        <v>1179160.1019989708</v>
      </c>
      <c r="AA82" s="102">
        <f t="shared" si="19"/>
        <v>1202743.3040389502</v>
      </c>
      <c r="AB82" s="102">
        <f t="shared" si="19"/>
        <v>1226798.1701197294</v>
      </c>
      <c r="AC82" s="102">
        <f t="shared" si="19"/>
        <v>1251334.133522124</v>
      </c>
      <c r="AD82" s="102">
        <f t="shared" si="19"/>
        <v>1276360.8161925664</v>
      </c>
      <c r="AE82" s="102">
        <f t="shared" si="19"/>
        <v>1301888.0325164178</v>
      </c>
      <c r="AF82" s="102">
        <f t="shared" si="19"/>
        <v>1327925.7931667462</v>
      </c>
      <c r="AG82" s="102">
        <f t="shared" si="19"/>
        <v>1354484.3090300811</v>
      </c>
      <c r="AH82" s="63"/>
    </row>
    <row r="83" spans="1:34" hidden="1" outlineLevel="1" x14ac:dyDescent="0.35">
      <c r="A83" s="63"/>
      <c r="B83" s="63"/>
      <c r="C83" s="111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</row>
    <row r="84" spans="1:34" hidden="1" outlineLevel="1" x14ac:dyDescent="0.35">
      <c r="A84" s="63"/>
      <c r="B84" s="82" t="s">
        <v>129</v>
      </c>
      <c r="C84" s="113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63"/>
    </row>
    <row r="85" spans="1:34" hidden="1" outlineLevel="1" x14ac:dyDescent="0.35">
      <c r="A85" s="63"/>
      <c r="B85" s="63" t="s">
        <v>117</v>
      </c>
      <c r="C85" s="99" t="str">
        <f>'Risk Assumptions'!F26</f>
        <v>#</v>
      </c>
      <c r="D85" s="83">
        <f>'Risk Assumptions'!G26</f>
        <v>84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</row>
    <row r="86" spans="1:34" hidden="1" outlineLevel="1" x14ac:dyDescent="0.35">
      <c r="A86" s="63"/>
      <c r="B86" s="63" t="s">
        <v>120</v>
      </c>
      <c r="C86" s="99" t="str">
        <f>'Risk Assumptions'!F28</f>
        <v>$ June 2024</v>
      </c>
      <c r="D86" s="83">
        <f>'Risk Assumptions'!G28</f>
        <v>160000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</row>
    <row r="87" spans="1:34" hidden="1" outlineLevel="1" x14ac:dyDescent="0.35">
      <c r="A87" s="63"/>
      <c r="B87" s="63" t="s">
        <v>124</v>
      </c>
      <c r="C87" s="100" t="str">
        <f>'Risk Assumptions'!F22</f>
        <v>%</v>
      </c>
      <c r="D87" s="84">
        <f>'Risk Assumptions'!G22</f>
        <v>0.02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</row>
    <row r="88" spans="1:34" hidden="1" outlineLevel="1" x14ac:dyDescent="0.35">
      <c r="A88" s="63"/>
      <c r="B88" s="63" t="s">
        <v>122</v>
      </c>
      <c r="C88" s="100" t="str">
        <f>'Risk Assumptions'!F19</f>
        <v>%</v>
      </c>
      <c r="D88" s="84">
        <f>'Risk Assumptions'!G19</f>
        <v>0.02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</row>
    <row r="89" spans="1:34" hidden="1" outlineLevel="1" x14ac:dyDescent="0.35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</row>
    <row r="90" spans="1:34" hidden="1" outlineLevel="1" x14ac:dyDescent="0.35">
      <c r="A90" s="63"/>
      <c r="B90" s="86"/>
      <c r="C90" s="86"/>
      <c r="D90" s="86"/>
      <c r="E90" s="86"/>
      <c r="F90" s="86"/>
      <c r="G90" s="86"/>
      <c r="H90" s="103" t="s">
        <v>20</v>
      </c>
      <c r="I90" s="69" t="s">
        <v>23</v>
      </c>
      <c r="J90" s="69" t="s">
        <v>24</v>
      </c>
      <c r="K90" s="69" t="s">
        <v>25</v>
      </c>
      <c r="L90" s="69" t="s">
        <v>26</v>
      </c>
      <c r="M90" s="69" t="s">
        <v>27</v>
      </c>
      <c r="N90" s="69" t="s">
        <v>56</v>
      </c>
      <c r="O90" s="69" t="s">
        <v>57</v>
      </c>
      <c r="P90" s="69" t="s">
        <v>58</v>
      </c>
      <c r="Q90" s="69" t="s">
        <v>59</v>
      </c>
      <c r="R90" s="69" t="s">
        <v>60</v>
      </c>
      <c r="S90" s="69" t="s">
        <v>61</v>
      </c>
      <c r="T90" s="69" t="s">
        <v>62</v>
      </c>
      <c r="U90" s="69" t="s">
        <v>63</v>
      </c>
      <c r="V90" s="69" t="s">
        <v>64</v>
      </c>
      <c r="W90" s="69" t="s">
        <v>65</v>
      </c>
      <c r="X90" s="69" t="s">
        <v>66</v>
      </c>
      <c r="Y90" s="69" t="s">
        <v>67</v>
      </c>
      <c r="Z90" s="69" t="s">
        <v>68</v>
      </c>
      <c r="AA90" s="69" t="s">
        <v>69</v>
      </c>
      <c r="AB90" s="69" t="s">
        <v>70</v>
      </c>
      <c r="AC90" s="69" t="s">
        <v>71</v>
      </c>
      <c r="AD90" s="69" t="s">
        <v>72</v>
      </c>
      <c r="AE90" s="69" t="s">
        <v>73</v>
      </c>
      <c r="AF90" s="69" t="s">
        <v>74</v>
      </c>
      <c r="AG90" s="69" t="s">
        <v>75</v>
      </c>
      <c r="AH90" s="63"/>
    </row>
    <row r="91" spans="1:34" hidden="1" outlineLevel="1" x14ac:dyDescent="0.35">
      <c r="A91" s="63"/>
      <c r="B91" s="63" t="str">
        <f>B84</f>
        <v>Reduced field productivity</v>
      </c>
      <c r="C91" s="63"/>
      <c r="D91" s="63"/>
      <c r="E91" s="63"/>
      <c r="F91" s="63"/>
      <c r="G91" s="63"/>
      <c r="H91" s="104">
        <f>D85*D87*D86</f>
        <v>268800</v>
      </c>
      <c r="I91" s="102">
        <f>H91*(1+$D$88)</f>
        <v>274176</v>
      </c>
      <c r="J91" s="102">
        <f t="shared" ref="J91:AG91" si="20">I91*(1+$D$88)</f>
        <v>279659.52000000002</v>
      </c>
      <c r="K91" s="102">
        <f t="shared" si="20"/>
        <v>285252.71040000004</v>
      </c>
      <c r="L91" s="102">
        <f t="shared" si="20"/>
        <v>290957.76460800006</v>
      </c>
      <c r="M91" s="102">
        <f t="shared" si="20"/>
        <v>296776.91990016005</v>
      </c>
      <c r="N91" s="102">
        <f t="shared" si="20"/>
        <v>302712.45829816326</v>
      </c>
      <c r="O91" s="102">
        <f t="shared" si="20"/>
        <v>308766.70746412652</v>
      </c>
      <c r="P91" s="102">
        <f t="shared" si="20"/>
        <v>314942.04161340906</v>
      </c>
      <c r="Q91" s="102">
        <f t="shared" si="20"/>
        <v>321240.88244567724</v>
      </c>
      <c r="R91" s="102">
        <f t="shared" si="20"/>
        <v>327665.70009459078</v>
      </c>
      <c r="S91" s="102">
        <f t="shared" si="20"/>
        <v>334219.0140964826</v>
      </c>
      <c r="T91" s="102">
        <f t="shared" si="20"/>
        <v>340903.39437841228</v>
      </c>
      <c r="U91" s="102">
        <f t="shared" si="20"/>
        <v>347721.46226598055</v>
      </c>
      <c r="V91" s="102">
        <f t="shared" si="20"/>
        <v>354675.89151130017</v>
      </c>
      <c r="W91" s="102">
        <f t="shared" si="20"/>
        <v>361769.40934152616</v>
      </c>
      <c r="X91" s="102">
        <f t="shared" si="20"/>
        <v>369004.79752835666</v>
      </c>
      <c r="Y91" s="102">
        <f t="shared" si="20"/>
        <v>376384.89347892383</v>
      </c>
      <c r="Z91" s="102">
        <f t="shared" si="20"/>
        <v>383912.59134850232</v>
      </c>
      <c r="AA91" s="102">
        <f t="shared" si="20"/>
        <v>391590.8431754724</v>
      </c>
      <c r="AB91" s="102">
        <f t="shared" si="20"/>
        <v>399422.66003898188</v>
      </c>
      <c r="AC91" s="102">
        <f t="shared" si="20"/>
        <v>407411.1132397615</v>
      </c>
      <c r="AD91" s="102">
        <f t="shared" si="20"/>
        <v>415559.33550455672</v>
      </c>
      <c r="AE91" s="102">
        <f t="shared" si="20"/>
        <v>423870.52221464785</v>
      </c>
      <c r="AF91" s="102">
        <f t="shared" si="20"/>
        <v>432347.93265894079</v>
      </c>
      <c r="AG91" s="102">
        <f t="shared" si="20"/>
        <v>440994.89131211961</v>
      </c>
      <c r="AH91" s="63"/>
    </row>
    <row r="92" spans="1:34" hidden="1" outlineLevel="1" x14ac:dyDescent="0.35"/>
    <row r="93" spans="1:34" hidden="1" outlineLevel="1" x14ac:dyDescent="0.35"/>
    <row r="94" spans="1:34" collapsed="1" x14ac:dyDescent="0.35">
      <c r="A94" s="63"/>
      <c r="B94" s="86"/>
      <c r="C94" s="86"/>
      <c r="D94" s="86"/>
      <c r="E94" s="86"/>
      <c r="F94" s="86"/>
      <c r="G94" s="86"/>
      <c r="H94" s="69"/>
      <c r="I94" s="69" t="s">
        <v>23</v>
      </c>
      <c r="J94" s="69" t="s">
        <v>24</v>
      </c>
      <c r="K94" s="69" t="s">
        <v>25</v>
      </c>
      <c r="L94" s="69" t="s">
        <v>26</v>
      </c>
      <c r="M94" s="69" t="s">
        <v>27</v>
      </c>
      <c r="N94" s="69" t="s">
        <v>56</v>
      </c>
      <c r="O94" s="69" t="s">
        <v>57</v>
      </c>
      <c r="P94" s="69" t="s">
        <v>58</v>
      </c>
      <c r="Q94" s="69" t="s">
        <v>59</v>
      </c>
      <c r="R94" s="69" t="s">
        <v>60</v>
      </c>
      <c r="S94" s="69" t="s">
        <v>61</v>
      </c>
      <c r="T94" s="69" t="s">
        <v>62</v>
      </c>
      <c r="U94" s="69" t="s">
        <v>63</v>
      </c>
      <c r="V94" s="69" t="s">
        <v>64</v>
      </c>
      <c r="W94" s="69" t="s">
        <v>65</v>
      </c>
      <c r="X94" s="69" t="s">
        <v>66</v>
      </c>
      <c r="Y94" s="69" t="s">
        <v>67</v>
      </c>
      <c r="Z94" s="69" t="s">
        <v>68</v>
      </c>
      <c r="AA94" s="69" t="s">
        <v>69</v>
      </c>
      <c r="AB94" s="69" t="s">
        <v>70</v>
      </c>
      <c r="AC94" s="69" t="s">
        <v>71</v>
      </c>
      <c r="AD94" s="69" t="s">
        <v>72</v>
      </c>
      <c r="AE94" s="69" t="s">
        <v>73</v>
      </c>
      <c r="AF94" s="69" t="s">
        <v>74</v>
      </c>
      <c r="AG94" s="69" t="s">
        <v>75</v>
      </c>
      <c r="AH94" s="63"/>
    </row>
    <row r="95" spans="1:34" x14ac:dyDescent="0.35">
      <c r="A95" s="63"/>
      <c r="B95" s="71" t="str">
        <f>"Total risk due to "&amp;B73</f>
        <v>Total risk due to Outdated facilities and inadequate office space</v>
      </c>
      <c r="C95" s="63"/>
      <c r="D95" s="63"/>
      <c r="E95" s="63"/>
      <c r="F95" s="63"/>
      <c r="G95" s="63"/>
      <c r="H95" s="102"/>
      <c r="I95" s="102">
        <f t="shared" ref="I95:AG95" si="21">I82+I91</f>
        <v>1116288</v>
      </c>
      <c r="J95" s="102">
        <f t="shared" si="21"/>
        <v>1138613.76</v>
      </c>
      <c r="K95" s="102">
        <f t="shared" si="21"/>
        <v>1161386.0352</v>
      </c>
      <c r="L95" s="102">
        <f t="shared" si="21"/>
        <v>1184613.7559040003</v>
      </c>
      <c r="M95" s="102">
        <f t="shared" si="21"/>
        <v>1208306.0310220802</v>
      </c>
      <c r="N95" s="102">
        <f t="shared" si="21"/>
        <v>1232472.1516425218</v>
      </c>
      <c r="O95" s="102">
        <f t="shared" si="21"/>
        <v>1257121.5946753721</v>
      </c>
      <c r="P95" s="102">
        <f t="shared" si="21"/>
        <v>1282264.0265688796</v>
      </c>
      <c r="Q95" s="102">
        <f t="shared" si="21"/>
        <v>1307909.3071002571</v>
      </c>
      <c r="R95" s="102">
        <f t="shared" si="21"/>
        <v>1334067.4932422624</v>
      </c>
      <c r="S95" s="102">
        <f t="shared" si="21"/>
        <v>1360748.8431071076</v>
      </c>
      <c r="T95" s="102">
        <f t="shared" si="21"/>
        <v>1387963.8199692499</v>
      </c>
      <c r="U95" s="102">
        <f t="shared" si="21"/>
        <v>1415723.0963686346</v>
      </c>
      <c r="V95" s="102">
        <f t="shared" si="21"/>
        <v>1444037.5582960073</v>
      </c>
      <c r="W95" s="102">
        <f t="shared" si="21"/>
        <v>1472918.3094619275</v>
      </c>
      <c r="X95" s="102">
        <f t="shared" si="21"/>
        <v>1502376.6756511661</v>
      </c>
      <c r="Y95" s="102">
        <f t="shared" si="21"/>
        <v>1532424.2091641892</v>
      </c>
      <c r="Z95" s="102">
        <f t="shared" si="21"/>
        <v>1563072.6933474732</v>
      </c>
      <c r="AA95" s="102">
        <f t="shared" si="21"/>
        <v>1594334.1472144227</v>
      </c>
      <c r="AB95" s="102">
        <f t="shared" si="21"/>
        <v>1626220.8301587112</v>
      </c>
      <c r="AC95" s="102">
        <f t="shared" si="21"/>
        <v>1658745.2467618855</v>
      </c>
      <c r="AD95" s="102">
        <f t="shared" si="21"/>
        <v>1691920.1516971232</v>
      </c>
      <c r="AE95" s="102">
        <f t="shared" si="21"/>
        <v>1725758.5547310656</v>
      </c>
      <c r="AF95" s="102">
        <f t="shared" si="21"/>
        <v>1760273.7258256869</v>
      </c>
      <c r="AG95" s="102">
        <f t="shared" si="21"/>
        <v>1795479.2003422007</v>
      </c>
      <c r="AH95" s="63"/>
    </row>
    <row r="98" spans="1:34" x14ac:dyDescent="0.35">
      <c r="A98" s="80"/>
      <c r="B98" s="78" t="s">
        <v>80</v>
      </c>
      <c r="C98" s="78"/>
      <c r="D98" s="78"/>
      <c r="E98" s="78"/>
      <c r="F98" s="78"/>
      <c r="G98" s="78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80"/>
    </row>
    <row r="99" spans="1:34" x14ac:dyDescent="0.35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</row>
    <row r="100" spans="1:34" hidden="1" outlineLevel="1" x14ac:dyDescent="0.35">
      <c r="A100" s="63"/>
      <c r="B100" s="82" t="s">
        <v>134</v>
      </c>
      <c r="C100" s="82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63"/>
    </row>
    <row r="101" spans="1:34" hidden="1" outlineLevel="1" x14ac:dyDescent="0.35">
      <c r="A101" s="63"/>
      <c r="B101" s="63" t="s">
        <v>142</v>
      </c>
      <c r="C101" s="99" t="str">
        <f>'Risk Assumptions'!F37</f>
        <v>$ June 2024</v>
      </c>
      <c r="D101" s="83">
        <f>'Risk Assumptions'!G37</f>
        <v>5940414.4210879449</v>
      </c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</row>
    <row r="102" spans="1:34" hidden="1" outlineLevel="1" x14ac:dyDescent="0.35">
      <c r="A102" s="63"/>
      <c r="B102" s="63" t="s">
        <v>137</v>
      </c>
      <c r="C102" s="99"/>
      <c r="D102" s="83">
        <f>'Risk Assumptions'!G38</f>
        <v>3</v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</row>
    <row r="103" spans="1:34" hidden="1" outlineLevel="1" x14ac:dyDescent="0.35">
      <c r="A103" s="63"/>
      <c r="B103" s="63" t="s">
        <v>143</v>
      </c>
      <c r="C103" s="100" t="str">
        <f>'Risk Assumptions'!F39</f>
        <v>%</v>
      </c>
      <c r="D103" s="84">
        <f>'Risk Assumptions'!G39</f>
        <v>7.4999999999999997E-3</v>
      </c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</row>
    <row r="104" spans="1:34" hidden="1" outlineLevel="1" x14ac:dyDescent="0.35">
      <c r="A104" s="63"/>
      <c r="B104" s="63" t="s">
        <v>144</v>
      </c>
      <c r="C104" s="99" t="str">
        <f>'Risk Assumptions'!F32</f>
        <v>$ June 2024</v>
      </c>
      <c r="D104" s="83">
        <f>'Risk Assumptions'!G32</f>
        <v>850000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</row>
    <row r="105" spans="1:34" hidden="1" outlineLevel="1" x14ac:dyDescent="0.35">
      <c r="A105" s="63"/>
      <c r="B105" s="63" t="s">
        <v>145</v>
      </c>
      <c r="C105" s="99" t="str">
        <f>'Risk Assumptions'!F33</f>
        <v>$ June 2024</v>
      </c>
      <c r="D105" s="83">
        <f>'Risk Assumptions'!G33</f>
        <v>85000</v>
      </c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</row>
    <row r="106" spans="1:34" hidden="1" outlineLevel="1" x14ac:dyDescent="0.35">
      <c r="A106" s="63"/>
      <c r="B106" s="63" t="s">
        <v>146</v>
      </c>
      <c r="C106" s="100" t="str">
        <f>'Risk Assumptions'!F40</f>
        <v>%</v>
      </c>
      <c r="D106" s="84">
        <f>'Risk Assumptions'!G40</f>
        <v>0.01</v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</row>
    <row r="107" spans="1:34" hidden="1" outlineLevel="1" x14ac:dyDescent="0.35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</row>
    <row r="108" spans="1:34" hidden="1" outlineLevel="1" x14ac:dyDescent="0.35">
      <c r="A108" s="63"/>
      <c r="B108" s="86"/>
      <c r="C108" s="86"/>
      <c r="D108" s="86"/>
      <c r="E108" s="86"/>
      <c r="F108" s="86"/>
      <c r="G108" s="86"/>
      <c r="H108" s="103" t="s">
        <v>20</v>
      </c>
      <c r="I108" s="69" t="s">
        <v>23</v>
      </c>
      <c r="J108" s="69" t="s">
        <v>24</v>
      </c>
      <c r="K108" s="69" t="s">
        <v>25</v>
      </c>
      <c r="L108" s="69" t="s">
        <v>26</v>
      </c>
      <c r="M108" s="69" t="s">
        <v>27</v>
      </c>
      <c r="N108" s="69" t="s">
        <v>56</v>
      </c>
      <c r="O108" s="69" t="s">
        <v>57</v>
      </c>
      <c r="P108" s="69" t="s">
        <v>58</v>
      </c>
      <c r="Q108" s="69" t="s">
        <v>59</v>
      </c>
      <c r="R108" s="69" t="s">
        <v>60</v>
      </c>
      <c r="S108" s="69" t="s">
        <v>61</v>
      </c>
      <c r="T108" s="69" t="s">
        <v>62</v>
      </c>
      <c r="U108" s="69" t="s">
        <v>63</v>
      </c>
      <c r="V108" s="69" t="s">
        <v>64</v>
      </c>
      <c r="W108" s="69" t="s">
        <v>65</v>
      </c>
      <c r="X108" s="69" t="s">
        <v>66</v>
      </c>
      <c r="Y108" s="69" t="s">
        <v>67</v>
      </c>
      <c r="Z108" s="69" t="s">
        <v>68</v>
      </c>
      <c r="AA108" s="69" t="s">
        <v>69</v>
      </c>
      <c r="AB108" s="69" t="s">
        <v>70</v>
      </c>
      <c r="AC108" s="69" t="s">
        <v>71</v>
      </c>
      <c r="AD108" s="69" t="s">
        <v>72</v>
      </c>
      <c r="AE108" s="69" t="s">
        <v>73</v>
      </c>
      <c r="AF108" s="69" t="s">
        <v>74</v>
      </c>
      <c r="AG108" s="69" t="s">
        <v>75</v>
      </c>
      <c r="AH108" s="63"/>
    </row>
    <row r="109" spans="1:34" hidden="1" outlineLevel="1" x14ac:dyDescent="0.35">
      <c r="A109" s="63"/>
      <c r="B109" s="105" t="s">
        <v>147</v>
      </c>
      <c r="C109" s="105"/>
      <c r="D109" s="105"/>
      <c r="E109" s="105"/>
      <c r="F109" s="105"/>
      <c r="G109" s="105"/>
      <c r="H109" s="106"/>
      <c r="I109" s="102">
        <f>$D101*$D102*$D103</f>
        <v>133659.32447447878</v>
      </c>
      <c r="J109" s="102">
        <f t="shared" ref="J109:AG109" si="22">$D101*$D102*$D103</f>
        <v>133659.32447447878</v>
      </c>
      <c r="K109" s="102">
        <f t="shared" si="22"/>
        <v>133659.32447447878</v>
      </c>
      <c r="L109" s="102">
        <f t="shared" si="22"/>
        <v>133659.32447447878</v>
      </c>
      <c r="M109" s="102">
        <f t="shared" si="22"/>
        <v>133659.32447447878</v>
      </c>
      <c r="N109" s="102">
        <f t="shared" si="22"/>
        <v>133659.32447447878</v>
      </c>
      <c r="O109" s="102">
        <f t="shared" si="22"/>
        <v>133659.32447447878</v>
      </c>
      <c r="P109" s="102">
        <f t="shared" si="22"/>
        <v>133659.32447447878</v>
      </c>
      <c r="Q109" s="102">
        <f t="shared" si="22"/>
        <v>133659.32447447878</v>
      </c>
      <c r="R109" s="102">
        <f t="shared" si="22"/>
        <v>133659.32447447878</v>
      </c>
      <c r="S109" s="102">
        <f t="shared" si="22"/>
        <v>133659.32447447878</v>
      </c>
      <c r="T109" s="102">
        <f t="shared" si="22"/>
        <v>133659.32447447878</v>
      </c>
      <c r="U109" s="102">
        <f t="shared" si="22"/>
        <v>133659.32447447878</v>
      </c>
      <c r="V109" s="102">
        <f t="shared" si="22"/>
        <v>133659.32447447878</v>
      </c>
      <c r="W109" s="102">
        <f t="shared" si="22"/>
        <v>133659.32447447878</v>
      </c>
      <c r="X109" s="102">
        <f t="shared" si="22"/>
        <v>133659.32447447878</v>
      </c>
      <c r="Y109" s="102">
        <f t="shared" si="22"/>
        <v>133659.32447447878</v>
      </c>
      <c r="Z109" s="102">
        <f t="shared" si="22"/>
        <v>133659.32447447878</v>
      </c>
      <c r="AA109" s="102">
        <f t="shared" si="22"/>
        <v>133659.32447447878</v>
      </c>
      <c r="AB109" s="102">
        <f t="shared" si="22"/>
        <v>133659.32447447878</v>
      </c>
      <c r="AC109" s="102">
        <f t="shared" si="22"/>
        <v>133659.32447447878</v>
      </c>
      <c r="AD109" s="102">
        <f t="shared" si="22"/>
        <v>133659.32447447878</v>
      </c>
      <c r="AE109" s="102">
        <f t="shared" si="22"/>
        <v>133659.32447447878</v>
      </c>
      <c r="AF109" s="102">
        <f t="shared" si="22"/>
        <v>133659.32447447878</v>
      </c>
      <c r="AG109" s="102">
        <f t="shared" si="22"/>
        <v>133659.32447447878</v>
      </c>
      <c r="AH109" s="63"/>
    </row>
    <row r="110" spans="1:34" hidden="1" outlineLevel="1" x14ac:dyDescent="0.35">
      <c r="A110" s="63"/>
      <c r="B110" s="105" t="s">
        <v>148</v>
      </c>
      <c r="C110" s="105"/>
      <c r="D110" s="105"/>
      <c r="E110" s="105"/>
      <c r="F110" s="105"/>
      <c r="G110" s="105"/>
      <c r="H110" s="106"/>
      <c r="I110" s="102">
        <f>$D$104*$D$103</f>
        <v>6375</v>
      </c>
      <c r="J110" s="102">
        <f>$D$104*$D$103</f>
        <v>6375</v>
      </c>
      <c r="K110" s="102">
        <f t="shared" ref="K110:AG110" si="23">$D$104*$D$103</f>
        <v>6375</v>
      </c>
      <c r="L110" s="102">
        <f t="shared" si="23"/>
        <v>6375</v>
      </c>
      <c r="M110" s="102">
        <f t="shared" si="23"/>
        <v>6375</v>
      </c>
      <c r="N110" s="102">
        <f t="shared" si="23"/>
        <v>6375</v>
      </c>
      <c r="O110" s="102">
        <f t="shared" si="23"/>
        <v>6375</v>
      </c>
      <c r="P110" s="102">
        <f t="shared" si="23"/>
        <v>6375</v>
      </c>
      <c r="Q110" s="102">
        <f t="shared" si="23"/>
        <v>6375</v>
      </c>
      <c r="R110" s="102">
        <f t="shared" si="23"/>
        <v>6375</v>
      </c>
      <c r="S110" s="102">
        <f t="shared" si="23"/>
        <v>6375</v>
      </c>
      <c r="T110" s="102">
        <f t="shared" si="23"/>
        <v>6375</v>
      </c>
      <c r="U110" s="102">
        <f t="shared" si="23"/>
        <v>6375</v>
      </c>
      <c r="V110" s="102">
        <f t="shared" si="23"/>
        <v>6375</v>
      </c>
      <c r="W110" s="102">
        <f t="shared" si="23"/>
        <v>6375</v>
      </c>
      <c r="X110" s="102">
        <f t="shared" si="23"/>
        <v>6375</v>
      </c>
      <c r="Y110" s="102">
        <f t="shared" si="23"/>
        <v>6375</v>
      </c>
      <c r="Z110" s="102">
        <f t="shared" si="23"/>
        <v>6375</v>
      </c>
      <c r="AA110" s="102">
        <f t="shared" si="23"/>
        <v>6375</v>
      </c>
      <c r="AB110" s="102">
        <f t="shared" si="23"/>
        <v>6375</v>
      </c>
      <c r="AC110" s="102">
        <f t="shared" si="23"/>
        <v>6375</v>
      </c>
      <c r="AD110" s="102">
        <f t="shared" si="23"/>
        <v>6375</v>
      </c>
      <c r="AE110" s="102">
        <f t="shared" si="23"/>
        <v>6375</v>
      </c>
      <c r="AF110" s="102">
        <f t="shared" si="23"/>
        <v>6375</v>
      </c>
      <c r="AG110" s="102">
        <f t="shared" si="23"/>
        <v>6375</v>
      </c>
      <c r="AH110" s="63"/>
    </row>
    <row r="111" spans="1:34" hidden="1" outlineLevel="1" x14ac:dyDescent="0.35">
      <c r="A111" s="63"/>
      <c r="B111" s="105" t="s">
        <v>149</v>
      </c>
      <c r="C111" s="105"/>
      <c r="D111" s="105"/>
      <c r="E111" s="105"/>
      <c r="F111" s="105"/>
      <c r="G111" s="105"/>
      <c r="H111" s="106"/>
      <c r="I111" s="102">
        <f>$D$105*(1+D106)^3</f>
        <v>87575.584999999992</v>
      </c>
      <c r="J111" s="102">
        <f>I111*(1+$D$106)</f>
        <v>88451.340849999993</v>
      </c>
      <c r="K111" s="102">
        <f t="shared" ref="K111:AG111" si="24">J111*(1+$D$106)</f>
        <v>89335.854258499996</v>
      </c>
      <c r="L111" s="102">
        <f t="shared" si="24"/>
        <v>90229.212801084999</v>
      </c>
      <c r="M111" s="102">
        <f t="shared" si="24"/>
        <v>91131.504929095856</v>
      </c>
      <c r="N111" s="102">
        <f t="shared" si="24"/>
        <v>92042.819978386819</v>
      </c>
      <c r="O111" s="102">
        <f t="shared" si="24"/>
        <v>92963.248178170688</v>
      </c>
      <c r="P111" s="102">
        <f t="shared" si="24"/>
        <v>93892.880659952396</v>
      </c>
      <c r="Q111" s="102">
        <f t="shared" si="24"/>
        <v>94831.809466551917</v>
      </c>
      <c r="R111" s="102">
        <f t="shared" si="24"/>
        <v>95780.127561217436</v>
      </c>
      <c r="S111" s="102">
        <f t="shared" si="24"/>
        <v>96737.928836829611</v>
      </c>
      <c r="T111" s="102">
        <f t="shared" si="24"/>
        <v>97705.308125197902</v>
      </c>
      <c r="U111" s="102">
        <f t="shared" si="24"/>
        <v>98682.361206449888</v>
      </c>
      <c r="V111" s="102">
        <f t="shared" si="24"/>
        <v>99669.18481851439</v>
      </c>
      <c r="W111" s="102">
        <f t="shared" si="24"/>
        <v>100665.87666669954</v>
      </c>
      <c r="X111" s="102">
        <f t="shared" si="24"/>
        <v>101672.53543336653</v>
      </c>
      <c r="Y111" s="102">
        <f t="shared" si="24"/>
        <v>102689.2607877002</v>
      </c>
      <c r="Z111" s="102">
        <f t="shared" si="24"/>
        <v>103716.1533955772</v>
      </c>
      <c r="AA111" s="102">
        <f t="shared" si="24"/>
        <v>104753.31492953298</v>
      </c>
      <c r="AB111" s="102">
        <f t="shared" si="24"/>
        <v>105800.84807882831</v>
      </c>
      <c r="AC111" s="102">
        <f t="shared" si="24"/>
        <v>106858.85655961659</v>
      </c>
      <c r="AD111" s="102">
        <f t="shared" si="24"/>
        <v>107927.44512521275</v>
      </c>
      <c r="AE111" s="102">
        <f t="shared" si="24"/>
        <v>109006.71957646488</v>
      </c>
      <c r="AF111" s="102">
        <f t="shared" si="24"/>
        <v>110096.78677222953</v>
      </c>
      <c r="AG111" s="102">
        <f t="shared" si="24"/>
        <v>111197.75463995183</v>
      </c>
      <c r="AH111" s="63"/>
    </row>
    <row r="112" spans="1:34" hidden="1" outlineLevel="1" x14ac:dyDescent="0.35">
      <c r="A112" s="63"/>
      <c r="B112" s="108" t="str">
        <f>B100</f>
        <v>Death or serious injury caused by structural failure</v>
      </c>
      <c r="C112" s="108"/>
      <c r="D112" s="108"/>
      <c r="E112" s="108"/>
      <c r="F112" s="108"/>
      <c r="G112" s="108"/>
      <c r="H112" s="109"/>
      <c r="I112" s="110">
        <f>SUM(I109:I111)</f>
        <v>227609.90947447877</v>
      </c>
      <c r="J112" s="110">
        <f t="shared" ref="J112:AG112" si="25">SUM(J109:J111)</f>
        <v>228485.66532447876</v>
      </c>
      <c r="K112" s="110">
        <f t="shared" si="25"/>
        <v>229370.17873297876</v>
      </c>
      <c r="L112" s="110">
        <f t="shared" si="25"/>
        <v>230263.53727556378</v>
      </c>
      <c r="M112" s="110">
        <f t="shared" si="25"/>
        <v>231165.82940357464</v>
      </c>
      <c r="N112" s="110">
        <f t="shared" si="25"/>
        <v>232077.14445286558</v>
      </c>
      <c r="O112" s="110">
        <f t="shared" si="25"/>
        <v>232997.57265264948</v>
      </c>
      <c r="P112" s="110">
        <f t="shared" si="25"/>
        <v>233927.20513443119</v>
      </c>
      <c r="Q112" s="110">
        <f t="shared" si="25"/>
        <v>234866.13394103071</v>
      </c>
      <c r="R112" s="110">
        <f t="shared" si="25"/>
        <v>235814.45203569622</v>
      </c>
      <c r="S112" s="110">
        <f t="shared" si="25"/>
        <v>236772.25331130839</v>
      </c>
      <c r="T112" s="110">
        <f t="shared" si="25"/>
        <v>237739.63259967667</v>
      </c>
      <c r="U112" s="110">
        <f t="shared" si="25"/>
        <v>238716.68568092867</v>
      </c>
      <c r="V112" s="110">
        <f t="shared" si="25"/>
        <v>239703.50929299317</v>
      </c>
      <c r="W112" s="110">
        <f t="shared" si="25"/>
        <v>240700.20114117832</v>
      </c>
      <c r="X112" s="110">
        <f t="shared" si="25"/>
        <v>241706.85990784533</v>
      </c>
      <c r="Y112" s="110">
        <f t="shared" si="25"/>
        <v>242723.58526217897</v>
      </c>
      <c r="Z112" s="110">
        <f t="shared" si="25"/>
        <v>243750.477870056</v>
      </c>
      <c r="AA112" s="110">
        <f t="shared" si="25"/>
        <v>244787.63940401177</v>
      </c>
      <c r="AB112" s="110">
        <f t="shared" si="25"/>
        <v>245835.17255330709</v>
      </c>
      <c r="AC112" s="110">
        <f t="shared" si="25"/>
        <v>246893.18103409535</v>
      </c>
      <c r="AD112" s="110">
        <f t="shared" si="25"/>
        <v>247961.76959969153</v>
      </c>
      <c r="AE112" s="110">
        <f t="shared" si="25"/>
        <v>249041.04405094366</v>
      </c>
      <c r="AF112" s="110">
        <f t="shared" si="25"/>
        <v>250131.11124670831</v>
      </c>
      <c r="AG112" s="110">
        <f t="shared" si="25"/>
        <v>251232.07911443061</v>
      </c>
      <c r="AH112" s="63"/>
    </row>
    <row r="113" spans="1:34" hidden="1" outlineLevel="1" x14ac:dyDescent="0.35"/>
    <row r="114" spans="1:34" hidden="1" outlineLevel="1" x14ac:dyDescent="0.35"/>
    <row r="115" spans="1:34" collapsed="1" x14ac:dyDescent="0.35">
      <c r="A115" s="63"/>
      <c r="B115" s="86"/>
      <c r="C115" s="86"/>
      <c r="D115" s="86"/>
      <c r="E115" s="86"/>
      <c r="F115" s="86"/>
      <c r="G115" s="86"/>
      <c r="H115" s="69"/>
      <c r="I115" s="69" t="s">
        <v>23</v>
      </c>
      <c r="J115" s="69" t="s">
        <v>24</v>
      </c>
      <c r="K115" s="69" t="s">
        <v>25</v>
      </c>
      <c r="L115" s="69" t="s">
        <v>26</v>
      </c>
      <c r="M115" s="69" t="s">
        <v>27</v>
      </c>
      <c r="N115" s="69" t="s">
        <v>56</v>
      </c>
      <c r="O115" s="69" t="s">
        <v>57</v>
      </c>
      <c r="P115" s="69" t="s">
        <v>58</v>
      </c>
      <c r="Q115" s="69" t="s">
        <v>59</v>
      </c>
      <c r="R115" s="69" t="s">
        <v>60</v>
      </c>
      <c r="S115" s="69" t="s">
        <v>61</v>
      </c>
      <c r="T115" s="69" t="s">
        <v>62</v>
      </c>
      <c r="U115" s="69" t="s">
        <v>63</v>
      </c>
      <c r="V115" s="69" t="s">
        <v>64</v>
      </c>
      <c r="W115" s="69" t="s">
        <v>65</v>
      </c>
      <c r="X115" s="69" t="s">
        <v>66</v>
      </c>
      <c r="Y115" s="69" t="s">
        <v>67</v>
      </c>
      <c r="Z115" s="69" t="s">
        <v>68</v>
      </c>
      <c r="AA115" s="69" t="s">
        <v>69</v>
      </c>
      <c r="AB115" s="69" t="s">
        <v>70</v>
      </c>
      <c r="AC115" s="69" t="s">
        <v>71</v>
      </c>
      <c r="AD115" s="69" t="s">
        <v>72</v>
      </c>
      <c r="AE115" s="69" t="s">
        <v>73</v>
      </c>
      <c r="AF115" s="69" t="s">
        <v>74</v>
      </c>
      <c r="AG115" s="69" t="s">
        <v>75</v>
      </c>
      <c r="AH115" s="63"/>
    </row>
    <row r="116" spans="1:34" x14ac:dyDescent="0.35">
      <c r="A116" s="63"/>
      <c r="B116" s="71" t="str">
        <f>"Total risk due to "&amp;B98</f>
        <v>Total risk due to Structural issues</v>
      </c>
      <c r="C116" s="63"/>
      <c r="D116" s="63"/>
      <c r="E116" s="63"/>
      <c r="F116" s="63"/>
      <c r="G116" s="63"/>
      <c r="H116" s="102"/>
      <c r="I116" s="102">
        <f>I112</f>
        <v>227609.90947447877</v>
      </c>
      <c r="J116" s="102">
        <f t="shared" ref="J116:AG116" si="26">J112</f>
        <v>228485.66532447876</v>
      </c>
      <c r="K116" s="102">
        <f t="shared" si="26"/>
        <v>229370.17873297876</v>
      </c>
      <c r="L116" s="102">
        <f t="shared" si="26"/>
        <v>230263.53727556378</v>
      </c>
      <c r="M116" s="102">
        <f t="shared" si="26"/>
        <v>231165.82940357464</v>
      </c>
      <c r="N116" s="102">
        <f t="shared" si="26"/>
        <v>232077.14445286558</v>
      </c>
      <c r="O116" s="102">
        <f t="shared" si="26"/>
        <v>232997.57265264948</v>
      </c>
      <c r="P116" s="102">
        <f t="shared" si="26"/>
        <v>233927.20513443119</v>
      </c>
      <c r="Q116" s="102">
        <f t="shared" si="26"/>
        <v>234866.13394103071</v>
      </c>
      <c r="R116" s="102">
        <f t="shared" si="26"/>
        <v>235814.45203569622</v>
      </c>
      <c r="S116" s="102">
        <f t="shared" si="26"/>
        <v>236772.25331130839</v>
      </c>
      <c r="T116" s="102">
        <f t="shared" si="26"/>
        <v>237739.63259967667</v>
      </c>
      <c r="U116" s="102">
        <f t="shared" si="26"/>
        <v>238716.68568092867</v>
      </c>
      <c r="V116" s="102">
        <f t="shared" si="26"/>
        <v>239703.50929299317</v>
      </c>
      <c r="W116" s="102">
        <f t="shared" si="26"/>
        <v>240700.20114117832</v>
      </c>
      <c r="X116" s="102">
        <f t="shared" si="26"/>
        <v>241706.85990784533</v>
      </c>
      <c r="Y116" s="102">
        <f t="shared" si="26"/>
        <v>242723.58526217897</v>
      </c>
      <c r="Z116" s="102">
        <f t="shared" si="26"/>
        <v>243750.477870056</v>
      </c>
      <c r="AA116" s="102">
        <f t="shared" si="26"/>
        <v>244787.63940401177</v>
      </c>
      <c r="AB116" s="102">
        <f t="shared" si="26"/>
        <v>245835.17255330709</v>
      </c>
      <c r="AC116" s="102">
        <f t="shared" si="26"/>
        <v>246893.18103409535</v>
      </c>
      <c r="AD116" s="102">
        <f t="shared" si="26"/>
        <v>247961.76959969153</v>
      </c>
      <c r="AE116" s="102">
        <f t="shared" si="26"/>
        <v>249041.04405094366</v>
      </c>
      <c r="AF116" s="102">
        <f t="shared" si="26"/>
        <v>250131.11124670831</v>
      </c>
      <c r="AG116" s="102">
        <f t="shared" si="26"/>
        <v>251232.07911443061</v>
      </c>
      <c r="AH116" s="63"/>
    </row>
    <row r="119" spans="1:34" x14ac:dyDescent="0.35">
      <c r="A119" s="80"/>
      <c r="B119" s="78" t="s">
        <v>81</v>
      </c>
      <c r="C119" s="78"/>
      <c r="D119" s="78"/>
      <c r="E119" s="78"/>
      <c r="F119" s="78"/>
      <c r="G119" s="78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80"/>
    </row>
    <row r="120" spans="1:34" x14ac:dyDescent="0.35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</row>
    <row r="121" spans="1:34" hidden="1" outlineLevel="1" x14ac:dyDescent="0.35">
      <c r="A121" s="63"/>
      <c r="B121" s="82" t="s">
        <v>150</v>
      </c>
      <c r="C121" s="82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63"/>
    </row>
    <row r="122" spans="1:34" hidden="1" outlineLevel="1" x14ac:dyDescent="0.35">
      <c r="A122" s="63"/>
      <c r="B122" s="63" t="s">
        <v>142</v>
      </c>
      <c r="C122" s="99" t="str">
        <f>'Risk Assumptions'!F37</f>
        <v>$ June 2024</v>
      </c>
      <c r="D122" s="83">
        <f>'Risk Assumptions'!G37</f>
        <v>5940414.4210879449</v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</row>
    <row r="123" spans="1:34" hidden="1" outlineLevel="1" x14ac:dyDescent="0.35">
      <c r="A123" s="63"/>
      <c r="B123" s="63" t="s">
        <v>137</v>
      </c>
      <c r="C123" s="99"/>
      <c r="D123" s="83">
        <f>'Risk Assumptions'!G38</f>
        <v>3</v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</row>
    <row r="124" spans="1:34" hidden="1" outlineLevel="1" x14ac:dyDescent="0.35">
      <c r="A124" s="63"/>
      <c r="B124" s="63" t="s">
        <v>151</v>
      </c>
      <c r="C124" s="100" t="str">
        <f>'Risk Assumptions'!F41</f>
        <v>%</v>
      </c>
      <c r="D124" s="84">
        <f>'Risk Assumptions'!G41</f>
        <v>0.01</v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</row>
    <row r="125" spans="1:34" hidden="1" outlineLevel="1" x14ac:dyDescent="0.35">
      <c r="A125" s="63"/>
      <c r="B125" s="63" t="s">
        <v>152</v>
      </c>
      <c r="C125" s="99" t="str">
        <f>'Risk Assumptions'!F34</f>
        <v>$ June 2024</v>
      </c>
      <c r="D125" s="83">
        <f>'Risk Assumptions'!G34</f>
        <v>280000</v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</row>
    <row r="126" spans="1:34" hidden="1" outlineLevel="1" x14ac:dyDescent="0.3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</row>
    <row r="127" spans="1:34" hidden="1" outlineLevel="1" x14ac:dyDescent="0.35">
      <c r="A127" s="63"/>
      <c r="B127" s="86"/>
      <c r="C127" s="86"/>
      <c r="D127" s="86"/>
      <c r="E127" s="86"/>
      <c r="F127" s="86"/>
      <c r="G127" s="86"/>
      <c r="H127" s="103" t="s">
        <v>20</v>
      </c>
      <c r="I127" s="69" t="s">
        <v>23</v>
      </c>
      <c r="J127" s="69" t="s">
        <v>24</v>
      </c>
      <c r="K127" s="69" t="s">
        <v>25</v>
      </c>
      <c r="L127" s="69" t="s">
        <v>26</v>
      </c>
      <c r="M127" s="69" t="s">
        <v>27</v>
      </c>
      <c r="N127" s="69" t="s">
        <v>56</v>
      </c>
      <c r="O127" s="69" t="s">
        <v>57</v>
      </c>
      <c r="P127" s="69" t="s">
        <v>58</v>
      </c>
      <c r="Q127" s="69" t="s">
        <v>59</v>
      </c>
      <c r="R127" s="69" t="s">
        <v>60</v>
      </c>
      <c r="S127" s="69" t="s">
        <v>61</v>
      </c>
      <c r="T127" s="69" t="s">
        <v>62</v>
      </c>
      <c r="U127" s="69" t="s">
        <v>63</v>
      </c>
      <c r="V127" s="69" t="s">
        <v>64</v>
      </c>
      <c r="W127" s="69" t="s">
        <v>65</v>
      </c>
      <c r="X127" s="69" t="s">
        <v>66</v>
      </c>
      <c r="Y127" s="69" t="s">
        <v>67</v>
      </c>
      <c r="Z127" s="69" t="s">
        <v>68</v>
      </c>
      <c r="AA127" s="69" t="s">
        <v>69</v>
      </c>
      <c r="AB127" s="69" t="s">
        <v>70</v>
      </c>
      <c r="AC127" s="69" t="s">
        <v>71</v>
      </c>
      <c r="AD127" s="69" t="s">
        <v>72</v>
      </c>
      <c r="AE127" s="69" t="s">
        <v>73</v>
      </c>
      <c r="AF127" s="69" t="s">
        <v>74</v>
      </c>
      <c r="AG127" s="69" t="s">
        <v>75</v>
      </c>
      <c r="AH127" s="63"/>
    </row>
    <row r="128" spans="1:34" hidden="1" outlineLevel="1" x14ac:dyDescent="0.35">
      <c r="A128" s="63"/>
      <c r="B128" s="105" t="s">
        <v>147</v>
      </c>
      <c r="C128" s="105"/>
      <c r="D128" s="105"/>
      <c r="E128" s="105"/>
      <c r="F128" s="105"/>
      <c r="G128" s="105"/>
      <c r="H128" s="106"/>
      <c r="I128" s="102">
        <f>$D$122*$D$123*$D$124</f>
        <v>178212.43263263837</v>
      </c>
      <c r="J128" s="102">
        <f t="shared" ref="J128:AG128" si="27">$D$122*$D$123*$D$124</f>
        <v>178212.43263263837</v>
      </c>
      <c r="K128" s="102">
        <f t="shared" si="27"/>
        <v>178212.43263263837</v>
      </c>
      <c r="L128" s="102">
        <f t="shared" si="27"/>
        <v>178212.43263263837</v>
      </c>
      <c r="M128" s="102">
        <f t="shared" si="27"/>
        <v>178212.43263263837</v>
      </c>
      <c r="N128" s="102">
        <f t="shared" si="27"/>
        <v>178212.43263263837</v>
      </c>
      <c r="O128" s="102">
        <f t="shared" si="27"/>
        <v>178212.43263263837</v>
      </c>
      <c r="P128" s="102">
        <f t="shared" si="27"/>
        <v>178212.43263263837</v>
      </c>
      <c r="Q128" s="102">
        <f t="shared" si="27"/>
        <v>178212.43263263837</v>
      </c>
      <c r="R128" s="102">
        <f t="shared" si="27"/>
        <v>178212.43263263837</v>
      </c>
      <c r="S128" s="102">
        <f t="shared" si="27"/>
        <v>178212.43263263837</v>
      </c>
      <c r="T128" s="102">
        <f t="shared" si="27"/>
        <v>178212.43263263837</v>
      </c>
      <c r="U128" s="102">
        <f t="shared" si="27"/>
        <v>178212.43263263837</v>
      </c>
      <c r="V128" s="102">
        <f t="shared" si="27"/>
        <v>178212.43263263837</v>
      </c>
      <c r="W128" s="102">
        <f t="shared" si="27"/>
        <v>178212.43263263837</v>
      </c>
      <c r="X128" s="102">
        <f t="shared" si="27"/>
        <v>178212.43263263837</v>
      </c>
      <c r="Y128" s="102">
        <f t="shared" si="27"/>
        <v>178212.43263263837</v>
      </c>
      <c r="Z128" s="102">
        <f t="shared" si="27"/>
        <v>178212.43263263837</v>
      </c>
      <c r="AA128" s="102">
        <f t="shared" si="27"/>
        <v>178212.43263263837</v>
      </c>
      <c r="AB128" s="102">
        <f t="shared" si="27"/>
        <v>178212.43263263837</v>
      </c>
      <c r="AC128" s="102">
        <f t="shared" si="27"/>
        <v>178212.43263263837</v>
      </c>
      <c r="AD128" s="102">
        <f t="shared" si="27"/>
        <v>178212.43263263837</v>
      </c>
      <c r="AE128" s="102">
        <f t="shared" si="27"/>
        <v>178212.43263263837</v>
      </c>
      <c r="AF128" s="102">
        <f t="shared" si="27"/>
        <v>178212.43263263837</v>
      </c>
      <c r="AG128" s="102">
        <f t="shared" si="27"/>
        <v>178212.43263263837</v>
      </c>
      <c r="AH128" s="63"/>
    </row>
    <row r="129" spans="1:34" hidden="1" outlineLevel="1" x14ac:dyDescent="0.35">
      <c r="A129" s="63"/>
      <c r="B129" s="105" t="s">
        <v>223</v>
      </c>
      <c r="C129" s="105"/>
      <c r="D129" s="105"/>
      <c r="E129" s="105"/>
      <c r="F129" s="105"/>
      <c r="G129" s="105"/>
      <c r="H129" s="106"/>
      <c r="I129" s="102">
        <f>$D$125*$D$124</f>
        <v>2800</v>
      </c>
      <c r="J129" s="102">
        <f t="shared" ref="J129:AG129" si="28">$D$125*$D$124</f>
        <v>2800</v>
      </c>
      <c r="K129" s="102">
        <f t="shared" si="28"/>
        <v>2800</v>
      </c>
      <c r="L129" s="102">
        <f t="shared" si="28"/>
        <v>2800</v>
      </c>
      <c r="M129" s="102">
        <f t="shared" si="28"/>
        <v>2800</v>
      </c>
      <c r="N129" s="102">
        <f t="shared" si="28"/>
        <v>2800</v>
      </c>
      <c r="O129" s="102">
        <f t="shared" si="28"/>
        <v>2800</v>
      </c>
      <c r="P129" s="102">
        <f t="shared" si="28"/>
        <v>2800</v>
      </c>
      <c r="Q129" s="102">
        <f t="shared" si="28"/>
        <v>2800</v>
      </c>
      <c r="R129" s="102">
        <f t="shared" si="28"/>
        <v>2800</v>
      </c>
      <c r="S129" s="102">
        <f t="shared" si="28"/>
        <v>2800</v>
      </c>
      <c r="T129" s="102">
        <f t="shared" si="28"/>
        <v>2800</v>
      </c>
      <c r="U129" s="102">
        <f t="shared" si="28"/>
        <v>2800</v>
      </c>
      <c r="V129" s="102">
        <f t="shared" si="28"/>
        <v>2800</v>
      </c>
      <c r="W129" s="102">
        <f t="shared" si="28"/>
        <v>2800</v>
      </c>
      <c r="X129" s="102">
        <f t="shared" si="28"/>
        <v>2800</v>
      </c>
      <c r="Y129" s="102">
        <f t="shared" si="28"/>
        <v>2800</v>
      </c>
      <c r="Z129" s="102">
        <f t="shared" si="28"/>
        <v>2800</v>
      </c>
      <c r="AA129" s="102">
        <f t="shared" si="28"/>
        <v>2800</v>
      </c>
      <c r="AB129" s="102">
        <f t="shared" si="28"/>
        <v>2800</v>
      </c>
      <c r="AC129" s="102">
        <f t="shared" si="28"/>
        <v>2800</v>
      </c>
      <c r="AD129" s="102">
        <f t="shared" si="28"/>
        <v>2800</v>
      </c>
      <c r="AE129" s="102">
        <f t="shared" si="28"/>
        <v>2800</v>
      </c>
      <c r="AF129" s="102">
        <f t="shared" si="28"/>
        <v>2800</v>
      </c>
      <c r="AG129" s="102">
        <f t="shared" si="28"/>
        <v>2800</v>
      </c>
      <c r="AH129" s="63"/>
    </row>
    <row r="130" spans="1:34" hidden="1" outlineLevel="1" x14ac:dyDescent="0.35">
      <c r="A130" s="63"/>
      <c r="B130" s="108" t="str">
        <f>B121</f>
        <v>Death or serious injury due to movement of vehicles in confined space</v>
      </c>
      <c r="C130" s="108"/>
      <c r="D130" s="108"/>
      <c r="E130" s="108"/>
      <c r="F130" s="108"/>
      <c r="G130" s="108"/>
      <c r="H130" s="109"/>
      <c r="I130" s="110">
        <f t="shared" ref="I130:AG130" si="29">SUM(I128:I129)</f>
        <v>181012.43263263837</v>
      </c>
      <c r="J130" s="110">
        <f t="shared" si="29"/>
        <v>181012.43263263837</v>
      </c>
      <c r="K130" s="110">
        <f t="shared" si="29"/>
        <v>181012.43263263837</v>
      </c>
      <c r="L130" s="110">
        <f t="shared" si="29"/>
        <v>181012.43263263837</v>
      </c>
      <c r="M130" s="110">
        <f t="shared" si="29"/>
        <v>181012.43263263837</v>
      </c>
      <c r="N130" s="110">
        <f t="shared" si="29"/>
        <v>181012.43263263837</v>
      </c>
      <c r="O130" s="110">
        <f t="shared" si="29"/>
        <v>181012.43263263837</v>
      </c>
      <c r="P130" s="110">
        <f t="shared" si="29"/>
        <v>181012.43263263837</v>
      </c>
      <c r="Q130" s="110">
        <f t="shared" si="29"/>
        <v>181012.43263263837</v>
      </c>
      <c r="R130" s="110">
        <f t="shared" si="29"/>
        <v>181012.43263263837</v>
      </c>
      <c r="S130" s="110">
        <f t="shared" si="29"/>
        <v>181012.43263263837</v>
      </c>
      <c r="T130" s="110">
        <f t="shared" si="29"/>
        <v>181012.43263263837</v>
      </c>
      <c r="U130" s="110">
        <f t="shared" si="29"/>
        <v>181012.43263263837</v>
      </c>
      <c r="V130" s="110">
        <f t="shared" si="29"/>
        <v>181012.43263263837</v>
      </c>
      <c r="W130" s="110">
        <f t="shared" si="29"/>
        <v>181012.43263263837</v>
      </c>
      <c r="X130" s="110">
        <f t="shared" si="29"/>
        <v>181012.43263263837</v>
      </c>
      <c r="Y130" s="110">
        <f t="shared" si="29"/>
        <v>181012.43263263837</v>
      </c>
      <c r="Z130" s="110">
        <f t="shared" si="29"/>
        <v>181012.43263263837</v>
      </c>
      <c r="AA130" s="110">
        <f t="shared" si="29"/>
        <v>181012.43263263837</v>
      </c>
      <c r="AB130" s="110">
        <f t="shared" si="29"/>
        <v>181012.43263263837</v>
      </c>
      <c r="AC130" s="110">
        <f t="shared" si="29"/>
        <v>181012.43263263837</v>
      </c>
      <c r="AD130" s="110">
        <f t="shared" si="29"/>
        <v>181012.43263263837</v>
      </c>
      <c r="AE130" s="110">
        <f t="shared" si="29"/>
        <v>181012.43263263837</v>
      </c>
      <c r="AF130" s="110">
        <f t="shared" si="29"/>
        <v>181012.43263263837</v>
      </c>
      <c r="AG130" s="110">
        <f t="shared" si="29"/>
        <v>181012.43263263837</v>
      </c>
      <c r="AH130" s="63"/>
    </row>
    <row r="131" spans="1:34" hidden="1" outlineLevel="1" x14ac:dyDescent="0.35"/>
    <row r="132" spans="1:34" hidden="1" outlineLevel="1" x14ac:dyDescent="0.35"/>
    <row r="133" spans="1:34" collapsed="1" x14ac:dyDescent="0.35">
      <c r="A133" s="63"/>
      <c r="B133" s="86"/>
      <c r="C133" s="86"/>
      <c r="D133" s="86"/>
      <c r="E133" s="86"/>
      <c r="F133" s="86"/>
      <c r="G133" s="86"/>
      <c r="H133" s="69"/>
      <c r="I133" s="69" t="s">
        <v>23</v>
      </c>
      <c r="J133" s="69" t="s">
        <v>24</v>
      </c>
      <c r="K133" s="69" t="s">
        <v>25</v>
      </c>
      <c r="L133" s="69" t="s">
        <v>26</v>
      </c>
      <c r="M133" s="69" t="s">
        <v>27</v>
      </c>
      <c r="N133" s="69" t="s">
        <v>56</v>
      </c>
      <c r="O133" s="69" t="s">
        <v>57</v>
      </c>
      <c r="P133" s="69" t="s">
        <v>58</v>
      </c>
      <c r="Q133" s="69" t="s">
        <v>59</v>
      </c>
      <c r="R133" s="69" t="s">
        <v>60</v>
      </c>
      <c r="S133" s="69" t="s">
        <v>61</v>
      </c>
      <c r="T133" s="69" t="s">
        <v>62</v>
      </c>
      <c r="U133" s="69" t="s">
        <v>63</v>
      </c>
      <c r="V133" s="69" t="s">
        <v>64</v>
      </c>
      <c r="W133" s="69" t="s">
        <v>65</v>
      </c>
      <c r="X133" s="69" t="s">
        <v>66</v>
      </c>
      <c r="Y133" s="69" t="s">
        <v>67</v>
      </c>
      <c r="Z133" s="69" t="s">
        <v>68</v>
      </c>
      <c r="AA133" s="69" t="s">
        <v>69</v>
      </c>
      <c r="AB133" s="69" t="s">
        <v>70</v>
      </c>
      <c r="AC133" s="69" t="s">
        <v>71</v>
      </c>
      <c r="AD133" s="69" t="s">
        <v>72</v>
      </c>
      <c r="AE133" s="69" t="s">
        <v>73</v>
      </c>
      <c r="AF133" s="69" t="s">
        <v>74</v>
      </c>
      <c r="AG133" s="69" t="s">
        <v>75</v>
      </c>
      <c r="AH133" s="63"/>
    </row>
    <row r="134" spans="1:34" x14ac:dyDescent="0.35">
      <c r="A134" s="63"/>
      <c r="B134" s="71" t="str">
        <f>"Total risk due to "&amp;B119</f>
        <v>Total risk due to Safety risks</v>
      </c>
      <c r="C134" s="63"/>
      <c r="D134" s="63"/>
      <c r="E134" s="63"/>
      <c r="F134" s="63"/>
      <c r="G134" s="63"/>
      <c r="H134" s="102"/>
      <c r="I134" s="102">
        <f>I130</f>
        <v>181012.43263263837</v>
      </c>
      <c r="J134" s="102">
        <f t="shared" ref="J134:AG134" si="30">J130</f>
        <v>181012.43263263837</v>
      </c>
      <c r="K134" s="102">
        <f t="shared" si="30"/>
        <v>181012.43263263837</v>
      </c>
      <c r="L134" s="102">
        <f t="shared" si="30"/>
        <v>181012.43263263837</v>
      </c>
      <c r="M134" s="102">
        <f t="shared" si="30"/>
        <v>181012.43263263837</v>
      </c>
      <c r="N134" s="102">
        <f t="shared" si="30"/>
        <v>181012.43263263837</v>
      </c>
      <c r="O134" s="102">
        <f t="shared" si="30"/>
        <v>181012.43263263837</v>
      </c>
      <c r="P134" s="102">
        <f t="shared" si="30"/>
        <v>181012.43263263837</v>
      </c>
      <c r="Q134" s="102">
        <f t="shared" si="30"/>
        <v>181012.43263263837</v>
      </c>
      <c r="R134" s="102">
        <f t="shared" si="30"/>
        <v>181012.43263263837</v>
      </c>
      <c r="S134" s="102">
        <f t="shared" si="30"/>
        <v>181012.43263263837</v>
      </c>
      <c r="T134" s="102">
        <f t="shared" si="30"/>
        <v>181012.43263263837</v>
      </c>
      <c r="U134" s="102">
        <f t="shared" si="30"/>
        <v>181012.43263263837</v>
      </c>
      <c r="V134" s="102">
        <f t="shared" si="30"/>
        <v>181012.43263263837</v>
      </c>
      <c r="W134" s="102">
        <f t="shared" si="30"/>
        <v>181012.43263263837</v>
      </c>
      <c r="X134" s="102">
        <f t="shared" si="30"/>
        <v>181012.43263263837</v>
      </c>
      <c r="Y134" s="102">
        <f t="shared" si="30"/>
        <v>181012.43263263837</v>
      </c>
      <c r="Z134" s="102">
        <f t="shared" si="30"/>
        <v>181012.43263263837</v>
      </c>
      <c r="AA134" s="102">
        <f t="shared" si="30"/>
        <v>181012.43263263837</v>
      </c>
      <c r="AB134" s="102">
        <f t="shared" si="30"/>
        <v>181012.43263263837</v>
      </c>
      <c r="AC134" s="102">
        <f t="shared" si="30"/>
        <v>181012.43263263837</v>
      </c>
      <c r="AD134" s="102">
        <f t="shared" si="30"/>
        <v>181012.43263263837</v>
      </c>
      <c r="AE134" s="102">
        <f t="shared" si="30"/>
        <v>181012.43263263837</v>
      </c>
      <c r="AF134" s="102">
        <f t="shared" si="30"/>
        <v>181012.43263263837</v>
      </c>
      <c r="AG134" s="102">
        <f t="shared" si="30"/>
        <v>181012.43263263837</v>
      </c>
      <c r="AH134" s="63"/>
    </row>
    <row r="137" spans="1:34" x14ac:dyDescent="0.35">
      <c r="A137" s="80"/>
      <c r="B137" s="78" t="s">
        <v>155</v>
      </c>
      <c r="C137" s="78"/>
      <c r="D137" s="78"/>
      <c r="E137" s="78"/>
      <c r="F137" s="78"/>
      <c r="G137" s="78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80"/>
    </row>
    <row r="138" spans="1:34" x14ac:dyDescent="0.35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</row>
    <row r="139" spans="1:34" hidden="1" outlineLevel="1" x14ac:dyDescent="0.35">
      <c r="A139" s="63"/>
      <c r="B139" s="82" t="s">
        <v>134</v>
      </c>
      <c r="C139" s="82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63"/>
    </row>
    <row r="140" spans="1:34" hidden="1" outlineLevel="1" x14ac:dyDescent="0.35">
      <c r="A140" s="63"/>
      <c r="B140" s="63" t="s">
        <v>142</v>
      </c>
      <c r="C140" s="99" t="str">
        <f>'Risk Assumptions'!F37</f>
        <v>$ June 2024</v>
      </c>
      <c r="D140" s="83">
        <f>'Risk Assumptions'!G37</f>
        <v>5940414.4210879449</v>
      </c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</row>
    <row r="141" spans="1:34" hidden="1" outlineLevel="1" x14ac:dyDescent="0.35">
      <c r="A141" s="63"/>
      <c r="B141" s="63" t="s">
        <v>137</v>
      </c>
      <c r="C141" s="99"/>
      <c r="D141" s="83">
        <f>'Risk Assumptions'!G38</f>
        <v>3</v>
      </c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</row>
    <row r="142" spans="1:34" hidden="1" outlineLevel="1" x14ac:dyDescent="0.35">
      <c r="A142" s="63"/>
      <c r="B142" s="63" t="s">
        <v>159</v>
      </c>
      <c r="C142" s="100" t="str">
        <f>'Risk Assumptions'!F44</f>
        <v>%</v>
      </c>
      <c r="D142" s="84">
        <f>'Risk Assumptions'!G44</f>
        <v>8.0000000000000002E-3</v>
      </c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</row>
    <row r="143" spans="1:34" hidden="1" outlineLevel="1" x14ac:dyDescent="0.35">
      <c r="A143" s="63"/>
      <c r="B143" s="63" t="s">
        <v>156</v>
      </c>
      <c r="C143" s="99" t="str">
        <f>'Risk Assumptions'!F35</f>
        <v>$ June 2024</v>
      </c>
      <c r="D143" s="83">
        <f>'Risk Assumptions'!G35</f>
        <v>340000</v>
      </c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</row>
    <row r="144" spans="1:34" hidden="1" outlineLevel="1" x14ac:dyDescent="0.35">
      <c r="A144" s="63"/>
      <c r="B144" s="63" t="s">
        <v>157</v>
      </c>
      <c r="C144" s="99" t="str">
        <f>'Risk Assumptions'!F42</f>
        <v>$ June 2024</v>
      </c>
      <c r="D144" s="83">
        <f>'Risk Assumptions'!G42</f>
        <v>570000</v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</row>
    <row r="145" spans="1:34" hidden="1" outlineLevel="1" x14ac:dyDescent="0.35">
      <c r="A145" s="63"/>
      <c r="B145" s="63" t="s">
        <v>158</v>
      </c>
      <c r="C145" s="100" t="str">
        <f>'Risk Assumptions'!F30</f>
        <v>#</v>
      </c>
      <c r="D145" s="97">
        <f>'Risk Assumptions'!G30</f>
        <v>2</v>
      </c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</row>
    <row r="146" spans="1:34" hidden="1" outlineLevel="1" x14ac:dyDescent="0.3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</row>
    <row r="147" spans="1:34" hidden="1" outlineLevel="1" x14ac:dyDescent="0.35">
      <c r="A147" s="63"/>
      <c r="B147" s="86"/>
      <c r="C147" s="86"/>
      <c r="D147" s="86"/>
      <c r="E147" s="86"/>
      <c r="F147" s="86"/>
      <c r="G147" s="86"/>
      <c r="H147" s="103" t="s">
        <v>20</v>
      </c>
      <c r="I147" s="69" t="s">
        <v>23</v>
      </c>
      <c r="J147" s="69" t="s">
        <v>24</v>
      </c>
      <c r="K147" s="69" t="s">
        <v>25</v>
      </c>
      <c r="L147" s="69" t="s">
        <v>26</v>
      </c>
      <c r="M147" s="69" t="s">
        <v>27</v>
      </c>
      <c r="N147" s="69" t="s">
        <v>56</v>
      </c>
      <c r="O147" s="69" t="s">
        <v>57</v>
      </c>
      <c r="P147" s="69" t="s">
        <v>58</v>
      </c>
      <c r="Q147" s="69" t="s">
        <v>59</v>
      </c>
      <c r="R147" s="69" t="s">
        <v>60</v>
      </c>
      <c r="S147" s="69" t="s">
        <v>61</v>
      </c>
      <c r="T147" s="69" t="s">
        <v>62</v>
      </c>
      <c r="U147" s="69" t="s">
        <v>63</v>
      </c>
      <c r="V147" s="69" t="s">
        <v>64</v>
      </c>
      <c r="W147" s="69" t="s">
        <v>65</v>
      </c>
      <c r="X147" s="69" t="s">
        <v>66</v>
      </c>
      <c r="Y147" s="69" t="s">
        <v>67</v>
      </c>
      <c r="Z147" s="69" t="s">
        <v>68</v>
      </c>
      <c r="AA147" s="69" t="s">
        <v>69</v>
      </c>
      <c r="AB147" s="69" t="s">
        <v>70</v>
      </c>
      <c r="AC147" s="69" t="s">
        <v>71</v>
      </c>
      <c r="AD147" s="69" t="s">
        <v>72</v>
      </c>
      <c r="AE147" s="69" t="s">
        <v>73</v>
      </c>
      <c r="AF147" s="69" t="s">
        <v>74</v>
      </c>
      <c r="AG147" s="69" t="s">
        <v>75</v>
      </c>
      <c r="AH147" s="63"/>
    </row>
    <row r="148" spans="1:34" hidden="1" outlineLevel="1" x14ac:dyDescent="0.35">
      <c r="A148" s="63"/>
      <c r="B148" s="105" t="s">
        <v>147</v>
      </c>
      <c r="C148" s="105"/>
      <c r="D148" s="105"/>
      <c r="E148" s="105"/>
      <c r="F148" s="105"/>
      <c r="G148" s="105"/>
      <c r="H148" s="106"/>
      <c r="I148" s="102">
        <f>$D140*$D141*$D142*$D145</f>
        <v>285139.8922122214</v>
      </c>
      <c r="J148" s="102">
        <f t="shared" ref="J148:AG148" si="31">$D140*$D141*$D142*$D145</f>
        <v>285139.8922122214</v>
      </c>
      <c r="K148" s="102">
        <f t="shared" si="31"/>
        <v>285139.8922122214</v>
      </c>
      <c r="L148" s="102">
        <f t="shared" si="31"/>
        <v>285139.8922122214</v>
      </c>
      <c r="M148" s="102">
        <f t="shared" si="31"/>
        <v>285139.8922122214</v>
      </c>
      <c r="N148" s="102">
        <f t="shared" si="31"/>
        <v>285139.8922122214</v>
      </c>
      <c r="O148" s="102">
        <f t="shared" si="31"/>
        <v>285139.8922122214</v>
      </c>
      <c r="P148" s="102">
        <f t="shared" si="31"/>
        <v>285139.8922122214</v>
      </c>
      <c r="Q148" s="102">
        <f t="shared" si="31"/>
        <v>285139.8922122214</v>
      </c>
      <c r="R148" s="102">
        <f t="shared" si="31"/>
        <v>285139.8922122214</v>
      </c>
      <c r="S148" s="102">
        <f t="shared" si="31"/>
        <v>285139.8922122214</v>
      </c>
      <c r="T148" s="102">
        <f t="shared" si="31"/>
        <v>285139.8922122214</v>
      </c>
      <c r="U148" s="102">
        <f t="shared" si="31"/>
        <v>285139.8922122214</v>
      </c>
      <c r="V148" s="102">
        <f t="shared" si="31"/>
        <v>285139.8922122214</v>
      </c>
      <c r="W148" s="102">
        <f t="shared" si="31"/>
        <v>285139.8922122214</v>
      </c>
      <c r="X148" s="102">
        <f t="shared" si="31"/>
        <v>285139.8922122214</v>
      </c>
      <c r="Y148" s="102">
        <f t="shared" si="31"/>
        <v>285139.8922122214</v>
      </c>
      <c r="Z148" s="102">
        <f t="shared" si="31"/>
        <v>285139.8922122214</v>
      </c>
      <c r="AA148" s="102">
        <f t="shared" si="31"/>
        <v>285139.8922122214</v>
      </c>
      <c r="AB148" s="102">
        <f t="shared" si="31"/>
        <v>285139.8922122214</v>
      </c>
      <c r="AC148" s="102">
        <f t="shared" si="31"/>
        <v>285139.8922122214</v>
      </c>
      <c r="AD148" s="102">
        <f t="shared" si="31"/>
        <v>285139.8922122214</v>
      </c>
      <c r="AE148" s="102">
        <f t="shared" si="31"/>
        <v>285139.8922122214</v>
      </c>
      <c r="AF148" s="102">
        <f t="shared" si="31"/>
        <v>285139.8922122214</v>
      </c>
      <c r="AG148" s="102">
        <f t="shared" si="31"/>
        <v>285139.8922122214</v>
      </c>
      <c r="AH148" s="63"/>
    </row>
    <row r="149" spans="1:34" hidden="1" outlineLevel="1" x14ac:dyDescent="0.35">
      <c r="A149" s="63"/>
      <c r="B149" s="105" t="s">
        <v>156</v>
      </c>
      <c r="C149" s="105"/>
      <c r="D149" s="105"/>
      <c r="E149" s="105"/>
      <c r="F149" s="105"/>
      <c r="G149" s="105"/>
      <c r="H149" s="106"/>
      <c r="I149" s="102">
        <f>$D143*$D142*$D145</f>
        <v>5440</v>
      </c>
      <c r="J149" s="102">
        <f t="shared" ref="J149:AG149" si="32">$D143*$D142*$D145</f>
        <v>5440</v>
      </c>
      <c r="K149" s="102">
        <f t="shared" si="32"/>
        <v>5440</v>
      </c>
      <c r="L149" s="102">
        <f t="shared" si="32"/>
        <v>5440</v>
      </c>
      <c r="M149" s="102">
        <f t="shared" si="32"/>
        <v>5440</v>
      </c>
      <c r="N149" s="102">
        <f t="shared" si="32"/>
        <v>5440</v>
      </c>
      <c r="O149" s="102">
        <f t="shared" si="32"/>
        <v>5440</v>
      </c>
      <c r="P149" s="102">
        <f t="shared" si="32"/>
        <v>5440</v>
      </c>
      <c r="Q149" s="102">
        <f t="shared" si="32"/>
        <v>5440</v>
      </c>
      <c r="R149" s="102">
        <f t="shared" si="32"/>
        <v>5440</v>
      </c>
      <c r="S149" s="102">
        <f t="shared" si="32"/>
        <v>5440</v>
      </c>
      <c r="T149" s="102">
        <f t="shared" si="32"/>
        <v>5440</v>
      </c>
      <c r="U149" s="102">
        <f t="shared" si="32"/>
        <v>5440</v>
      </c>
      <c r="V149" s="102">
        <f t="shared" si="32"/>
        <v>5440</v>
      </c>
      <c r="W149" s="102">
        <f t="shared" si="32"/>
        <v>5440</v>
      </c>
      <c r="X149" s="102">
        <f t="shared" si="32"/>
        <v>5440</v>
      </c>
      <c r="Y149" s="102">
        <f t="shared" si="32"/>
        <v>5440</v>
      </c>
      <c r="Z149" s="102">
        <f t="shared" si="32"/>
        <v>5440</v>
      </c>
      <c r="AA149" s="102">
        <f t="shared" si="32"/>
        <v>5440</v>
      </c>
      <c r="AB149" s="102">
        <f t="shared" si="32"/>
        <v>5440</v>
      </c>
      <c r="AC149" s="102">
        <f t="shared" si="32"/>
        <v>5440</v>
      </c>
      <c r="AD149" s="102">
        <f t="shared" si="32"/>
        <v>5440</v>
      </c>
      <c r="AE149" s="102">
        <f t="shared" si="32"/>
        <v>5440</v>
      </c>
      <c r="AF149" s="102">
        <f t="shared" si="32"/>
        <v>5440</v>
      </c>
      <c r="AG149" s="102">
        <f t="shared" si="32"/>
        <v>5440</v>
      </c>
      <c r="AH149" s="63"/>
    </row>
    <row r="150" spans="1:34" hidden="1" outlineLevel="1" x14ac:dyDescent="0.35">
      <c r="A150" s="63"/>
      <c r="B150" s="105" t="s">
        <v>167</v>
      </c>
      <c r="C150" s="105"/>
      <c r="D150" s="105"/>
      <c r="E150" s="105"/>
      <c r="F150" s="105"/>
      <c r="G150" s="105"/>
      <c r="H150" s="106"/>
      <c r="I150" s="102">
        <f>$D144*$D142*$D145</f>
        <v>9120</v>
      </c>
      <c r="J150" s="102">
        <f t="shared" ref="J150:AG150" si="33">$D144*$D142*$D145</f>
        <v>9120</v>
      </c>
      <c r="K150" s="102">
        <f t="shared" si="33"/>
        <v>9120</v>
      </c>
      <c r="L150" s="102">
        <f t="shared" si="33"/>
        <v>9120</v>
      </c>
      <c r="M150" s="102">
        <f t="shared" si="33"/>
        <v>9120</v>
      </c>
      <c r="N150" s="102">
        <f t="shared" si="33"/>
        <v>9120</v>
      </c>
      <c r="O150" s="102">
        <f t="shared" si="33"/>
        <v>9120</v>
      </c>
      <c r="P150" s="102">
        <f t="shared" si="33"/>
        <v>9120</v>
      </c>
      <c r="Q150" s="102">
        <f t="shared" si="33"/>
        <v>9120</v>
      </c>
      <c r="R150" s="102">
        <f t="shared" si="33"/>
        <v>9120</v>
      </c>
      <c r="S150" s="102">
        <f t="shared" si="33"/>
        <v>9120</v>
      </c>
      <c r="T150" s="102">
        <f t="shared" si="33"/>
        <v>9120</v>
      </c>
      <c r="U150" s="102">
        <f t="shared" si="33"/>
        <v>9120</v>
      </c>
      <c r="V150" s="102">
        <f t="shared" si="33"/>
        <v>9120</v>
      </c>
      <c r="W150" s="102">
        <f t="shared" si="33"/>
        <v>9120</v>
      </c>
      <c r="X150" s="102">
        <f t="shared" si="33"/>
        <v>9120</v>
      </c>
      <c r="Y150" s="102">
        <f t="shared" si="33"/>
        <v>9120</v>
      </c>
      <c r="Z150" s="102">
        <f t="shared" si="33"/>
        <v>9120</v>
      </c>
      <c r="AA150" s="102">
        <f t="shared" si="33"/>
        <v>9120</v>
      </c>
      <c r="AB150" s="102">
        <f t="shared" si="33"/>
        <v>9120</v>
      </c>
      <c r="AC150" s="102">
        <f t="shared" si="33"/>
        <v>9120</v>
      </c>
      <c r="AD150" s="102">
        <f t="shared" si="33"/>
        <v>9120</v>
      </c>
      <c r="AE150" s="102">
        <f t="shared" si="33"/>
        <v>9120</v>
      </c>
      <c r="AF150" s="102">
        <f t="shared" si="33"/>
        <v>9120</v>
      </c>
      <c r="AG150" s="102">
        <f t="shared" si="33"/>
        <v>9120</v>
      </c>
      <c r="AH150" s="63"/>
    </row>
    <row r="151" spans="1:34" hidden="1" outlineLevel="1" x14ac:dyDescent="0.35">
      <c r="A151" s="63"/>
      <c r="B151" s="108" t="str">
        <f>B139</f>
        <v>Death or serious injury caused by structural failure</v>
      </c>
      <c r="C151" s="108"/>
      <c r="D151" s="108"/>
      <c r="E151" s="108"/>
      <c r="F151" s="108"/>
      <c r="G151" s="108"/>
      <c r="H151" s="109"/>
      <c r="I151" s="110">
        <f>SUM(I148:I150)</f>
        <v>299699.8922122214</v>
      </c>
      <c r="J151" s="110">
        <f t="shared" ref="J151" si="34">SUM(J148:J150)</f>
        <v>299699.8922122214</v>
      </c>
      <c r="K151" s="110">
        <f t="shared" ref="K151" si="35">SUM(K148:K150)</f>
        <v>299699.8922122214</v>
      </c>
      <c r="L151" s="110">
        <f t="shared" ref="L151" si="36">SUM(L148:L150)</f>
        <v>299699.8922122214</v>
      </c>
      <c r="M151" s="110">
        <f t="shared" ref="M151" si="37">SUM(M148:M150)</f>
        <v>299699.8922122214</v>
      </c>
      <c r="N151" s="110">
        <f t="shared" ref="N151" si="38">SUM(N148:N150)</f>
        <v>299699.8922122214</v>
      </c>
      <c r="O151" s="110">
        <f t="shared" ref="O151" si="39">SUM(O148:O150)</f>
        <v>299699.8922122214</v>
      </c>
      <c r="P151" s="110">
        <f t="shared" ref="P151" si="40">SUM(P148:P150)</f>
        <v>299699.8922122214</v>
      </c>
      <c r="Q151" s="110">
        <f t="shared" ref="Q151" si="41">SUM(Q148:Q150)</f>
        <v>299699.8922122214</v>
      </c>
      <c r="R151" s="110">
        <f t="shared" ref="R151" si="42">SUM(R148:R150)</f>
        <v>299699.8922122214</v>
      </c>
      <c r="S151" s="110">
        <f t="shared" ref="S151" si="43">SUM(S148:S150)</f>
        <v>299699.8922122214</v>
      </c>
      <c r="T151" s="110">
        <f t="shared" ref="T151" si="44">SUM(T148:T150)</f>
        <v>299699.8922122214</v>
      </c>
      <c r="U151" s="110">
        <f t="shared" ref="U151" si="45">SUM(U148:U150)</f>
        <v>299699.8922122214</v>
      </c>
      <c r="V151" s="110">
        <f t="shared" ref="V151" si="46">SUM(V148:V150)</f>
        <v>299699.8922122214</v>
      </c>
      <c r="W151" s="110">
        <f t="shared" ref="W151" si="47">SUM(W148:W150)</f>
        <v>299699.8922122214</v>
      </c>
      <c r="X151" s="110">
        <f t="shared" ref="X151" si="48">SUM(X148:X150)</f>
        <v>299699.8922122214</v>
      </c>
      <c r="Y151" s="110">
        <f t="shared" ref="Y151" si="49">SUM(Y148:Y150)</f>
        <v>299699.8922122214</v>
      </c>
      <c r="Z151" s="110">
        <f t="shared" ref="Z151" si="50">SUM(Z148:Z150)</f>
        <v>299699.8922122214</v>
      </c>
      <c r="AA151" s="110">
        <f t="shared" ref="AA151" si="51">SUM(AA148:AA150)</f>
        <v>299699.8922122214</v>
      </c>
      <c r="AB151" s="110">
        <f t="shared" ref="AB151" si="52">SUM(AB148:AB150)</f>
        <v>299699.8922122214</v>
      </c>
      <c r="AC151" s="110">
        <f t="shared" ref="AC151" si="53">SUM(AC148:AC150)</f>
        <v>299699.8922122214</v>
      </c>
      <c r="AD151" s="110">
        <f t="shared" ref="AD151" si="54">SUM(AD148:AD150)</f>
        <v>299699.8922122214</v>
      </c>
      <c r="AE151" s="110">
        <f t="shared" ref="AE151" si="55">SUM(AE148:AE150)</f>
        <v>299699.8922122214</v>
      </c>
      <c r="AF151" s="110">
        <f t="shared" ref="AF151" si="56">SUM(AF148:AF150)</f>
        <v>299699.8922122214</v>
      </c>
      <c r="AG151" s="110">
        <f t="shared" ref="AG151" si="57">SUM(AG148:AG150)</f>
        <v>299699.8922122214</v>
      </c>
      <c r="AH151" s="63"/>
    </row>
    <row r="152" spans="1:34" hidden="1" outlineLevel="1" x14ac:dyDescent="0.35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</row>
    <row r="153" spans="1:34" hidden="1" outlineLevel="1" x14ac:dyDescent="0.35">
      <c r="A153" s="63"/>
      <c r="B153" s="82" t="s">
        <v>169</v>
      </c>
      <c r="C153" s="82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63"/>
    </row>
    <row r="154" spans="1:34" hidden="1" outlineLevel="1" x14ac:dyDescent="0.35">
      <c r="A154" s="63"/>
      <c r="B154" s="63" t="s">
        <v>170</v>
      </c>
      <c r="C154" s="99" t="str">
        <f>'Risk Assumptions'!F45</f>
        <v>#</v>
      </c>
      <c r="D154" s="83">
        <f>'Risk Assumptions'!G45</f>
        <v>8.1428571428571423</v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</row>
    <row r="155" spans="1:34" hidden="1" outlineLevel="1" x14ac:dyDescent="0.35">
      <c r="A155" s="63"/>
      <c r="B155" s="63" t="s">
        <v>171</v>
      </c>
      <c r="C155" s="99" t="str">
        <f>'Risk Assumptions'!F46</f>
        <v>$ June 2024</v>
      </c>
      <c r="D155" s="83">
        <f>'Risk Assumptions'!G46</f>
        <v>15000</v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</row>
    <row r="156" spans="1:34" hidden="1" outlineLevel="1" x14ac:dyDescent="0.35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</row>
    <row r="157" spans="1:34" hidden="1" outlineLevel="1" x14ac:dyDescent="0.35">
      <c r="A157" s="63"/>
      <c r="B157" s="86"/>
      <c r="C157" s="86"/>
      <c r="D157" s="86"/>
      <c r="E157" s="86"/>
      <c r="F157" s="86"/>
      <c r="G157" s="86"/>
      <c r="H157" s="103" t="s">
        <v>20</v>
      </c>
      <c r="I157" s="69" t="s">
        <v>23</v>
      </c>
      <c r="J157" s="69" t="s">
        <v>24</v>
      </c>
      <c r="K157" s="69" t="s">
        <v>25</v>
      </c>
      <c r="L157" s="69" t="s">
        <v>26</v>
      </c>
      <c r="M157" s="69" t="s">
        <v>27</v>
      </c>
      <c r="N157" s="69" t="s">
        <v>56</v>
      </c>
      <c r="O157" s="69" t="s">
        <v>57</v>
      </c>
      <c r="P157" s="69" t="s">
        <v>58</v>
      </c>
      <c r="Q157" s="69" t="s">
        <v>59</v>
      </c>
      <c r="R157" s="69" t="s">
        <v>60</v>
      </c>
      <c r="S157" s="69" t="s">
        <v>61</v>
      </c>
      <c r="T157" s="69" t="s">
        <v>62</v>
      </c>
      <c r="U157" s="69" t="s">
        <v>63</v>
      </c>
      <c r="V157" s="69" t="s">
        <v>64</v>
      </c>
      <c r="W157" s="69" t="s">
        <v>65</v>
      </c>
      <c r="X157" s="69" t="s">
        <v>66</v>
      </c>
      <c r="Y157" s="69" t="s">
        <v>67</v>
      </c>
      <c r="Z157" s="69" t="s">
        <v>68</v>
      </c>
      <c r="AA157" s="69" t="s">
        <v>69</v>
      </c>
      <c r="AB157" s="69" t="s">
        <v>70</v>
      </c>
      <c r="AC157" s="69" t="s">
        <v>71</v>
      </c>
      <c r="AD157" s="69" t="s">
        <v>72</v>
      </c>
      <c r="AE157" s="69" t="s">
        <v>73</v>
      </c>
      <c r="AF157" s="69" t="s">
        <v>74</v>
      </c>
      <c r="AG157" s="69" t="s">
        <v>75</v>
      </c>
      <c r="AH157" s="63"/>
    </row>
    <row r="158" spans="1:34" hidden="1" outlineLevel="1" x14ac:dyDescent="0.35">
      <c r="A158" s="63"/>
      <c r="B158" s="63" t="str">
        <f>B153</f>
        <v>Copper theft</v>
      </c>
      <c r="C158" s="63"/>
      <c r="D158" s="63"/>
      <c r="E158" s="63"/>
      <c r="F158" s="63"/>
      <c r="G158" s="63"/>
      <c r="H158" s="104"/>
      <c r="I158" s="102">
        <f>$D154*$D155</f>
        <v>122142.85714285713</v>
      </c>
      <c r="J158" s="102">
        <f t="shared" ref="J158:AG158" si="58">$D154*$D155</f>
        <v>122142.85714285713</v>
      </c>
      <c r="K158" s="102">
        <f t="shared" si="58"/>
        <v>122142.85714285713</v>
      </c>
      <c r="L158" s="102">
        <f t="shared" si="58"/>
        <v>122142.85714285713</v>
      </c>
      <c r="M158" s="102">
        <f t="shared" si="58"/>
        <v>122142.85714285713</v>
      </c>
      <c r="N158" s="102">
        <f t="shared" si="58"/>
        <v>122142.85714285713</v>
      </c>
      <c r="O158" s="102">
        <f t="shared" si="58"/>
        <v>122142.85714285713</v>
      </c>
      <c r="P158" s="102">
        <f t="shared" si="58"/>
        <v>122142.85714285713</v>
      </c>
      <c r="Q158" s="102">
        <f t="shared" si="58"/>
        <v>122142.85714285713</v>
      </c>
      <c r="R158" s="102">
        <f t="shared" si="58"/>
        <v>122142.85714285713</v>
      </c>
      <c r="S158" s="102">
        <f t="shared" si="58"/>
        <v>122142.85714285713</v>
      </c>
      <c r="T158" s="102">
        <f t="shared" si="58"/>
        <v>122142.85714285713</v>
      </c>
      <c r="U158" s="102">
        <f t="shared" si="58"/>
        <v>122142.85714285713</v>
      </c>
      <c r="V158" s="102">
        <f t="shared" si="58"/>
        <v>122142.85714285713</v>
      </c>
      <c r="W158" s="102">
        <f t="shared" si="58"/>
        <v>122142.85714285713</v>
      </c>
      <c r="X158" s="102">
        <f t="shared" si="58"/>
        <v>122142.85714285713</v>
      </c>
      <c r="Y158" s="102">
        <f t="shared" si="58"/>
        <v>122142.85714285713</v>
      </c>
      <c r="Z158" s="102">
        <f t="shared" si="58"/>
        <v>122142.85714285713</v>
      </c>
      <c r="AA158" s="102">
        <f t="shared" si="58"/>
        <v>122142.85714285713</v>
      </c>
      <c r="AB158" s="102">
        <f t="shared" si="58"/>
        <v>122142.85714285713</v>
      </c>
      <c r="AC158" s="102">
        <f t="shared" si="58"/>
        <v>122142.85714285713</v>
      </c>
      <c r="AD158" s="102">
        <f t="shared" si="58"/>
        <v>122142.85714285713</v>
      </c>
      <c r="AE158" s="102">
        <f t="shared" si="58"/>
        <v>122142.85714285713</v>
      </c>
      <c r="AF158" s="102">
        <f t="shared" si="58"/>
        <v>122142.85714285713</v>
      </c>
      <c r="AG158" s="102">
        <f t="shared" si="58"/>
        <v>122142.85714285713</v>
      </c>
      <c r="AH158" s="63"/>
    </row>
    <row r="159" spans="1:34" hidden="1" outlineLevel="1" x14ac:dyDescent="0.35"/>
    <row r="160" spans="1:34" hidden="1" outlineLevel="1" x14ac:dyDescent="0.35"/>
    <row r="161" spans="1:34" collapsed="1" x14ac:dyDescent="0.35">
      <c r="A161" s="63"/>
      <c r="B161" s="86"/>
      <c r="C161" s="86"/>
      <c r="D161" s="86"/>
      <c r="E161" s="86"/>
      <c r="F161" s="86"/>
      <c r="G161" s="86"/>
      <c r="H161" s="69"/>
      <c r="I161" s="69" t="s">
        <v>23</v>
      </c>
      <c r="J161" s="69" t="s">
        <v>24</v>
      </c>
      <c r="K161" s="69" t="s">
        <v>25</v>
      </c>
      <c r="L161" s="69" t="s">
        <v>26</v>
      </c>
      <c r="M161" s="69" t="s">
        <v>27</v>
      </c>
      <c r="N161" s="69" t="s">
        <v>56</v>
      </c>
      <c r="O161" s="69" t="s">
        <v>57</v>
      </c>
      <c r="P161" s="69" t="s">
        <v>58</v>
      </c>
      <c r="Q161" s="69" t="s">
        <v>59</v>
      </c>
      <c r="R161" s="69" t="s">
        <v>60</v>
      </c>
      <c r="S161" s="69" t="s">
        <v>61</v>
      </c>
      <c r="T161" s="69" t="s">
        <v>62</v>
      </c>
      <c r="U161" s="69" t="s">
        <v>63</v>
      </c>
      <c r="V161" s="69" t="s">
        <v>64</v>
      </c>
      <c r="W161" s="69" t="s">
        <v>65</v>
      </c>
      <c r="X161" s="69" t="s">
        <v>66</v>
      </c>
      <c r="Y161" s="69" t="s">
        <v>67</v>
      </c>
      <c r="Z161" s="69" t="s">
        <v>68</v>
      </c>
      <c r="AA161" s="69" t="s">
        <v>69</v>
      </c>
      <c r="AB161" s="69" t="s">
        <v>70</v>
      </c>
      <c r="AC161" s="69" t="s">
        <v>71</v>
      </c>
      <c r="AD161" s="69" t="s">
        <v>72</v>
      </c>
      <c r="AE161" s="69" t="s">
        <v>73</v>
      </c>
      <c r="AF161" s="69" t="s">
        <v>74</v>
      </c>
      <c r="AG161" s="69" t="s">
        <v>75</v>
      </c>
      <c r="AH161" s="63"/>
    </row>
    <row r="162" spans="1:34" x14ac:dyDescent="0.35">
      <c r="A162" s="63"/>
      <c r="B162" s="71" t="str">
        <f>"Total risk due to "&amp;B137</f>
        <v>Total risk due to Depot security</v>
      </c>
      <c r="C162" s="63"/>
      <c r="D162" s="63"/>
      <c r="E162" s="63"/>
      <c r="F162" s="63"/>
      <c r="G162" s="63"/>
      <c r="H162" s="102"/>
      <c r="I162" s="102">
        <f>I151+I158</f>
        <v>421842.74935507856</v>
      </c>
      <c r="J162" s="102">
        <f t="shared" ref="J162:AG162" si="59">J151+J158</f>
        <v>421842.74935507856</v>
      </c>
      <c r="K162" s="102">
        <f t="shared" si="59"/>
        <v>421842.74935507856</v>
      </c>
      <c r="L162" s="102">
        <f t="shared" si="59"/>
        <v>421842.74935507856</v>
      </c>
      <c r="M162" s="102">
        <f t="shared" si="59"/>
        <v>421842.74935507856</v>
      </c>
      <c r="N162" s="102">
        <f t="shared" si="59"/>
        <v>421842.74935507856</v>
      </c>
      <c r="O162" s="102">
        <f t="shared" si="59"/>
        <v>421842.74935507856</v>
      </c>
      <c r="P162" s="102">
        <f t="shared" si="59"/>
        <v>421842.74935507856</v>
      </c>
      <c r="Q162" s="102">
        <f t="shared" si="59"/>
        <v>421842.74935507856</v>
      </c>
      <c r="R162" s="102">
        <f t="shared" si="59"/>
        <v>421842.74935507856</v>
      </c>
      <c r="S162" s="102">
        <f t="shared" si="59"/>
        <v>421842.74935507856</v>
      </c>
      <c r="T162" s="102">
        <f t="shared" si="59"/>
        <v>421842.74935507856</v>
      </c>
      <c r="U162" s="102">
        <f t="shared" si="59"/>
        <v>421842.74935507856</v>
      </c>
      <c r="V162" s="102">
        <f t="shared" si="59"/>
        <v>421842.74935507856</v>
      </c>
      <c r="W162" s="102">
        <f t="shared" si="59"/>
        <v>421842.74935507856</v>
      </c>
      <c r="X162" s="102">
        <f t="shared" si="59"/>
        <v>421842.74935507856</v>
      </c>
      <c r="Y162" s="102">
        <f t="shared" si="59"/>
        <v>421842.74935507856</v>
      </c>
      <c r="Z162" s="102">
        <f t="shared" si="59"/>
        <v>421842.74935507856</v>
      </c>
      <c r="AA162" s="102">
        <f t="shared" si="59"/>
        <v>421842.74935507856</v>
      </c>
      <c r="AB162" s="102">
        <f t="shared" si="59"/>
        <v>421842.74935507856</v>
      </c>
      <c r="AC162" s="102">
        <f t="shared" si="59"/>
        <v>421842.74935507856</v>
      </c>
      <c r="AD162" s="102">
        <f t="shared" si="59"/>
        <v>421842.74935507856</v>
      </c>
      <c r="AE162" s="102">
        <f t="shared" si="59"/>
        <v>421842.74935507856</v>
      </c>
      <c r="AF162" s="102">
        <f t="shared" si="59"/>
        <v>421842.74935507856</v>
      </c>
      <c r="AG162" s="102">
        <f t="shared" si="59"/>
        <v>421842.74935507856</v>
      </c>
      <c r="AH162" s="63"/>
    </row>
    <row r="165" spans="1:34" x14ac:dyDescent="0.35">
      <c r="A165" s="80"/>
      <c r="B165" s="78" t="s">
        <v>82</v>
      </c>
      <c r="C165" s="78"/>
      <c r="D165" s="78"/>
      <c r="E165" s="78"/>
      <c r="F165" s="78"/>
      <c r="G165" s="78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80"/>
    </row>
    <row r="166" spans="1:34" x14ac:dyDescent="0.35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</row>
    <row r="167" spans="1:34" hidden="1" outlineLevel="1" x14ac:dyDescent="0.35">
      <c r="A167" s="63"/>
      <c r="B167" s="82" t="s">
        <v>172</v>
      </c>
      <c r="C167" s="82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63"/>
    </row>
    <row r="168" spans="1:34" hidden="1" outlineLevel="1" x14ac:dyDescent="0.35">
      <c r="A168" s="63"/>
      <c r="B168" s="63" t="s">
        <v>142</v>
      </c>
      <c r="C168" s="99" t="str">
        <f>'Risk Assumptions'!F37</f>
        <v>$ June 2024</v>
      </c>
      <c r="D168" s="83">
        <f>'Risk Assumptions'!G37</f>
        <v>5940414.4210879449</v>
      </c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</row>
    <row r="169" spans="1:34" hidden="1" outlineLevel="1" x14ac:dyDescent="0.35">
      <c r="A169" s="63"/>
      <c r="B169" s="63" t="s">
        <v>137</v>
      </c>
      <c r="C169" s="99"/>
      <c r="D169" s="83">
        <f>'Risk Assumptions'!G38</f>
        <v>3</v>
      </c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</row>
    <row r="170" spans="1:34" hidden="1" outlineLevel="1" x14ac:dyDescent="0.35">
      <c r="A170" s="63"/>
      <c r="B170" s="63" t="s">
        <v>151</v>
      </c>
      <c r="C170" s="100" t="str">
        <f>'Risk Assumptions'!F48</f>
        <v>%</v>
      </c>
      <c r="D170" s="84">
        <f>'Risk Assumptions'!G48</f>
        <v>2E-3</v>
      </c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</row>
    <row r="171" spans="1:34" hidden="1" outlineLevel="1" x14ac:dyDescent="0.35">
      <c r="A171" s="63"/>
      <c r="B171" s="63" t="s">
        <v>152</v>
      </c>
      <c r="C171" s="99" t="str">
        <f>'Risk Assumptions'!F49</f>
        <v>$ June 2024</v>
      </c>
      <c r="D171" s="83">
        <f>'Risk Assumptions'!G49</f>
        <v>250000</v>
      </c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</row>
    <row r="172" spans="1:34" hidden="1" outlineLevel="1" x14ac:dyDescent="0.35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</row>
    <row r="173" spans="1:34" hidden="1" outlineLevel="1" x14ac:dyDescent="0.35">
      <c r="A173" s="63"/>
      <c r="B173" s="86"/>
      <c r="C173" s="86"/>
      <c r="D173" s="86"/>
      <c r="E173" s="86"/>
      <c r="F173" s="86"/>
      <c r="G173" s="86"/>
      <c r="H173" s="103" t="s">
        <v>20</v>
      </c>
      <c r="I173" s="69" t="s">
        <v>23</v>
      </c>
      <c r="J173" s="69" t="s">
        <v>24</v>
      </c>
      <c r="K173" s="69" t="s">
        <v>25</v>
      </c>
      <c r="L173" s="69" t="s">
        <v>26</v>
      </c>
      <c r="M173" s="69" t="s">
        <v>27</v>
      </c>
      <c r="N173" s="69" t="s">
        <v>56</v>
      </c>
      <c r="O173" s="69" t="s">
        <v>57</v>
      </c>
      <c r="P173" s="69" t="s">
        <v>58</v>
      </c>
      <c r="Q173" s="69" t="s">
        <v>59</v>
      </c>
      <c r="R173" s="69" t="s">
        <v>60</v>
      </c>
      <c r="S173" s="69" t="s">
        <v>61</v>
      </c>
      <c r="T173" s="69" t="s">
        <v>62</v>
      </c>
      <c r="U173" s="69" t="s">
        <v>63</v>
      </c>
      <c r="V173" s="69" t="s">
        <v>64</v>
      </c>
      <c r="W173" s="69" t="s">
        <v>65</v>
      </c>
      <c r="X173" s="69" t="s">
        <v>66</v>
      </c>
      <c r="Y173" s="69" t="s">
        <v>67</v>
      </c>
      <c r="Z173" s="69" t="s">
        <v>68</v>
      </c>
      <c r="AA173" s="69" t="s">
        <v>69</v>
      </c>
      <c r="AB173" s="69" t="s">
        <v>70</v>
      </c>
      <c r="AC173" s="69" t="s">
        <v>71</v>
      </c>
      <c r="AD173" s="69" t="s">
        <v>72</v>
      </c>
      <c r="AE173" s="69" t="s">
        <v>73</v>
      </c>
      <c r="AF173" s="69" t="s">
        <v>74</v>
      </c>
      <c r="AG173" s="69" t="s">
        <v>75</v>
      </c>
      <c r="AH173" s="63"/>
    </row>
    <row r="174" spans="1:34" hidden="1" outlineLevel="1" x14ac:dyDescent="0.35">
      <c r="A174" s="63"/>
      <c r="B174" s="105" t="s">
        <v>147</v>
      </c>
      <c r="C174" s="105"/>
      <c r="D174" s="105"/>
      <c r="E174" s="105"/>
      <c r="F174" s="105"/>
      <c r="G174" s="105"/>
      <c r="H174" s="106"/>
      <c r="I174" s="102">
        <f>$D168*$D169*$D170</f>
        <v>35642.486526527675</v>
      </c>
      <c r="J174" s="102">
        <f t="shared" ref="J174:AG174" si="60">$D168*$D169*$D170</f>
        <v>35642.486526527675</v>
      </c>
      <c r="K174" s="102">
        <f t="shared" si="60"/>
        <v>35642.486526527675</v>
      </c>
      <c r="L174" s="102">
        <f t="shared" si="60"/>
        <v>35642.486526527675</v>
      </c>
      <c r="M174" s="102">
        <f t="shared" si="60"/>
        <v>35642.486526527675</v>
      </c>
      <c r="N174" s="102">
        <f t="shared" si="60"/>
        <v>35642.486526527675</v>
      </c>
      <c r="O174" s="102">
        <f t="shared" si="60"/>
        <v>35642.486526527675</v>
      </c>
      <c r="P174" s="102">
        <f t="shared" si="60"/>
        <v>35642.486526527675</v>
      </c>
      <c r="Q174" s="102">
        <f t="shared" si="60"/>
        <v>35642.486526527675</v>
      </c>
      <c r="R174" s="102">
        <f t="shared" si="60"/>
        <v>35642.486526527675</v>
      </c>
      <c r="S174" s="102">
        <f t="shared" si="60"/>
        <v>35642.486526527675</v>
      </c>
      <c r="T174" s="102">
        <f t="shared" si="60"/>
        <v>35642.486526527675</v>
      </c>
      <c r="U174" s="102">
        <f t="shared" si="60"/>
        <v>35642.486526527675</v>
      </c>
      <c r="V174" s="102">
        <f t="shared" si="60"/>
        <v>35642.486526527675</v>
      </c>
      <c r="W174" s="102">
        <f t="shared" si="60"/>
        <v>35642.486526527675</v>
      </c>
      <c r="X174" s="102">
        <f t="shared" si="60"/>
        <v>35642.486526527675</v>
      </c>
      <c r="Y174" s="102">
        <f t="shared" si="60"/>
        <v>35642.486526527675</v>
      </c>
      <c r="Z174" s="102">
        <f t="shared" si="60"/>
        <v>35642.486526527675</v>
      </c>
      <c r="AA174" s="102">
        <f t="shared" si="60"/>
        <v>35642.486526527675</v>
      </c>
      <c r="AB174" s="102">
        <f t="shared" si="60"/>
        <v>35642.486526527675</v>
      </c>
      <c r="AC174" s="102">
        <f t="shared" si="60"/>
        <v>35642.486526527675</v>
      </c>
      <c r="AD174" s="102">
        <f t="shared" si="60"/>
        <v>35642.486526527675</v>
      </c>
      <c r="AE174" s="102">
        <f t="shared" si="60"/>
        <v>35642.486526527675</v>
      </c>
      <c r="AF174" s="102">
        <f t="shared" si="60"/>
        <v>35642.486526527675</v>
      </c>
      <c r="AG174" s="102">
        <f t="shared" si="60"/>
        <v>35642.486526527675</v>
      </c>
      <c r="AH174" s="63"/>
    </row>
    <row r="175" spans="1:34" hidden="1" outlineLevel="1" x14ac:dyDescent="0.35">
      <c r="A175" s="63"/>
      <c r="B175" s="105" t="s">
        <v>167</v>
      </c>
      <c r="C175" s="105"/>
      <c r="D175" s="105"/>
      <c r="E175" s="105"/>
      <c r="F175" s="105"/>
      <c r="G175" s="105"/>
      <c r="H175" s="106"/>
      <c r="I175" s="102">
        <f>$D171*$D170</f>
        <v>500</v>
      </c>
      <c r="J175" s="102">
        <f t="shared" ref="J175:AG175" si="61">$D171*$D170</f>
        <v>500</v>
      </c>
      <c r="K175" s="102">
        <f t="shared" si="61"/>
        <v>500</v>
      </c>
      <c r="L175" s="102">
        <f t="shared" si="61"/>
        <v>500</v>
      </c>
      <c r="M175" s="102">
        <f t="shared" si="61"/>
        <v>500</v>
      </c>
      <c r="N175" s="102">
        <f t="shared" si="61"/>
        <v>500</v>
      </c>
      <c r="O175" s="102">
        <f t="shared" si="61"/>
        <v>500</v>
      </c>
      <c r="P175" s="102">
        <f t="shared" si="61"/>
        <v>500</v>
      </c>
      <c r="Q175" s="102">
        <f t="shared" si="61"/>
        <v>500</v>
      </c>
      <c r="R175" s="102">
        <f t="shared" si="61"/>
        <v>500</v>
      </c>
      <c r="S175" s="102">
        <f t="shared" si="61"/>
        <v>500</v>
      </c>
      <c r="T175" s="102">
        <f t="shared" si="61"/>
        <v>500</v>
      </c>
      <c r="U175" s="102">
        <f t="shared" si="61"/>
        <v>500</v>
      </c>
      <c r="V175" s="102">
        <f t="shared" si="61"/>
        <v>500</v>
      </c>
      <c r="W175" s="102">
        <f t="shared" si="61"/>
        <v>500</v>
      </c>
      <c r="X175" s="102">
        <f t="shared" si="61"/>
        <v>500</v>
      </c>
      <c r="Y175" s="102">
        <f t="shared" si="61"/>
        <v>500</v>
      </c>
      <c r="Z175" s="102">
        <f t="shared" si="61"/>
        <v>500</v>
      </c>
      <c r="AA175" s="102">
        <f t="shared" si="61"/>
        <v>500</v>
      </c>
      <c r="AB175" s="102">
        <f t="shared" si="61"/>
        <v>500</v>
      </c>
      <c r="AC175" s="102">
        <f t="shared" si="61"/>
        <v>500</v>
      </c>
      <c r="AD175" s="102">
        <f t="shared" si="61"/>
        <v>500</v>
      </c>
      <c r="AE175" s="102">
        <f t="shared" si="61"/>
        <v>500</v>
      </c>
      <c r="AF175" s="102">
        <f t="shared" si="61"/>
        <v>500</v>
      </c>
      <c r="AG175" s="102">
        <f t="shared" si="61"/>
        <v>500</v>
      </c>
      <c r="AH175" s="63"/>
    </row>
    <row r="176" spans="1:34" hidden="1" outlineLevel="1" x14ac:dyDescent="0.35">
      <c r="A176" s="63"/>
      <c r="B176" s="108" t="str">
        <f>B167</f>
        <v>Death or serious injury due to external storage of EWP</v>
      </c>
      <c r="C176" s="108"/>
      <c r="D176" s="108"/>
      <c r="E176" s="108"/>
      <c r="F176" s="108"/>
      <c r="G176" s="108"/>
      <c r="H176" s="109"/>
      <c r="I176" s="110">
        <f t="shared" ref="I176:AG176" si="62">SUM(I174:I175)</f>
        <v>36142.486526527675</v>
      </c>
      <c r="J176" s="110">
        <f t="shared" si="62"/>
        <v>36142.486526527675</v>
      </c>
      <c r="K176" s="110">
        <f t="shared" si="62"/>
        <v>36142.486526527675</v>
      </c>
      <c r="L176" s="110">
        <f t="shared" si="62"/>
        <v>36142.486526527675</v>
      </c>
      <c r="M176" s="110">
        <f t="shared" si="62"/>
        <v>36142.486526527675</v>
      </c>
      <c r="N176" s="110">
        <f t="shared" si="62"/>
        <v>36142.486526527675</v>
      </c>
      <c r="O176" s="110">
        <f t="shared" si="62"/>
        <v>36142.486526527675</v>
      </c>
      <c r="P176" s="110">
        <f t="shared" si="62"/>
        <v>36142.486526527675</v>
      </c>
      <c r="Q176" s="110">
        <f t="shared" si="62"/>
        <v>36142.486526527675</v>
      </c>
      <c r="R176" s="110">
        <f t="shared" si="62"/>
        <v>36142.486526527675</v>
      </c>
      <c r="S176" s="110">
        <f t="shared" si="62"/>
        <v>36142.486526527675</v>
      </c>
      <c r="T176" s="110">
        <f t="shared" si="62"/>
        <v>36142.486526527675</v>
      </c>
      <c r="U176" s="110">
        <f t="shared" si="62"/>
        <v>36142.486526527675</v>
      </c>
      <c r="V176" s="110">
        <f t="shared" si="62"/>
        <v>36142.486526527675</v>
      </c>
      <c r="W176" s="110">
        <f t="shared" si="62"/>
        <v>36142.486526527675</v>
      </c>
      <c r="X176" s="110">
        <f t="shared" si="62"/>
        <v>36142.486526527675</v>
      </c>
      <c r="Y176" s="110">
        <f t="shared" si="62"/>
        <v>36142.486526527675</v>
      </c>
      <c r="Z176" s="110">
        <f t="shared" si="62"/>
        <v>36142.486526527675</v>
      </c>
      <c r="AA176" s="110">
        <f t="shared" si="62"/>
        <v>36142.486526527675</v>
      </c>
      <c r="AB176" s="110">
        <f t="shared" si="62"/>
        <v>36142.486526527675</v>
      </c>
      <c r="AC176" s="110">
        <f t="shared" si="62"/>
        <v>36142.486526527675</v>
      </c>
      <c r="AD176" s="110">
        <f t="shared" si="62"/>
        <v>36142.486526527675</v>
      </c>
      <c r="AE176" s="110">
        <f t="shared" si="62"/>
        <v>36142.486526527675</v>
      </c>
      <c r="AF176" s="110">
        <f t="shared" si="62"/>
        <v>36142.486526527675</v>
      </c>
      <c r="AG176" s="110">
        <f t="shared" si="62"/>
        <v>36142.486526527675</v>
      </c>
      <c r="AH176" s="63"/>
    </row>
    <row r="177" spans="1:34" hidden="1" outlineLevel="1" x14ac:dyDescent="0.35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</row>
    <row r="178" spans="1:34" hidden="1" outlineLevel="1" x14ac:dyDescent="0.35">
      <c r="A178" s="63"/>
      <c r="B178" s="82" t="s">
        <v>182</v>
      </c>
      <c r="C178" s="82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63"/>
    </row>
    <row r="179" spans="1:34" hidden="1" outlineLevel="1" x14ac:dyDescent="0.35">
      <c r="A179" s="63"/>
      <c r="B179" s="63" t="s">
        <v>183</v>
      </c>
      <c r="C179" s="99" t="str">
        <f>'Risk Assumptions'!F51</f>
        <v>$ June 2024</v>
      </c>
      <c r="D179" s="83">
        <f>'Risk Assumptions'!G51</f>
        <v>6000</v>
      </c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</row>
    <row r="180" spans="1:34" hidden="1" outlineLevel="1" x14ac:dyDescent="0.35">
      <c r="A180" s="63"/>
      <c r="B180" s="63" t="s">
        <v>176</v>
      </c>
      <c r="C180" s="99" t="str">
        <f>'Risk Assumptions'!F50</f>
        <v>#</v>
      </c>
      <c r="D180" s="83">
        <f>'Risk Assumptions'!G50</f>
        <v>2</v>
      </c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</row>
    <row r="181" spans="1:34" hidden="1" outlineLevel="1" x14ac:dyDescent="0.35">
      <c r="A181" s="63"/>
      <c r="B181" s="63"/>
      <c r="C181" s="111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</row>
    <row r="182" spans="1:34" hidden="1" outlineLevel="1" x14ac:dyDescent="0.35">
      <c r="A182" s="63"/>
      <c r="B182" s="86"/>
      <c r="C182" s="112"/>
      <c r="D182" s="86"/>
      <c r="E182" s="86"/>
      <c r="F182" s="86"/>
      <c r="G182" s="86"/>
      <c r="H182" s="103" t="s">
        <v>20</v>
      </c>
      <c r="I182" s="69" t="s">
        <v>23</v>
      </c>
      <c r="J182" s="69" t="s">
        <v>24</v>
      </c>
      <c r="K182" s="69" t="s">
        <v>25</v>
      </c>
      <c r="L182" s="69" t="s">
        <v>26</v>
      </c>
      <c r="M182" s="69" t="s">
        <v>27</v>
      </c>
      <c r="N182" s="69" t="s">
        <v>56</v>
      </c>
      <c r="O182" s="69" t="s">
        <v>57</v>
      </c>
      <c r="P182" s="69" t="s">
        <v>58</v>
      </c>
      <c r="Q182" s="69" t="s">
        <v>59</v>
      </c>
      <c r="R182" s="69" t="s">
        <v>60</v>
      </c>
      <c r="S182" s="69" t="s">
        <v>61</v>
      </c>
      <c r="T182" s="69" t="s">
        <v>62</v>
      </c>
      <c r="U182" s="69" t="s">
        <v>63</v>
      </c>
      <c r="V182" s="69" t="s">
        <v>64</v>
      </c>
      <c r="W182" s="69" t="s">
        <v>65</v>
      </c>
      <c r="X182" s="69" t="s">
        <v>66</v>
      </c>
      <c r="Y182" s="69" t="s">
        <v>67</v>
      </c>
      <c r="Z182" s="69" t="s">
        <v>68</v>
      </c>
      <c r="AA182" s="69" t="s">
        <v>69</v>
      </c>
      <c r="AB182" s="69" t="s">
        <v>70</v>
      </c>
      <c r="AC182" s="69" t="s">
        <v>71</v>
      </c>
      <c r="AD182" s="69" t="s">
        <v>72</v>
      </c>
      <c r="AE182" s="69" t="s">
        <v>73</v>
      </c>
      <c r="AF182" s="69" t="s">
        <v>74</v>
      </c>
      <c r="AG182" s="69" t="s">
        <v>75</v>
      </c>
      <c r="AH182" s="63"/>
    </row>
    <row r="183" spans="1:34" hidden="1" outlineLevel="1" x14ac:dyDescent="0.35">
      <c r="A183" s="63"/>
      <c r="B183" s="63" t="str">
        <f>B178</f>
        <v>Additional maintenance costs due to external EWP storage</v>
      </c>
      <c r="C183" s="111"/>
      <c r="D183" s="63"/>
      <c r="E183" s="63"/>
      <c r="F183" s="63"/>
      <c r="G183" s="63"/>
      <c r="H183" s="104"/>
      <c r="I183" s="102">
        <f>$D179*$D180</f>
        <v>12000</v>
      </c>
      <c r="J183" s="102">
        <f t="shared" ref="J183:AG183" si="63">$D179*$D180</f>
        <v>12000</v>
      </c>
      <c r="K183" s="102">
        <f t="shared" si="63"/>
        <v>12000</v>
      </c>
      <c r="L183" s="102">
        <f t="shared" si="63"/>
        <v>12000</v>
      </c>
      <c r="M183" s="102">
        <f t="shared" si="63"/>
        <v>12000</v>
      </c>
      <c r="N183" s="102">
        <f t="shared" si="63"/>
        <v>12000</v>
      </c>
      <c r="O183" s="102">
        <f t="shared" si="63"/>
        <v>12000</v>
      </c>
      <c r="P183" s="102">
        <f t="shared" si="63"/>
        <v>12000</v>
      </c>
      <c r="Q183" s="102">
        <f t="shared" si="63"/>
        <v>12000</v>
      </c>
      <c r="R183" s="102">
        <f t="shared" si="63"/>
        <v>12000</v>
      </c>
      <c r="S183" s="102">
        <f t="shared" si="63"/>
        <v>12000</v>
      </c>
      <c r="T183" s="102">
        <f t="shared" si="63"/>
        <v>12000</v>
      </c>
      <c r="U183" s="102">
        <f t="shared" si="63"/>
        <v>12000</v>
      </c>
      <c r="V183" s="102">
        <f t="shared" si="63"/>
        <v>12000</v>
      </c>
      <c r="W183" s="102">
        <f t="shared" si="63"/>
        <v>12000</v>
      </c>
      <c r="X183" s="102">
        <f t="shared" si="63"/>
        <v>12000</v>
      </c>
      <c r="Y183" s="102">
        <f t="shared" si="63"/>
        <v>12000</v>
      </c>
      <c r="Z183" s="102">
        <f t="shared" si="63"/>
        <v>12000</v>
      </c>
      <c r="AA183" s="102">
        <f t="shared" si="63"/>
        <v>12000</v>
      </c>
      <c r="AB183" s="102">
        <f t="shared" si="63"/>
        <v>12000</v>
      </c>
      <c r="AC183" s="102">
        <f t="shared" si="63"/>
        <v>12000</v>
      </c>
      <c r="AD183" s="102">
        <f t="shared" si="63"/>
        <v>12000</v>
      </c>
      <c r="AE183" s="102">
        <f t="shared" si="63"/>
        <v>12000</v>
      </c>
      <c r="AF183" s="102">
        <f t="shared" si="63"/>
        <v>12000</v>
      </c>
      <c r="AG183" s="102">
        <f t="shared" si="63"/>
        <v>12000</v>
      </c>
      <c r="AH183" s="63"/>
    </row>
    <row r="184" spans="1:34" hidden="1" outlineLevel="1" x14ac:dyDescent="0.35">
      <c r="A184" s="63"/>
      <c r="B184" s="63"/>
      <c r="C184" s="111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</row>
    <row r="185" spans="1:34" hidden="1" outlineLevel="1" x14ac:dyDescent="0.35">
      <c r="A185" s="63"/>
      <c r="B185" s="82" t="s">
        <v>184</v>
      </c>
      <c r="C185" s="113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63"/>
    </row>
    <row r="186" spans="1:34" hidden="1" outlineLevel="1" x14ac:dyDescent="0.35">
      <c r="A186" s="63"/>
      <c r="B186" s="63" t="s">
        <v>176</v>
      </c>
      <c r="C186" s="99" t="str">
        <f>'Risk Assumptions'!F50</f>
        <v>#</v>
      </c>
      <c r="D186" s="83">
        <f>'Risk Assumptions'!G50</f>
        <v>2</v>
      </c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</row>
    <row r="187" spans="1:34" hidden="1" outlineLevel="1" x14ac:dyDescent="0.35">
      <c r="A187" s="63"/>
      <c r="B187" s="63" t="s">
        <v>178</v>
      </c>
      <c r="C187" s="99" t="str">
        <f>'Risk Assumptions'!F52</f>
        <v>$ June 2024</v>
      </c>
      <c r="D187" s="83">
        <f>'Risk Assumptions'!G52</f>
        <v>575000</v>
      </c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</row>
    <row r="188" spans="1:34" hidden="1" outlineLevel="1" x14ac:dyDescent="0.35">
      <c r="A188" s="63"/>
      <c r="B188" s="63" t="s">
        <v>179</v>
      </c>
      <c r="C188" s="99" t="str">
        <f>'Risk Assumptions'!F53</f>
        <v>years</v>
      </c>
      <c r="D188" s="83">
        <f>'Risk Assumptions'!G53</f>
        <v>15</v>
      </c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</row>
    <row r="189" spans="1:34" hidden="1" outlineLevel="1" x14ac:dyDescent="0.35">
      <c r="A189" s="63"/>
      <c r="B189" s="63" t="s">
        <v>180</v>
      </c>
      <c r="C189" s="99" t="str">
        <f>'Risk Assumptions'!F54</f>
        <v>years</v>
      </c>
      <c r="D189" s="83">
        <f>'Risk Assumptions'!G54</f>
        <v>12</v>
      </c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</row>
    <row r="190" spans="1:34" hidden="1" outlineLevel="1" x14ac:dyDescent="0.3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</row>
    <row r="191" spans="1:34" hidden="1" outlineLevel="1" x14ac:dyDescent="0.35">
      <c r="A191" s="63"/>
      <c r="B191" s="86"/>
      <c r="C191" s="86"/>
      <c r="D191" s="86"/>
      <c r="E191" s="86"/>
      <c r="F191" s="86"/>
      <c r="G191" s="86"/>
      <c r="H191" s="103" t="s">
        <v>20</v>
      </c>
      <c r="I191" s="69" t="s">
        <v>23</v>
      </c>
      <c r="J191" s="69" t="s">
        <v>24</v>
      </c>
      <c r="K191" s="69" t="s">
        <v>25</v>
      </c>
      <c r="L191" s="69" t="s">
        <v>26</v>
      </c>
      <c r="M191" s="69" t="s">
        <v>27</v>
      </c>
      <c r="N191" s="69" t="s">
        <v>56</v>
      </c>
      <c r="O191" s="69" t="s">
        <v>57</v>
      </c>
      <c r="P191" s="69" t="s">
        <v>58</v>
      </c>
      <c r="Q191" s="69" t="s">
        <v>59</v>
      </c>
      <c r="R191" s="69" t="s">
        <v>60</v>
      </c>
      <c r="S191" s="69" t="s">
        <v>61</v>
      </c>
      <c r="T191" s="69" t="s">
        <v>62</v>
      </c>
      <c r="U191" s="69" t="s">
        <v>63</v>
      </c>
      <c r="V191" s="69" t="s">
        <v>64</v>
      </c>
      <c r="W191" s="69" t="s">
        <v>65</v>
      </c>
      <c r="X191" s="69" t="s">
        <v>66</v>
      </c>
      <c r="Y191" s="69" t="s">
        <v>67</v>
      </c>
      <c r="Z191" s="69" t="s">
        <v>68</v>
      </c>
      <c r="AA191" s="69" t="s">
        <v>69</v>
      </c>
      <c r="AB191" s="69" t="s">
        <v>70</v>
      </c>
      <c r="AC191" s="69" t="s">
        <v>71</v>
      </c>
      <c r="AD191" s="69" t="s">
        <v>72</v>
      </c>
      <c r="AE191" s="69" t="s">
        <v>73</v>
      </c>
      <c r="AF191" s="69" t="s">
        <v>74</v>
      </c>
      <c r="AG191" s="69" t="s">
        <v>75</v>
      </c>
      <c r="AH191" s="63"/>
    </row>
    <row r="192" spans="1:34" hidden="1" outlineLevel="1" x14ac:dyDescent="0.35">
      <c r="A192" s="63"/>
      <c r="B192" s="63" t="str">
        <f>B185</f>
        <v>Cost of reduced asset life of EWPs stored without cover</v>
      </c>
      <c r="C192" s="63"/>
      <c r="D192" s="63"/>
      <c r="E192" s="63"/>
      <c r="F192" s="63"/>
      <c r="G192" s="63"/>
      <c r="H192" s="104"/>
      <c r="I192" s="102">
        <f>$D186*($D187/$D189-$D187/$D188)</f>
        <v>19166.666666666657</v>
      </c>
      <c r="J192" s="102">
        <f t="shared" ref="J192:AG192" si="64">$D186*($D187/$D189-$D187/$D188)</f>
        <v>19166.666666666657</v>
      </c>
      <c r="K192" s="102">
        <f t="shared" si="64"/>
        <v>19166.666666666657</v>
      </c>
      <c r="L192" s="102">
        <f t="shared" si="64"/>
        <v>19166.666666666657</v>
      </c>
      <c r="M192" s="102">
        <f t="shared" si="64"/>
        <v>19166.666666666657</v>
      </c>
      <c r="N192" s="102">
        <f t="shared" si="64"/>
        <v>19166.666666666657</v>
      </c>
      <c r="O192" s="102">
        <f t="shared" si="64"/>
        <v>19166.666666666657</v>
      </c>
      <c r="P192" s="102">
        <f t="shared" si="64"/>
        <v>19166.666666666657</v>
      </c>
      <c r="Q192" s="102">
        <f t="shared" si="64"/>
        <v>19166.666666666657</v>
      </c>
      <c r="R192" s="102">
        <f t="shared" si="64"/>
        <v>19166.666666666657</v>
      </c>
      <c r="S192" s="102">
        <f t="shared" si="64"/>
        <v>19166.666666666657</v>
      </c>
      <c r="T192" s="102">
        <f t="shared" si="64"/>
        <v>19166.666666666657</v>
      </c>
      <c r="U192" s="102">
        <f t="shared" si="64"/>
        <v>19166.666666666657</v>
      </c>
      <c r="V192" s="102">
        <f t="shared" si="64"/>
        <v>19166.666666666657</v>
      </c>
      <c r="W192" s="102">
        <f t="shared" si="64"/>
        <v>19166.666666666657</v>
      </c>
      <c r="X192" s="102">
        <f t="shared" si="64"/>
        <v>19166.666666666657</v>
      </c>
      <c r="Y192" s="102">
        <f t="shared" si="64"/>
        <v>19166.666666666657</v>
      </c>
      <c r="Z192" s="102">
        <f t="shared" si="64"/>
        <v>19166.666666666657</v>
      </c>
      <c r="AA192" s="102">
        <f t="shared" si="64"/>
        <v>19166.666666666657</v>
      </c>
      <c r="AB192" s="102">
        <f t="shared" si="64"/>
        <v>19166.666666666657</v>
      </c>
      <c r="AC192" s="102">
        <f t="shared" si="64"/>
        <v>19166.666666666657</v>
      </c>
      <c r="AD192" s="102">
        <f t="shared" si="64"/>
        <v>19166.666666666657</v>
      </c>
      <c r="AE192" s="102">
        <f t="shared" si="64"/>
        <v>19166.666666666657</v>
      </c>
      <c r="AF192" s="102">
        <f t="shared" si="64"/>
        <v>19166.666666666657</v>
      </c>
      <c r="AG192" s="102">
        <f t="shared" si="64"/>
        <v>19166.666666666657</v>
      </c>
      <c r="AH192" s="63"/>
    </row>
    <row r="193" spans="1:34" hidden="1" outlineLevel="1" x14ac:dyDescent="0.35"/>
    <row r="194" spans="1:34" hidden="1" outlineLevel="1" x14ac:dyDescent="0.35"/>
    <row r="195" spans="1:34" collapsed="1" x14ac:dyDescent="0.35">
      <c r="A195" s="63"/>
      <c r="B195" s="86"/>
      <c r="C195" s="86"/>
      <c r="D195" s="86"/>
      <c r="E195" s="86"/>
      <c r="F195" s="86"/>
      <c r="G195" s="86"/>
      <c r="H195" s="69"/>
      <c r="I195" s="69" t="s">
        <v>23</v>
      </c>
      <c r="J195" s="69" t="s">
        <v>24</v>
      </c>
      <c r="K195" s="69" t="s">
        <v>25</v>
      </c>
      <c r="L195" s="69" t="s">
        <v>26</v>
      </c>
      <c r="M195" s="69" t="s">
        <v>27</v>
      </c>
      <c r="N195" s="69" t="s">
        <v>56</v>
      </c>
      <c r="O195" s="69" t="s">
        <v>57</v>
      </c>
      <c r="P195" s="69" t="s">
        <v>58</v>
      </c>
      <c r="Q195" s="69" t="s">
        <v>59</v>
      </c>
      <c r="R195" s="69" t="s">
        <v>60</v>
      </c>
      <c r="S195" s="69" t="s">
        <v>61</v>
      </c>
      <c r="T195" s="69" t="s">
        <v>62</v>
      </c>
      <c r="U195" s="69" t="s">
        <v>63</v>
      </c>
      <c r="V195" s="69" t="s">
        <v>64</v>
      </c>
      <c r="W195" s="69" t="s">
        <v>65</v>
      </c>
      <c r="X195" s="69" t="s">
        <v>66</v>
      </c>
      <c r="Y195" s="69" t="s">
        <v>67</v>
      </c>
      <c r="Z195" s="69" t="s">
        <v>68</v>
      </c>
      <c r="AA195" s="69" t="s">
        <v>69</v>
      </c>
      <c r="AB195" s="69" t="s">
        <v>70</v>
      </c>
      <c r="AC195" s="69" t="s">
        <v>71</v>
      </c>
      <c r="AD195" s="69" t="s">
        <v>72</v>
      </c>
      <c r="AE195" s="69" t="s">
        <v>73</v>
      </c>
      <c r="AF195" s="69" t="s">
        <v>74</v>
      </c>
      <c r="AG195" s="69" t="s">
        <v>75</v>
      </c>
      <c r="AH195" s="63"/>
    </row>
    <row r="196" spans="1:34" x14ac:dyDescent="0.35">
      <c r="A196" s="63"/>
      <c r="B196" s="71" t="str">
        <f>"Total risk due to "&amp;B165</f>
        <v>Total risk due to Maintenance issues</v>
      </c>
      <c r="C196" s="63"/>
      <c r="D196" s="63"/>
      <c r="E196" s="63"/>
      <c r="F196" s="63"/>
      <c r="G196" s="63"/>
      <c r="H196" s="102"/>
      <c r="I196" s="102">
        <f>I176+I183+I192</f>
        <v>67309.153193194332</v>
      </c>
      <c r="J196" s="102">
        <f t="shared" ref="J196:AG196" si="65">J176+J183+J192</f>
        <v>67309.153193194332</v>
      </c>
      <c r="K196" s="102">
        <f t="shared" si="65"/>
        <v>67309.153193194332</v>
      </c>
      <c r="L196" s="102">
        <f t="shared" si="65"/>
        <v>67309.153193194332</v>
      </c>
      <c r="M196" s="102">
        <f t="shared" si="65"/>
        <v>67309.153193194332</v>
      </c>
      <c r="N196" s="102">
        <f t="shared" si="65"/>
        <v>67309.153193194332</v>
      </c>
      <c r="O196" s="102">
        <f t="shared" si="65"/>
        <v>67309.153193194332</v>
      </c>
      <c r="P196" s="102">
        <f t="shared" si="65"/>
        <v>67309.153193194332</v>
      </c>
      <c r="Q196" s="102">
        <f t="shared" si="65"/>
        <v>67309.153193194332</v>
      </c>
      <c r="R196" s="102">
        <f t="shared" si="65"/>
        <v>67309.153193194332</v>
      </c>
      <c r="S196" s="102">
        <f t="shared" si="65"/>
        <v>67309.153193194332</v>
      </c>
      <c r="T196" s="102">
        <f t="shared" si="65"/>
        <v>67309.153193194332</v>
      </c>
      <c r="U196" s="102">
        <f t="shared" si="65"/>
        <v>67309.153193194332</v>
      </c>
      <c r="V196" s="102">
        <f t="shared" si="65"/>
        <v>67309.153193194332</v>
      </c>
      <c r="W196" s="102">
        <f t="shared" si="65"/>
        <v>67309.153193194332</v>
      </c>
      <c r="X196" s="102">
        <f t="shared" si="65"/>
        <v>67309.153193194332</v>
      </c>
      <c r="Y196" s="102">
        <f t="shared" si="65"/>
        <v>67309.153193194332</v>
      </c>
      <c r="Z196" s="102">
        <f t="shared" si="65"/>
        <v>67309.153193194332</v>
      </c>
      <c r="AA196" s="102">
        <f t="shared" si="65"/>
        <v>67309.153193194332</v>
      </c>
      <c r="AB196" s="102">
        <f t="shared" si="65"/>
        <v>67309.153193194332</v>
      </c>
      <c r="AC196" s="102">
        <f t="shared" si="65"/>
        <v>67309.153193194332</v>
      </c>
      <c r="AD196" s="102">
        <f t="shared" si="65"/>
        <v>67309.153193194332</v>
      </c>
      <c r="AE196" s="102">
        <f t="shared" si="65"/>
        <v>67309.153193194332</v>
      </c>
      <c r="AF196" s="102">
        <f t="shared" si="65"/>
        <v>67309.153193194332</v>
      </c>
      <c r="AG196" s="102">
        <f t="shared" si="65"/>
        <v>67309.153193194332</v>
      </c>
      <c r="AH196" s="63"/>
    </row>
    <row r="199" spans="1:34" x14ac:dyDescent="0.35">
      <c r="A199" s="80"/>
      <c r="B199" s="78" t="s">
        <v>84</v>
      </c>
      <c r="C199" s="78"/>
      <c r="D199" s="78"/>
      <c r="E199" s="78"/>
      <c r="F199" s="78"/>
      <c r="G199" s="78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80"/>
    </row>
    <row r="200" spans="1:34" x14ac:dyDescent="0.35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</row>
    <row r="201" spans="1:34" hidden="1" outlineLevel="1" x14ac:dyDescent="0.35">
      <c r="A201" s="63"/>
      <c r="B201" s="82" t="s">
        <v>186</v>
      </c>
      <c r="C201" s="82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63"/>
    </row>
    <row r="202" spans="1:34" hidden="1" outlineLevel="1" x14ac:dyDescent="0.35">
      <c r="A202" s="63"/>
      <c r="B202" s="63" t="s">
        <v>131</v>
      </c>
      <c r="C202" s="99" t="str">
        <f>'Risk Assumptions'!F27</f>
        <v>#</v>
      </c>
      <c r="D202" s="83">
        <f>'Risk Assumptions'!G27</f>
        <v>258</v>
      </c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</row>
    <row r="203" spans="1:34" hidden="1" outlineLevel="1" x14ac:dyDescent="0.35">
      <c r="A203" s="63"/>
      <c r="B203" s="63" t="s">
        <v>120</v>
      </c>
      <c r="C203" s="99" t="str">
        <f>'Risk Assumptions'!F28</f>
        <v>$ June 2024</v>
      </c>
      <c r="D203" s="83">
        <f>'Risk Assumptions'!G28</f>
        <v>160000</v>
      </c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</row>
    <row r="204" spans="1:34" hidden="1" outlineLevel="1" x14ac:dyDescent="0.35">
      <c r="A204" s="63"/>
      <c r="B204" s="63" t="s">
        <v>185</v>
      </c>
      <c r="C204" s="100" t="str">
        <f>'Risk Assumptions'!C23</f>
        <v>%</v>
      </c>
      <c r="D204" s="84">
        <f>'Risk Assumptions'!D23</f>
        <v>0.03</v>
      </c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</row>
    <row r="205" spans="1:34" hidden="1" outlineLevel="1" x14ac:dyDescent="0.35">
      <c r="A205" s="63"/>
      <c r="B205" s="63"/>
      <c r="C205" s="111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</row>
    <row r="206" spans="1:34" hidden="1" outlineLevel="1" x14ac:dyDescent="0.35">
      <c r="A206" s="63"/>
      <c r="B206" s="86"/>
      <c r="C206" s="112"/>
      <c r="D206" s="86"/>
      <c r="E206" s="86"/>
      <c r="F206" s="86"/>
      <c r="G206" s="86"/>
      <c r="H206" s="103" t="s">
        <v>20</v>
      </c>
      <c r="I206" s="69" t="s">
        <v>23</v>
      </c>
      <c r="J206" s="69" t="s">
        <v>24</v>
      </c>
      <c r="K206" s="69" t="s">
        <v>25</v>
      </c>
      <c r="L206" s="69" t="s">
        <v>26</v>
      </c>
      <c r="M206" s="69" t="s">
        <v>27</v>
      </c>
      <c r="N206" s="69" t="s">
        <v>56</v>
      </c>
      <c r="O206" s="69" t="s">
        <v>57</v>
      </c>
      <c r="P206" s="69" t="s">
        <v>58</v>
      </c>
      <c r="Q206" s="69" t="s">
        <v>59</v>
      </c>
      <c r="R206" s="69" t="s">
        <v>60</v>
      </c>
      <c r="S206" s="69" t="s">
        <v>61</v>
      </c>
      <c r="T206" s="69" t="s">
        <v>62</v>
      </c>
      <c r="U206" s="69" t="s">
        <v>63</v>
      </c>
      <c r="V206" s="69" t="s">
        <v>64</v>
      </c>
      <c r="W206" s="69" t="s">
        <v>65</v>
      </c>
      <c r="X206" s="69" t="s">
        <v>66</v>
      </c>
      <c r="Y206" s="69" t="s">
        <v>67</v>
      </c>
      <c r="Z206" s="69" t="s">
        <v>68</v>
      </c>
      <c r="AA206" s="69" t="s">
        <v>69</v>
      </c>
      <c r="AB206" s="69" t="s">
        <v>70</v>
      </c>
      <c r="AC206" s="69" t="s">
        <v>71</v>
      </c>
      <c r="AD206" s="69" t="s">
        <v>72</v>
      </c>
      <c r="AE206" s="69" t="s">
        <v>73</v>
      </c>
      <c r="AF206" s="69" t="s">
        <v>74</v>
      </c>
      <c r="AG206" s="69" t="s">
        <v>75</v>
      </c>
      <c r="AH206" s="63"/>
    </row>
    <row r="207" spans="1:34" hidden="1" outlineLevel="1" x14ac:dyDescent="0.35">
      <c r="A207" s="63"/>
      <c r="B207" s="63" t="str">
        <f>B201</f>
        <v>Reduced office productivity during disruption</v>
      </c>
      <c r="C207" s="111"/>
      <c r="D207" s="63"/>
      <c r="E207" s="63"/>
      <c r="F207" s="63"/>
      <c r="G207" s="63"/>
      <c r="H207" s="104"/>
      <c r="I207" s="102">
        <f>$D202*$D203*$D204</f>
        <v>1238400</v>
      </c>
      <c r="J207" s="102">
        <f t="shared" ref="J207:K207" si="66">$D202*$D203*$D204</f>
        <v>1238400</v>
      </c>
      <c r="K207" s="102">
        <f t="shared" si="66"/>
        <v>1238400</v>
      </c>
      <c r="L207" s="102">
        <v>0</v>
      </c>
      <c r="M207" s="102">
        <v>0</v>
      </c>
      <c r="N207" s="102">
        <v>0</v>
      </c>
      <c r="O207" s="102">
        <v>0</v>
      </c>
      <c r="P207" s="102">
        <v>0</v>
      </c>
      <c r="Q207" s="102">
        <v>0</v>
      </c>
      <c r="R207" s="102">
        <v>0</v>
      </c>
      <c r="S207" s="102">
        <v>0</v>
      </c>
      <c r="T207" s="102">
        <v>0</v>
      </c>
      <c r="U207" s="102">
        <v>0</v>
      </c>
      <c r="V207" s="102">
        <v>0</v>
      </c>
      <c r="W207" s="102">
        <v>0</v>
      </c>
      <c r="X207" s="102">
        <v>0</v>
      </c>
      <c r="Y207" s="102">
        <v>0</v>
      </c>
      <c r="Z207" s="102">
        <v>0</v>
      </c>
      <c r="AA207" s="102">
        <v>0</v>
      </c>
      <c r="AB207" s="102">
        <v>0</v>
      </c>
      <c r="AC207" s="102">
        <v>0</v>
      </c>
      <c r="AD207" s="102">
        <v>0</v>
      </c>
      <c r="AE207" s="102">
        <v>0</v>
      </c>
      <c r="AF207" s="102">
        <v>0</v>
      </c>
      <c r="AG207" s="102">
        <v>0</v>
      </c>
      <c r="AH207" s="63"/>
    </row>
    <row r="208" spans="1:34" hidden="1" outlineLevel="1" x14ac:dyDescent="0.35">
      <c r="A208" s="63"/>
      <c r="B208" s="63"/>
      <c r="C208" s="111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</row>
    <row r="209" spans="1:34" hidden="1" outlineLevel="1" x14ac:dyDescent="0.35">
      <c r="A209" s="63"/>
      <c r="B209" s="82" t="s">
        <v>187</v>
      </c>
      <c r="C209" s="115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63"/>
    </row>
    <row r="210" spans="1:34" hidden="1" outlineLevel="1" x14ac:dyDescent="0.35">
      <c r="A210" s="63"/>
      <c r="B210" s="63" t="s">
        <v>117</v>
      </c>
      <c r="C210" s="99" t="str">
        <f>'Risk Assumptions'!F26</f>
        <v>#</v>
      </c>
      <c r="D210" s="83">
        <f>'Risk Assumptions'!G26</f>
        <v>84</v>
      </c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</row>
    <row r="211" spans="1:34" hidden="1" outlineLevel="1" x14ac:dyDescent="0.35">
      <c r="A211" s="63"/>
      <c r="B211" s="63" t="s">
        <v>120</v>
      </c>
      <c r="C211" s="99" t="str">
        <f>'Risk Assumptions'!F28</f>
        <v>$ June 2024</v>
      </c>
      <c r="D211" s="83">
        <f>'Risk Assumptions'!G28</f>
        <v>160000</v>
      </c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</row>
    <row r="212" spans="1:34" hidden="1" outlineLevel="1" x14ac:dyDescent="0.35">
      <c r="A212" s="63"/>
      <c r="B212" s="63" t="s">
        <v>124</v>
      </c>
      <c r="C212" s="100" t="str">
        <f>'Risk Assumptions'!F23</f>
        <v>%</v>
      </c>
      <c r="D212" s="84">
        <f>'Risk Assumptions'!G23</f>
        <v>0.03</v>
      </c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</row>
    <row r="213" spans="1:34" hidden="1" outlineLevel="1" x14ac:dyDescent="0.35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</row>
    <row r="214" spans="1:34" hidden="1" outlineLevel="1" x14ac:dyDescent="0.35">
      <c r="A214" s="63"/>
      <c r="B214" s="86"/>
      <c r="C214" s="86"/>
      <c r="D214" s="86"/>
      <c r="E214" s="86"/>
      <c r="F214" s="86"/>
      <c r="G214" s="86"/>
      <c r="H214" s="103" t="s">
        <v>20</v>
      </c>
      <c r="I214" s="69" t="s">
        <v>23</v>
      </c>
      <c r="J214" s="69" t="s">
        <v>24</v>
      </c>
      <c r="K214" s="69" t="s">
        <v>25</v>
      </c>
      <c r="L214" s="69" t="s">
        <v>26</v>
      </c>
      <c r="M214" s="69" t="s">
        <v>27</v>
      </c>
      <c r="N214" s="69" t="s">
        <v>56</v>
      </c>
      <c r="O214" s="69" t="s">
        <v>57</v>
      </c>
      <c r="P214" s="69" t="s">
        <v>58</v>
      </c>
      <c r="Q214" s="69" t="s">
        <v>59</v>
      </c>
      <c r="R214" s="69" t="s">
        <v>60</v>
      </c>
      <c r="S214" s="69" t="s">
        <v>61</v>
      </c>
      <c r="T214" s="69" t="s">
        <v>62</v>
      </c>
      <c r="U214" s="69" t="s">
        <v>63</v>
      </c>
      <c r="V214" s="69" t="s">
        <v>64</v>
      </c>
      <c r="W214" s="69" t="s">
        <v>65</v>
      </c>
      <c r="X214" s="69" t="s">
        <v>66</v>
      </c>
      <c r="Y214" s="69" t="s">
        <v>67</v>
      </c>
      <c r="Z214" s="69" t="s">
        <v>68</v>
      </c>
      <c r="AA214" s="69" t="s">
        <v>69</v>
      </c>
      <c r="AB214" s="69" t="s">
        <v>70</v>
      </c>
      <c r="AC214" s="69" t="s">
        <v>71</v>
      </c>
      <c r="AD214" s="69" t="s">
        <v>72</v>
      </c>
      <c r="AE214" s="69" t="s">
        <v>73</v>
      </c>
      <c r="AF214" s="69" t="s">
        <v>74</v>
      </c>
      <c r="AG214" s="69" t="s">
        <v>75</v>
      </c>
      <c r="AH214" s="63"/>
    </row>
    <row r="215" spans="1:34" hidden="1" outlineLevel="1" x14ac:dyDescent="0.35">
      <c r="A215" s="63"/>
      <c r="B215" s="63" t="str">
        <f>B209</f>
        <v>Reduced field productivity during disruption</v>
      </c>
      <c r="C215" s="111"/>
      <c r="D215" s="63"/>
      <c r="E215" s="63"/>
      <c r="F215" s="63"/>
      <c r="G215" s="63"/>
      <c r="H215" s="104"/>
      <c r="I215" s="102">
        <f>$D210*$D211*$D212</f>
        <v>403200</v>
      </c>
      <c r="J215" s="102">
        <f t="shared" ref="J215:K215" si="67">$D210*$D211*$D212</f>
        <v>403200</v>
      </c>
      <c r="K215" s="102">
        <f t="shared" si="67"/>
        <v>403200</v>
      </c>
      <c r="L215" s="102">
        <v>0</v>
      </c>
      <c r="M215" s="102">
        <v>0</v>
      </c>
      <c r="N215" s="102">
        <v>0</v>
      </c>
      <c r="O215" s="102">
        <v>0</v>
      </c>
      <c r="P215" s="102">
        <v>0</v>
      </c>
      <c r="Q215" s="102">
        <v>0</v>
      </c>
      <c r="R215" s="102">
        <v>0</v>
      </c>
      <c r="S215" s="102">
        <v>0</v>
      </c>
      <c r="T215" s="102">
        <v>0</v>
      </c>
      <c r="U215" s="102">
        <v>0</v>
      </c>
      <c r="V215" s="102">
        <v>0</v>
      </c>
      <c r="W215" s="102">
        <v>0</v>
      </c>
      <c r="X215" s="102">
        <v>0</v>
      </c>
      <c r="Y215" s="102">
        <v>0</v>
      </c>
      <c r="Z215" s="102">
        <v>0</v>
      </c>
      <c r="AA215" s="102">
        <v>0</v>
      </c>
      <c r="AB215" s="102">
        <v>0</v>
      </c>
      <c r="AC215" s="102">
        <v>0</v>
      </c>
      <c r="AD215" s="102">
        <v>0</v>
      </c>
      <c r="AE215" s="102">
        <v>0</v>
      </c>
      <c r="AF215" s="102">
        <v>0</v>
      </c>
      <c r="AG215" s="102">
        <v>0</v>
      </c>
      <c r="AH215" s="63"/>
    </row>
    <row r="216" spans="1:34" hidden="1" outlineLevel="1" x14ac:dyDescent="0.35"/>
    <row r="217" spans="1:34" hidden="1" outlineLevel="1" x14ac:dyDescent="0.35"/>
    <row r="218" spans="1:34" collapsed="1" x14ac:dyDescent="0.35">
      <c r="A218" s="63"/>
      <c r="B218" s="86"/>
      <c r="C218" s="86"/>
      <c r="D218" s="86"/>
      <c r="E218" s="86"/>
      <c r="F218" s="86"/>
      <c r="G218" s="86"/>
      <c r="H218" s="69"/>
      <c r="I218" s="69" t="s">
        <v>23</v>
      </c>
      <c r="J218" s="69" t="s">
        <v>24</v>
      </c>
      <c r="K218" s="69" t="s">
        <v>25</v>
      </c>
      <c r="L218" s="69" t="s">
        <v>26</v>
      </c>
      <c r="M218" s="69" t="s">
        <v>27</v>
      </c>
      <c r="N218" s="69" t="s">
        <v>56</v>
      </c>
      <c r="O218" s="69" t="s">
        <v>57</v>
      </c>
      <c r="P218" s="69" t="s">
        <v>58</v>
      </c>
      <c r="Q218" s="69" t="s">
        <v>59</v>
      </c>
      <c r="R218" s="69" t="s">
        <v>60</v>
      </c>
      <c r="S218" s="69" t="s">
        <v>61</v>
      </c>
      <c r="T218" s="69" t="s">
        <v>62</v>
      </c>
      <c r="U218" s="69" t="s">
        <v>63</v>
      </c>
      <c r="V218" s="69" t="s">
        <v>64</v>
      </c>
      <c r="W218" s="69" t="s">
        <v>65</v>
      </c>
      <c r="X218" s="69" t="s">
        <v>66</v>
      </c>
      <c r="Y218" s="69" t="s">
        <v>67</v>
      </c>
      <c r="Z218" s="69" t="s">
        <v>68</v>
      </c>
      <c r="AA218" s="69" t="s">
        <v>69</v>
      </c>
      <c r="AB218" s="69" t="s">
        <v>70</v>
      </c>
      <c r="AC218" s="69" t="s">
        <v>71</v>
      </c>
      <c r="AD218" s="69" t="s">
        <v>72</v>
      </c>
      <c r="AE218" s="69" t="s">
        <v>73</v>
      </c>
      <c r="AF218" s="69" t="s">
        <v>74</v>
      </c>
      <c r="AG218" s="69" t="s">
        <v>75</v>
      </c>
      <c r="AH218" s="63"/>
    </row>
    <row r="219" spans="1:34" x14ac:dyDescent="0.35">
      <c r="A219" s="63"/>
      <c r="B219" s="71" t="str">
        <f>"Total risk due to "&amp;B199</f>
        <v>Total risk due to Loss of efficiency during redevelopment</v>
      </c>
      <c r="C219" s="63"/>
      <c r="D219" s="63"/>
      <c r="E219" s="63"/>
      <c r="F219" s="63"/>
      <c r="G219" s="63"/>
      <c r="H219" s="102"/>
      <c r="I219" s="102">
        <f t="shared" ref="I219:AG219" si="68">I207+I215</f>
        <v>1641600</v>
      </c>
      <c r="J219" s="102">
        <f t="shared" si="68"/>
        <v>1641600</v>
      </c>
      <c r="K219" s="102">
        <f t="shared" si="68"/>
        <v>1641600</v>
      </c>
      <c r="L219" s="102">
        <f t="shared" si="68"/>
        <v>0</v>
      </c>
      <c r="M219" s="102">
        <f t="shared" si="68"/>
        <v>0</v>
      </c>
      <c r="N219" s="102">
        <f t="shared" si="68"/>
        <v>0</v>
      </c>
      <c r="O219" s="102">
        <f t="shared" si="68"/>
        <v>0</v>
      </c>
      <c r="P219" s="102">
        <f t="shared" si="68"/>
        <v>0</v>
      </c>
      <c r="Q219" s="102">
        <f t="shared" si="68"/>
        <v>0</v>
      </c>
      <c r="R219" s="102">
        <f t="shared" si="68"/>
        <v>0</v>
      </c>
      <c r="S219" s="102">
        <f t="shared" si="68"/>
        <v>0</v>
      </c>
      <c r="T219" s="102">
        <f t="shared" si="68"/>
        <v>0</v>
      </c>
      <c r="U219" s="102">
        <f t="shared" si="68"/>
        <v>0</v>
      </c>
      <c r="V219" s="102">
        <f t="shared" si="68"/>
        <v>0</v>
      </c>
      <c r="W219" s="102">
        <f t="shared" si="68"/>
        <v>0</v>
      </c>
      <c r="X219" s="102">
        <f t="shared" si="68"/>
        <v>0</v>
      </c>
      <c r="Y219" s="102">
        <f t="shared" si="68"/>
        <v>0</v>
      </c>
      <c r="Z219" s="102">
        <f t="shared" si="68"/>
        <v>0</v>
      </c>
      <c r="AA219" s="102">
        <f t="shared" si="68"/>
        <v>0</v>
      </c>
      <c r="AB219" s="102">
        <f t="shared" si="68"/>
        <v>0</v>
      </c>
      <c r="AC219" s="102">
        <f t="shared" si="68"/>
        <v>0</v>
      </c>
      <c r="AD219" s="102">
        <f t="shared" si="68"/>
        <v>0</v>
      </c>
      <c r="AE219" s="102">
        <f t="shared" si="68"/>
        <v>0</v>
      </c>
      <c r="AF219" s="102">
        <f t="shared" si="68"/>
        <v>0</v>
      </c>
      <c r="AG219" s="102">
        <f t="shared" si="68"/>
        <v>0</v>
      </c>
      <c r="AH219" s="63"/>
    </row>
    <row r="222" spans="1:34" x14ac:dyDescent="0.35">
      <c r="A222" s="80"/>
      <c r="B222" s="78" t="s">
        <v>85</v>
      </c>
      <c r="C222" s="78"/>
      <c r="D222" s="78"/>
      <c r="E222" s="78"/>
      <c r="F222" s="78"/>
      <c r="G222" s="78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80"/>
    </row>
    <row r="223" spans="1:34" x14ac:dyDescent="0.35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</row>
    <row r="224" spans="1:34" hidden="1" outlineLevel="1" x14ac:dyDescent="0.35">
      <c r="A224" s="63"/>
      <c r="B224" s="82" t="s">
        <v>197</v>
      </c>
      <c r="C224" s="82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63"/>
    </row>
    <row r="225" spans="1:34" hidden="1" outlineLevel="1" x14ac:dyDescent="0.35">
      <c r="A225" s="63"/>
      <c r="B225" s="63" t="s">
        <v>117</v>
      </c>
      <c r="C225" s="99" t="str">
        <f>'Risk Assumptions'!F26</f>
        <v>#</v>
      </c>
      <c r="D225" s="83">
        <f>'Risk Assumptions'!G26</f>
        <v>84</v>
      </c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</row>
    <row r="226" spans="1:34" hidden="1" outlineLevel="1" x14ac:dyDescent="0.35">
      <c r="A226" s="63"/>
      <c r="B226" s="63" t="s">
        <v>120</v>
      </c>
      <c r="C226" s="99" t="str">
        <f>'Risk Assumptions'!F28</f>
        <v>$ June 2024</v>
      </c>
      <c r="D226" s="83">
        <f>'Risk Assumptions'!G28</f>
        <v>160000</v>
      </c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</row>
    <row r="227" spans="1:34" hidden="1" outlineLevel="1" x14ac:dyDescent="0.35">
      <c r="A227" s="63"/>
      <c r="B227" s="63" t="s">
        <v>185</v>
      </c>
      <c r="C227" s="100" t="str">
        <f>'Risk Assumptions'!F24</f>
        <v>%</v>
      </c>
      <c r="D227" s="84">
        <f>'Risk Assumptions'!G24</f>
        <v>0.02</v>
      </c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</row>
    <row r="228" spans="1:34" hidden="1" outlineLevel="1" x14ac:dyDescent="0.35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</row>
    <row r="229" spans="1:34" hidden="1" outlineLevel="1" x14ac:dyDescent="0.35">
      <c r="A229" s="63"/>
      <c r="B229" s="86"/>
      <c r="C229" s="112"/>
      <c r="D229" s="86"/>
      <c r="E229" s="86"/>
      <c r="F229" s="86"/>
      <c r="G229" s="86"/>
      <c r="H229" s="103" t="s">
        <v>20</v>
      </c>
      <c r="I229" s="69" t="s">
        <v>23</v>
      </c>
      <c r="J229" s="69" t="s">
        <v>24</v>
      </c>
      <c r="K229" s="69" t="s">
        <v>25</v>
      </c>
      <c r="L229" s="69" t="s">
        <v>26</v>
      </c>
      <c r="M229" s="69" t="s">
        <v>27</v>
      </c>
      <c r="N229" s="69" t="s">
        <v>56</v>
      </c>
      <c r="O229" s="69" t="s">
        <v>57</v>
      </c>
      <c r="P229" s="69" t="s">
        <v>58</v>
      </c>
      <c r="Q229" s="69" t="s">
        <v>59</v>
      </c>
      <c r="R229" s="69" t="s">
        <v>60</v>
      </c>
      <c r="S229" s="69" t="s">
        <v>61</v>
      </c>
      <c r="T229" s="69" t="s">
        <v>62</v>
      </c>
      <c r="U229" s="69" t="s">
        <v>63</v>
      </c>
      <c r="V229" s="69" t="s">
        <v>64</v>
      </c>
      <c r="W229" s="69" t="s">
        <v>65</v>
      </c>
      <c r="X229" s="69" t="s">
        <v>66</v>
      </c>
      <c r="Y229" s="69" t="s">
        <v>67</v>
      </c>
      <c r="Z229" s="69" t="s">
        <v>68</v>
      </c>
      <c r="AA229" s="69" t="s">
        <v>69</v>
      </c>
      <c r="AB229" s="69" t="s">
        <v>70</v>
      </c>
      <c r="AC229" s="69" t="s">
        <v>71</v>
      </c>
      <c r="AD229" s="69" t="s">
        <v>72</v>
      </c>
      <c r="AE229" s="69" t="s">
        <v>73</v>
      </c>
      <c r="AF229" s="69" t="s">
        <v>74</v>
      </c>
      <c r="AG229" s="69" t="s">
        <v>75</v>
      </c>
      <c r="AH229" s="63"/>
    </row>
    <row r="230" spans="1:34" hidden="1" outlineLevel="1" x14ac:dyDescent="0.35">
      <c r="A230" s="63"/>
      <c r="B230" s="63" t="str">
        <f>B224</f>
        <v>Reduced field productivity due to suboptimal depot location</v>
      </c>
      <c r="C230" s="111"/>
      <c r="D230" s="63"/>
      <c r="E230" s="63"/>
      <c r="F230" s="63"/>
      <c r="G230" s="63"/>
      <c r="H230" s="104"/>
      <c r="I230" s="102">
        <f>$D225*$D226*$D227</f>
        <v>268800</v>
      </c>
      <c r="J230" s="102">
        <f t="shared" ref="J230:AG230" si="69">$D225*$D226*$D227</f>
        <v>268800</v>
      </c>
      <c r="K230" s="102">
        <f t="shared" si="69"/>
        <v>268800</v>
      </c>
      <c r="L230" s="102">
        <f t="shared" si="69"/>
        <v>268800</v>
      </c>
      <c r="M230" s="102">
        <f t="shared" si="69"/>
        <v>268800</v>
      </c>
      <c r="N230" s="102">
        <f t="shared" si="69"/>
        <v>268800</v>
      </c>
      <c r="O230" s="102">
        <f t="shared" si="69"/>
        <v>268800</v>
      </c>
      <c r="P230" s="102">
        <f t="shared" si="69"/>
        <v>268800</v>
      </c>
      <c r="Q230" s="102">
        <f t="shared" si="69"/>
        <v>268800</v>
      </c>
      <c r="R230" s="102">
        <f t="shared" si="69"/>
        <v>268800</v>
      </c>
      <c r="S230" s="102">
        <f t="shared" si="69"/>
        <v>268800</v>
      </c>
      <c r="T230" s="102">
        <f t="shared" si="69"/>
        <v>268800</v>
      </c>
      <c r="U230" s="102">
        <f t="shared" si="69"/>
        <v>268800</v>
      </c>
      <c r="V230" s="102">
        <f t="shared" si="69"/>
        <v>268800</v>
      </c>
      <c r="W230" s="102">
        <f t="shared" si="69"/>
        <v>268800</v>
      </c>
      <c r="X230" s="102">
        <f t="shared" si="69"/>
        <v>268800</v>
      </c>
      <c r="Y230" s="102">
        <f t="shared" si="69"/>
        <v>268800</v>
      </c>
      <c r="Z230" s="102">
        <f t="shared" si="69"/>
        <v>268800</v>
      </c>
      <c r="AA230" s="102">
        <f t="shared" si="69"/>
        <v>268800</v>
      </c>
      <c r="AB230" s="102">
        <f t="shared" si="69"/>
        <v>268800</v>
      </c>
      <c r="AC230" s="102">
        <f t="shared" si="69"/>
        <v>268800</v>
      </c>
      <c r="AD230" s="102">
        <f t="shared" si="69"/>
        <v>268800</v>
      </c>
      <c r="AE230" s="102">
        <f t="shared" si="69"/>
        <v>268800</v>
      </c>
      <c r="AF230" s="102">
        <f t="shared" si="69"/>
        <v>268800</v>
      </c>
      <c r="AG230" s="102">
        <f t="shared" si="69"/>
        <v>268800</v>
      </c>
      <c r="AH230" s="63"/>
    </row>
    <row r="231" spans="1:34" hidden="1" outlineLevel="1" x14ac:dyDescent="0.35">
      <c r="A231" s="63"/>
      <c r="B231" s="63"/>
      <c r="C231" s="111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</row>
    <row r="232" spans="1:34" hidden="1" outlineLevel="1" x14ac:dyDescent="0.35">
      <c r="A232" s="63"/>
      <c r="B232" s="82" t="s">
        <v>193</v>
      </c>
      <c r="C232" s="113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63"/>
    </row>
    <row r="233" spans="1:34" hidden="1" outlineLevel="1" x14ac:dyDescent="0.35">
      <c r="A233" s="63"/>
      <c r="B233" s="63" t="s">
        <v>108</v>
      </c>
      <c r="C233" s="99" t="str">
        <f>'Risk Assumptions'!F14</f>
        <v>$ June 2024</v>
      </c>
      <c r="D233" s="83">
        <f>'Risk Assumptions'!G14</f>
        <v>144.73644680623994</v>
      </c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</row>
    <row r="234" spans="1:34" hidden="1" outlineLevel="1" x14ac:dyDescent="0.35">
      <c r="A234" s="63"/>
      <c r="B234" s="63" t="s">
        <v>194</v>
      </c>
      <c r="C234" s="99" t="str">
        <f>'Risk Assumptions'!F9</f>
        <v>#</v>
      </c>
      <c r="D234" s="83">
        <f>'Risk Assumptions'!G9</f>
        <v>3753</v>
      </c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</row>
    <row r="235" spans="1:34" hidden="1" outlineLevel="1" x14ac:dyDescent="0.35">
      <c r="A235" s="63"/>
      <c r="B235" s="63" t="s">
        <v>196</v>
      </c>
      <c r="C235" s="100" t="str">
        <f>'Risk Assumptions'!F17</f>
        <v>%</v>
      </c>
      <c r="D235" s="84">
        <f>'Risk Assumptions'!G17</f>
        <v>0.01</v>
      </c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</row>
    <row r="236" spans="1:34" hidden="1" outlineLevel="1" x14ac:dyDescent="0.35">
      <c r="A236" s="63"/>
      <c r="B236" s="63" t="s">
        <v>195</v>
      </c>
      <c r="C236" s="100" t="str">
        <f>'Risk Assumptions'!F10</f>
        <v>%</v>
      </c>
      <c r="D236" s="84">
        <f>'Risk Assumptions'!G10</f>
        <v>2.1555763823805061E-2</v>
      </c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</row>
    <row r="237" spans="1:34" hidden="1" outlineLevel="1" x14ac:dyDescent="0.35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</row>
    <row r="238" spans="1:34" hidden="1" outlineLevel="1" x14ac:dyDescent="0.35">
      <c r="A238" s="63"/>
      <c r="B238" s="86"/>
      <c r="C238" s="86"/>
      <c r="D238" s="86"/>
      <c r="E238" s="86"/>
      <c r="F238" s="86"/>
      <c r="G238" s="86"/>
      <c r="H238" s="103" t="s">
        <v>20</v>
      </c>
      <c r="I238" s="69" t="s">
        <v>23</v>
      </c>
      <c r="J238" s="69" t="s">
        <v>24</v>
      </c>
      <c r="K238" s="69" t="s">
        <v>25</v>
      </c>
      <c r="L238" s="69" t="s">
        <v>26</v>
      </c>
      <c r="M238" s="69" t="s">
        <v>27</v>
      </c>
      <c r="N238" s="69" t="s">
        <v>56</v>
      </c>
      <c r="O238" s="69" t="s">
        <v>57</v>
      </c>
      <c r="P238" s="69" t="s">
        <v>58</v>
      </c>
      <c r="Q238" s="69" t="s">
        <v>59</v>
      </c>
      <c r="R238" s="69" t="s">
        <v>60</v>
      </c>
      <c r="S238" s="69" t="s">
        <v>61</v>
      </c>
      <c r="T238" s="69" t="s">
        <v>62</v>
      </c>
      <c r="U238" s="69" t="s">
        <v>63</v>
      </c>
      <c r="V238" s="69" t="s">
        <v>64</v>
      </c>
      <c r="W238" s="69" t="s">
        <v>65</v>
      </c>
      <c r="X238" s="69" t="s">
        <v>66</v>
      </c>
      <c r="Y238" s="69" t="s">
        <v>67</v>
      </c>
      <c r="Z238" s="69" t="s">
        <v>68</v>
      </c>
      <c r="AA238" s="69" t="s">
        <v>69</v>
      </c>
      <c r="AB238" s="69" t="s">
        <v>70</v>
      </c>
      <c r="AC238" s="69" t="s">
        <v>71</v>
      </c>
      <c r="AD238" s="69" t="s">
        <v>72</v>
      </c>
      <c r="AE238" s="69" t="s">
        <v>73</v>
      </c>
      <c r="AF238" s="69" t="s">
        <v>74</v>
      </c>
      <c r="AG238" s="69" t="s">
        <v>75</v>
      </c>
      <c r="AH238" s="63"/>
    </row>
    <row r="239" spans="1:34" hidden="1" outlineLevel="1" x14ac:dyDescent="0.35">
      <c r="A239" s="63"/>
      <c r="B239" s="63" t="str">
        <f>B232</f>
        <v>Lower reliability performance due to depot location</v>
      </c>
      <c r="C239" s="63"/>
      <c r="D239" s="63"/>
      <c r="E239" s="63"/>
      <c r="F239" s="63"/>
      <c r="G239" s="63"/>
      <c r="H239" s="104">
        <f>D233*D235*D234*(1+D236)^2</f>
        <v>5668.6628575831883</v>
      </c>
      <c r="I239" s="102">
        <f>H239*(1+$D236)</f>
        <v>5790.8552153380278</v>
      </c>
      <c r="J239" s="102">
        <f t="shared" ref="J239:AG239" si="70">I239*(1+$D236)</f>
        <v>5915.6815226977042</v>
      </c>
      <c r="K239" s="102">
        <f t="shared" si="70"/>
        <v>6043.1985564578235</v>
      </c>
      <c r="L239" s="102">
        <f t="shared" si="70"/>
        <v>6173.4643172811884</v>
      </c>
      <c r="M239" s="102">
        <f t="shared" si="70"/>
        <v>6306.53805607919</v>
      </c>
      <c r="N239" s="102">
        <f t="shared" si="70"/>
        <v>6442.4803009618718</v>
      </c>
      <c r="O239" s="102">
        <f t="shared" si="70"/>
        <v>6581.3528847689222</v>
      </c>
      <c r="P239" s="102">
        <f t="shared" si="70"/>
        <v>6723.2189731941189</v>
      </c>
      <c r="Q239" s="102">
        <f t="shared" si="70"/>
        <v>6868.143093516017</v>
      </c>
      <c r="R239" s="102">
        <f t="shared" si="70"/>
        <v>7016.1911639479458</v>
      </c>
      <c r="S239" s="102">
        <f t="shared" si="70"/>
        <v>7167.4305236206756</v>
      </c>
      <c r="T239" s="102">
        <f t="shared" si="70"/>
        <v>7321.9299632113743</v>
      </c>
      <c r="U239" s="102">
        <f t="shared" si="70"/>
        <v>7479.759756232801</v>
      </c>
      <c r="V239" s="102">
        <f t="shared" si="70"/>
        <v>7640.991690996957</v>
      </c>
      <c r="W239" s="102">
        <f t="shared" si="70"/>
        <v>7805.6991032677442</v>
      </c>
      <c r="X239" s="102">
        <f t="shared" si="70"/>
        <v>7973.956909617471</v>
      </c>
      <c r="Y239" s="102">
        <f t="shared" si="70"/>
        <v>8145.8416415023839</v>
      </c>
      <c r="Z239" s="102">
        <f t="shared" si="70"/>
        <v>8321.4314800727261</v>
      </c>
      <c r="AA239" s="102">
        <f t="shared" si="70"/>
        <v>8500.8062917331499</v>
      </c>
      <c r="AB239" s="102">
        <f t="shared" si="70"/>
        <v>8684.0476644696664</v>
      </c>
      <c r="AC239" s="102">
        <f t="shared" si="70"/>
        <v>8871.2389449596412</v>
      </c>
      <c r="AD239" s="102">
        <f t="shared" si="70"/>
        <v>9062.4652764817329</v>
      </c>
      <c r="AE239" s="102">
        <f t="shared" si="70"/>
        <v>9257.8136376430084</v>
      </c>
      <c r="AF239" s="102">
        <f t="shared" si="70"/>
        <v>9457.3728819408425</v>
      </c>
      <c r="AG239" s="102">
        <f t="shared" si="70"/>
        <v>9661.2337781776187</v>
      </c>
      <c r="AH239" s="63"/>
    </row>
    <row r="240" spans="1:34" hidden="1" outlineLevel="1" x14ac:dyDescent="0.35"/>
    <row r="241" spans="1:34" hidden="1" outlineLevel="1" x14ac:dyDescent="0.35"/>
    <row r="242" spans="1:34" collapsed="1" x14ac:dyDescent="0.35">
      <c r="A242" s="63"/>
      <c r="B242" s="86"/>
      <c r="C242" s="86"/>
      <c r="D242" s="86"/>
      <c r="E242" s="86"/>
      <c r="F242" s="86"/>
      <c r="G242" s="86"/>
      <c r="H242" s="69"/>
      <c r="I242" s="69" t="s">
        <v>23</v>
      </c>
      <c r="J242" s="69" t="s">
        <v>24</v>
      </c>
      <c r="K242" s="69" t="s">
        <v>25</v>
      </c>
      <c r="L242" s="69" t="s">
        <v>26</v>
      </c>
      <c r="M242" s="69" t="s">
        <v>27</v>
      </c>
      <c r="N242" s="69" t="s">
        <v>56</v>
      </c>
      <c r="O242" s="69" t="s">
        <v>57</v>
      </c>
      <c r="P242" s="69" t="s">
        <v>58</v>
      </c>
      <c r="Q242" s="69" t="s">
        <v>59</v>
      </c>
      <c r="R242" s="69" t="s">
        <v>60</v>
      </c>
      <c r="S242" s="69" t="s">
        <v>61</v>
      </c>
      <c r="T242" s="69" t="s">
        <v>62</v>
      </c>
      <c r="U242" s="69" t="s">
        <v>63</v>
      </c>
      <c r="V242" s="69" t="s">
        <v>64</v>
      </c>
      <c r="W242" s="69" t="s">
        <v>65</v>
      </c>
      <c r="X242" s="69" t="s">
        <v>66</v>
      </c>
      <c r="Y242" s="69" t="s">
        <v>67</v>
      </c>
      <c r="Z242" s="69" t="s">
        <v>68</v>
      </c>
      <c r="AA242" s="69" t="s">
        <v>69</v>
      </c>
      <c r="AB242" s="69" t="s">
        <v>70</v>
      </c>
      <c r="AC242" s="69" t="s">
        <v>71</v>
      </c>
      <c r="AD242" s="69" t="s">
        <v>72</v>
      </c>
      <c r="AE242" s="69" t="s">
        <v>73</v>
      </c>
      <c r="AF242" s="69" t="s">
        <v>74</v>
      </c>
      <c r="AG242" s="69" t="s">
        <v>75</v>
      </c>
      <c r="AH242" s="63"/>
    </row>
    <row r="243" spans="1:34" x14ac:dyDescent="0.35">
      <c r="A243" s="63"/>
      <c r="B243" s="71" t="str">
        <f>"Total risk due to "&amp;B222</f>
        <v>Total risk due to Suboptimal depot location</v>
      </c>
      <c r="C243" s="63"/>
      <c r="D243" s="63"/>
      <c r="E243" s="63"/>
      <c r="F243" s="63"/>
      <c r="G243" s="63"/>
      <c r="H243" s="102"/>
      <c r="I243" s="102">
        <f t="shared" ref="I243:AG243" si="71">I230+I239</f>
        <v>274590.855215338</v>
      </c>
      <c r="J243" s="102">
        <f t="shared" si="71"/>
        <v>274715.68152269768</v>
      </c>
      <c r="K243" s="102">
        <f t="shared" si="71"/>
        <v>274843.19855645782</v>
      </c>
      <c r="L243" s="102">
        <f t="shared" si="71"/>
        <v>274973.46431728121</v>
      </c>
      <c r="M243" s="102">
        <f t="shared" si="71"/>
        <v>275106.53805607918</v>
      </c>
      <c r="N243" s="102">
        <f t="shared" si="71"/>
        <v>275242.48030096188</v>
      </c>
      <c r="O243" s="102">
        <f t="shared" si="71"/>
        <v>275381.35288476892</v>
      </c>
      <c r="P243" s="102">
        <f t="shared" si="71"/>
        <v>275523.21897319413</v>
      </c>
      <c r="Q243" s="102">
        <f t="shared" si="71"/>
        <v>275668.143093516</v>
      </c>
      <c r="R243" s="102">
        <f t="shared" si="71"/>
        <v>275816.19116394792</v>
      </c>
      <c r="S243" s="102">
        <f t="shared" si="71"/>
        <v>275967.43052362069</v>
      </c>
      <c r="T243" s="102">
        <f t="shared" si="71"/>
        <v>276121.92996321135</v>
      </c>
      <c r="U243" s="102">
        <f t="shared" si="71"/>
        <v>276279.75975623279</v>
      </c>
      <c r="V243" s="102">
        <f t="shared" si="71"/>
        <v>276440.99169099698</v>
      </c>
      <c r="W243" s="102">
        <f t="shared" si="71"/>
        <v>276605.69910326775</v>
      </c>
      <c r="X243" s="102">
        <f t="shared" si="71"/>
        <v>276773.95690961747</v>
      </c>
      <c r="Y243" s="102">
        <f t="shared" si="71"/>
        <v>276945.8416415024</v>
      </c>
      <c r="Z243" s="102">
        <f t="shared" si="71"/>
        <v>277121.43148007273</v>
      </c>
      <c r="AA243" s="102">
        <f t="shared" si="71"/>
        <v>277300.80629173317</v>
      </c>
      <c r="AB243" s="102">
        <f t="shared" si="71"/>
        <v>277484.04766446969</v>
      </c>
      <c r="AC243" s="102">
        <f t="shared" si="71"/>
        <v>277671.23894495965</v>
      </c>
      <c r="AD243" s="102">
        <f t="shared" si="71"/>
        <v>277862.46527648176</v>
      </c>
      <c r="AE243" s="102">
        <f t="shared" si="71"/>
        <v>278057.813637643</v>
      </c>
      <c r="AF243" s="102">
        <f t="shared" si="71"/>
        <v>278257.37288194086</v>
      </c>
      <c r="AG243" s="102">
        <f t="shared" si="71"/>
        <v>278461.23377817764</v>
      </c>
      <c r="AH243" s="6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8F64-2AE1-4D5D-854F-47BF758A8B33}">
  <sheetPr codeName="Sheet6"/>
  <dimension ref="A1:M54"/>
  <sheetViews>
    <sheetView showGridLines="0" workbookViewId="0">
      <selection activeCell="D49" sqref="D49"/>
    </sheetView>
  </sheetViews>
  <sheetFormatPr defaultRowHeight="13" x14ac:dyDescent="0.3"/>
  <cols>
    <col min="1" max="1" width="8.7265625" style="63"/>
    <col min="2" max="2" width="71.26953125" style="63" bestFit="1" customWidth="1"/>
    <col min="3" max="3" width="9.26953125" style="63" bestFit="1" customWidth="1"/>
    <col min="4" max="4" width="10.453125" style="63" bestFit="1" customWidth="1"/>
    <col min="5" max="5" width="19.453125" style="63" bestFit="1" customWidth="1"/>
    <col min="6" max="6" width="17.1796875" style="63" customWidth="1"/>
    <col min="7" max="8" width="29" style="63" bestFit="1" customWidth="1"/>
    <col min="9" max="9" width="8.7265625" style="63"/>
    <col min="10" max="10" width="9" style="63" bestFit="1" customWidth="1"/>
    <col min="11" max="16384" width="8.7265625" style="63"/>
  </cols>
  <sheetData>
    <row r="1" spans="1:13" s="66" customFormat="1" x14ac:dyDescent="0.3">
      <c r="A1" s="65" t="str">
        <f>business</f>
        <v>Powercor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61" t="s">
        <v>1</v>
      </c>
    </row>
    <row r="2" spans="1:13" s="66" customFormat="1" x14ac:dyDescent="0.3">
      <c r="A2" s="67" t="str">
        <f>model_name</f>
        <v>Geelong depot</v>
      </c>
      <c r="B2" s="68"/>
      <c r="C2" s="68"/>
      <c r="D2" s="68"/>
      <c r="E2" s="68"/>
      <c r="F2" s="68"/>
      <c r="G2" s="68"/>
      <c r="H2" s="68"/>
      <c r="I2" s="32"/>
      <c r="J2" s="32"/>
      <c r="K2" s="32"/>
      <c r="L2" s="32"/>
      <c r="M2" s="62" t="s">
        <v>4</v>
      </c>
    </row>
    <row r="3" spans="1:13" x14ac:dyDescent="0.3">
      <c r="A3" s="63" t="str">
        <f>"All dollar values are in "&amp;TEXT(input_dollars,"$ mmmm yyyy")&amp;" unless otherwise stated"</f>
        <v>All dollar values are in $ June 2024 unless otherwise stated</v>
      </c>
    </row>
    <row r="6" spans="1:13" ht="26" x14ac:dyDescent="0.3">
      <c r="B6" s="69" t="s">
        <v>86</v>
      </c>
      <c r="C6" s="69" t="s">
        <v>87</v>
      </c>
      <c r="D6" s="69" t="s">
        <v>88</v>
      </c>
      <c r="E6" s="70" t="s">
        <v>89</v>
      </c>
      <c r="F6" s="70" t="s">
        <v>102</v>
      </c>
      <c r="G6" s="69" t="s">
        <v>103</v>
      </c>
      <c r="H6" s="69"/>
    </row>
    <row r="7" spans="1:13" x14ac:dyDescent="0.3">
      <c r="B7" s="71" t="s">
        <v>90</v>
      </c>
    </row>
    <row r="8" spans="1:13" x14ac:dyDescent="0.3">
      <c r="B8" s="72" t="s">
        <v>91</v>
      </c>
      <c r="C8" s="73" t="s">
        <v>94</v>
      </c>
      <c r="D8" s="74">
        <v>174101</v>
      </c>
      <c r="E8" s="75" t="b">
        <f t="shared" ref="E8:E11" si="0">AND(LEFT(C8,1)="$",RIGHT(C8,2)&lt;&gt;"24")</f>
        <v>0</v>
      </c>
      <c r="F8" s="75" t="str">
        <f t="shared" ref="F8:F12" si="1">IF(OR(E8,LEFT(C8,1)="$"),"$ June 2024",C8)</f>
        <v>#</v>
      </c>
      <c r="G8" s="74" cm="1">
        <f t="array" ref="G8">IF(E8,D8*INDEX('Reg Assumptions '!$E$23:$K$23,,MATCH(RIGHT(C8,2),RIGHT('Reg Assumptions '!$E$22:$K$22,2),0)),D8)</f>
        <v>174101</v>
      </c>
      <c r="H8" s="83"/>
    </row>
    <row r="9" spans="1:13" x14ac:dyDescent="0.3">
      <c r="B9" s="72" t="s">
        <v>92</v>
      </c>
      <c r="C9" s="73" t="s">
        <v>94</v>
      </c>
      <c r="D9" s="74">
        <v>3753</v>
      </c>
      <c r="E9" s="75" t="b">
        <f t="shared" si="0"/>
        <v>0</v>
      </c>
      <c r="F9" s="75" t="str">
        <f t="shared" si="1"/>
        <v>#</v>
      </c>
      <c r="G9" s="74" cm="1">
        <f t="array" ref="G9">IF(E9,D9*INDEX('Reg Assumptions '!$E$23:$K$23,,MATCH(RIGHT(C9,2),RIGHT('Reg Assumptions '!$E$22:$K$22,2),0)),D9)</f>
        <v>3753</v>
      </c>
      <c r="H9" s="83"/>
    </row>
    <row r="10" spans="1:13" x14ac:dyDescent="0.3">
      <c r="B10" s="72" t="s">
        <v>93</v>
      </c>
      <c r="C10" s="73" t="s">
        <v>95</v>
      </c>
      <c r="D10" s="76">
        <v>2.1555763823805061E-2</v>
      </c>
      <c r="E10" s="75" t="b">
        <f t="shared" si="0"/>
        <v>0</v>
      </c>
      <c r="F10" s="75" t="str">
        <f t="shared" si="1"/>
        <v>%</v>
      </c>
      <c r="G10" s="76" cm="1">
        <f t="array" ref="G10">IF(E10,D10*INDEX('Reg Assumptions '!$E$23:$K$23,,MATCH(RIGHT(C10,2),RIGHT('Reg Assumptions '!$E$22:$K$22,2),0)),D10)</f>
        <v>2.1555763823805061E-2</v>
      </c>
      <c r="H10" s="89"/>
    </row>
    <row r="11" spans="1:13" x14ac:dyDescent="0.3">
      <c r="B11" s="72" t="s">
        <v>96</v>
      </c>
      <c r="C11" s="73" t="s">
        <v>95</v>
      </c>
      <c r="D11" s="76">
        <v>0.1</v>
      </c>
      <c r="E11" s="75" t="b">
        <f t="shared" si="0"/>
        <v>0</v>
      </c>
      <c r="F11" s="75" t="str">
        <f t="shared" si="1"/>
        <v>%</v>
      </c>
      <c r="G11" s="76" cm="1">
        <f t="array" ref="G11">IF(E11,D11*INDEX('Reg Assumptions '!$E$23:$K$23,,MATCH(RIGHT(C11,2),RIGHT('Reg Assumptions '!$E$22:$K$22,2),0)),D11)</f>
        <v>0.1</v>
      </c>
      <c r="H11" s="89"/>
    </row>
    <row r="12" spans="1:13" x14ac:dyDescent="0.3">
      <c r="B12" s="72" t="s">
        <v>97</v>
      </c>
      <c r="C12" s="77" t="s">
        <v>112</v>
      </c>
      <c r="D12" s="74">
        <v>107.10104529616724</v>
      </c>
      <c r="E12" s="75" t="b">
        <f>AND(LEFT(C12,1)="$",RIGHT(C12,2)&lt;&gt;"24")</f>
        <v>0</v>
      </c>
      <c r="F12" s="75" t="str">
        <f t="shared" si="1"/>
        <v>$ June 2024</v>
      </c>
      <c r="G12" s="98" cm="1">
        <f t="array" ref="G12">IF(E12,D12*INDEX('Reg Assumptions '!$E$23:$K$23,,MATCH(RIGHT(C12,2),RIGHT('Reg Assumptions '!$E$22:$K$22,2),0)),D12)</f>
        <v>107.10104529616724</v>
      </c>
      <c r="H12" s="97"/>
    </row>
    <row r="13" spans="1:13" x14ac:dyDescent="0.3">
      <c r="B13" s="71" t="s">
        <v>110</v>
      </c>
    </row>
    <row r="14" spans="1:13" x14ac:dyDescent="0.3">
      <c r="B14" s="72" t="s">
        <v>111</v>
      </c>
      <c r="C14" s="77" t="s">
        <v>112</v>
      </c>
      <c r="D14" s="74">
        <v>144.73644680623994</v>
      </c>
      <c r="E14" s="75" t="b">
        <f>AND(LEFT(C14,1)="$",RIGHT(C14,2)&lt;&gt;"24")</f>
        <v>0</v>
      </c>
      <c r="F14" s="75" t="str">
        <f t="shared" ref="F14:F16" si="2">IF(OR(E14,LEFT(C14,1)="$"),"$ June 2024",C14)</f>
        <v>$ June 2024</v>
      </c>
      <c r="G14" s="74" cm="1">
        <f t="array" ref="G14">IF(E14,D14*INDEX('Reg Assumptions '!$E$23:$K$23,,MATCH(RIGHT(C14,2),RIGHT('Reg Assumptions '!$E$22:$K$22,2),0)),D14)</f>
        <v>144.73644680623994</v>
      </c>
      <c r="H14" s="83"/>
    </row>
    <row r="15" spans="1:13" x14ac:dyDescent="0.3">
      <c r="B15" s="72" t="s">
        <v>123</v>
      </c>
      <c r="C15" s="73" t="s">
        <v>95</v>
      </c>
      <c r="D15" s="76">
        <v>0.03</v>
      </c>
      <c r="E15" s="75" t="b">
        <f t="shared" ref="E15" si="3">AND(LEFT(C15,1)="$",RIGHT(C15,2)&lt;&gt;"24")</f>
        <v>0</v>
      </c>
      <c r="F15" s="75" t="str">
        <f t="shared" si="2"/>
        <v>%</v>
      </c>
      <c r="G15" s="76" cm="1">
        <f t="array" ref="G15">IF(E15,D15*INDEX('Reg Assumptions '!$E$23:$K$23,,MATCH(RIGHT(C15,2),RIGHT('Reg Assumptions '!$E$22:$K$22,2),0)),D15)</f>
        <v>0.03</v>
      </c>
      <c r="H15" s="89"/>
    </row>
    <row r="16" spans="1:13" x14ac:dyDescent="0.3">
      <c r="B16" s="72" t="s">
        <v>190</v>
      </c>
      <c r="C16" s="73" t="s">
        <v>95</v>
      </c>
      <c r="D16" s="76">
        <v>0.02</v>
      </c>
      <c r="E16" s="75" t="b">
        <f t="shared" ref="E16" si="4">AND(LEFT(C16,1)="$",RIGHT(C16,2)&lt;&gt;"24")</f>
        <v>0</v>
      </c>
      <c r="F16" s="75" t="str">
        <f t="shared" si="2"/>
        <v>%</v>
      </c>
      <c r="G16" s="76" cm="1">
        <f t="array" ref="G16">IF(E16,D16*INDEX('Reg Assumptions '!$E$23:$K$23,,MATCH(RIGHT(C16,2),RIGHT('Reg Assumptions '!$E$22:$K$22,2),0)),D16)</f>
        <v>0.02</v>
      </c>
      <c r="H16" s="89"/>
    </row>
    <row r="17" spans="2:8" x14ac:dyDescent="0.3">
      <c r="B17" s="72" t="s">
        <v>191</v>
      </c>
      <c r="C17" s="73" t="s">
        <v>95</v>
      </c>
      <c r="D17" s="76">
        <v>0.01</v>
      </c>
      <c r="E17" s="75" t="b">
        <f t="shared" ref="E17" si="5">AND(LEFT(C17,1)="$",RIGHT(C17,2)&lt;&gt;"24")</f>
        <v>0</v>
      </c>
      <c r="F17" s="75" t="str">
        <f t="shared" ref="F17" si="6">IF(OR(E17,LEFT(C17,1)="$"),"$ June 2024",C17)</f>
        <v>%</v>
      </c>
      <c r="G17" s="76" cm="1">
        <f t="array" ref="G17">IF(E17,D17*INDEX('Reg Assumptions '!$E$23:$K$23,,MATCH(RIGHT(C17,2),RIGHT('Reg Assumptions '!$E$22:$K$22,2),0)),D17)</f>
        <v>0.01</v>
      </c>
      <c r="H17" s="89"/>
    </row>
    <row r="18" spans="2:8" x14ac:dyDescent="0.3">
      <c r="B18" s="71" t="s">
        <v>121</v>
      </c>
    </row>
    <row r="19" spans="2:8" x14ac:dyDescent="0.3">
      <c r="B19" s="72" t="s">
        <v>122</v>
      </c>
      <c r="C19" s="73" t="s">
        <v>95</v>
      </c>
      <c r="D19" s="76">
        <v>0.02</v>
      </c>
      <c r="E19" s="75" t="b">
        <f>AND(LEFT(C19,1)="$",RIGHT(C19,2)&lt;&gt;"24")</f>
        <v>0</v>
      </c>
      <c r="F19" s="75" t="str">
        <f t="shared" ref="F19:F22" si="7">IF(OR(E19,LEFT(C19,1)="$"),"$ June 2024",C19)</f>
        <v>%</v>
      </c>
      <c r="G19" s="76" cm="1">
        <f t="array" ref="G19">IF(E19,D19*INDEX('Reg Assumptions '!$E$23:$K$23,,MATCH(RIGHT(C19,2),RIGHT('Reg Assumptions '!$E$22:$K$22,2),0)),D19)</f>
        <v>0.02</v>
      </c>
      <c r="H19" s="89"/>
    </row>
    <row r="20" spans="2:8" x14ac:dyDescent="0.3">
      <c r="B20" s="72" t="s">
        <v>130</v>
      </c>
      <c r="C20" s="73" t="s">
        <v>95</v>
      </c>
      <c r="D20" s="76">
        <v>0.05</v>
      </c>
      <c r="E20" s="75" t="b">
        <f t="shared" ref="E20" si="8">AND(LEFT(C20,1)="$",RIGHT(C20,2)&lt;&gt;"24")</f>
        <v>0</v>
      </c>
      <c r="F20" s="75" t="str">
        <f t="shared" si="7"/>
        <v>%</v>
      </c>
      <c r="G20" s="76" cm="1">
        <f t="array" ref="G20">IF(E20,D20*INDEX('Reg Assumptions '!$E$23:$K$23,,MATCH(RIGHT(C20,2),RIGHT('Reg Assumptions '!$E$22:$K$22,2),0)),D20)</f>
        <v>0.05</v>
      </c>
      <c r="H20" s="89"/>
    </row>
    <row r="21" spans="2:8" x14ac:dyDescent="0.3">
      <c r="B21" s="72" t="s">
        <v>132</v>
      </c>
      <c r="C21" s="73" t="s">
        <v>95</v>
      </c>
      <c r="D21" s="76">
        <v>0.02</v>
      </c>
      <c r="E21" s="75" t="b">
        <f t="shared" ref="E21:E22" si="9">AND(LEFT(C21,1)="$",RIGHT(C21,2)&lt;&gt;"24")</f>
        <v>0</v>
      </c>
      <c r="F21" s="75" t="str">
        <f t="shared" si="7"/>
        <v>%</v>
      </c>
      <c r="G21" s="76" cm="1">
        <f t="array" ref="G21">IF(E21,D21*INDEX('Reg Assumptions '!$E$23:$K$23,,MATCH(RIGHT(C21,2),RIGHT('Reg Assumptions '!$E$22:$K$22,2),0)),D21)</f>
        <v>0.02</v>
      </c>
      <c r="H21" s="89"/>
    </row>
    <row r="22" spans="2:8" x14ac:dyDescent="0.3">
      <c r="B22" s="72" t="s">
        <v>133</v>
      </c>
      <c r="C22" s="73" t="s">
        <v>95</v>
      </c>
      <c r="D22" s="76">
        <v>0.02</v>
      </c>
      <c r="E22" s="75" t="b">
        <f t="shared" si="9"/>
        <v>0</v>
      </c>
      <c r="F22" s="75" t="str">
        <f t="shared" si="7"/>
        <v>%</v>
      </c>
      <c r="G22" s="76" cm="1">
        <f t="array" ref="G22">IF(E22,D22*INDEX('Reg Assumptions '!$E$23:$K$23,,MATCH(RIGHT(C22,2),RIGHT('Reg Assumptions '!$E$22:$K$22,2),0)),D22)</f>
        <v>0.02</v>
      </c>
      <c r="H22" s="89"/>
    </row>
    <row r="23" spans="2:8" x14ac:dyDescent="0.3">
      <c r="B23" s="72" t="s">
        <v>188</v>
      </c>
      <c r="C23" s="73" t="s">
        <v>95</v>
      </c>
      <c r="D23" s="76">
        <v>0.03</v>
      </c>
      <c r="E23" s="75" t="b">
        <f t="shared" ref="E23:E24" si="10">AND(LEFT(C23,1)="$",RIGHT(C23,2)&lt;&gt;"24")</f>
        <v>0</v>
      </c>
      <c r="F23" s="75" t="str">
        <f t="shared" ref="F23:F24" si="11">IF(OR(E23,LEFT(C23,1)="$"),"$ June 2024",C23)</f>
        <v>%</v>
      </c>
      <c r="G23" s="76" cm="1">
        <f t="array" ref="G23">IF(E23,D23*INDEX('Reg Assumptions '!$E$23:$K$23,,MATCH(RIGHT(C23,2),RIGHT('Reg Assumptions '!$E$22:$K$22,2),0)),D23)</f>
        <v>0.03</v>
      </c>
      <c r="H23" s="89"/>
    </row>
    <row r="24" spans="2:8" x14ac:dyDescent="0.3">
      <c r="B24" s="72" t="s">
        <v>189</v>
      </c>
      <c r="C24" s="73" t="s">
        <v>95</v>
      </c>
      <c r="D24" s="76">
        <v>0.02</v>
      </c>
      <c r="E24" s="75" t="b">
        <f t="shared" si="10"/>
        <v>0</v>
      </c>
      <c r="F24" s="75" t="str">
        <f t="shared" si="11"/>
        <v>%</v>
      </c>
      <c r="G24" s="76" cm="1">
        <f t="array" ref="G24">IF(E24,D24*INDEX('Reg Assumptions '!$E$23:$K$23,,MATCH(RIGHT(C24,2),RIGHT('Reg Assumptions '!$E$22:$K$22,2),0)),D24)</f>
        <v>0.02</v>
      </c>
      <c r="H24" s="89"/>
    </row>
    <row r="25" spans="2:8" x14ac:dyDescent="0.3">
      <c r="B25" s="71" t="s">
        <v>115</v>
      </c>
    </row>
    <row r="26" spans="2:8" x14ac:dyDescent="0.3">
      <c r="B26" s="72" t="s">
        <v>118</v>
      </c>
      <c r="C26" s="73" t="s">
        <v>94</v>
      </c>
      <c r="D26" s="74">
        <v>84</v>
      </c>
      <c r="E26" s="75" t="b">
        <f t="shared" ref="E26:E27" si="12">AND(LEFT(C26,1)="$",RIGHT(C26,2)&lt;&gt;"24")</f>
        <v>0</v>
      </c>
      <c r="F26" s="75" t="str">
        <f t="shared" ref="F26:F28" si="13">IF(OR(E26,LEFT(C26,1)="$"),"$ June 2024",C26)</f>
        <v>#</v>
      </c>
      <c r="G26" s="74" cm="1">
        <f t="array" ref="G26">IF(E26,D26*INDEX('Reg Assumptions '!$E$23:$K$23,,MATCH(RIGHT(C26,2),RIGHT('Reg Assumptions '!$E$22:$K$22,2),0)),D26)</f>
        <v>84</v>
      </c>
      <c r="H26" s="83"/>
    </row>
    <row r="27" spans="2:8" x14ac:dyDescent="0.3">
      <c r="B27" s="72" t="s">
        <v>119</v>
      </c>
      <c r="C27" s="73" t="s">
        <v>94</v>
      </c>
      <c r="D27" s="74">
        <v>258</v>
      </c>
      <c r="E27" s="75" t="b">
        <f t="shared" si="12"/>
        <v>0</v>
      </c>
      <c r="F27" s="75" t="str">
        <f t="shared" si="13"/>
        <v>#</v>
      </c>
      <c r="G27" s="74" cm="1">
        <f t="array" ref="G27">IF(E27,D27*INDEX('Reg Assumptions '!$E$23:$K$23,,MATCH(RIGHT(C27,2),RIGHT('Reg Assumptions '!$E$22:$K$22,2),0)),D27)</f>
        <v>258</v>
      </c>
      <c r="H27" s="83"/>
    </row>
    <row r="28" spans="2:8" x14ac:dyDescent="0.3">
      <c r="B28" s="72" t="s">
        <v>116</v>
      </c>
      <c r="C28" s="77" t="s">
        <v>112</v>
      </c>
      <c r="D28" s="74">
        <v>160000</v>
      </c>
      <c r="E28" s="75" t="b">
        <f>AND(LEFT(C28,1)="$",RIGHT(C28,2)&lt;&gt;"24")</f>
        <v>0</v>
      </c>
      <c r="F28" s="75" t="str">
        <f t="shared" si="13"/>
        <v>$ June 2024</v>
      </c>
      <c r="G28" s="74" cm="1">
        <f t="array" ref="G28">IF(E28,D28*INDEX('Reg Assumptions '!$E$23:$K$23,,MATCH(RIGHT(C28,2),RIGHT('Reg Assumptions '!$E$22:$K$22,2),0)),D28)</f>
        <v>160000</v>
      </c>
      <c r="H28" s="83"/>
    </row>
    <row r="29" spans="2:8" x14ac:dyDescent="0.3">
      <c r="B29" s="71" t="s">
        <v>160</v>
      </c>
    </row>
    <row r="30" spans="2:8" x14ac:dyDescent="0.3">
      <c r="B30" s="72" t="s">
        <v>168</v>
      </c>
      <c r="C30" s="73" t="s">
        <v>94</v>
      </c>
      <c r="D30" s="74">
        <v>2</v>
      </c>
      <c r="E30" s="75" t="b">
        <f t="shared" ref="E30" si="14">AND(LEFT(C30,1)="$",RIGHT(C30,2)&lt;&gt;"24")</f>
        <v>0</v>
      </c>
      <c r="F30" s="75" t="str">
        <f>IF(E30,"$ June 2024",C30)</f>
        <v>#</v>
      </c>
      <c r="G30" s="74" cm="1">
        <f t="array" ref="G30">IF(E30,D30*INDEX('Reg Assumptions '!$E$23:$K$23,,MATCH(RIGHT(C30,2),RIGHT('Reg Assumptions '!$E$22:$K$22,2),0)),D30)</f>
        <v>2</v>
      </c>
      <c r="H30" s="83"/>
    </row>
    <row r="31" spans="2:8" x14ac:dyDescent="0.3">
      <c r="B31" s="72" t="s">
        <v>126</v>
      </c>
      <c r="C31" s="77" t="s">
        <v>112</v>
      </c>
      <c r="D31" s="74">
        <v>24000</v>
      </c>
      <c r="E31" s="75" t="b">
        <f>AND(LEFT(C31,1)="$",RIGHT(C31,2)&lt;&gt;"24")</f>
        <v>0</v>
      </c>
      <c r="F31" s="75" t="str">
        <f>IF(OR(E31,LEFT(C31,1)="$"),"$ June 2024",C31)</f>
        <v>$ June 2024</v>
      </c>
      <c r="G31" s="74" cm="1">
        <f t="array" ref="G31">IF(E31,D31*INDEX('Reg Assumptions '!$E$23:$K$23,,MATCH(RIGHT(C31,2),RIGHT('Reg Assumptions '!$E$22:$K$22,2),0)),D31)</f>
        <v>24000</v>
      </c>
      <c r="H31" s="83"/>
    </row>
    <row r="32" spans="2:8" x14ac:dyDescent="0.3">
      <c r="B32" s="72" t="s">
        <v>139</v>
      </c>
      <c r="C32" s="77" t="s">
        <v>112</v>
      </c>
      <c r="D32" s="74">
        <v>850000</v>
      </c>
      <c r="E32" s="75" t="b">
        <f>AND(LEFT(C32,1)="$",RIGHT(C32,2)&lt;&gt;"24")</f>
        <v>0</v>
      </c>
      <c r="F32" s="75" t="str">
        <f t="shared" ref="F32:F35" si="15">IF(OR(E32,LEFT(C32,1)="$"),"$ June 2024",C32)</f>
        <v>$ June 2024</v>
      </c>
      <c r="G32" s="74" cm="1">
        <f t="array" ref="G32">IF(E32,D32*INDEX('Reg Assumptions '!$E$23:$K$23,,MATCH(RIGHT(C32,2),RIGHT('Reg Assumptions '!$E$22:$K$22,2),0)),D32)</f>
        <v>850000</v>
      </c>
      <c r="H32" s="83"/>
    </row>
    <row r="33" spans="2:8" x14ac:dyDescent="0.3">
      <c r="B33" s="72" t="s">
        <v>140</v>
      </c>
      <c r="C33" s="77" t="s">
        <v>112</v>
      </c>
      <c r="D33" s="74">
        <v>85000</v>
      </c>
      <c r="E33" s="75" t="b">
        <f>AND(LEFT(C33,1)="$",RIGHT(C33,2)&lt;&gt;"24")</f>
        <v>0</v>
      </c>
      <c r="F33" s="75" t="str">
        <f t="shared" si="15"/>
        <v>$ June 2024</v>
      </c>
      <c r="G33" s="74" cm="1">
        <f t="array" ref="G33">IF(E33,D33*INDEX('Reg Assumptions '!$E$23:$K$23,,MATCH(RIGHT(C33,2),RIGHT('Reg Assumptions '!$E$22:$K$22,2),0)),D33)</f>
        <v>85000</v>
      </c>
      <c r="H33" s="83"/>
    </row>
    <row r="34" spans="2:8" x14ac:dyDescent="0.3">
      <c r="B34" s="72" t="s">
        <v>153</v>
      </c>
      <c r="C34" s="77" t="s">
        <v>112</v>
      </c>
      <c r="D34" s="74">
        <v>280000</v>
      </c>
      <c r="E34" s="75" t="b">
        <f t="shared" ref="E34" si="16">AND(LEFT(C34,1)="$",RIGHT(C34,2)&lt;&gt;"24")</f>
        <v>0</v>
      </c>
      <c r="F34" s="75" t="str">
        <f t="shared" si="15"/>
        <v>$ June 2024</v>
      </c>
      <c r="G34" s="74" cm="1">
        <f t="array" ref="G34">IF(E34,D34*INDEX('Reg Assumptions '!$E$23:$K$23,,MATCH(RIGHT(C34,2),RIGHT('Reg Assumptions '!$E$22:$K$22,2),0)),D34)</f>
        <v>280000</v>
      </c>
      <c r="H34" s="83"/>
    </row>
    <row r="35" spans="2:8" x14ac:dyDescent="0.3">
      <c r="B35" s="72" t="s">
        <v>165</v>
      </c>
      <c r="C35" s="77" t="s">
        <v>112</v>
      </c>
      <c r="D35" s="74">
        <v>340000</v>
      </c>
      <c r="E35" s="75" t="b">
        <f t="shared" ref="E35" si="17">AND(LEFT(C35,1)="$",RIGHT(C35,2)&lt;&gt;"24")</f>
        <v>0</v>
      </c>
      <c r="F35" s="75" t="str">
        <f t="shared" si="15"/>
        <v>$ June 2024</v>
      </c>
      <c r="G35" s="74" cm="1">
        <f t="array" ref="G35">IF(E35,D35*INDEX('Reg Assumptions '!$E$23:$K$23,,MATCH(RIGHT(C35,2),RIGHT('Reg Assumptions '!$E$22:$K$22,2),0)),D35)</f>
        <v>340000</v>
      </c>
      <c r="H35" s="83"/>
    </row>
    <row r="36" spans="2:8" x14ac:dyDescent="0.3">
      <c r="B36" s="71" t="s">
        <v>135</v>
      </c>
    </row>
    <row r="37" spans="2:8" x14ac:dyDescent="0.3">
      <c r="B37" s="72" t="s">
        <v>136</v>
      </c>
      <c r="C37" s="77" t="s">
        <v>220</v>
      </c>
      <c r="D37" s="74">
        <v>5300000</v>
      </c>
      <c r="E37" s="75" t="b">
        <f>AND(LEFT(C37,1)="$",RIGHT(C37,2)&lt;&gt;"24")</f>
        <v>1</v>
      </c>
      <c r="F37" s="75" t="str">
        <f t="shared" ref="F37" si="18">IF(E37,"$ June 2024",C37)</f>
        <v>$ June 2024</v>
      </c>
      <c r="G37" s="74" cm="1">
        <f t="array" ref="G37">IF(E37,D37*INDEX('Reg Assumptions '!$E$23:$K$23,,MATCH(RIGHT(C37,2),RIGHT('Reg Assumptions '!$E$22:$K$22,2),0)),D37)</f>
        <v>5940414.4210879449</v>
      </c>
      <c r="H37" s="83"/>
    </row>
    <row r="38" spans="2:8" x14ac:dyDescent="0.3">
      <c r="B38" s="72" t="s">
        <v>137</v>
      </c>
      <c r="C38" s="73"/>
      <c r="D38" s="74">
        <v>3</v>
      </c>
      <c r="E38" s="75" t="b">
        <f t="shared" ref="E38" si="19">AND(LEFT(C38,1)="$",RIGHT(C38,2)&lt;&gt;"24")</f>
        <v>0</v>
      </c>
      <c r="F38" s="75"/>
      <c r="G38" s="74" cm="1">
        <f t="array" ref="G38">IF(E38,D38*INDEX('Reg Assumptions '!$E$23:$K$23,,MATCH(RIGHT(C38,2),RIGHT('Reg Assumptions '!$E$22:$K$22,2),0)),D38)</f>
        <v>3</v>
      </c>
      <c r="H38" s="83"/>
    </row>
    <row r="39" spans="2:8" x14ac:dyDescent="0.3">
      <c r="B39" s="72" t="s">
        <v>141</v>
      </c>
      <c r="C39" s="73" t="s">
        <v>95</v>
      </c>
      <c r="D39" s="76">
        <v>7.4999999999999997E-3</v>
      </c>
      <c r="E39" s="75" t="b">
        <f>AND(LEFT(C39,1)="$",RIGHT(C39,2)&lt;&gt;"24")</f>
        <v>0</v>
      </c>
      <c r="F39" s="75" t="str">
        <f t="shared" ref="F39:F42" si="20">IF(OR(E39,LEFT(C39,1)="$"),"$ June 2024",C39)</f>
        <v>%</v>
      </c>
      <c r="G39" s="76" cm="1">
        <f t="array" ref="G39">IF(E39,D39*INDEX('Reg Assumptions '!$E$23:$K$23,,MATCH(RIGHT(C39,2),RIGHT('Reg Assumptions '!$E$22:$K$22,2),0)),D39)</f>
        <v>7.4999999999999997E-3</v>
      </c>
      <c r="H39" s="89"/>
    </row>
    <row r="40" spans="2:8" x14ac:dyDescent="0.3">
      <c r="B40" s="72" t="s">
        <v>138</v>
      </c>
      <c r="C40" s="73" t="s">
        <v>95</v>
      </c>
      <c r="D40" s="76">
        <v>0.01</v>
      </c>
      <c r="E40" s="75" t="b">
        <f t="shared" ref="E40" si="21">AND(LEFT(C40,1)="$",RIGHT(C40,2)&lt;&gt;"24")</f>
        <v>0</v>
      </c>
      <c r="F40" s="75" t="str">
        <f t="shared" si="20"/>
        <v>%</v>
      </c>
      <c r="G40" s="76" cm="1">
        <f t="array" ref="G40">IF(E40,D40*INDEX('Reg Assumptions '!$E$23:$K$23,,MATCH(RIGHT(C40,2),RIGHT('Reg Assumptions '!$E$22:$K$22,2),0)),D40)</f>
        <v>0.01</v>
      </c>
      <c r="H40" s="89"/>
    </row>
    <row r="41" spans="2:8" x14ac:dyDescent="0.3">
      <c r="B41" s="72" t="s">
        <v>154</v>
      </c>
      <c r="C41" s="73" t="s">
        <v>95</v>
      </c>
      <c r="D41" s="76">
        <v>0.01</v>
      </c>
      <c r="E41" s="75" t="b">
        <f>AND(LEFT(C41,1)="$",RIGHT(C41,2)&lt;&gt;"24")</f>
        <v>0</v>
      </c>
      <c r="F41" s="75" t="str">
        <f t="shared" si="20"/>
        <v>%</v>
      </c>
      <c r="G41" s="76" cm="1">
        <f t="array" ref="G41">IF(E41,D41*INDEX('Reg Assumptions '!$E$23:$K$23,,MATCH(RIGHT(C41,2),RIGHT('Reg Assumptions '!$E$22:$K$22,2),0)),D41)</f>
        <v>0.01</v>
      </c>
      <c r="H41" s="89"/>
    </row>
    <row r="42" spans="2:8" x14ac:dyDescent="0.3">
      <c r="B42" s="72" t="s">
        <v>166</v>
      </c>
      <c r="C42" s="77" t="s">
        <v>112</v>
      </c>
      <c r="D42" s="74">
        <v>570000</v>
      </c>
      <c r="E42" s="75" t="b">
        <f>AND(LEFT(C42,1)="$",RIGHT(C42,2)&lt;&gt;"24")</f>
        <v>0</v>
      </c>
      <c r="F42" s="75" t="str">
        <f t="shared" si="20"/>
        <v>$ June 2024</v>
      </c>
      <c r="G42" s="74" cm="1">
        <f t="array" ref="G42">IF(E42,D42*INDEX('Reg Assumptions '!$E$23:$K$23,,MATCH(RIGHT(C42,2),RIGHT('Reg Assumptions '!$E$22:$K$22,2),0)),D42)</f>
        <v>570000</v>
      </c>
      <c r="H42" s="83"/>
    </row>
    <row r="43" spans="2:8" x14ac:dyDescent="0.3">
      <c r="B43" s="71" t="s">
        <v>161</v>
      </c>
    </row>
    <row r="44" spans="2:8" x14ac:dyDescent="0.3">
      <c r="B44" s="72" t="s">
        <v>162</v>
      </c>
      <c r="C44" s="73" t="s">
        <v>95</v>
      </c>
      <c r="D44" s="76">
        <v>8.0000000000000002E-3</v>
      </c>
      <c r="E44" s="75" t="b">
        <f t="shared" ref="E44:E45" si="22">AND(LEFT(C44,1)="$",RIGHT(C44,2)&lt;&gt;"24")</f>
        <v>0</v>
      </c>
      <c r="F44" s="75" t="str">
        <f t="shared" ref="F44:F46" si="23">IF(OR(E44,LEFT(C44,1)="$"),"$ June 2024",C44)</f>
        <v>%</v>
      </c>
      <c r="G44" s="76" cm="1">
        <f t="array" ref="G44">IF(E44,D44*INDEX('Reg Assumptions '!$E$23:$K$23,,MATCH(RIGHT(C44,2),RIGHT('Reg Assumptions '!$E$22:$K$22,2),0)),D44)</f>
        <v>8.0000000000000002E-3</v>
      </c>
      <c r="H44" s="89"/>
    </row>
    <row r="45" spans="2:8" x14ac:dyDescent="0.3">
      <c r="B45" s="72" t="s">
        <v>163</v>
      </c>
      <c r="C45" s="73" t="s">
        <v>94</v>
      </c>
      <c r="D45" s="74">
        <f>114/14</f>
        <v>8.1428571428571423</v>
      </c>
      <c r="E45" s="75" t="b">
        <f t="shared" si="22"/>
        <v>0</v>
      </c>
      <c r="F45" s="75" t="str">
        <f t="shared" si="23"/>
        <v>#</v>
      </c>
      <c r="G45" s="74" cm="1">
        <f t="array" ref="G45">IF(E45,D45*INDEX('Reg Assumptions '!$E$23:$K$23,,MATCH(RIGHT(C45,2),RIGHT('Reg Assumptions '!$E$22:$K$22,2),0)),D45)</f>
        <v>8.1428571428571423</v>
      </c>
      <c r="H45" s="83"/>
    </row>
    <row r="46" spans="2:8" x14ac:dyDescent="0.3">
      <c r="B46" s="72" t="s">
        <v>164</v>
      </c>
      <c r="C46" s="77" t="s">
        <v>112</v>
      </c>
      <c r="D46" s="74">
        <v>15000</v>
      </c>
      <c r="E46" s="75" t="b">
        <f>AND(LEFT(C46,1)="$",RIGHT(C46,2)&lt;&gt;"24")</f>
        <v>0</v>
      </c>
      <c r="F46" s="75" t="str">
        <f t="shared" si="23"/>
        <v>$ June 2024</v>
      </c>
      <c r="G46" s="74" cm="1">
        <f t="array" ref="G46">IF(E46,D46*INDEX('Reg Assumptions '!$E$23:$K$23,,MATCH(RIGHT(C46,2),RIGHT('Reg Assumptions '!$E$22:$K$22,2),0)),D46)</f>
        <v>15000</v>
      </c>
      <c r="H46" s="83"/>
    </row>
    <row r="47" spans="2:8" x14ac:dyDescent="0.3">
      <c r="B47" s="71" t="s">
        <v>173</v>
      </c>
    </row>
    <row r="48" spans="2:8" x14ac:dyDescent="0.3">
      <c r="B48" s="72" t="s">
        <v>174</v>
      </c>
      <c r="C48" s="73" t="s">
        <v>95</v>
      </c>
      <c r="D48" s="76">
        <v>2E-3</v>
      </c>
      <c r="E48" s="75" t="b">
        <f t="shared" ref="E48:E49" si="24">AND(LEFT(C48,1)="$",RIGHT(C48,2)&lt;&gt;"24")</f>
        <v>0</v>
      </c>
      <c r="F48" s="75" t="str">
        <f t="shared" ref="F48:F54" si="25">IF(OR(E48,LEFT(C48,1)="$"),"$ June 2024",C48)</f>
        <v>%</v>
      </c>
      <c r="G48" s="76" cm="1">
        <f t="array" ref="G48">IF(E48,D48*INDEX('Reg Assumptions '!$E$23:$K$23,,MATCH(RIGHT(C48,2),RIGHT('Reg Assumptions '!$E$22:$K$22,2),0)),D48)</f>
        <v>2E-3</v>
      </c>
      <c r="H48" s="89"/>
    </row>
    <row r="49" spans="2:8" x14ac:dyDescent="0.3">
      <c r="B49" s="72" t="s">
        <v>175</v>
      </c>
      <c r="C49" s="77" t="s">
        <v>112</v>
      </c>
      <c r="D49" s="74">
        <v>250000</v>
      </c>
      <c r="E49" s="75" t="b">
        <f t="shared" si="24"/>
        <v>0</v>
      </c>
      <c r="F49" s="75" t="str">
        <f t="shared" si="25"/>
        <v>$ June 2024</v>
      </c>
      <c r="G49" s="74" cm="1">
        <f t="array" ref="G49">IF(E49,D49*INDEX('Reg Assumptions '!$E$23:$K$23,,MATCH(RIGHT(C49,2),RIGHT('Reg Assumptions '!$E$22:$K$22,2),0)),D49)</f>
        <v>250000</v>
      </c>
      <c r="H49" s="83"/>
    </row>
    <row r="50" spans="2:8" x14ac:dyDescent="0.3">
      <c r="B50" s="72" t="s">
        <v>176</v>
      </c>
      <c r="C50" s="73" t="s">
        <v>94</v>
      </c>
      <c r="D50" s="74">
        <v>2</v>
      </c>
      <c r="E50" s="75" t="b">
        <f>AND(LEFT(C50,1)="$",RIGHT(C50,2)&lt;&gt;"24")</f>
        <v>0</v>
      </c>
      <c r="F50" s="75" t="str">
        <f t="shared" si="25"/>
        <v>#</v>
      </c>
      <c r="G50" s="74" cm="1">
        <f t="array" ref="G50">IF(E50,D50*INDEX('Reg Assumptions '!$E$23:$K$23,,MATCH(RIGHT(C50,2),RIGHT('Reg Assumptions '!$E$22:$K$22,2),0)),D50)</f>
        <v>2</v>
      </c>
      <c r="H50" s="83"/>
    </row>
    <row r="51" spans="2:8" x14ac:dyDescent="0.3">
      <c r="B51" s="72" t="s">
        <v>177</v>
      </c>
      <c r="C51" s="77" t="s">
        <v>112</v>
      </c>
      <c r="D51" s="74">
        <v>6000</v>
      </c>
      <c r="E51" s="75" t="b">
        <f>AND(LEFT(C51,1)="$",RIGHT(C51,2)&lt;&gt;"24")</f>
        <v>0</v>
      </c>
      <c r="F51" s="75" t="str">
        <f t="shared" si="25"/>
        <v>$ June 2024</v>
      </c>
      <c r="G51" s="74" cm="1">
        <f t="array" ref="G51">IF(E51,D51*INDEX('Reg Assumptions '!$E$23:$K$23,,MATCH(RIGHT(C51,2),RIGHT('Reg Assumptions '!$E$22:$K$22,2),0)),D51)</f>
        <v>6000</v>
      </c>
      <c r="H51" s="83"/>
    </row>
    <row r="52" spans="2:8" x14ac:dyDescent="0.3">
      <c r="B52" s="72" t="s">
        <v>178</v>
      </c>
      <c r="C52" s="77" t="s">
        <v>112</v>
      </c>
      <c r="D52" s="74">
        <v>575000</v>
      </c>
      <c r="E52" s="75" t="b">
        <f>AND(LEFT(C52,1)="$",RIGHT(C52,2)&lt;&gt;"24")</f>
        <v>0</v>
      </c>
      <c r="F52" s="75" t="str">
        <f t="shared" si="25"/>
        <v>$ June 2024</v>
      </c>
      <c r="G52" s="74" cm="1">
        <f t="array" ref="G52">IF(E52,D52*INDEX('Reg Assumptions '!$E$23:$K$23,,MATCH(RIGHT(C52,2),RIGHT('Reg Assumptions '!$E$22:$K$22,2),0)),D52)</f>
        <v>575000</v>
      </c>
      <c r="H52" s="83"/>
    </row>
    <row r="53" spans="2:8" x14ac:dyDescent="0.3">
      <c r="B53" s="72" t="s">
        <v>179</v>
      </c>
      <c r="C53" s="73" t="s">
        <v>181</v>
      </c>
      <c r="D53" s="74">
        <v>15</v>
      </c>
      <c r="E53" s="75" t="b">
        <f>AND(LEFT(C53,1)="$",RIGHT(C53,2)&lt;&gt;"24")</f>
        <v>0</v>
      </c>
      <c r="F53" s="75" t="str">
        <f t="shared" si="25"/>
        <v>years</v>
      </c>
      <c r="G53" s="74" cm="1">
        <f t="array" ref="G53">IF(E53,D53*INDEX('Reg Assumptions '!$E$23:$K$23,,MATCH(RIGHT(C53,2),RIGHT('Reg Assumptions '!$E$22:$K$22,2),0)),D53)</f>
        <v>15</v>
      </c>
      <c r="H53" s="114"/>
    </row>
    <row r="54" spans="2:8" x14ac:dyDescent="0.3">
      <c r="B54" s="72" t="s">
        <v>180</v>
      </c>
      <c r="C54" s="73" t="s">
        <v>181</v>
      </c>
      <c r="D54" s="74">
        <v>12</v>
      </c>
      <c r="E54" s="75" t="b">
        <f>AND(LEFT(C54,1)="$",RIGHT(C54,2)&lt;&gt;"24")</f>
        <v>0</v>
      </c>
      <c r="F54" s="75" t="str">
        <f t="shared" si="25"/>
        <v>years</v>
      </c>
      <c r="G54" s="74" cm="1">
        <f t="array" ref="G54">IF(E54,D54*INDEX('Reg Assumptions '!$E$23:$K$23,,MATCH(RIGHT(C54,2),RIGHT('Reg Assumptions '!$E$22:$K$22,2),0)),D54)</f>
        <v>12</v>
      </c>
      <c r="H54" s="8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630EB-C321-45BB-AFCD-D61DB74780DD}">
  <sheetPr codeName="Sheet2">
    <tabColor theme="0" tint="-0.499984740745262"/>
    <outlinePr summaryBelow="0" summaryRight="0"/>
  </sheetPr>
  <dimension ref="A1:AF84"/>
  <sheetViews>
    <sheetView showGridLines="0" workbookViewId="0">
      <selection activeCell="A19" sqref="A19"/>
    </sheetView>
  </sheetViews>
  <sheetFormatPr defaultColWidth="9" defaultRowHeight="15" customHeight="1" x14ac:dyDescent="0.35"/>
  <cols>
    <col min="1" max="1" width="22.1796875" style="3" customWidth="1"/>
    <col min="2" max="2" width="16.453125" style="3" customWidth="1"/>
    <col min="3" max="3" width="13" style="3" bestFit="1" customWidth="1"/>
    <col min="4" max="4" width="8.453125" style="3" customWidth="1"/>
    <col min="5" max="7" width="7.453125" style="3" bestFit="1" customWidth="1"/>
    <col min="8" max="8" width="8" style="3" bestFit="1" customWidth="1"/>
    <col min="9" max="9" width="10.1796875" style="3" customWidth="1"/>
    <col min="10" max="16384" width="9" style="3"/>
  </cols>
  <sheetData>
    <row r="1" spans="1:32" ht="15.5" x14ac:dyDescent="0.35">
      <c r="A1" s="4" t="str">
        <f>business</f>
        <v>Powercor</v>
      </c>
      <c r="B1" s="5"/>
      <c r="C1" s="5"/>
      <c r="D1" s="5"/>
      <c r="E1" s="5"/>
      <c r="F1" s="5"/>
      <c r="G1" s="5"/>
      <c r="H1" s="1" t="s">
        <v>0</v>
      </c>
      <c r="I1" s="2" t="s">
        <v>1</v>
      </c>
    </row>
    <row r="2" spans="1:32" ht="15.5" x14ac:dyDescent="0.35">
      <c r="A2" s="7" t="s">
        <v>3</v>
      </c>
      <c r="B2" s="8"/>
      <c r="C2" s="8"/>
      <c r="D2" s="8"/>
      <c r="E2" s="8"/>
      <c r="F2" s="8"/>
      <c r="G2" s="8"/>
      <c r="H2" s="5"/>
      <c r="I2" s="6" t="s">
        <v>2</v>
      </c>
    </row>
    <row r="3" spans="1:32" s="10" customFormat="1" ht="14.5" x14ac:dyDescent="0.35">
      <c r="A3" s="11" t="s">
        <v>5</v>
      </c>
      <c r="B3" s="12" t="s">
        <v>6</v>
      </c>
      <c r="C3" s="11" t="s">
        <v>7</v>
      </c>
      <c r="D3" s="11" t="s">
        <v>8</v>
      </c>
      <c r="E3" s="3"/>
      <c r="F3" s="3"/>
      <c r="G3" s="3"/>
      <c r="H3" s="3"/>
      <c r="I3" s="9" t="s">
        <v>4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4.5" x14ac:dyDescent="0.35">
      <c r="A4" s="11"/>
      <c r="B4" s="12"/>
      <c r="C4" s="11"/>
      <c r="D4" s="11"/>
    </row>
    <row r="5" spans="1:32" ht="14.5" x14ac:dyDescent="0.35">
      <c r="A5" s="13" t="s">
        <v>9</v>
      </c>
      <c r="B5" s="14" t="s">
        <v>10</v>
      </c>
      <c r="C5" s="12"/>
      <c r="D5" s="12"/>
      <c r="E5" s="13"/>
      <c r="F5" s="13"/>
      <c r="G5" s="13"/>
      <c r="H5" s="13"/>
      <c r="I5" s="13"/>
    </row>
    <row r="6" spans="1:32" s="13" customFormat="1" ht="13" x14ac:dyDescent="0.3">
      <c r="A6" s="12"/>
      <c r="B6" s="12"/>
      <c r="C6" s="12"/>
      <c r="D6" s="12"/>
    </row>
    <row r="7" spans="1:32" s="13" customFormat="1" ht="13" x14ac:dyDescent="0.3">
      <c r="A7" s="13" t="s">
        <v>48</v>
      </c>
      <c r="B7" s="15" t="s">
        <v>49</v>
      </c>
      <c r="C7" s="12"/>
      <c r="D7" s="12"/>
    </row>
    <row r="8" spans="1:32" s="13" customFormat="1" ht="13" x14ac:dyDescent="0.3">
      <c r="A8" s="12"/>
      <c r="B8" s="16"/>
      <c r="C8" s="12"/>
      <c r="D8" s="12"/>
    </row>
    <row r="9" spans="1:32" s="13" customFormat="1" ht="13" x14ac:dyDescent="0.3">
      <c r="A9" s="17" t="s">
        <v>11</v>
      </c>
      <c r="B9" s="59">
        <v>45473</v>
      </c>
      <c r="C9" s="60"/>
      <c r="D9" s="12"/>
    </row>
    <row r="10" spans="1:32" s="13" customFormat="1" ht="13" x14ac:dyDescent="0.3">
      <c r="A10" s="17"/>
      <c r="B10" s="18"/>
      <c r="C10" s="12"/>
      <c r="D10" s="12"/>
    </row>
    <row r="11" spans="1:32" s="13" customFormat="1" ht="13" x14ac:dyDescent="0.3">
      <c r="A11" s="17" t="s">
        <v>52</v>
      </c>
      <c r="B11" s="59">
        <v>46203</v>
      </c>
      <c r="C11" s="12"/>
      <c r="D11" s="12"/>
    </row>
    <row r="12" spans="1:32" s="13" customFormat="1" ht="13" x14ac:dyDescent="0.3">
      <c r="A12" s="17"/>
      <c r="B12" s="18"/>
      <c r="C12" s="12"/>
      <c r="D12" s="12"/>
    </row>
    <row r="13" spans="1:32" s="13" customFormat="1" ht="13" x14ac:dyDescent="0.3">
      <c r="A13" s="17"/>
      <c r="B13" s="18"/>
      <c r="C13" s="12"/>
      <c r="D13" s="12"/>
    </row>
    <row r="14" spans="1:32" s="13" customFormat="1" ht="14.5" customHeight="1" x14ac:dyDescent="0.3">
      <c r="A14" s="17" t="s">
        <v>43</v>
      </c>
      <c r="B14" s="15" t="s">
        <v>42</v>
      </c>
      <c r="C14" s="155" t="s">
        <v>44</v>
      </c>
      <c r="D14" s="156"/>
      <c r="E14" s="156"/>
      <c r="F14" s="157"/>
    </row>
    <row r="15" spans="1:32" s="13" customFormat="1" ht="13" x14ac:dyDescent="0.3">
      <c r="A15" s="17"/>
      <c r="B15" s="15" t="s">
        <v>22</v>
      </c>
      <c r="C15" s="155" t="s">
        <v>45</v>
      </c>
      <c r="D15" s="156"/>
      <c r="E15" s="156"/>
      <c r="F15" s="157"/>
    </row>
    <row r="16" spans="1:32" s="13" customFormat="1" ht="13" x14ac:dyDescent="0.3">
      <c r="A16" s="17"/>
      <c r="B16" s="15" t="s">
        <v>39</v>
      </c>
      <c r="C16" s="155" t="s">
        <v>46</v>
      </c>
      <c r="D16" s="156"/>
      <c r="E16" s="156"/>
      <c r="F16" s="157"/>
    </row>
    <row r="17" spans="1:12" s="13" customFormat="1" ht="13" x14ac:dyDescent="0.3">
      <c r="A17" s="17"/>
      <c r="B17" s="18"/>
      <c r="C17" s="12"/>
      <c r="D17" s="12"/>
    </row>
    <row r="18" spans="1:12" s="13" customFormat="1" ht="13" x14ac:dyDescent="0.3">
      <c r="A18" s="17"/>
      <c r="B18" s="18"/>
      <c r="C18" s="12"/>
      <c r="D18" s="12"/>
    </row>
    <row r="19" spans="1:12" s="13" customFormat="1" ht="13" x14ac:dyDescent="0.3">
      <c r="A19" s="17"/>
      <c r="B19" s="18"/>
      <c r="C19" s="12"/>
      <c r="D19" s="12"/>
    </row>
    <row r="20" spans="1:12" s="13" customFormat="1" ht="13" x14ac:dyDescent="0.3">
      <c r="A20" s="18" t="s">
        <v>13</v>
      </c>
      <c r="B20" s="19">
        <v>3.5000000000000003E-2</v>
      </c>
      <c r="C20" s="18"/>
      <c r="D20" s="12"/>
    </row>
    <row r="21" spans="1:12" s="13" customFormat="1" ht="13" x14ac:dyDescent="0.3">
      <c r="A21" s="17"/>
      <c r="B21" s="18"/>
      <c r="C21" s="12"/>
      <c r="D21" s="12"/>
    </row>
    <row r="22" spans="1:12" s="13" customFormat="1" ht="13" x14ac:dyDescent="0.3">
      <c r="A22" s="20" t="s">
        <v>17</v>
      </c>
      <c r="B22" s="20"/>
      <c r="C22" s="20"/>
      <c r="D22" s="21"/>
      <c r="E22" s="22" t="s">
        <v>106</v>
      </c>
      <c r="F22" s="22" t="s">
        <v>105</v>
      </c>
      <c r="G22" s="22" t="s">
        <v>104</v>
      </c>
      <c r="H22" s="22" t="s">
        <v>18</v>
      </c>
      <c r="I22" s="22" t="s">
        <v>12</v>
      </c>
      <c r="J22" s="22" t="s">
        <v>19</v>
      </c>
      <c r="K22" s="22" t="s">
        <v>20</v>
      </c>
      <c r="L22" s="22"/>
    </row>
    <row r="23" spans="1:12" s="13" customFormat="1" ht="14.5" x14ac:dyDescent="0.35">
      <c r="A23" s="23" t="s">
        <v>221</v>
      </c>
      <c r="B23" s="24"/>
      <c r="C23" s="25"/>
      <c r="D23" s="26"/>
      <c r="E23" s="96">
        <v>1.1393728222996515</v>
      </c>
      <c r="F23" s="96">
        <v>1.1256454388984509</v>
      </c>
      <c r="G23" s="96">
        <v>1.1208329096392349</v>
      </c>
      <c r="H23" s="96">
        <v>1.0970174547072133</v>
      </c>
      <c r="I23" s="96">
        <v>1.0384210221730945</v>
      </c>
      <c r="J23" s="96">
        <v>0.98033568003757787</v>
      </c>
      <c r="K23" s="96">
        <v>0.94695863030043814</v>
      </c>
      <c r="L23" s="90"/>
    </row>
    <row r="24" spans="1:12" s="13" customFormat="1" ht="14.5" x14ac:dyDescent="0.35">
      <c r="A24" s="91" t="s">
        <v>222</v>
      </c>
      <c r="B24" s="92"/>
      <c r="C24" s="93"/>
      <c r="D24" s="94"/>
      <c r="E24" s="96">
        <v>1.2211062717770027</v>
      </c>
      <c r="F24" s="96">
        <v>1.2063941480206533</v>
      </c>
      <c r="G24" s="96">
        <v>1.2012363896938592</v>
      </c>
      <c r="H24" s="95">
        <v>1.1757125218136175</v>
      </c>
      <c r="I24" s="96">
        <v>1.1129126464165966</v>
      </c>
      <c r="J24" s="96">
        <v>1.050660524730181</v>
      </c>
      <c r="K24" s="96">
        <v>1.014889156509222</v>
      </c>
      <c r="L24" s="27"/>
    </row>
    <row r="25" spans="1:12" s="13" customFormat="1" ht="13" x14ac:dyDescent="0.3">
      <c r="A25" s="18"/>
      <c r="B25" s="18"/>
      <c r="C25" s="28"/>
      <c r="D25" s="30"/>
      <c r="E25" s="28"/>
      <c r="F25" s="28"/>
      <c r="G25" s="28"/>
      <c r="H25" s="28"/>
      <c r="I25" s="29"/>
    </row>
    <row r="26" spans="1:12" s="18" customFormat="1" ht="13" x14ac:dyDescent="0.3">
      <c r="A26" s="17" t="s">
        <v>21</v>
      </c>
      <c r="C26" s="31">
        <f>INDEX($H$24:$K$24,MATCH(TEXT(input_dollars-365,"yyyy")&amp;"/"&amp;TEXT(input_dollars,"yy"),$H$22:$K$22))</f>
        <v>1.1129126464165966</v>
      </c>
    </row>
    <row r="27" spans="1:12" s="18" customFormat="1" ht="13" x14ac:dyDescent="0.3">
      <c r="A27" s="13"/>
      <c r="B27" s="13"/>
      <c r="C27" s="13"/>
      <c r="D27" s="13"/>
      <c r="E27" s="13"/>
      <c r="F27" s="13"/>
      <c r="G27" s="13"/>
      <c r="H27" s="13"/>
      <c r="I27" s="13"/>
    </row>
    <row r="28" spans="1:12" s="18" customFormat="1" ht="13" x14ac:dyDescent="0.3">
      <c r="A28" s="17"/>
    </row>
    <row r="29" spans="1:12" s="18" customFormat="1" ht="14.5" x14ac:dyDescent="0.35">
      <c r="A29" s="3"/>
      <c r="B29" s="3"/>
      <c r="C29" s="3"/>
      <c r="D29" s="3"/>
      <c r="E29" s="3"/>
      <c r="F29" s="3"/>
      <c r="G29" s="3"/>
      <c r="H29" s="3"/>
      <c r="I29" s="3"/>
    </row>
    <row r="30" spans="1:12" ht="12.75" customHeight="1" x14ac:dyDescent="0.35"/>
    <row r="31" spans="1:12" ht="12.75" customHeight="1" x14ac:dyDescent="0.35">
      <c r="B31" s="63"/>
      <c r="C31" s="63"/>
      <c r="D31" s="63"/>
      <c r="E31" s="102"/>
      <c r="F31" s="102"/>
      <c r="G31" s="154"/>
    </row>
    <row r="32" spans="1:12" ht="12.75" customHeight="1" x14ac:dyDescent="0.35">
      <c r="B32" s="63"/>
      <c r="C32" s="63"/>
      <c r="D32" s="63"/>
      <c r="E32" s="102"/>
      <c r="F32" s="102"/>
      <c r="G32" s="154"/>
    </row>
    <row r="33" spans="2:7" ht="12.75" customHeight="1" x14ac:dyDescent="0.35">
      <c r="B33" s="63"/>
      <c r="C33" s="63"/>
      <c r="D33" s="63"/>
      <c r="E33" s="102"/>
      <c r="F33" s="102"/>
      <c r="G33" s="154"/>
    </row>
    <row r="34" spans="2:7" ht="12.75" customHeight="1" x14ac:dyDescent="0.35">
      <c r="B34" s="63"/>
      <c r="C34" s="63"/>
      <c r="D34" s="63"/>
      <c r="E34" s="102"/>
      <c r="F34" s="102"/>
      <c r="G34" s="154"/>
    </row>
    <row r="35" spans="2:7" ht="12.75" customHeight="1" x14ac:dyDescent="0.35">
      <c r="B35" s="63"/>
      <c r="C35" s="63"/>
      <c r="D35" s="63"/>
      <c r="E35" s="154"/>
      <c r="F35" s="102"/>
      <c r="G35" s="154"/>
    </row>
    <row r="36" spans="2:7" ht="12.75" customHeight="1" x14ac:dyDescent="0.35">
      <c r="B36" s="63"/>
      <c r="C36" s="63"/>
      <c r="D36" s="63"/>
      <c r="E36" s="154"/>
      <c r="F36" s="102"/>
    </row>
    <row r="37" spans="2:7" ht="12.75" customHeight="1" x14ac:dyDescent="0.35">
      <c r="B37" s="63"/>
      <c r="C37" s="63"/>
      <c r="D37" s="63"/>
      <c r="E37" s="154"/>
      <c r="F37" s="102"/>
    </row>
    <row r="38" spans="2:7" ht="12.75" customHeight="1" x14ac:dyDescent="0.35">
      <c r="E38" s="154"/>
    </row>
    <row r="39" spans="2:7" ht="12.75" customHeight="1" x14ac:dyDescent="0.35">
      <c r="E39" s="154"/>
    </row>
    <row r="40" spans="2:7" ht="12.75" customHeight="1" x14ac:dyDescent="0.35"/>
    <row r="41" spans="2:7" ht="12.75" customHeight="1" x14ac:dyDescent="0.35"/>
    <row r="42" spans="2:7" ht="12.75" customHeight="1" x14ac:dyDescent="0.35"/>
    <row r="43" spans="2:7" ht="12.75" customHeight="1" x14ac:dyDescent="0.35"/>
    <row r="44" spans="2:7" ht="12.75" customHeight="1" x14ac:dyDescent="0.35"/>
    <row r="45" spans="2:7" ht="12.75" customHeight="1" x14ac:dyDescent="0.35"/>
    <row r="46" spans="2:7" ht="12.75" customHeight="1" x14ac:dyDescent="0.35"/>
    <row r="47" spans="2:7" ht="12.75" customHeight="1" x14ac:dyDescent="0.35"/>
    <row r="48" spans="2:7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</sheetData>
  <sortState xmlns:xlrd2="http://schemas.microsoft.com/office/spreadsheetml/2017/richdata2" ref="B31:F37">
    <sortCondition descending="1" ref="F31:F37"/>
  </sortState>
  <mergeCells count="3">
    <mergeCell ref="C14:F14"/>
    <mergeCell ref="C15:F15"/>
    <mergeCell ref="C16:F16"/>
  </mergeCells>
  <dataValidations count="1">
    <dataValidation type="list" allowBlank="1" showInputMessage="1" showErrorMessage="1" sqref="B5" xr:uid="{2B617FEC-E3BC-42D6-B441-07D4163472D7}">
      <formula1>"CitiPower, Powercor, United Energy"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F3DE075E473244B5E4386B94160962" ma:contentTypeVersion="4" ma:contentTypeDescription="Create a new document." ma:contentTypeScope="" ma:versionID="1ff23c5059180ba69e5db7c494b4031e">
  <xsd:schema xmlns:xsd="http://www.w3.org/2001/XMLSchema" xmlns:xs="http://www.w3.org/2001/XMLSchema" xmlns:p="http://schemas.microsoft.com/office/2006/metadata/properties" xmlns:ns2="9afa79bc-5a61-40ae-a213-d0d9fd096805" targetNamespace="http://schemas.microsoft.com/office/2006/metadata/properties" ma:root="true" ma:fieldsID="7a168ca6ca0f96ac1ba0d7fea861684e" ns2:_="">
    <xsd:import namespace="9afa79bc-5a61-40ae-a213-d0d9fd0968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a79bc-5a61-40ae-a213-d0d9fd096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8612A2-59A2-4B06-AD67-4EE5995EC9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BE14C9-3327-44A0-ACC7-25452829E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a79bc-5a61-40ae-a213-d0d9fd0968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C2F5AF-639F-4297-852A-6DBA25876ED4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afa79bc-5a61-40ae-a213-d0d9fd0968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Summary</vt:lpstr>
      <vt:lpstr>Options Analysis</vt:lpstr>
      <vt:lpstr>Costs</vt:lpstr>
      <vt:lpstr>Risks</vt:lpstr>
      <vt:lpstr>Risk Assumptions</vt:lpstr>
      <vt:lpstr>Reg Assumptions </vt:lpstr>
      <vt:lpstr>business</vt:lpstr>
      <vt:lpstr>esc_24_26</vt:lpstr>
      <vt:lpstr>input_dollars</vt:lpstr>
      <vt:lpstr>model_name</vt:lpstr>
      <vt:lpstr>output_dollars</vt:lpstr>
      <vt:lpstr>pref_option</vt:lpstr>
      <vt:lpstr>real_disc</vt:lpstr>
    </vt:vector>
  </TitlesOfParts>
  <Company>CHED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Gibson, Jessica</dc:creator>
  <cp:lastModifiedBy>Gibson, Jessica</cp:lastModifiedBy>
  <dcterms:created xsi:type="dcterms:W3CDTF">2025-01-27T00:00:55Z</dcterms:created>
  <dcterms:modified xsi:type="dcterms:W3CDTF">2025-01-29T04:54:15Z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0x010100E9F3DE075E473244B5E4386B94160962</vt:lpwstr>
  </property>
</Properties>
</file>