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filterPrivacy="1" codeName="ThisWorkbook"/>
  <xr:revisionPtr revIDLastSave="0" documentId="13_ncr:1_{D1A30348-6A6B-45C8-8837-D253A3F11917}" xr6:coauthVersionLast="47" xr6:coauthVersionMax="47" xr10:uidLastSave="{00000000-0000-0000-0000-000000000000}"/>
  <bookViews>
    <workbookView xWindow="28680" yWindow="-105" windowWidth="29040" windowHeight="15720" tabRatio="896" xr2:uid="{00000000-000D-0000-FFFF-FFFF00000000}"/>
  </bookViews>
  <sheets>
    <sheet name="Cover" sheetId="91" r:id="rId1"/>
    <sheet name="PAL summary" sheetId="82" r:id="rId2"/>
    <sheet name="Assumptions" sheetId="74" r:id="rId3"/>
    <sheet name="Option 1" sheetId="79" r:id="rId4"/>
    <sheet name="Option 2" sheetId="90" r:id="rId5"/>
    <sheet name="Option 3" sheetId="89" r:id="rId6"/>
  </sheets>
  <definedNames>
    <definedName name="Business">Assumptions!$B$8</definedName>
    <definedName name="business_case_dollars">Assumptions!$C$37</definedName>
    <definedName name="_xlnm.Print_Area" localSheetId="1">'PAL summary'!$A$1:$J$57</definedName>
    <definedName name="Project_name">Assumptions!$B$6</definedName>
    <definedName name="Real_Discount_rate">Assumptions!$B$10</definedName>
    <definedName name="years" localSheetId="3">'Option 1'!$R$8:$V$8</definedName>
    <definedName name="years" localSheetId="4">'Option 2'!$R$8:$V$8</definedName>
    <definedName name="years" localSheetId="5">'Option 3'!$T$8:$X$8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V96" i="79" l="1"/>
  <c r="U96" i="79"/>
  <c r="T96" i="79"/>
  <c r="S96" i="79"/>
  <c r="R96" i="79"/>
  <c r="V95" i="79"/>
  <c r="U95" i="79"/>
  <c r="T95" i="79"/>
  <c r="S95" i="79"/>
  <c r="R95" i="79"/>
  <c r="V94" i="79"/>
  <c r="U94" i="79"/>
  <c r="T94" i="79"/>
  <c r="S94" i="79"/>
  <c r="R94" i="79"/>
  <c r="V93" i="79"/>
  <c r="U93" i="79"/>
  <c r="T93" i="79"/>
  <c r="S93" i="79"/>
  <c r="R93" i="79"/>
  <c r="V92" i="79"/>
  <c r="U92" i="79"/>
  <c r="T92" i="79"/>
  <c r="S92" i="79"/>
  <c r="R92" i="79"/>
  <c r="V91" i="79"/>
  <c r="U91" i="79"/>
  <c r="T91" i="79"/>
  <c r="S91" i="79"/>
  <c r="R91" i="79"/>
  <c r="V90" i="79"/>
  <c r="U90" i="79"/>
  <c r="T90" i="79"/>
  <c r="S90" i="79"/>
  <c r="R90" i="79"/>
  <c r="V89" i="79"/>
  <c r="U89" i="79"/>
  <c r="T89" i="79"/>
  <c r="S89" i="79"/>
  <c r="R89" i="79"/>
  <c r="C56" i="82"/>
  <c r="C126" i="90"/>
  <c r="W90" i="79" l="1"/>
  <c r="W95" i="79"/>
  <c r="W93" i="79"/>
  <c r="W94" i="79"/>
  <c r="S97" i="79"/>
  <c r="U97" i="79"/>
  <c r="T97" i="79"/>
  <c r="W91" i="79"/>
  <c r="W96" i="79"/>
  <c r="V97" i="79"/>
  <c r="W92" i="79"/>
  <c r="R97" i="79"/>
  <c r="V39" i="90" l="1"/>
  <c r="U39" i="90"/>
  <c r="T39" i="90"/>
  <c r="V38" i="90"/>
  <c r="S38" i="90"/>
  <c r="S93" i="90" s="1"/>
  <c r="R39" i="90"/>
  <c r="R38" i="90"/>
  <c r="R93" i="90" s="1"/>
  <c r="V36" i="90"/>
  <c r="U36" i="90"/>
  <c r="T36" i="90"/>
  <c r="S36" i="90"/>
  <c r="R36" i="90"/>
  <c r="U35" i="90"/>
  <c r="T35" i="90"/>
  <c r="V35" i="90"/>
  <c r="S35" i="90"/>
  <c r="R35" i="90"/>
  <c r="V69" i="90"/>
  <c r="U69" i="90"/>
  <c r="T69" i="90"/>
  <c r="S69" i="90"/>
  <c r="R69" i="90"/>
  <c r="V68" i="90"/>
  <c r="U68" i="90"/>
  <c r="T68" i="90"/>
  <c r="S68" i="90"/>
  <c r="R68" i="90"/>
  <c r="V67" i="90"/>
  <c r="U67" i="90"/>
  <c r="T67" i="90"/>
  <c r="S67" i="90"/>
  <c r="R67" i="90"/>
  <c r="V66" i="90"/>
  <c r="U66" i="90"/>
  <c r="T66" i="90"/>
  <c r="S66" i="90"/>
  <c r="R66" i="90"/>
  <c r="V65" i="90"/>
  <c r="U65" i="90"/>
  <c r="T65" i="90"/>
  <c r="S65" i="90"/>
  <c r="R65" i="90"/>
  <c r="V64" i="90"/>
  <c r="U64" i="90"/>
  <c r="T64" i="90"/>
  <c r="S64" i="90"/>
  <c r="R64" i="90"/>
  <c r="V63" i="90"/>
  <c r="U63" i="90"/>
  <c r="T63" i="90"/>
  <c r="S63" i="90"/>
  <c r="R63" i="90"/>
  <c r="V62" i="90"/>
  <c r="U62" i="90"/>
  <c r="T62" i="90"/>
  <c r="S62" i="90"/>
  <c r="R62" i="90"/>
  <c r="V61" i="90"/>
  <c r="U61" i="90"/>
  <c r="T61" i="90"/>
  <c r="S61" i="90"/>
  <c r="R61" i="90"/>
  <c r="V60" i="90"/>
  <c r="U60" i="90"/>
  <c r="T60" i="90"/>
  <c r="S60" i="90"/>
  <c r="R60" i="90"/>
  <c r="V59" i="90"/>
  <c r="U59" i="90"/>
  <c r="T59" i="90"/>
  <c r="S59" i="90"/>
  <c r="R59" i="90"/>
  <c r="V58" i="90"/>
  <c r="U58" i="90"/>
  <c r="T58" i="90"/>
  <c r="S58" i="90"/>
  <c r="R58" i="90"/>
  <c r="V57" i="90"/>
  <c r="U57" i="90"/>
  <c r="T57" i="90"/>
  <c r="S57" i="90"/>
  <c r="R57" i="90"/>
  <c r="V56" i="90"/>
  <c r="U56" i="90"/>
  <c r="T56" i="90"/>
  <c r="S56" i="90"/>
  <c r="R56" i="90"/>
  <c r="V55" i="90"/>
  <c r="U55" i="90"/>
  <c r="T55" i="90"/>
  <c r="S55" i="90"/>
  <c r="R55" i="90"/>
  <c r="V54" i="90"/>
  <c r="U54" i="90"/>
  <c r="T54" i="90"/>
  <c r="S54" i="90"/>
  <c r="R54" i="90"/>
  <c r="V53" i="90"/>
  <c r="U53" i="90"/>
  <c r="T53" i="90"/>
  <c r="S53" i="90"/>
  <c r="R53" i="90"/>
  <c r="V52" i="90"/>
  <c r="U52" i="90"/>
  <c r="T52" i="90"/>
  <c r="S52" i="90"/>
  <c r="R52" i="90"/>
  <c r="V51" i="90"/>
  <c r="U51" i="90"/>
  <c r="T51" i="90"/>
  <c r="S51" i="90"/>
  <c r="S95" i="90" s="1"/>
  <c r="R51" i="90"/>
  <c r="R95" i="90" s="1"/>
  <c r="V50" i="90"/>
  <c r="U50" i="90"/>
  <c r="T50" i="90"/>
  <c r="S50" i="90"/>
  <c r="R50" i="90"/>
  <c r="V49" i="90"/>
  <c r="U49" i="90"/>
  <c r="T49" i="90"/>
  <c r="S49" i="90"/>
  <c r="R49" i="90"/>
  <c r="V48" i="90"/>
  <c r="U48" i="90"/>
  <c r="T48" i="90"/>
  <c r="S48" i="90"/>
  <c r="R48" i="90"/>
  <c r="V47" i="90"/>
  <c r="U47" i="90"/>
  <c r="T47" i="90"/>
  <c r="S47" i="90"/>
  <c r="R47" i="90"/>
  <c r="V46" i="90"/>
  <c r="U46" i="90"/>
  <c r="T46" i="90"/>
  <c r="S46" i="90"/>
  <c r="R46" i="90"/>
  <c r="V45" i="90"/>
  <c r="U45" i="90"/>
  <c r="T45" i="90"/>
  <c r="S45" i="90"/>
  <c r="R45" i="90"/>
  <c r="V44" i="90"/>
  <c r="U44" i="90"/>
  <c r="T44" i="90"/>
  <c r="S44" i="90"/>
  <c r="R44" i="90"/>
  <c r="V43" i="90"/>
  <c r="U43" i="90"/>
  <c r="T43" i="90"/>
  <c r="S43" i="90"/>
  <c r="R43" i="90"/>
  <c r="V42" i="90"/>
  <c r="U42" i="90"/>
  <c r="T42" i="90"/>
  <c r="S42" i="90"/>
  <c r="R42" i="90"/>
  <c r="V41" i="90"/>
  <c r="U41" i="90"/>
  <c r="T41" i="90"/>
  <c r="S41" i="90"/>
  <c r="R41" i="90"/>
  <c r="V40" i="90"/>
  <c r="U40" i="90"/>
  <c r="T40" i="90"/>
  <c r="S40" i="90"/>
  <c r="R40" i="90"/>
  <c r="S39" i="90"/>
  <c r="U38" i="90"/>
  <c r="T38" i="90"/>
  <c r="V37" i="90"/>
  <c r="U37" i="90"/>
  <c r="T37" i="90"/>
  <c r="S37" i="90"/>
  <c r="R37" i="90"/>
  <c r="J34" i="90"/>
  <c r="R92" i="90" l="1"/>
  <c r="T93" i="90"/>
  <c r="T95" i="90"/>
  <c r="R94" i="90"/>
  <c r="S94" i="90"/>
  <c r="T94" i="90"/>
  <c r="S92" i="90"/>
  <c r="U94" i="90"/>
  <c r="V92" i="90"/>
  <c r="U93" i="90"/>
  <c r="V94" i="90"/>
  <c r="V93" i="90"/>
  <c r="U95" i="90"/>
  <c r="R96" i="90"/>
  <c r="V95" i="90"/>
  <c r="S96" i="90"/>
  <c r="T92" i="90"/>
  <c r="T96" i="90"/>
  <c r="U92" i="90"/>
  <c r="U96" i="90"/>
  <c r="V96" i="90"/>
  <c r="X69" i="89"/>
  <c r="W69" i="89"/>
  <c r="V69" i="89"/>
  <c r="U69" i="89"/>
  <c r="T69" i="89"/>
  <c r="X68" i="89"/>
  <c r="W68" i="89"/>
  <c r="V68" i="89"/>
  <c r="U68" i="89"/>
  <c r="T68" i="89"/>
  <c r="X67" i="89"/>
  <c r="W67" i="89"/>
  <c r="V67" i="89"/>
  <c r="U67" i="89"/>
  <c r="T67" i="89"/>
  <c r="X66" i="89"/>
  <c r="W66" i="89"/>
  <c r="V66" i="89"/>
  <c r="U66" i="89"/>
  <c r="T66" i="89"/>
  <c r="X65" i="89"/>
  <c r="W65" i="89"/>
  <c r="V65" i="89"/>
  <c r="U65" i="89"/>
  <c r="T65" i="89"/>
  <c r="X64" i="89"/>
  <c r="X96" i="89" s="1"/>
  <c r="W64" i="89"/>
  <c r="W96" i="89" s="1"/>
  <c r="V64" i="89"/>
  <c r="U64" i="89"/>
  <c r="T64" i="89"/>
  <c r="X63" i="89"/>
  <c r="W63" i="89"/>
  <c r="V63" i="89"/>
  <c r="U63" i="89"/>
  <c r="T63" i="89"/>
  <c r="X62" i="89"/>
  <c r="W62" i="89"/>
  <c r="V62" i="89"/>
  <c r="U62" i="89"/>
  <c r="T62" i="89"/>
  <c r="X61" i="89"/>
  <c r="W61" i="89"/>
  <c r="V61" i="89"/>
  <c r="U61" i="89"/>
  <c r="T61" i="89"/>
  <c r="X60" i="89"/>
  <c r="W60" i="89"/>
  <c r="V60" i="89"/>
  <c r="U60" i="89"/>
  <c r="T60" i="89"/>
  <c r="X59" i="89"/>
  <c r="W59" i="89"/>
  <c r="V59" i="89"/>
  <c r="U59" i="89"/>
  <c r="T59" i="89"/>
  <c r="X58" i="89"/>
  <c r="W58" i="89"/>
  <c r="V58" i="89"/>
  <c r="U58" i="89"/>
  <c r="T58" i="89"/>
  <c r="X57" i="89"/>
  <c r="W57" i="89"/>
  <c r="V57" i="89"/>
  <c r="U57" i="89"/>
  <c r="T57" i="89"/>
  <c r="X56" i="89"/>
  <c r="W56" i="89"/>
  <c r="V56" i="89"/>
  <c r="U56" i="89"/>
  <c r="T56" i="89"/>
  <c r="X55" i="89"/>
  <c r="W55" i="89"/>
  <c r="V55" i="89"/>
  <c r="U55" i="89"/>
  <c r="T55" i="89"/>
  <c r="X54" i="89"/>
  <c r="W54" i="89"/>
  <c r="V54" i="89"/>
  <c r="U54" i="89"/>
  <c r="T54" i="89"/>
  <c r="X53" i="89"/>
  <c r="W53" i="89"/>
  <c r="V53" i="89"/>
  <c r="U53" i="89"/>
  <c r="T53" i="89"/>
  <c r="X52" i="89"/>
  <c r="W52" i="89"/>
  <c r="V52" i="89"/>
  <c r="U52" i="89"/>
  <c r="T52" i="89"/>
  <c r="X51" i="89"/>
  <c r="W51" i="89"/>
  <c r="V51" i="89"/>
  <c r="U51" i="89"/>
  <c r="T51" i="89"/>
  <c r="X50" i="89"/>
  <c r="W50" i="89"/>
  <c r="V50" i="89"/>
  <c r="U50" i="89"/>
  <c r="T50" i="89"/>
  <c r="X49" i="89"/>
  <c r="W49" i="89"/>
  <c r="V49" i="89"/>
  <c r="U49" i="89"/>
  <c r="T49" i="89"/>
  <c r="X48" i="89"/>
  <c r="W48" i="89"/>
  <c r="W93" i="89" s="1"/>
  <c r="V48" i="89"/>
  <c r="U48" i="89"/>
  <c r="T48" i="89"/>
  <c r="X47" i="89"/>
  <c r="W47" i="89"/>
  <c r="V47" i="89"/>
  <c r="U47" i="89"/>
  <c r="T47" i="89"/>
  <c r="X46" i="89"/>
  <c r="W46" i="89"/>
  <c r="V46" i="89"/>
  <c r="U46" i="89"/>
  <c r="T46" i="89"/>
  <c r="X45" i="89"/>
  <c r="X92" i="89" s="1"/>
  <c r="W45" i="89"/>
  <c r="W92" i="89" s="1"/>
  <c r="V45" i="89"/>
  <c r="V92" i="89" s="1"/>
  <c r="U45" i="89"/>
  <c r="T45" i="89"/>
  <c r="X44" i="89"/>
  <c r="W44" i="89"/>
  <c r="V44" i="89"/>
  <c r="U44" i="89"/>
  <c r="T44" i="89"/>
  <c r="T41" i="89"/>
  <c r="T19" i="89"/>
  <c r="I32" i="90"/>
  <c r="I33" i="90"/>
  <c r="T43" i="89"/>
  <c r="U43" i="89"/>
  <c r="V43" i="89"/>
  <c r="W43" i="89"/>
  <c r="X43" i="89"/>
  <c r="U42" i="89"/>
  <c r="V42" i="89"/>
  <c r="W42" i="89"/>
  <c r="X42" i="89"/>
  <c r="T42" i="89"/>
  <c r="X41" i="89"/>
  <c r="X91" i="89" s="1"/>
  <c r="W41" i="89"/>
  <c r="V41" i="89"/>
  <c r="U41" i="89"/>
  <c r="U91" i="89" s="1"/>
  <c r="T93" i="89" l="1"/>
  <c r="U93" i="89"/>
  <c r="V93" i="89"/>
  <c r="V91" i="89"/>
  <c r="W91" i="89"/>
  <c r="T95" i="89"/>
  <c r="X93" i="89"/>
  <c r="U94" i="89"/>
  <c r="V94" i="89"/>
  <c r="W94" i="89"/>
  <c r="U95" i="89"/>
  <c r="X94" i="89"/>
  <c r="V95" i="89"/>
  <c r="W95" i="89"/>
  <c r="T96" i="89"/>
  <c r="X95" i="89"/>
  <c r="U96" i="89"/>
  <c r="U92" i="89"/>
  <c r="V96" i="89"/>
  <c r="T91" i="89"/>
  <c r="T94" i="89"/>
  <c r="T92" i="89"/>
  <c r="W95" i="90"/>
  <c r="W93" i="90"/>
  <c r="W92" i="90"/>
  <c r="W96" i="90"/>
  <c r="W94" i="90"/>
  <c r="Y93" i="89" l="1"/>
  <c r="Y91" i="89"/>
  <c r="Y95" i="89"/>
  <c r="Y96" i="89"/>
  <c r="Y92" i="89"/>
  <c r="Y94" i="89"/>
  <c r="X40" i="89" l="1"/>
  <c r="W40" i="89"/>
  <c r="V40" i="89"/>
  <c r="U40" i="89"/>
  <c r="T40" i="89"/>
  <c r="X38" i="89"/>
  <c r="W38" i="89"/>
  <c r="V38" i="89"/>
  <c r="U38" i="89"/>
  <c r="T38" i="89"/>
  <c r="X37" i="89"/>
  <c r="W37" i="89"/>
  <c r="V37" i="89"/>
  <c r="U37" i="89"/>
  <c r="T37" i="89"/>
  <c r="X36" i="89"/>
  <c r="W36" i="89"/>
  <c r="V36" i="89"/>
  <c r="U36" i="89"/>
  <c r="T36" i="89"/>
  <c r="X35" i="89"/>
  <c r="W35" i="89"/>
  <c r="V35" i="89"/>
  <c r="U35" i="89"/>
  <c r="T35" i="89"/>
  <c r="X34" i="89"/>
  <c r="W34" i="89"/>
  <c r="V34" i="89"/>
  <c r="U34" i="89"/>
  <c r="T34" i="89"/>
  <c r="X33" i="89"/>
  <c r="W33" i="89"/>
  <c r="V33" i="89"/>
  <c r="U33" i="89"/>
  <c r="T33" i="89"/>
  <c r="X27" i="89"/>
  <c r="W27" i="89"/>
  <c r="V27" i="89"/>
  <c r="U27" i="89"/>
  <c r="T27" i="89"/>
  <c r="X26" i="89"/>
  <c r="W26" i="89"/>
  <c r="V26" i="89"/>
  <c r="U26" i="89"/>
  <c r="T26" i="89"/>
  <c r="X25" i="89"/>
  <c r="W25" i="89"/>
  <c r="V25" i="89"/>
  <c r="U25" i="89"/>
  <c r="T25" i="89"/>
  <c r="X24" i="89"/>
  <c r="W24" i="89"/>
  <c r="V24" i="89"/>
  <c r="U24" i="89"/>
  <c r="T24" i="89"/>
  <c r="X21" i="89"/>
  <c r="W21" i="89"/>
  <c r="V21" i="89"/>
  <c r="U21" i="89"/>
  <c r="T21" i="89"/>
  <c r="X20" i="89"/>
  <c r="W20" i="89"/>
  <c r="V20" i="89"/>
  <c r="U20" i="89"/>
  <c r="T20" i="89"/>
  <c r="X19" i="89"/>
  <c r="W19" i="89"/>
  <c r="V19" i="89"/>
  <c r="U19" i="89"/>
  <c r="X18" i="89"/>
  <c r="W18" i="89"/>
  <c r="V18" i="89"/>
  <c r="U18" i="89"/>
  <c r="T18" i="89"/>
  <c r="X17" i="89"/>
  <c r="W17" i="89"/>
  <c r="V17" i="89"/>
  <c r="U17" i="89"/>
  <c r="T17" i="89"/>
  <c r="X15" i="89"/>
  <c r="W15" i="89"/>
  <c r="V15" i="89"/>
  <c r="U15" i="89"/>
  <c r="T15" i="89"/>
  <c r="X14" i="89"/>
  <c r="W14" i="89"/>
  <c r="V14" i="89"/>
  <c r="U14" i="89"/>
  <c r="T14" i="89"/>
  <c r="X12" i="89"/>
  <c r="W12" i="89"/>
  <c r="V12" i="89"/>
  <c r="U12" i="89"/>
  <c r="T12" i="89"/>
  <c r="X10" i="89"/>
  <c r="W10" i="89"/>
  <c r="V10" i="89"/>
  <c r="U10" i="89"/>
  <c r="T10" i="89"/>
  <c r="C126" i="79"/>
  <c r="C126" i="89"/>
  <c r="D6" i="91" a="1"/>
  <c r="D6" i="91" s="1"/>
  <c r="C5" i="91" a="1"/>
  <c r="C5" i="91" s="1"/>
  <c r="T20" i="79" l="1"/>
  <c r="V69" i="79"/>
  <c r="U69" i="79"/>
  <c r="T69" i="79"/>
  <c r="S69" i="79"/>
  <c r="R69" i="79"/>
  <c r="J69" i="79"/>
  <c r="I69" i="79"/>
  <c r="V68" i="79"/>
  <c r="U68" i="79"/>
  <c r="T68" i="79"/>
  <c r="S68" i="79"/>
  <c r="R68" i="79"/>
  <c r="J68" i="79"/>
  <c r="I68" i="79"/>
  <c r="V67" i="79"/>
  <c r="U67" i="79"/>
  <c r="T67" i="79"/>
  <c r="S67" i="79"/>
  <c r="R67" i="79"/>
  <c r="J67" i="79"/>
  <c r="I67" i="79"/>
  <c r="V39" i="79"/>
  <c r="U39" i="79"/>
  <c r="T39" i="79"/>
  <c r="S39" i="79"/>
  <c r="R39" i="79"/>
  <c r="J39" i="79"/>
  <c r="I39" i="79"/>
  <c r="V38" i="79"/>
  <c r="U38" i="79"/>
  <c r="T38" i="79"/>
  <c r="S38" i="79"/>
  <c r="R38" i="79"/>
  <c r="J38" i="79"/>
  <c r="I38" i="79"/>
  <c r="V37" i="79"/>
  <c r="U37" i="79"/>
  <c r="T37" i="79"/>
  <c r="S37" i="79"/>
  <c r="R37" i="79"/>
  <c r="J37" i="79"/>
  <c r="I37" i="79"/>
  <c r="V36" i="79"/>
  <c r="U36" i="79"/>
  <c r="T36" i="79"/>
  <c r="S36" i="79"/>
  <c r="R36" i="79"/>
  <c r="J36" i="79"/>
  <c r="I36" i="79"/>
  <c r="V35" i="79"/>
  <c r="U35" i="79"/>
  <c r="T35" i="79"/>
  <c r="S35" i="79"/>
  <c r="R35" i="79"/>
  <c r="J35" i="79"/>
  <c r="I35" i="79"/>
  <c r="V34" i="79"/>
  <c r="U34" i="79"/>
  <c r="T34" i="79"/>
  <c r="S34" i="79"/>
  <c r="R34" i="79"/>
  <c r="J34" i="79"/>
  <c r="I34" i="79"/>
  <c r="V33" i="79"/>
  <c r="U33" i="79"/>
  <c r="T33" i="79"/>
  <c r="S33" i="79"/>
  <c r="R33" i="79"/>
  <c r="J33" i="79"/>
  <c r="I33" i="79"/>
  <c r="V32" i="79"/>
  <c r="U32" i="79"/>
  <c r="T32" i="79"/>
  <c r="S32" i="79"/>
  <c r="R32" i="79"/>
  <c r="J32" i="79"/>
  <c r="I32" i="79"/>
  <c r="V31" i="79"/>
  <c r="U31" i="79"/>
  <c r="T31" i="79"/>
  <c r="S31" i="79"/>
  <c r="R31" i="79"/>
  <c r="J31" i="79"/>
  <c r="I31" i="79"/>
  <c r="V30" i="79"/>
  <c r="U30" i="79"/>
  <c r="T30" i="79"/>
  <c r="S30" i="79"/>
  <c r="R30" i="79"/>
  <c r="J30" i="79"/>
  <c r="I30" i="79"/>
  <c r="J29" i="79"/>
  <c r="V28" i="79"/>
  <c r="U28" i="79"/>
  <c r="T28" i="79"/>
  <c r="S28" i="79"/>
  <c r="R28" i="79"/>
  <c r="J28" i="79"/>
  <c r="I28" i="79"/>
  <c r="V27" i="79"/>
  <c r="U27" i="79"/>
  <c r="T27" i="79"/>
  <c r="S27" i="79"/>
  <c r="R27" i="79"/>
  <c r="J27" i="79"/>
  <c r="I27" i="79"/>
  <c r="J26" i="79"/>
  <c r="I26" i="79"/>
  <c r="T26" i="79" s="1"/>
  <c r="J25" i="79"/>
  <c r="J24" i="79"/>
  <c r="I24" i="79"/>
  <c r="U24" i="79" s="1"/>
  <c r="J23" i="79"/>
  <c r="J22" i="79"/>
  <c r="J21" i="79"/>
  <c r="I21" i="79"/>
  <c r="U21" i="79" s="1"/>
  <c r="J20" i="79"/>
  <c r="I20" i="79"/>
  <c r="U20" i="79" s="1"/>
  <c r="J19" i="79"/>
  <c r="I19" i="79"/>
  <c r="S19" i="79" s="1"/>
  <c r="J18" i="79"/>
  <c r="J17" i="79"/>
  <c r="J16" i="79"/>
  <c r="I16" i="79"/>
  <c r="V34" i="90"/>
  <c r="U34" i="90"/>
  <c r="T34" i="90"/>
  <c r="S34" i="90"/>
  <c r="R34" i="90"/>
  <c r="I34" i="90"/>
  <c r="V33" i="90"/>
  <c r="U33" i="90"/>
  <c r="T33" i="90"/>
  <c r="S33" i="90"/>
  <c r="R33" i="90"/>
  <c r="J33" i="90"/>
  <c r="V32" i="90"/>
  <c r="U32" i="90"/>
  <c r="T32" i="90"/>
  <c r="S32" i="90"/>
  <c r="R32" i="90"/>
  <c r="J32" i="90"/>
  <c r="J31" i="90"/>
  <c r="J30" i="90"/>
  <c r="I30" i="90"/>
  <c r="V30" i="90" s="1"/>
  <c r="J29" i="90"/>
  <c r="J28" i="90"/>
  <c r="J27" i="90"/>
  <c r="J26" i="90"/>
  <c r="J25" i="90"/>
  <c r="J24" i="90"/>
  <c r="I24" i="90"/>
  <c r="J23" i="90"/>
  <c r="J22" i="90"/>
  <c r="J21" i="90"/>
  <c r="J20" i="90"/>
  <c r="J19" i="90"/>
  <c r="I19" i="90"/>
  <c r="J18" i="90"/>
  <c r="J17" i="90"/>
  <c r="J16" i="90"/>
  <c r="L39" i="89"/>
  <c r="L38" i="89"/>
  <c r="K38" i="89"/>
  <c r="L37" i="89"/>
  <c r="K37" i="89"/>
  <c r="L36" i="89"/>
  <c r="K36" i="89"/>
  <c r="L35" i="89"/>
  <c r="K35" i="89"/>
  <c r="L34" i="89"/>
  <c r="K34" i="89"/>
  <c r="L33" i="89"/>
  <c r="K33" i="89"/>
  <c r="L32" i="89"/>
  <c r="L31" i="89"/>
  <c r="L30" i="89"/>
  <c r="L29" i="89"/>
  <c r="L28" i="89"/>
  <c r="L27" i="89"/>
  <c r="K27" i="89"/>
  <c r="L26" i="89"/>
  <c r="K26" i="89"/>
  <c r="L25" i="89"/>
  <c r="K25" i="89"/>
  <c r="L24" i="89"/>
  <c r="K24" i="89"/>
  <c r="L23" i="89"/>
  <c r="L22" i="89"/>
  <c r="L21" i="89"/>
  <c r="K21" i="89"/>
  <c r="L20" i="89"/>
  <c r="K20" i="89"/>
  <c r="L19" i="89"/>
  <c r="K19" i="89"/>
  <c r="L18" i="89"/>
  <c r="K18" i="89"/>
  <c r="L17" i="89"/>
  <c r="K17" i="89"/>
  <c r="L16" i="89"/>
  <c r="C114" i="90"/>
  <c r="C112" i="90"/>
  <c r="C97" i="90"/>
  <c r="C85" i="90"/>
  <c r="C82" i="90"/>
  <c r="V78" i="90"/>
  <c r="U78" i="90"/>
  <c r="T78" i="90"/>
  <c r="S78" i="90"/>
  <c r="R78" i="90"/>
  <c r="V15" i="90"/>
  <c r="U15" i="90"/>
  <c r="T15" i="90"/>
  <c r="S15" i="90"/>
  <c r="R15" i="90"/>
  <c r="J15" i="90"/>
  <c r="I15" i="90"/>
  <c r="V14" i="90"/>
  <c r="J14" i="90"/>
  <c r="I14" i="90"/>
  <c r="S14" i="90" s="1"/>
  <c r="J13" i="90"/>
  <c r="J12" i="90"/>
  <c r="J11" i="90"/>
  <c r="J10" i="90"/>
  <c r="A5" i="90"/>
  <c r="X3" i="90"/>
  <c r="A2" i="90"/>
  <c r="A1" i="90"/>
  <c r="C114" i="89"/>
  <c r="C112" i="89"/>
  <c r="C97" i="89"/>
  <c r="C85" i="89"/>
  <c r="C82" i="89"/>
  <c r="X78" i="89"/>
  <c r="L40" i="89"/>
  <c r="K40" i="89"/>
  <c r="L15" i="89"/>
  <c r="K15" i="89"/>
  <c r="L14" i="89"/>
  <c r="K14" i="89"/>
  <c r="L13" i="89"/>
  <c r="L12" i="89"/>
  <c r="L11" i="89"/>
  <c r="L10" i="89"/>
  <c r="A5" i="89"/>
  <c r="Z3" i="89"/>
  <c r="A2" i="89"/>
  <c r="A1" i="89"/>
  <c r="C97" i="79"/>
  <c r="R30" i="90" l="1"/>
  <c r="S26" i="79"/>
  <c r="R26" i="79"/>
  <c r="S24" i="79"/>
  <c r="U26" i="79"/>
  <c r="V24" i="79"/>
  <c r="V26" i="79"/>
  <c r="S24" i="90"/>
  <c r="V24" i="90"/>
  <c r="S19" i="90"/>
  <c r="U19" i="90"/>
  <c r="S30" i="90"/>
  <c r="T30" i="90"/>
  <c r="U30" i="90"/>
  <c r="T24" i="90"/>
  <c r="U24" i="90"/>
  <c r="R24" i="79"/>
  <c r="S20" i="79"/>
  <c r="T24" i="79"/>
  <c r="T78" i="89"/>
  <c r="U78" i="89"/>
  <c r="V78" i="89"/>
  <c r="W78" i="89"/>
  <c r="R24" i="90"/>
  <c r="U14" i="90"/>
  <c r="T14" i="90"/>
  <c r="R14" i="90"/>
  <c r="T19" i="90"/>
  <c r="V19" i="90"/>
  <c r="R19" i="90"/>
  <c r="R21" i="79"/>
  <c r="V21" i="79"/>
  <c r="S21" i="79"/>
  <c r="T21" i="79"/>
  <c r="V20" i="79"/>
  <c r="R20" i="79"/>
  <c r="T19" i="79"/>
  <c r="U19" i="79"/>
  <c r="V19" i="79"/>
  <c r="R19" i="79"/>
  <c r="R16" i="79"/>
  <c r="S16" i="79"/>
  <c r="T16" i="79"/>
  <c r="U16" i="79"/>
  <c r="V16" i="79"/>
  <c r="T75" i="89"/>
  <c r="W75" i="89"/>
  <c r="R75" i="90"/>
  <c r="T75" i="90"/>
  <c r="U75" i="89"/>
  <c r="V75" i="89"/>
  <c r="S75" i="90"/>
  <c r="U75" i="90"/>
  <c r="V75" i="90"/>
  <c r="X75" i="89"/>
  <c r="W78" i="90"/>
  <c r="Y78" i="89" l="1"/>
  <c r="W75" i="90"/>
  <c r="Y75" i="89"/>
  <c r="B14" i="74"/>
  <c r="I16" i="90" l="1"/>
  <c r="I31" i="90"/>
  <c r="I18" i="90"/>
  <c r="I25" i="90"/>
  <c r="I17" i="90"/>
  <c r="I23" i="90"/>
  <c r="V16" i="90"/>
  <c r="U16" i="90"/>
  <c r="S16" i="90"/>
  <c r="R16" i="90"/>
  <c r="T16" i="90"/>
  <c r="I29" i="79"/>
  <c r="I25" i="79"/>
  <c r="I23" i="79"/>
  <c r="I22" i="79"/>
  <c r="I18" i="79"/>
  <c r="I17" i="79"/>
  <c r="I29" i="90"/>
  <c r="I28" i="90"/>
  <c r="I27" i="90"/>
  <c r="I26" i="90"/>
  <c r="I22" i="90"/>
  <c r="I21" i="90"/>
  <c r="I20" i="90"/>
  <c r="K39" i="89"/>
  <c r="K32" i="89"/>
  <c r="K31" i="89"/>
  <c r="K30" i="89"/>
  <c r="K29" i="89"/>
  <c r="K28" i="89"/>
  <c r="K23" i="89"/>
  <c r="K22" i="89"/>
  <c r="K16" i="89"/>
  <c r="I11" i="90"/>
  <c r="I10" i="90"/>
  <c r="K13" i="89"/>
  <c r="K11" i="89"/>
  <c r="K12" i="89"/>
  <c r="K10" i="89"/>
  <c r="I12" i="90"/>
  <c r="I13" i="90"/>
  <c r="C39" i="82"/>
  <c r="C22" i="82"/>
  <c r="A3" i="82"/>
  <c r="U23" i="90" l="1"/>
  <c r="S23" i="90"/>
  <c r="R23" i="90"/>
  <c r="T23" i="90"/>
  <c r="V23" i="90"/>
  <c r="N17" i="90"/>
  <c r="T17" i="90" s="1"/>
  <c r="M17" i="90"/>
  <c r="S17" i="90" s="1"/>
  <c r="L17" i="90"/>
  <c r="R17" i="90" s="1"/>
  <c r="P17" i="90"/>
  <c r="V17" i="90" s="1"/>
  <c r="O17" i="90"/>
  <c r="U17" i="90" s="1"/>
  <c r="T25" i="90"/>
  <c r="S25" i="90"/>
  <c r="U25" i="90"/>
  <c r="V25" i="90"/>
  <c r="R25" i="90"/>
  <c r="T31" i="90"/>
  <c r="T91" i="90" s="1"/>
  <c r="V31" i="90"/>
  <c r="V91" i="90" s="1"/>
  <c r="R31" i="90"/>
  <c r="R91" i="90" s="1"/>
  <c r="S31" i="90"/>
  <c r="S91" i="90" s="1"/>
  <c r="U31" i="90"/>
  <c r="U91" i="90" s="1"/>
  <c r="M18" i="90"/>
  <c r="S18" i="90" s="1"/>
  <c r="P18" i="90"/>
  <c r="V18" i="90" s="1"/>
  <c r="O18" i="90"/>
  <c r="U18" i="90" s="1"/>
  <c r="N18" i="90"/>
  <c r="T18" i="90" s="1"/>
  <c r="L18" i="90"/>
  <c r="R18" i="90" s="1"/>
  <c r="X28" i="89"/>
  <c r="W28" i="89"/>
  <c r="V28" i="89"/>
  <c r="U28" i="89"/>
  <c r="T28" i="89"/>
  <c r="T29" i="89"/>
  <c r="X29" i="89"/>
  <c r="W29" i="89"/>
  <c r="V29" i="89"/>
  <c r="U29" i="89"/>
  <c r="X30" i="89"/>
  <c r="W30" i="89"/>
  <c r="V30" i="89"/>
  <c r="U30" i="89"/>
  <c r="T30" i="89"/>
  <c r="V31" i="89"/>
  <c r="U31" i="89"/>
  <c r="T31" i="89"/>
  <c r="X31" i="89"/>
  <c r="W31" i="89"/>
  <c r="X32" i="89"/>
  <c r="W32" i="89"/>
  <c r="V32" i="89"/>
  <c r="U32" i="89"/>
  <c r="T32" i="89"/>
  <c r="X39" i="89"/>
  <c r="W39" i="89"/>
  <c r="V39" i="89"/>
  <c r="U39" i="89"/>
  <c r="T39" i="89"/>
  <c r="X23" i="89"/>
  <c r="X90" i="89" s="1"/>
  <c r="W23" i="89"/>
  <c r="W90" i="89" s="1"/>
  <c r="V23" i="89"/>
  <c r="V90" i="89" s="1"/>
  <c r="U23" i="89"/>
  <c r="U90" i="89" s="1"/>
  <c r="T23" i="89"/>
  <c r="T90" i="89" s="1"/>
  <c r="P11" i="90"/>
  <c r="V11" i="90" s="1"/>
  <c r="O11" i="90"/>
  <c r="U11" i="90" s="1"/>
  <c r="N11" i="90"/>
  <c r="T11" i="90" s="1"/>
  <c r="M11" i="90"/>
  <c r="S11" i="90" s="1"/>
  <c r="L11" i="90"/>
  <c r="R11" i="90" s="1"/>
  <c r="N13" i="90"/>
  <c r="T13" i="90" s="1"/>
  <c r="M13" i="90"/>
  <c r="S13" i="90" s="1"/>
  <c r="L13" i="90"/>
  <c r="R13" i="90" s="1"/>
  <c r="P13" i="90"/>
  <c r="V13" i="90" s="1"/>
  <c r="O13" i="90"/>
  <c r="U13" i="90" s="1"/>
  <c r="P16" i="89"/>
  <c r="V16" i="89" s="1"/>
  <c r="O16" i="89"/>
  <c r="U16" i="89" s="1"/>
  <c r="N16" i="89"/>
  <c r="T16" i="89" s="1"/>
  <c r="R16" i="89"/>
  <c r="X16" i="89" s="1"/>
  <c r="Q16" i="89"/>
  <c r="W16" i="89" s="1"/>
  <c r="R11" i="89"/>
  <c r="X11" i="89" s="1"/>
  <c r="Q11" i="89"/>
  <c r="W11" i="89" s="1"/>
  <c r="P11" i="89"/>
  <c r="V11" i="89" s="1"/>
  <c r="O11" i="89"/>
  <c r="U11" i="89" s="1"/>
  <c r="N11" i="89"/>
  <c r="T11" i="89" s="1"/>
  <c r="N22" i="89"/>
  <c r="T22" i="89" s="1"/>
  <c r="O22" i="89"/>
  <c r="U22" i="89" s="1"/>
  <c r="P22" i="89"/>
  <c r="V22" i="89" s="1"/>
  <c r="Q22" i="89"/>
  <c r="W22" i="89" s="1"/>
  <c r="R22" i="89"/>
  <c r="X22" i="89" s="1"/>
  <c r="R20" i="90"/>
  <c r="S20" i="90"/>
  <c r="T20" i="90"/>
  <c r="U20" i="90"/>
  <c r="V20" i="90"/>
  <c r="R21" i="90"/>
  <c r="S21" i="90"/>
  <c r="T21" i="90"/>
  <c r="U21" i="90"/>
  <c r="V21" i="90"/>
  <c r="R22" i="90"/>
  <c r="S22" i="90"/>
  <c r="T22" i="90"/>
  <c r="U22" i="90"/>
  <c r="V22" i="90"/>
  <c r="U26" i="90"/>
  <c r="S26" i="90"/>
  <c r="V26" i="90"/>
  <c r="R26" i="90"/>
  <c r="T26" i="90"/>
  <c r="V27" i="90"/>
  <c r="T27" i="90"/>
  <c r="R27" i="90"/>
  <c r="S27" i="90"/>
  <c r="U27" i="90"/>
  <c r="V28" i="90"/>
  <c r="R28" i="90"/>
  <c r="S28" i="90"/>
  <c r="T28" i="90"/>
  <c r="U28" i="90"/>
  <c r="U29" i="90"/>
  <c r="V29" i="90"/>
  <c r="R29" i="90"/>
  <c r="S29" i="90"/>
  <c r="T29" i="90"/>
  <c r="V17" i="79"/>
  <c r="U17" i="79"/>
  <c r="T17" i="79"/>
  <c r="S17" i="79"/>
  <c r="R17" i="79"/>
  <c r="V18" i="79"/>
  <c r="U18" i="79"/>
  <c r="T18" i="79"/>
  <c r="S18" i="79"/>
  <c r="R18" i="79"/>
  <c r="V22" i="79"/>
  <c r="S22" i="79"/>
  <c r="T22" i="79"/>
  <c r="U22" i="79"/>
  <c r="R22" i="79"/>
  <c r="V23" i="79"/>
  <c r="R23" i="79"/>
  <c r="U23" i="79"/>
  <c r="S23" i="79"/>
  <c r="T23" i="79"/>
  <c r="V25" i="79"/>
  <c r="S25" i="79"/>
  <c r="R25" i="79"/>
  <c r="T25" i="79"/>
  <c r="U25" i="79"/>
  <c r="S29" i="79"/>
  <c r="T29" i="79"/>
  <c r="U29" i="79"/>
  <c r="V29" i="79"/>
  <c r="R29" i="79"/>
  <c r="N13" i="89"/>
  <c r="T13" i="89" s="1"/>
  <c r="O13" i="89"/>
  <c r="U13" i="89" s="1"/>
  <c r="P13" i="89"/>
  <c r="V13" i="89" s="1"/>
  <c r="Q13" i="89"/>
  <c r="W13" i="89" s="1"/>
  <c r="R13" i="89"/>
  <c r="X13" i="89" s="1"/>
  <c r="T10" i="90"/>
  <c r="U10" i="90"/>
  <c r="S10" i="90"/>
  <c r="R10" i="90"/>
  <c r="V10" i="90"/>
  <c r="T12" i="90"/>
  <c r="V12" i="90"/>
  <c r="U12" i="90"/>
  <c r="S12" i="90"/>
  <c r="R12" i="90"/>
  <c r="V79" i="89"/>
  <c r="X79" i="89"/>
  <c r="W79" i="89"/>
  <c r="U79" i="89"/>
  <c r="T79" i="89"/>
  <c r="B21" i="74"/>
  <c r="W91" i="90" l="1"/>
  <c r="T89" i="90"/>
  <c r="U120" i="90"/>
  <c r="I29" i="82" s="1"/>
  <c r="W119" i="89"/>
  <c r="I54" i="82" s="1"/>
  <c r="X119" i="89"/>
  <c r="J54" i="82" s="1"/>
  <c r="Y90" i="89"/>
  <c r="U89" i="89"/>
  <c r="U97" i="89" s="1"/>
  <c r="X89" i="89"/>
  <c r="X97" i="89" s="1"/>
  <c r="V89" i="89"/>
  <c r="V97" i="89" s="1"/>
  <c r="W89" i="89"/>
  <c r="W97" i="89" s="1"/>
  <c r="T89" i="89"/>
  <c r="T97" i="89" s="1"/>
  <c r="V90" i="90"/>
  <c r="V119" i="90" s="1"/>
  <c r="J37" i="82" s="1"/>
  <c r="S89" i="90"/>
  <c r="R90" i="90"/>
  <c r="S90" i="90"/>
  <c r="T90" i="90"/>
  <c r="U90" i="90"/>
  <c r="U119" i="90" s="1"/>
  <c r="U89" i="90"/>
  <c r="V89" i="90"/>
  <c r="R89" i="90"/>
  <c r="U79" i="90"/>
  <c r="V79" i="90"/>
  <c r="R79" i="90"/>
  <c r="S79" i="90"/>
  <c r="T79" i="90"/>
  <c r="X74" i="89"/>
  <c r="Y79" i="89"/>
  <c r="W74" i="89"/>
  <c r="T74" i="89"/>
  <c r="V74" i="89"/>
  <c r="U74" i="89"/>
  <c r="U74" i="90"/>
  <c r="T74" i="90"/>
  <c r="V74" i="90"/>
  <c r="R74" i="90"/>
  <c r="S74" i="90"/>
  <c r="V77" i="89"/>
  <c r="T73" i="89"/>
  <c r="W73" i="89"/>
  <c r="T73" i="90"/>
  <c r="U77" i="89"/>
  <c r="S77" i="90"/>
  <c r="X77" i="89"/>
  <c r="R77" i="90"/>
  <c r="W77" i="89"/>
  <c r="V73" i="90"/>
  <c r="V77" i="90"/>
  <c r="R73" i="90"/>
  <c r="U77" i="90"/>
  <c r="V73" i="89"/>
  <c r="X73" i="89"/>
  <c r="T77" i="90"/>
  <c r="U73" i="90"/>
  <c r="S73" i="90"/>
  <c r="T77" i="89"/>
  <c r="U73" i="89"/>
  <c r="J44" i="82"/>
  <c r="I44" i="82"/>
  <c r="H44" i="82"/>
  <c r="G44" i="82"/>
  <c r="F44" i="82"/>
  <c r="J27" i="82"/>
  <c r="I27" i="82"/>
  <c r="H27" i="82"/>
  <c r="G27" i="82"/>
  <c r="F27" i="82"/>
  <c r="A2" i="82"/>
  <c r="A1" i="82"/>
  <c r="C114" i="79"/>
  <c r="C112" i="79"/>
  <c r="C36" i="74"/>
  <c r="C37" i="74" s="1"/>
  <c r="V120" i="90" s="1"/>
  <c r="J29" i="82" s="1"/>
  <c r="V119" i="89" l="1"/>
  <c r="H54" i="82" s="1"/>
  <c r="R119" i="90"/>
  <c r="S124" i="79"/>
  <c r="G16" i="82" s="1"/>
  <c r="V121" i="79"/>
  <c r="J13" i="82" s="1"/>
  <c r="T119" i="79"/>
  <c r="H20" i="82" s="1"/>
  <c r="R124" i="79"/>
  <c r="U121" i="79"/>
  <c r="I13" i="82" s="1"/>
  <c r="S119" i="79"/>
  <c r="G20" i="82" s="1"/>
  <c r="V123" i="79"/>
  <c r="J15" i="82" s="1"/>
  <c r="T121" i="79"/>
  <c r="H13" i="82" s="1"/>
  <c r="R119" i="79"/>
  <c r="U123" i="79"/>
  <c r="I15" i="82" s="1"/>
  <c r="S121" i="79"/>
  <c r="G13" i="82" s="1"/>
  <c r="V125" i="79"/>
  <c r="J17" i="82" s="1"/>
  <c r="T123" i="79"/>
  <c r="H15" i="82" s="1"/>
  <c r="R121" i="79"/>
  <c r="U125" i="79"/>
  <c r="I17" i="82" s="1"/>
  <c r="S123" i="79"/>
  <c r="G15" i="82" s="1"/>
  <c r="V120" i="79"/>
  <c r="J12" i="82" s="1"/>
  <c r="T125" i="79"/>
  <c r="H17" i="82" s="1"/>
  <c r="R123" i="79"/>
  <c r="U120" i="79"/>
  <c r="I12" i="82" s="1"/>
  <c r="S125" i="79"/>
  <c r="G17" i="82" s="1"/>
  <c r="V122" i="79"/>
  <c r="J14" i="82" s="1"/>
  <c r="T120" i="79"/>
  <c r="H12" i="82" s="1"/>
  <c r="R125" i="79"/>
  <c r="U122" i="79"/>
  <c r="I14" i="82" s="1"/>
  <c r="S120" i="79"/>
  <c r="G12" i="82" s="1"/>
  <c r="V119" i="79"/>
  <c r="J20" i="82" s="1"/>
  <c r="S122" i="79"/>
  <c r="G14" i="82" s="1"/>
  <c r="U124" i="79"/>
  <c r="I16" i="82" s="1"/>
  <c r="R120" i="79"/>
  <c r="T122" i="79"/>
  <c r="H14" i="82" s="1"/>
  <c r="V124" i="79"/>
  <c r="J16" i="82" s="1"/>
  <c r="U119" i="79"/>
  <c r="I20" i="82" s="1"/>
  <c r="R122" i="79"/>
  <c r="T124" i="79"/>
  <c r="H16" i="82" s="1"/>
  <c r="R124" i="90"/>
  <c r="R122" i="90"/>
  <c r="S124" i="90"/>
  <c r="G33" i="82" s="1"/>
  <c r="S122" i="90"/>
  <c r="G31" i="82" s="1"/>
  <c r="T123" i="90"/>
  <c r="H32" i="82" s="1"/>
  <c r="R121" i="90"/>
  <c r="W122" i="89"/>
  <c r="I48" i="82" s="1"/>
  <c r="S123" i="90"/>
  <c r="G32" i="82" s="1"/>
  <c r="U120" i="89"/>
  <c r="G46" i="82" s="1"/>
  <c r="U125" i="90"/>
  <c r="I34" i="82" s="1"/>
  <c r="R123" i="90"/>
  <c r="W125" i="89"/>
  <c r="I51" i="82" s="1"/>
  <c r="U123" i="90"/>
  <c r="I32" i="82" s="1"/>
  <c r="S125" i="90"/>
  <c r="G34" i="82" s="1"/>
  <c r="V124" i="90"/>
  <c r="J33" i="82" s="1"/>
  <c r="R125" i="90"/>
  <c r="V122" i="90"/>
  <c r="J31" i="82" s="1"/>
  <c r="U121" i="90"/>
  <c r="I30" i="82" s="1"/>
  <c r="U124" i="90"/>
  <c r="I33" i="82" s="1"/>
  <c r="W121" i="89"/>
  <c r="I47" i="82" s="1"/>
  <c r="S121" i="90"/>
  <c r="G30" i="82" s="1"/>
  <c r="V121" i="89"/>
  <c r="H47" i="82" s="1"/>
  <c r="X125" i="89"/>
  <c r="J51" i="82" s="1"/>
  <c r="T125" i="90"/>
  <c r="H34" i="82" s="1"/>
  <c r="V123" i="90"/>
  <c r="J32" i="82" s="1"/>
  <c r="T121" i="90"/>
  <c r="H30" i="82" s="1"/>
  <c r="X121" i="89"/>
  <c r="J47" i="82" s="1"/>
  <c r="U122" i="90"/>
  <c r="I31" i="82" s="1"/>
  <c r="X120" i="89"/>
  <c r="J46" i="82" s="1"/>
  <c r="T124" i="90"/>
  <c r="H33" i="82" s="1"/>
  <c r="V125" i="90"/>
  <c r="J34" i="82" s="1"/>
  <c r="T122" i="90"/>
  <c r="H31" i="82" s="1"/>
  <c r="V121" i="90"/>
  <c r="J30" i="82" s="1"/>
  <c r="V123" i="89"/>
  <c r="H49" i="82" s="1"/>
  <c r="V125" i="89"/>
  <c r="H51" i="82" s="1"/>
  <c r="U123" i="89"/>
  <c r="G49" i="82" s="1"/>
  <c r="U121" i="89"/>
  <c r="G47" i="82" s="1"/>
  <c r="T124" i="89"/>
  <c r="W120" i="89"/>
  <c r="I46" i="82" s="1"/>
  <c r="X122" i="89"/>
  <c r="J48" i="82" s="1"/>
  <c r="V124" i="89"/>
  <c r="H50" i="82" s="1"/>
  <c r="U125" i="89"/>
  <c r="G51" i="82" s="1"/>
  <c r="X124" i="89"/>
  <c r="J50" i="82" s="1"/>
  <c r="V120" i="89"/>
  <c r="H46" i="82" s="1"/>
  <c r="X123" i="89"/>
  <c r="J49" i="82" s="1"/>
  <c r="T125" i="89"/>
  <c r="U124" i="89"/>
  <c r="G50" i="82" s="1"/>
  <c r="W124" i="89"/>
  <c r="I50" i="82" s="1"/>
  <c r="T121" i="89"/>
  <c r="V122" i="89"/>
  <c r="H48" i="82" s="1"/>
  <c r="W123" i="89"/>
  <c r="I49" i="82" s="1"/>
  <c r="U122" i="89"/>
  <c r="G48" i="82" s="1"/>
  <c r="T123" i="89"/>
  <c r="T120" i="89"/>
  <c r="T122" i="89"/>
  <c r="U119" i="89"/>
  <c r="G54" i="82" s="1"/>
  <c r="R120" i="90"/>
  <c r="S120" i="90"/>
  <c r="G29" i="82" s="1"/>
  <c r="T119" i="89"/>
  <c r="T120" i="90"/>
  <c r="H29" i="82" s="1"/>
  <c r="R97" i="90"/>
  <c r="V97" i="90"/>
  <c r="F37" i="82"/>
  <c r="T97" i="90"/>
  <c r="T119" i="90"/>
  <c r="S97" i="90"/>
  <c r="S119" i="90"/>
  <c r="W119" i="90" s="1"/>
  <c r="I37" i="82"/>
  <c r="U97" i="90"/>
  <c r="W90" i="90"/>
  <c r="W79" i="90"/>
  <c r="Y74" i="89"/>
  <c r="V118" i="89"/>
  <c r="W74" i="90"/>
  <c r="V107" i="90"/>
  <c r="V80" i="90"/>
  <c r="R118" i="90"/>
  <c r="F28" i="82" s="1"/>
  <c r="W89" i="90"/>
  <c r="V103" i="90"/>
  <c r="V76" i="90"/>
  <c r="X107" i="89"/>
  <c r="X80" i="89"/>
  <c r="W103" i="89"/>
  <c r="W76" i="89"/>
  <c r="U107" i="90"/>
  <c r="U80" i="90"/>
  <c r="X118" i="89"/>
  <c r="R103" i="90"/>
  <c r="W73" i="90"/>
  <c r="R76" i="90"/>
  <c r="V118" i="90"/>
  <c r="T118" i="89"/>
  <c r="Y89" i="89"/>
  <c r="Y97" i="89" s="1"/>
  <c r="X76" i="89"/>
  <c r="X103" i="89"/>
  <c r="U103" i="89"/>
  <c r="U76" i="89"/>
  <c r="T118" i="90"/>
  <c r="H28" i="82" s="1"/>
  <c r="W107" i="89"/>
  <c r="W80" i="89"/>
  <c r="S107" i="90"/>
  <c r="S80" i="90"/>
  <c r="T103" i="89"/>
  <c r="Y73" i="89"/>
  <c r="T76" i="89"/>
  <c r="R107" i="90"/>
  <c r="W77" i="90"/>
  <c r="R80" i="90"/>
  <c r="T80" i="90"/>
  <c r="T107" i="90"/>
  <c r="Y77" i="89"/>
  <c r="T80" i="89"/>
  <c r="T107" i="89"/>
  <c r="V76" i="89"/>
  <c r="V103" i="89"/>
  <c r="U107" i="89"/>
  <c r="U80" i="89"/>
  <c r="V107" i="89"/>
  <c r="V80" i="89"/>
  <c r="V109" i="89"/>
  <c r="W105" i="89"/>
  <c r="T105" i="90"/>
  <c r="R105" i="90"/>
  <c r="T108" i="89"/>
  <c r="V108" i="90"/>
  <c r="V109" i="90"/>
  <c r="V108" i="89"/>
  <c r="R104" i="90"/>
  <c r="U108" i="90"/>
  <c r="X109" i="89"/>
  <c r="R109" i="90"/>
  <c r="T109" i="90"/>
  <c r="V104" i="90"/>
  <c r="U109" i="90"/>
  <c r="W108" i="89"/>
  <c r="S109" i="90"/>
  <c r="S108" i="90"/>
  <c r="W109" i="89"/>
  <c r="U109" i="89"/>
  <c r="R108" i="90"/>
  <c r="T109" i="89"/>
  <c r="U108" i="89"/>
  <c r="X108" i="89"/>
  <c r="T108" i="90"/>
  <c r="T105" i="89"/>
  <c r="U105" i="90"/>
  <c r="S104" i="90"/>
  <c r="U104" i="90"/>
  <c r="V105" i="90"/>
  <c r="V104" i="89"/>
  <c r="S105" i="90"/>
  <c r="X105" i="89"/>
  <c r="X104" i="89"/>
  <c r="W104" i="89"/>
  <c r="T104" i="89"/>
  <c r="T104" i="90"/>
  <c r="V105" i="89"/>
  <c r="U104" i="89"/>
  <c r="U105" i="89"/>
  <c r="U118" i="89"/>
  <c r="T76" i="90"/>
  <c r="T103" i="90"/>
  <c r="U103" i="90"/>
  <c r="U76" i="90"/>
  <c r="S118" i="90"/>
  <c r="G28" i="82" s="1"/>
  <c r="S103" i="90"/>
  <c r="S76" i="90"/>
  <c r="W118" i="89"/>
  <c r="U118" i="90"/>
  <c r="I28" i="82" s="1"/>
  <c r="Y119" i="89" l="1"/>
  <c r="G35" i="82"/>
  <c r="Y121" i="89"/>
  <c r="F47" i="82"/>
  <c r="K47" i="82" s="1"/>
  <c r="W125" i="79"/>
  <c r="F17" i="82"/>
  <c r="F32" i="82"/>
  <c r="K32" i="82" s="1"/>
  <c r="W123" i="90"/>
  <c r="K15" i="82"/>
  <c r="U126" i="90"/>
  <c r="F20" i="82"/>
  <c r="K20" i="82" s="1"/>
  <c r="W119" i="79"/>
  <c r="F54" i="82"/>
  <c r="K54" i="82" s="1"/>
  <c r="W120" i="90"/>
  <c r="F29" i="82"/>
  <c r="F15" i="82"/>
  <c r="W123" i="79"/>
  <c r="Y120" i="89"/>
  <c r="F46" i="82"/>
  <c r="K46" i="82" s="1"/>
  <c r="I35" i="82"/>
  <c r="I39" i="82" s="1"/>
  <c r="W125" i="90"/>
  <c r="F34" i="82"/>
  <c r="K34" i="82" s="1"/>
  <c r="K17" i="82"/>
  <c r="F13" i="82"/>
  <c r="K13" i="82" s="1"/>
  <c r="W121" i="79"/>
  <c r="F33" i="82"/>
  <c r="K33" i="82" s="1"/>
  <c r="W124" i="90"/>
  <c r="W122" i="79"/>
  <c r="F14" i="82"/>
  <c r="K14" i="82" s="1"/>
  <c r="F51" i="82"/>
  <c r="K51" i="82" s="1"/>
  <c r="Y125" i="89"/>
  <c r="F48" i="82"/>
  <c r="K48" i="82" s="1"/>
  <c r="Y122" i="89"/>
  <c r="F12" i="82"/>
  <c r="K12" i="82" s="1"/>
  <c r="W120" i="79"/>
  <c r="W121" i="90"/>
  <c r="F30" i="82"/>
  <c r="K30" i="82" s="1"/>
  <c r="H35" i="82"/>
  <c r="F49" i="82"/>
  <c r="K49" i="82" s="1"/>
  <c r="Y123" i="89"/>
  <c r="W124" i="79"/>
  <c r="F16" i="82"/>
  <c r="K16" i="82" s="1"/>
  <c r="Y124" i="89"/>
  <c r="F50" i="82"/>
  <c r="K50" i="82" s="1"/>
  <c r="F31" i="82"/>
  <c r="K31" i="82" s="1"/>
  <c r="W122" i="90"/>
  <c r="J28" i="82"/>
  <c r="J35" i="82" s="1"/>
  <c r="J39" i="82" s="1"/>
  <c r="V126" i="90"/>
  <c r="T126" i="90"/>
  <c r="H37" i="82"/>
  <c r="H39" i="82" s="1"/>
  <c r="R126" i="90"/>
  <c r="G45" i="82"/>
  <c r="G52" i="82" s="1"/>
  <c r="U126" i="89"/>
  <c r="S126" i="90"/>
  <c r="G37" i="82"/>
  <c r="K37" i="82" s="1"/>
  <c r="J45" i="82"/>
  <c r="J52" i="82" s="1"/>
  <c r="X126" i="89"/>
  <c r="H45" i="82"/>
  <c r="H52" i="82" s="1"/>
  <c r="V126" i="89"/>
  <c r="I45" i="82"/>
  <c r="I52" i="82" s="1"/>
  <c r="W126" i="89"/>
  <c r="F45" i="82"/>
  <c r="T126" i="89"/>
  <c r="X82" i="89"/>
  <c r="X83" i="89" s="1"/>
  <c r="Y76" i="89"/>
  <c r="S82" i="90"/>
  <c r="S83" i="90" s="1"/>
  <c r="W76" i="90"/>
  <c r="U98" i="90"/>
  <c r="R98" i="90"/>
  <c r="S98" i="90"/>
  <c r="V98" i="89"/>
  <c r="U98" i="89"/>
  <c r="V82" i="90"/>
  <c r="V83" i="90" s="1"/>
  <c r="V82" i="89"/>
  <c r="V83" i="89" s="1"/>
  <c r="Y80" i="89"/>
  <c r="W82" i="89"/>
  <c r="W83" i="89" s="1"/>
  <c r="U82" i="90"/>
  <c r="U83" i="90" s="1"/>
  <c r="T98" i="89"/>
  <c r="R82" i="90"/>
  <c r="U82" i="89"/>
  <c r="U83" i="89" s="1"/>
  <c r="W105" i="90"/>
  <c r="W110" i="89"/>
  <c r="U106" i="89"/>
  <c r="W118" i="90"/>
  <c r="T110" i="89"/>
  <c r="Y107" i="89"/>
  <c r="Y103" i="89"/>
  <c r="T106" i="89"/>
  <c r="W107" i="90"/>
  <c r="R110" i="90"/>
  <c r="Y105" i="89"/>
  <c r="W98" i="89"/>
  <c r="T110" i="90"/>
  <c r="X106" i="89"/>
  <c r="R106" i="90"/>
  <c r="W103" i="90"/>
  <c r="U110" i="90"/>
  <c r="V110" i="89"/>
  <c r="Y118" i="89"/>
  <c r="S106" i="90"/>
  <c r="U106" i="90"/>
  <c r="Y104" i="89"/>
  <c r="V106" i="89"/>
  <c r="W106" i="89"/>
  <c r="V106" i="90"/>
  <c r="X98" i="89"/>
  <c r="V110" i="90"/>
  <c r="Y109" i="89"/>
  <c r="U110" i="89"/>
  <c r="T106" i="90"/>
  <c r="W108" i="90"/>
  <c r="T98" i="90"/>
  <c r="V98" i="90"/>
  <c r="W109" i="90"/>
  <c r="S110" i="90"/>
  <c r="T82" i="90"/>
  <c r="T83" i="90" s="1"/>
  <c r="W104" i="90"/>
  <c r="Y108" i="89"/>
  <c r="W80" i="90"/>
  <c r="T82" i="89"/>
  <c r="X110" i="89"/>
  <c r="C85" i="79"/>
  <c r="G39" i="82" l="1"/>
  <c r="Y126" i="89"/>
  <c r="F35" i="82"/>
  <c r="F39" i="82" s="1"/>
  <c r="F41" i="82" s="1"/>
  <c r="G56" i="82"/>
  <c r="K45" i="82"/>
  <c r="K52" i="82" s="1"/>
  <c r="K56" i="82" s="1"/>
  <c r="F52" i="82"/>
  <c r="I56" i="82"/>
  <c r="H56" i="82"/>
  <c r="J56" i="82"/>
  <c r="D85" i="89"/>
  <c r="R83" i="90"/>
  <c r="D85" i="90"/>
  <c r="V127" i="89"/>
  <c r="U127" i="90"/>
  <c r="W97" i="90"/>
  <c r="W98" i="90" s="1"/>
  <c r="X98" i="90" s="1"/>
  <c r="T112" i="89"/>
  <c r="W112" i="89"/>
  <c r="W113" i="89" s="1"/>
  <c r="W127" i="89"/>
  <c r="T127" i="90"/>
  <c r="U127" i="89"/>
  <c r="T112" i="90"/>
  <c r="T113" i="90" s="1"/>
  <c r="R112" i="90"/>
  <c r="X127" i="89"/>
  <c r="V127" i="90"/>
  <c r="U112" i="89"/>
  <c r="U113" i="89" s="1"/>
  <c r="S127" i="90"/>
  <c r="V112" i="90"/>
  <c r="V113" i="90" s="1"/>
  <c r="S112" i="90"/>
  <c r="S113" i="90" s="1"/>
  <c r="W106" i="90"/>
  <c r="Y98" i="89"/>
  <c r="Z98" i="89" s="1"/>
  <c r="W82" i="90"/>
  <c r="Y106" i="89"/>
  <c r="Y82" i="89"/>
  <c r="T83" i="89"/>
  <c r="V112" i="89"/>
  <c r="V113" i="89" s="1"/>
  <c r="U112" i="90"/>
  <c r="U113" i="90" s="1"/>
  <c r="X112" i="89"/>
  <c r="X113" i="89" s="1"/>
  <c r="W110" i="90"/>
  <c r="Y110" i="89"/>
  <c r="A2" i="79"/>
  <c r="A1" i="79"/>
  <c r="A2" i="74"/>
  <c r="A1" i="74"/>
  <c r="C82" i="79"/>
  <c r="V66" i="79"/>
  <c r="U66" i="79"/>
  <c r="T66" i="79"/>
  <c r="S66" i="79"/>
  <c r="R66" i="79"/>
  <c r="J66" i="79"/>
  <c r="I66" i="79"/>
  <c r="V65" i="79"/>
  <c r="U65" i="79"/>
  <c r="T65" i="79"/>
  <c r="S65" i="79"/>
  <c r="R65" i="79"/>
  <c r="J65" i="79"/>
  <c r="I65" i="79"/>
  <c r="V64" i="79"/>
  <c r="U64" i="79"/>
  <c r="T64" i="79"/>
  <c r="S64" i="79"/>
  <c r="R64" i="79"/>
  <c r="J64" i="79"/>
  <c r="I64" i="79"/>
  <c r="V63" i="79"/>
  <c r="U63" i="79"/>
  <c r="T63" i="79"/>
  <c r="S63" i="79"/>
  <c r="R63" i="79"/>
  <c r="J63" i="79"/>
  <c r="I63" i="79"/>
  <c r="V62" i="79"/>
  <c r="U62" i="79"/>
  <c r="T62" i="79"/>
  <c r="S62" i="79"/>
  <c r="R62" i="79"/>
  <c r="J62" i="79"/>
  <c r="I62" i="79"/>
  <c r="V61" i="79"/>
  <c r="U61" i="79"/>
  <c r="T61" i="79"/>
  <c r="S61" i="79"/>
  <c r="R61" i="79"/>
  <c r="J61" i="79"/>
  <c r="I61" i="79"/>
  <c r="V60" i="79"/>
  <c r="U60" i="79"/>
  <c r="T60" i="79"/>
  <c r="S60" i="79"/>
  <c r="R60" i="79"/>
  <c r="J60" i="79"/>
  <c r="I60" i="79"/>
  <c r="V59" i="79"/>
  <c r="U59" i="79"/>
  <c r="T59" i="79"/>
  <c r="S59" i="79"/>
  <c r="R59" i="79"/>
  <c r="J59" i="79"/>
  <c r="I59" i="79"/>
  <c r="V58" i="79"/>
  <c r="U58" i="79"/>
  <c r="T58" i="79"/>
  <c r="S58" i="79"/>
  <c r="R58" i="79"/>
  <c r="J58" i="79"/>
  <c r="I58" i="79"/>
  <c r="V57" i="79"/>
  <c r="U57" i="79"/>
  <c r="T57" i="79"/>
  <c r="S57" i="79"/>
  <c r="R57" i="79"/>
  <c r="J57" i="79"/>
  <c r="I57" i="79"/>
  <c r="V56" i="79"/>
  <c r="U56" i="79"/>
  <c r="T56" i="79"/>
  <c r="S56" i="79"/>
  <c r="R56" i="79"/>
  <c r="J56" i="79"/>
  <c r="I56" i="79"/>
  <c r="V55" i="79"/>
  <c r="U55" i="79"/>
  <c r="T55" i="79"/>
  <c r="S55" i="79"/>
  <c r="R55" i="79"/>
  <c r="J55" i="79"/>
  <c r="I55" i="79"/>
  <c r="V54" i="79"/>
  <c r="U54" i="79"/>
  <c r="T54" i="79"/>
  <c r="S54" i="79"/>
  <c r="R54" i="79"/>
  <c r="J54" i="79"/>
  <c r="I54" i="79"/>
  <c r="J53" i="79"/>
  <c r="I53" i="79"/>
  <c r="R53" i="79" s="1"/>
  <c r="V52" i="79"/>
  <c r="U52" i="79"/>
  <c r="T52" i="79"/>
  <c r="S52" i="79"/>
  <c r="R52" i="79"/>
  <c r="J52" i="79"/>
  <c r="I52" i="79"/>
  <c r="V51" i="79"/>
  <c r="U51" i="79"/>
  <c r="T51" i="79"/>
  <c r="S51" i="79"/>
  <c r="R51" i="79"/>
  <c r="J51" i="79"/>
  <c r="I51" i="79"/>
  <c r="V50" i="79"/>
  <c r="U50" i="79"/>
  <c r="T50" i="79"/>
  <c r="S50" i="79"/>
  <c r="R50" i="79"/>
  <c r="J50" i="79"/>
  <c r="I50" i="79"/>
  <c r="V49" i="79"/>
  <c r="U49" i="79"/>
  <c r="T49" i="79"/>
  <c r="S49" i="79"/>
  <c r="R49" i="79"/>
  <c r="J49" i="79"/>
  <c r="I49" i="79"/>
  <c r="J48" i="79"/>
  <c r="I48" i="79"/>
  <c r="R48" i="79" s="1"/>
  <c r="V47" i="79"/>
  <c r="U47" i="79"/>
  <c r="T47" i="79"/>
  <c r="S47" i="79"/>
  <c r="R47" i="79"/>
  <c r="J47" i="79"/>
  <c r="I47" i="79"/>
  <c r="V46" i="79"/>
  <c r="U46" i="79"/>
  <c r="T46" i="79"/>
  <c r="S46" i="79"/>
  <c r="R46" i="79"/>
  <c r="J46" i="79"/>
  <c r="I46" i="79"/>
  <c r="J45" i="79"/>
  <c r="I45" i="79"/>
  <c r="V45" i="79" s="1"/>
  <c r="V44" i="79"/>
  <c r="U44" i="79"/>
  <c r="T44" i="79"/>
  <c r="S44" i="79"/>
  <c r="R44" i="79"/>
  <c r="J44" i="79"/>
  <c r="I44" i="79"/>
  <c r="J43" i="79"/>
  <c r="I43" i="79"/>
  <c r="V43" i="79" s="1"/>
  <c r="V42" i="79"/>
  <c r="U42" i="79"/>
  <c r="T42" i="79"/>
  <c r="S42" i="79"/>
  <c r="R42" i="79"/>
  <c r="J42" i="79"/>
  <c r="I42" i="79"/>
  <c r="V41" i="79"/>
  <c r="U41" i="79"/>
  <c r="T41" i="79"/>
  <c r="S41" i="79"/>
  <c r="R41" i="79"/>
  <c r="J41" i="79"/>
  <c r="I41" i="79"/>
  <c r="V40" i="79"/>
  <c r="U40" i="79"/>
  <c r="T40" i="79"/>
  <c r="S40" i="79"/>
  <c r="R40" i="79"/>
  <c r="J40" i="79"/>
  <c r="I40" i="79"/>
  <c r="J15" i="79"/>
  <c r="I15" i="79"/>
  <c r="S15" i="79" s="1"/>
  <c r="J14" i="79"/>
  <c r="I14" i="79"/>
  <c r="V14" i="79" s="1"/>
  <c r="J13" i="79"/>
  <c r="I13" i="79"/>
  <c r="J12" i="79"/>
  <c r="I12" i="79"/>
  <c r="R12" i="79" s="1"/>
  <c r="J11" i="79"/>
  <c r="I11" i="79"/>
  <c r="J10" i="79"/>
  <c r="I10" i="79"/>
  <c r="V10" i="79" s="1"/>
  <c r="A5" i="79"/>
  <c r="X3" i="79"/>
  <c r="L56" i="82" l="1"/>
  <c r="F56" i="82"/>
  <c r="F58" i="82" s="1"/>
  <c r="R113" i="90"/>
  <c r="D114" i="90"/>
  <c r="T113" i="89"/>
  <c r="D114" i="89"/>
  <c r="V11" i="79"/>
  <c r="U11" i="79"/>
  <c r="T11" i="79"/>
  <c r="S11" i="79"/>
  <c r="R11" i="79"/>
  <c r="V13" i="79"/>
  <c r="U13" i="79"/>
  <c r="T13" i="79"/>
  <c r="S13" i="79"/>
  <c r="R13" i="79"/>
  <c r="U15" i="79"/>
  <c r="T15" i="79"/>
  <c r="V15" i="79"/>
  <c r="R15" i="79"/>
  <c r="R14" i="79"/>
  <c r="S14" i="79"/>
  <c r="T14" i="79"/>
  <c r="U14" i="79"/>
  <c r="Y112" i="89"/>
  <c r="R127" i="90"/>
  <c r="W126" i="90"/>
  <c r="W127" i="90" s="1"/>
  <c r="W112" i="90"/>
  <c r="Y83" i="89"/>
  <c r="Z83" i="89" s="1"/>
  <c r="T127" i="89"/>
  <c r="Y127" i="89"/>
  <c r="W83" i="90"/>
  <c r="X83" i="90" s="1"/>
  <c r="T53" i="79"/>
  <c r="S53" i="79"/>
  <c r="U53" i="79"/>
  <c r="V53" i="79"/>
  <c r="R43" i="79"/>
  <c r="S43" i="79"/>
  <c r="T43" i="79"/>
  <c r="U43" i="79"/>
  <c r="V75" i="79"/>
  <c r="R78" i="79"/>
  <c r="U12" i="79"/>
  <c r="U78" i="79" s="1"/>
  <c r="U108" i="79" s="1"/>
  <c r="V12" i="79"/>
  <c r="V48" i="79"/>
  <c r="U48" i="79"/>
  <c r="S48" i="79"/>
  <c r="T48" i="79"/>
  <c r="S12" i="79"/>
  <c r="S78" i="79" s="1"/>
  <c r="S108" i="79" s="1"/>
  <c r="T12" i="79"/>
  <c r="T78" i="79" s="1"/>
  <c r="T108" i="79" s="1"/>
  <c r="S45" i="79"/>
  <c r="R45" i="79"/>
  <c r="U45" i="79"/>
  <c r="T45" i="79"/>
  <c r="R10" i="79"/>
  <c r="R75" i="79" s="1"/>
  <c r="U10" i="79"/>
  <c r="U75" i="79" s="1"/>
  <c r="S10" i="79"/>
  <c r="S75" i="79" s="1"/>
  <c r="T10" i="79"/>
  <c r="T75" i="79" s="1"/>
  <c r="V77" i="79" l="1"/>
  <c r="V107" i="79" s="1"/>
  <c r="R74" i="79"/>
  <c r="R104" i="79" s="1"/>
  <c r="R79" i="79"/>
  <c r="T79" i="79"/>
  <c r="Y113" i="89"/>
  <c r="Z113" i="89" s="1"/>
  <c r="U77" i="79"/>
  <c r="U107" i="79" s="1"/>
  <c r="T77" i="79"/>
  <c r="S77" i="79"/>
  <c r="S107" i="79" s="1"/>
  <c r="R77" i="79"/>
  <c r="R107" i="79" s="1"/>
  <c r="V78" i="79"/>
  <c r="V108" i="79" s="1"/>
  <c r="Z127" i="89"/>
  <c r="W113" i="90"/>
  <c r="X113" i="90" s="1"/>
  <c r="X127" i="90"/>
  <c r="R105" i="79"/>
  <c r="R108" i="79"/>
  <c r="U105" i="79"/>
  <c r="S105" i="79"/>
  <c r="T105" i="79"/>
  <c r="V105" i="79"/>
  <c r="S79" i="79"/>
  <c r="V79" i="79"/>
  <c r="V109" i="79" s="1"/>
  <c r="V74" i="79"/>
  <c r="V104" i="79" s="1"/>
  <c r="U79" i="79"/>
  <c r="U74" i="79"/>
  <c r="U104" i="79" s="1"/>
  <c r="S74" i="79"/>
  <c r="S104" i="79" s="1"/>
  <c r="V73" i="79"/>
  <c r="T74" i="79"/>
  <c r="T104" i="79" s="1"/>
  <c r="U118" i="79"/>
  <c r="U73" i="79"/>
  <c r="R73" i="79"/>
  <c r="R118" i="79"/>
  <c r="T118" i="79"/>
  <c r="T73" i="79"/>
  <c r="S73" i="79"/>
  <c r="S118" i="79"/>
  <c r="W75" i="79"/>
  <c r="G11" i="82" l="1"/>
  <c r="G18" i="82" s="1"/>
  <c r="G22" i="82" s="1"/>
  <c r="S126" i="79"/>
  <c r="T126" i="79"/>
  <c r="H11" i="82"/>
  <c r="H18" i="82" s="1"/>
  <c r="H22" i="82" s="1"/>
  <c r="U126" i="79"/>
  <c r="I11" i="82"/>
  <c r="I18" i="82" s="1"/>
  <c r="I22" i="82" s="1"/>
  <c r="F11" i="82"/>
  <c r="R126" i="79"/>
  <c r="R109" i="79"/>
  <c r="R110" i="79" s="1"/>
  <c r="T109" i="79"/>
  <c r="W77" i="79"/>
  <c r="T107" i="79"/>
  <c r="W107" i="79" s="1"/>
  <c r="T80" i="79"/>
  <c r="W78" i="79"/>
  <c r="R80" i="79"/>
  <c r="V118" i="79"/>
  <c r="U109" i="79"/>
  <c r="W108" i="79"/>
  <c r="S109" i="79"/>
  <c r="S80" i="79"/>
  <c r="V80" i="79"/>
  <c r="V76" i="79"/>
  <c r="W79" i="79"/>
  <c r="U80" i="79"/>
  <c r="W89" i="79"/>
  <c r="W97" i="79" s="1"/>
  <c r="R76" i="79"/>
  <c r="U76" i="79"/>
  <c r="S76" i="79"/>
  <c r="T76" i="79"/>
  <c r="W74" i="79"/>
  <c r="W73" i="79"/>
  <c r="V126" i="79" l="1"/>
  <c r="J11" i="82"/>
  <c r="J18" i="82" s="1"/>
  <c r="J22" i="82" s="1"/>
  <c r="K11" i="82"/>
  <c r="K18" i="82" s="1"/>
  <c r="K22" i="82" s="1"/>
  <c r="F18" i="82"/>
  <c r="F22" i="82" s="1"/>
  <c r="F24" i="82" s="1"/>
  <c r="T82" i="79"/>
  <c r="T83" i="79" s="1"/>
  <c r="T110" i="79"/>
  <c r="T127" i="79"/>
  <c r="R82" i="79"/>
  <c r="V110" i="79"/>
  <c r="S110" i="79"/>
  <c r="T98" i="79"/>
  <c r="V98" i="79"/>
  <c r="S82" i="79"/>
  <c r="S83" i="79" s="1"/>
  <c r="U98" i="79"/>
  <c r="U127" i="79"/>
  <c r="W118" i="79"/>
  <c r="W126" i="79" s="1"/>
  <c r="W109" i="79"/>
  <c r="V127" i="79"/>
  <c r="R127" i="79"/>
  <c r="U110" i="79"/>
  <c r="V82" i="79"/>
  <c r="V83" i="79" s="1"/>
  <c r="W80" i="79"/>
  <c r="U82" i="79"/>
  <c r="U83" i="79" s="1"/>
  <c r="S98" i="79"/>
  <c r="R98" i="79"/>
  <c r="W76" i="79"/>
  <c r="L22" i="82" l="1"/>
  <c r="R83" i="79"/>
  <c r="D85" i="79"/>
  <c r="W110" i="79"/>
  <c r="S127" i="79"/>
  <c r="W98" i="79"/>
  <c r="X98" i="79" s="1"/>
  <c r="W82" i="79"/>
  <c r="W127" i="79" l="1"/>
  <c r="X127" i="79" s="1"/>
  <c r="W83" i="79"/>
  <c r="X83" i="79" s="1"/>
  <c r="V103" i="79" l="1"/>
  <c r="U103" i="79"/>
  <c r="S103" i="79"/>
  <c r="T103" i="79"/>
  <c r="R103" i="79"/>
  <c r="U106" i="79" l="1"/>
  <c r="U112" i="79" s="1"/>
  <c r="U113" i="79" s="1"/>
  <c r="R106" i="79"/>
  <c r="R112" i="79" s="1"/>
  <c r="V106" i="79"/>
  <c r="V112" i="79" s="1"/>
  <c r="V113" i="79" s="1"/>
  <c r="T106" i="79"/>
  <c r="T112" i="79" s="1"/>
  <c r="T113" i="79" s="1"/>
  <c r="S106" i="79"/>
  <c r="S112" i="79" s="1"/>
  <c r="S113" i="79" s="1"/>
  <c r="W105" i="79"/>
  <c r="W104" i="79"/>
  <c r="W103" i="79"/>
  <c r="R113" i="79" l="1"/>
  <c r="D114" i="79"/>
  <c r="W106" i="79"/>
  <c r="W112" i="79"/>
  <c r="W113" i="79" l="1"/>
  <c r="X113" i="79" s="1"/>
  <c r="K28" i="82" l="1"/>
  <c r="K29" i="82" l="1"/>
  <c r="K35" i="82" l="1"/>
  <c r="K39" i="82" s="1"/>
  <c r="L39" i="82" s="1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<sst xmlns="http://schemas.openxmlformats.org/spreadsheetml/2006/main" count="1033" uniqueCount="129">
  <si>
    <t>Total</t>
  </si>
  <si>
    <t>Powercor</t>
  </si>
  <si>
    <t>Preferred option:</t>
  </si>
  <si>
    <t>Option 3</t>
  </si>
  <si>
    <t>Option 1</t>
  </si>
  <si>
    <t>Type</t>
  </si>
  <si>
    <t>2026/27</t>
  </si>
  <si>
    <t>2027/28</t>
  </si>
  <si>
    <t>2028/29</t>
  </si>
  <si>
    <t>2029/30</t>
  </si>
  <si>
    <t>2030/31</t>
  </si>
  <si>
    <t>Labour</t>
  </si>
  <si>
    <t>capex</t>
  </si>
  <si>
    <t>Materials</t>
  </si>
  <si>
    <t>Contracts</t>
  </si>
  <si>
    <t>Total capex</t>
  </si>
  <si>
    <t>opex</t>
  </si>
  <si>
    <t>Total opex</t>
  </si>
  <si>
    <t>NPV</t>
  </si>
  <si>
    <t>Option 2</t>
  </si>
  <si>
    <t>Assumption Types</t>
  </si>
  <si>
    <t>Assumptions</t>
  </si>
  <si>
    <t>Parameters</t>
  </si>
  <si>
    <t>Area Applied</t>
  </si>
  <si>
    <t>Business case:</t>
  </si>
  <si>
    <t>Business:</t>
  </si>
  <si>
    <t>Real Discount rate:</t>
  </si>
  <si>
    <t>Cost inputs from SME:</t>
  </si>
  <si>
    <t>dollars</t>
  </si>
  <si>
    <t>Labour unit rate:</t>
  </si>
  <si>
    <t>Allocations (%) where applicable</t>
  </si>
  <si>
    <t>Options</t>
  </si>
  <si>
    <t>Costs for business case</t>
  </si>
  <si>
    <t>To convert from SME input:</t>
  </si>
  <si>
    <t>Multiply by:</t>
  </si>
  <si>
    <t>Labour rate ($/hr)</t>
  </si>
  <si>
    <t>$122.20</t>
  </si>
  <si>
    <t>Security Control Room - Maintain BACS / CCTV-VMS Integration Software License &amp; Service Maintenance Agreement @ June 2025</t>
  </si>
  <si>
    <t xml:space="preserve">Security Control Room - Additional BACS / CCTV-VMS Integration Software License &amp; Service Maintenance Agreement @ July 2026 </t>
  </si>
  <si>
    <t>Security Control Room - Upgrade BACS/CCTV- VMS Integration Software License &amp; Service Maintenance Agreement - Support CCTV Expansion</t>
  </si>
  <si>
    <t>Opex</t>
  </si>
  <si>
    <t>Description</t>
  </si>
  <si>
    <t>Capex /</t>
  </si>
  <si>
    <t>L / M / C</t>
  </si>
  <si>
    <t xml:space="preserve">Recurrent / </t>
  </si>
  <si>
    <t>Units</t>
  </si>
  <si>
    <t>Quantity of units</t>
  </si>
  <si>
    <t>Cost ($)</t>
  </si>
  <si>
    <t>Non recurrent</t>
  </si>
  <si>
    <t>unit rate</t>
  </si>
  <si>
    <t>RESS - BACS (Gallagher) Software Maintenance Agreement</t>
  </si>
  <si>
    <t>Recurrent</t>
  </si>
  <si>
    <t>RESS - BACS software upgrades, IT planning, field deployment &amp; testing</t>
  </si>
  <si>
    <t>Capex</t>
  </si>
  <si>
    <t>RESS - BACS Hardware (Break Fix) - On Site  Electronics Failures/Replacements</t>
  </si>
  <si>
    <t xml:space="preserve">RESS - BACS Routine Preventative Maintenance </t>
  </si>
  <si>
    <t xml:space="preserve">RESS - CCTV/ VMS (Milestone) Software Maintenance  Agreement </t>
  </si>
  <si>
    <t>RESS - CCTV-VMS Hardware (Break Fix) - On Site  Electronics Failures/Replacements</t>
  </si>
  <si>
    <t>RESS - Tactical CCTV-VMS  Solar Trailers &amp; Anti Copper Theft Systems - Routine Preventative Maintenance</t>
  </si>
  <si>
    <t>PAL Infra Tech - Preventative Maintenance Labour</t>
  </si>
  <si>
    <t>PAL Infra Tech - Server Refresh Labour</t>
  </si>
  <si>
    <t>PAL Infra Tech - Server Refresh Hardware</t>
  </si>
  <si>
    <t>PAL Infra Tech - Server Refresh Project Management</t>
  </si>
  <si>
    <t xml:space="preserve">PAL Infra Tech - BACS Hardware Support / Maintenance / Licensing </t>
  </si>
  <si>
    <t xml:space="preserve">PAL Infra Tech - CCTV Hardware Support / Maintenance / Licensing </t>
  </si>
  <si>
    <t xml:space="preserve">PAL Infra Tech - Mobile CCTV Hardware Support / Maintenance / Licensing </t>
  </si>
  <si>
    <t xml:space="preserve">Livelink currency </t>
  </si>
  <si>
    <t>Summary</t>
  </si>
  <si>
    <t>Check</t>
  </si>
  <si>
    <t>Summary for Regulation - for Business Case</t>
  </si>
  <si>
    <t>Capex &amp; Opex</t>
  </si>
  <si>
    <t>RESS - BACS - Break Fix - Hardware Life Cycle Replacement Program - Controllers</t>
  </si>
  <si>
    <t xml:space="preserve">RESS - BACS Biometrics Zone Substations (P1 &amp; P2)) onsite Installation , Documentation &amp; Configuration </t>
  </si>
  <si>
    <t>RESS - BACS Biometrics Zone Substations (P1 &amp; P2 )- Initial Controllers Hardware &amp; Licensing</t>
  </si>
  <si>
    <t>RESS - CCTV/VMS Zone Substation (P1 &amp; P2) Cabling-Hardware-Recording Server-Cameras</t>
  </si>
  <si>
    <t xml:space="preserve">RESS - CCTV / VMS Zone Substation (P1 &amp; P2)) Installation - Programming - Documentation </t>
  </si>
  <si>
    <t>RESS - Tactical CCTV-VMS  Solar Trailers - Inclusive of Procurement-Hardware Licensing x 6</t>
  </si>
  <si>
    <t>RESS - Tactical CCTV-VMS - Anti Copper Theft Pole-Pit Systems - Camera - Server - Licensing x 30</t>
  </si>
  <si>
    <t xml:space="preserve">RESS - Tactical CCTV - VMS Anti Copper Theft Pole-Pit Systems - Preventative Maintenance x 30 </t>
  </si>
  <si>
    <t>RESS - Autonomous Security Patrol Drones - Hardware Supply &amp; Licensing</t>
  </si>
  <si>
    <t>RESS - Depots Routine Preventative Maintenance - Integrated Security Systems - CCTV-VMS Hardware Life Cycle Replacement - Depots</t>
  </si>
  <si>
    <t>Infra Tech - BACS Labour</t>
  </si>
  <si>
    <t>Infra Tech - CCTV Labour</t>
  </si>
  <si>
    <t>Infra Tech - Mobile CCTV Labour</t>
  </si>
  <si>
    <t>Infra Tech - Drones Labour</t>
  </si>
  <si>
    <t>Infra Tech - Preventative Maintenance Labour</t>
  </si>
  <si>
    <t>Infra Tech - BACS Hardware</t>
  </si>
  <si>
    <t>Infra Tech - CCTV Hardware</t>
  </si>
  <si>
    <t>Infra Tech - Mobile CCTV Hardware</t>
  </si>
  <si>
    <t>Property</t>
  </si>
  <si>
    <t>%</t>
  </si>
  <si>
    <t>IT</t>
  </si>
  <si>
    <t>Lagged conversion to Jun 26</t>
  </si>
  <si>
    <t>Regulatory proposal 2026-31</t>
  </si>
  <si>
    <t>Model number:</t>
  </si>
  <si>
    <t>Facilities security</t>
  </si>
  <si>
    <t>June 2023</t>
  </si>
  <si>
    <t>June 2024</t>
  </si>
  <si>
    <t>June 2025</t>
  </si>
  <si>
    <t>June 2026</t>
  </si>
  <si>
    <t>$ June 2018 (2021-26 reset)</t>
  </si>
  <si>
    <t>$ June 2023</t>
  </si>
  <si>
    <t>$ June 2024</t>
  </si>
  <si>
    <t>RESS - CCTV-VMS Hardware Life Cycle Replacement Program @ 50% CCTV Cameras &amp; Local Servers</t>
  </si>
  <si>
    <t>RESS - Autonomous Drones - Systems Design-Installation-Commission-Programming</t>
  </si>
  <si>
    <t>RESS - Zone Sub Stations  Routine Preventative Maintenance</t>
  </si>
  <si>
    <t xml:space="preserve">Escalation: </t>
  </si>
  <si>
    <t>Property recurrent</t>
  </si>
  <si>
    <t>Category</t>
  </si>
  <si>
    <t>CapEx</t>
  </si>
  <si>
    <t>High security fence</t>
  </si>
  <si>
    <t>Kiosk fence</t>
  </si>
  <si>
    <t>Kiosk fencing of assets supplying telco infrastructure (150 sites)</t>
  </si>
  <si>
    <t>High security fence upgrade (5 high priority zone substation sites)</t>
  </si>
  <si>
    <t>$</t>
  </si>
  <si>
    <t>Depot accessibility upgrades</t>
  </si>
  <si>
    <t>Accessibility</t>
  </si>
  <si>
    <t>Zone substation control room upgrade (15 sites) - staff relocation / alternative accom</t>
  </si>
  <si>
    <t>Zone substation control room upgrade (15 sites) - building works</t>
  </si>
  <si>
    <t>Zone substation control room upgrade (15 sites) - services</t>
  </si>
  <si>
    <t>Zone substation control room upgrade (15 sites) - other</t>
  </si>
  <si>
    <t>Zone substation control room upgrade (15 sites) - project management</t>
  </si>
  <si>
    <t>ZSS refurb</t>
  </si>
  <si>
    <t>ZSS rebuild</t>
  </si>
  <si>
    <t>Zone substation control room rebuild (5 sites) - building works</t>
  </si>
  <si>
    <t>Sustainability</t>
  </si>
  <si>
    <t>Depot sustainability - Solar PV, battery storage, EV charging (light fleet)</t>
  </si>
  <si>
    <t>Do nothing</t>
  </si>
  <si>
    <t>See option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</si>
</sst>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6">
    <numFmt numFmtId="6" formatCode="&quot;$&quot;#,##0;[Red]\-&quot;$&quot;#,##0"/>
    <numFmt numFmtId="7" formatCode="&quot;$&quot;#,##0.00;\-&quot;$&quot;#,##0.00"/>
    <numFmt numFmtId="8" formatCode="&quot;$&quot;#,##0.00;[Red]\-&quot;$&quot;#,##0.00"/>
    <numFmt numFmtId="44" formatCode="_-&quot;$&quot;* #,##0.00_-;\-&quot;$&quot;* #,##0.00_-;_-&quot;$&quot;* &quot;-&quot;??_-;_-@_-"/>
    <numFmt numFmtId="43" formatCode="_-* #,##0.00_-;\-* #,##0.00_-;_-* &quot;-&quot;??_-;_-@_-"/>
    <numFmt numFmtId="164" formatCode="_(&quot;$&quot;* #,##0.00_);_(&quot;$&quot;* \(#,##0.00\);_(&quot;$&quot;* &quot;-&quot;??_);_(@_)"/>
    <numFmt numFmtId="165" formatCode="_(* #,##0.00_);_(* \(#,##0.00\);_(* &quot;-&quot;??_);_(@_)"/>
    <numFmt numFmtId="166" formatCode="&quot;$&quot;#,##0;[Red]\-&quot;$&quot;#,##0;\ &quot;-&quot;"/>
    <numFmt numFmtId="167" formatCode="#,##0_ ;[Red]\-#,##0;\ &quot;-&quot;"/>
    <numFmt numFmtId="168" formatCode="#,##0_ ;[Red]\-#,##0\ "/>
    <numFmt numFmtId="169" formatCode="0.000000"/>
    <numFmt numFmtId="170" formatCode="_-* #,##0_-;\-* #,##0_-;_-* &quot;-&quot;??_-;_-@_-"/>
    <numFmt numFmtId="171" formatCode="&quot;$&quot;#,##0.00;[Red]\-&quot;$&quot;#,##0.00;\ "/>
    <numFmt numFmtId="172" formatCode="[Red]\●;[Red]\●;[Color10]\●"/>
    <numFmt numFmtId="173" formatCode="0.0000"/>
    <numFmt numFmtId="174" formatCode="dd\ mmmm\ yyyy"/>
  </numFmts>
  <fonts count="5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rgb="FFFFFFFF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color theme="1"/>
      <name val="Trebuchet MS"/>
      <family val="2"/>
    </font>
    <font>
      <sz val="11"/>
      <name val="Calibri"/>
      <family val="2"/>
    </font>
    <font>
      <sz val="11"/>
      <color rgb="FF000000"/>
      <name val="Calibri"/>
      <family val="2"/>
    </font>
    <font>
      <sz val="10"/>
      <name val="Arial"/>
      <family val="2"/>
    </font>
    <font>
      <sz val="10"/>
      <name val="Arial"/>
      <family val="2"/>
    </font>
    <font>
      <sz val="10"/>
      <color theme="1"/>
      <name val="Verdana"/>
      <family val="2"/>
    </font>
    <font>
      <sz val="10"/>
      <color theme="1"/>
      <name val="Calibri"/>
      <family val="2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"/>
      <color theme="0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6"/>
      <color theme="0"/>
      <name val="Calibri"/>
      <family val="2"/>
      <scheme val="minor"/>
    </font>
    <font>
      <i/>
      <sz val="10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i/>
      <sz val="12"/>
      <color theme="0"/>
      <name val="Calibri"/>
      <family val="2"/>
      <scheme val="minor"/>
    </font>
    <font>
      <b/>
      <i/>
      <sz val="10"/>
      <color theme="0"/>
      <name val="Calibri"/>
      <family val="2"/>
      <scheme val="minor"/>
    </font>
    <font>
      <b/>
      <i/>
      <sz val="11"/>
      <color theme="0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0"/>
      <color theme="1"/>
      <name val="Calibri"/>
      <family val="2"/>
    </font>
    <font>
      <sz val="10"/>
      <color rgb="FF0066FF"/>
      <name val="Calibri"/>
      <family val="2"/>
    </font>
    <font>
      <i/>
      <sz val="10"/>
      <name val="Calibri"/>
      <family val="2"/>
    </font>
    <font>
      <b/>
      <sz val="10"/>
      <color rgb="FFFFFFFF"/>
      <name val="Calibri"/>
      <family val="2"/>
      <scheme val="minor"/>
    </font>
    <font>
      <sz val="10"/>
      <name val="Calibri"/>
      <family val="2"/>
    </font>
    <font>
      <i/>
      <sz val="8"/>
      <color theme="0" tint="-0.499984740745262"/>
      <name val="Calibri"/>
      <family val="2"/>
      <scheme val="minor"/>
    </font>
    <font>
      <i/>
      <sz val="9"/>
      <color theme="0" tint="-0.499984740745262"/>
      <name val="Calibri"/>
      <family val="2"/>
      <scheme val="minor"/>
    </font>
    <font>
      <sz val="10"/>
      <color rgb="FF0000FF"/>
      <name val="Calibri"/>
      <family val="2"/>
    </font>
    <font>
      <i/>
      <sz val="10"/>
      <color rgb="FF0000FF"/>
      <name val="Calibri"/>
      <family val="2"/>
    </font>
    <font>
      <sz val="10"/>
      <color rgb="FF0000FF"/>
      <name val="Calibri"/>
      <family val="2"/>
      <scheme val="minor"/>
    </font>
    <font>
      <sz val="8"/>
      <name val="Calibri"/>
      <family val="2"/>
      <scheme val="minor"/>
    </font>
    <font>
      <sz val="9"/>
      <color theme="0" tint="-0.249977111117893"/>
      <name val="Calibri"/>
      <family val="2"/>
      <scheme val="minor"/>
    </font>
    <font>
      <i/>
      <sz val="8"/>
      <color theme="2"/>
      <name val="Calibri"/>
      <family val="2"/>
      <scheme val="minor"/>
    </font>
    <font>
      <i/>
      <sz val="8"/>
      <color theme="0" tint="-0.34998626667073579"/>
      <name val="Calibri"/>
      <family val="2"/>
      <scheme val="minor"/>
    </font>
    <font>
      <b/>
      <sz val="10"/>
      <color rgb="FF0000FF"/>
      <name val="Calibri"/>
      <family val="2"/>
      <scheme val="minor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sz val="10"/>
      <color theme="1"/>
      <name val="Arial"/>
      <family val="2"/>
    </font>
    <font>
      <sz val="8"/>
      <name val="Helvetica"/>
      <family val="2"/>
    </font>
    <font>
      <sz val="9"/>
      <color theme="0" tint="-0.34998626667073579"/>
      <name val="Calibri"/>
      <family val="2"/>
      <scheme val="minor"/>
    </font>
    <font>
      <b/>
      <sz val="10"/>
      <color rgb="FFFF0000"/>
      <name val="Calibri"/>
      <family val="2"/>
      <scheme val="minor"/>
    </font>
    <font>
      <sz val="11"/>
      <name val="Calibri"/>
      <family val="2"/>
      <scheme val="minor"/>
    </font>
    <font>
      <b/>
      <sz val="18"/>
      <color rgb="FF00215B"/>
      <name val="Arial"/>
      <family val="2"/>
    </font>
    <font>
      <sz val="11"/>
      <color rgb="FF00215B"/>
      <name val="Calibri"/>
      <family val="2"/>
      <scheme val="minor"/>
    </font>
    <font>
      <b/>
      <sz val="12"/>
      <color rgb="FF00215B"/>
      <name val="Arial"/>
      <family val="2"/>
    </font>
    <font>
      <b/>
      <sz val="11"/>
      <color rgb="FF00215B"/>
      <name val="Arial"/>
      <family val="2"/>
    </font>
    <font>
      <sz val="11"/>
      <color rgb="FF00215B"/>
      <name val="Arial"/>
      <family val="2"/>
    </font>
    <font>
      <sz val="10"/>
      <color rgb="FF00215B"/>
      <name val="Arial"/>
      <family val="2"/>
    </font>
    <font>
      <sz val="9"/>
      <color rgb="FF00215B"/>
      <name val="Arial"/>
      <family val="2"/>
    </font>
    <font>
      <sz val="8"/>
      <color rgb="FF00215B"/>
      <name val="Arial"/>
      <family val="2"/>
    </font>
  </fonts>
  <fills count="11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rgb="FFD6E5F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EBF2F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CC"/>
        <bgColor rgb="FF000000"/>
      </patternFill>
    </fill>
    <fill>
      <patternFill patternType="solid">
        <fgColor rgb="FF00215B"/>
        <bgColor indexed="64"/>
      </patternFill>
    </fill>
  </fills>
  <borders count="19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ck">
        <color theme="0"/>
      </left>
      <right/>
      <top style="thin">
        <color indexed="64"/>
      </top>
      <bottom style="thin">
        <color indexed="64"/>
      </bottom>
      <diagonal/>
    </border>
    <border>
      <left style="thick">
        <color theme="0"/>
      </left>
      <right/>
      <top style="thin">
        <color indexed="64"/>
      </top>
      <bottom/>
      <diagonal/>
    </border>
    <border>
      <left style="thick">
        <color theme="0"/>
      </left>
      <right/>
      <top/>
      <bottom/>
      <diagonal/>
    </border>
    <border>
      <left style="thick">
        <color theme="0"/>
      </left>
      <right/>
      <top/>
      <bottom style="thin">
        <color indexed="64"/>
      </bottom>
      <diagonal/>
    </border>
    <border>
      <left/>
      <right style="hair">
        <color auto="1"/>
      </right>
      <top style="thin">
        <color indexed="64"/>
      </top>
      <bottom/>
      <diagonal/>
    </border>
    <border>
      <left style="hair">
        <color auto="1"/>
      </left>
      <right/>
      <top style="thin">
        <color indexed="64"/>
      </top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ck">
        <color theme="0"/>
      </right>
      <top style="thin">
        <color indexed="64"/>
      </top>
      <bottom/>
      <diagonal/>
    </border>
    <border>
      <left/>
      <right style="thick">
        <color theme="0"/>
      </right>
      <top/>
      <bottom/>
      <diagonal/>
    </border>
    <border>
      <left/>
      <right/>
      <top style="hair">
        <color indexed="64"/>
      </top>
      <bottom/>
      <diagonal/>
    </border>
  </borders>
  <cellStyleXfs count="47">
    <xf numFmtId="0" fontId="0" fillId="0" borderId="0"/>
    <xf numFmtId="0" fontId="4" fillId="0" borderId="0"/>
    <xf numFmtId="0" fontId="3" fillId="0" borderId="0"/>
    <xf numFmtId="0" fontId="5" fillId="0" borderId="0"/>
    <xf numFmtId="0" fontId="3" fillId="0" borderId="0"/>
    <xf numFmtId="44" fontId="5" fillId="0" borderId="0" applyFont="0" applyFill="0" applyBorder="0" applyAlignment="0" applyProtection="0"/>
    <xf numFmtId="0" fontId="1" fillId="0" borderId="0"/>
    <xf numFmtId="0" fontId="6" fillId="0" borderId="0"/>
    <xf numFmtId="44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164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7" fillId="0" borderId="0"/>
    <xf numFmtId="0" fontId="3" fillId="0" borderId="0"/>
    <xf numFmtId="0" fontId="8" fillId="0" borderId="0"/>
    <xf numFmtId="0" fontId="9" fillId="0" borderId="0"/>
    <xf numFmtId="0" fontId="10" fillId="0" borderId="0"/>
    <xf numFmtId="9" fontId="10" fillId="0" borderId="0" applyFont="0" applyFill="0" applyBorder="0" applyAlignment="0" applyProtection="0"/>
    <xf numFmtId="44" fontId="10" fillId="0" borderId="0" applyFont="0" applyFill="0" applyBorder="0" applyAlignment="0" applyProtection="0"/>
    <xf numFmtId="0" fontId="11" fillId="0" borderId="0"/>
    <xf numFmtId="44" fontId="11" fillId="0" borderId="0" applyFont="0" applyFill="0" applyBorder="0" applyAlignment="0" applyProtection="0"/>
    <xf numFmtId="0" fontId="10" fillId="0" borderId="0"/>
    <xf numFmtId="9" fontId="11" fillId="0" borderId="0" applyFont="0" applyFill="0" applyBorder="0" applyAlignment="0" applyProtection="0"/>
    <xf numFmtId="43" fontId="10" fillId="0" borderId="0" applyFont="0" applyFill="0" applyBorder="0" applyAlignment="0" applyProtection="0"/>
    <xf numFmtId="0" fontId="1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40" fillId="0" borderId="0"/>
    <xf numFmtId="172" fontId="41" fillId="0" borderId="0">
      <alignment horizontal="center" vertical="center"/>
    </xf>
    <xf numFmtId="9" fontId="40" fillId="0" borderId="0" applyFont="0" applyFill="0" applyBorder="0" applyAlignment="0" applyProtection="0"/>
    <xf numFmtId="165" fontId="40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44" fontId="10" fillId="0" borderId="0" applyFont="0" applyFill="0" applyBorder="0" applyAlignment="0" applyProtection="0"/>
    <xf numFmtId="44" fontId="1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0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1" fillId="0" borderId="0"/>
  </cellStyleXfs>
  <cellXfs count="156">
    <xf numFmtId="0" fontId="0" fillId="0" borderId="0" xfId="0"/>
    <xf numFmtId="0" fontId="12" fillId="0" borderId="0" xfId="0" applyFont="1"/>
    <xf numFmtId="3" fontId="12" fillId="0" borderId="0" xfId="0" applyNumberFormat="1" applyFont="1"/>
    <xf numFmtId="0" fontId="13" fillId="0" borderId="3" xfId="0" applyFont="1" applyBorder="1"/>
    <xf numFmtId="0" fontId="13" fillId="0" borderId="0" xfId="0" applyFont="1"/>
    <xf numFmtId="166" fontId="12" fillId="0" borderId="1" xfId="0" applyNumberFormat="1" applyFont="1" applyBorder="1" applyAlignment="1">
      <alignment horizontal="right" vertical="top"/>
    </xf>
    <xf numFmtId="166" fontId="12" fillId="0" borderId="0" xfId="0" applyNumberFormat="1" applyFont="1" applyAlignment="1">
      <alignment horizontal="right" vertical="top"/>
    </xf>
    <xf numFmtId="0" fontId="13" fillId="0" borderId="4" xfId="0" applyFont="1" applyBorder="1"/>
    <xf numFmtId="166" fontId="13" fillId="0" borderId="4" xfId="0" applyNumberFormat="1" applyFont="1" applyBorder="1" applyAlignment="1">
      <alignment horizontal="right" vertical="top"/>
    </xf>
    <xf numFmtId="0" fontId="12" fillId="0" borderId="0" xfId="0" applyFont="1" applyAlignment="1">
      <alignment horizontal="center"/>
    </xf>
    <xf numFmtId="0" fontId="13" fillId="0" borderId="4" xfId="0" applyFont="1" applyBorder="1" applyAlignment="1">
      <alignment horizontal="center"/>
    </xf>
    <xf numFmtId="0" fontId="14" fillId="3" borderId="0" xfId="0" applyFont="1" applyFill="1"/>
    <xf numFmtId="0" fontId="14" fillId="3" borderId="0" xfId="0" applyFont="1" applyFill="1" applyAlignment="1">
      <alignment horizontal="center"/>
    </xf>
    <xf numFmtId="0" fontId="15" fillId="3" borderId="0" xfId="0" applyFont="1" applyFill="1"/>
    <xf numFmtId="0" fontId="16" fillId="3" borderId="0" xfId="0" applyFont="1" applyFill="1"/>
    <xf numFmtId="0" fontId="15" fillId="0" borderId="0" xfId="0" applyFont="1"/>
    <xf numFmtId="0" fontId="14" fillId="0" borderId="0" xfId="0" applyFont="1"/>
    <xf numFmtId="0" fontId="14" fillId="0" borderId="0" xfId="0" applyFont="1" applyAlignment="1">
      <alignment horizontal="center"/>
    </xf>
    <xf numFmtId="0" fontId="17" fillId="0" borderId="0" xfId="0" applyFont="1"/>
    <xf numFmtId="0" fontId="13" fillId="4" borderId="2" xfId="0" applyFont="1" applyFill="1" applyBorder="1" applyAlignment="1">
      <alignment horizontal="centerContinuous"/>
    </xf>
    <xf numFmtId="0" fontId="12" fillId="4" borderId="2" xfId="0" applyFont="1" applyFill="1" applyBorder="1" applyAlignment="1">
      <alignment horizontal="centerContinuous"/>
    </xf>
    <xf numFmtId="0" fontId="13" fillId="0" borderId="5" xfId="0" applyFont="1" applyBorder="1"/>
    <xf numFmtId="166" fontId="13" fillId="0" borderId="5" xfId="0" applyNumberFormat="1" applyFont="1" applyBorder="1" applyAlignment="1">
      <alignment horizontal="right" vertical="top"/>
    </xf>
    <xf numFmtId="166" fontId="13" fillId="0" borderId="0" xfId="0" applyNumberFormat="1" applyFont="1" applyAlignment="1">
      <alignment horizontal="right" vertical="top"/>
    </xf>
    <xf numFmtId="0" fontId="12" fillId="0" borderId="2" xfId="0" applyFont="1" applyBorder="1"/>
    <xf numFmtId="166" fontId="12" fillId="0" borderId="2" xfId="0" applyNumberFormat="1" applyFont="1" applyBorder="1" applyAlignment="1">
      <alignment horizontal="right" vertical="top"/>
    </xf>
    <xf numFmtId="0" fontId="18" fillId="0" borderId="0" xfId="0" applyFont="1"/>
    <xf numFmtId="0" fontId="2" fillId="0" borderId="0" xfId="13" applyFont="1" applyAlignment="1">
      <alignment horizontal="left" vertical="center"/>
    </xf>
    <xf numFmtId="0" fontId="19" fillId="3" borderId="0" xfId="0" applyFont="1" applyFill="1"/>
    <xf numFmtId="0" fontId="20" fillId="3" borderId="0" xfId="0" applyFont="1" applyFill="1"/>
    <xf numFmtId="0" fontId="21" fillId="3" borderId="0" xfId="0" applyFont="1" applyFill="1"/>
    <xf numFmtId="0" fontId="21" fillId="3" borderId="0" xfId="0" applyFont="1" applyFill="1" applyAlignment="1">
      <alignment horizontal="center"/>
    </xf>
    <xf numFmtId="0" fontId="22" fillId="0" borderId="0" xfId="0" applyFont="1"/>
    <xf numFmtId="8" fontId="13" fillId="0" borderId="0" xfId="0" applyNumberFormat="1" applyFont="1"/>
    <xf numFmtId="6" fontId="12" fillId="0" borderId="2" xfId="0" applyNumberFormat="1" applyFont="1" applyBorder="1" applyAlignment="1">
      <alignment horizontal="right" vertical="top"/>
    </xf>
    <xf numFmtId="2" fontId="13" fillId="0" borderId="0" xfId="0" applyNumberFormat="1" applyFont="1" applyAlignment="1">
      <alignment horizontal="right" vertical="top"/>
    </xf>
    <xf numFmtId="0" fontId="13" fillId="4" borderId="3" xfId="0" applyFont="1" applyFill="1" applyBorder="1"/>
    <xf numFmtId="0" fontId="12" fillId="4" borderId="3" xfId="0" applyFont="1" applyFill="1" applyBorder="1"/>
    <xf numFmtId="0" fontId="13" fillId="4" borderId="3" xfId="0" applyFont="1" applyFill="1" applyBorder="1" applyAlignment="1">
      <alignment horizontal="center"/>
    </xf>
    <xf numFmtId="0" fontId="23" fillId="0" borderId="0" xfId="0" applyFont="1"/>
    <xf numFmtId="0" fontId="23" fillId="0" borderId="0" xfId="0" applyFont="1" applyAlignment="1">
      <alignment horizontal="right"/>
    </xf>
    <xf numFmtId="0" fontId="24" fillId="0" borderId="0" xfId="0" applyFont="1"/>
    <xf numFmtId="0" fontId="26" fillId="0" borderId="0" xfId="13" applyFont="1" applyAlignment="1">
      <alignment horizontal="left" vertical="center"/>
    </xf>
    <xf numFmtId="1" fontId="27" fillId="0" borderId="1" xfId="26" applyNumberFormat="1" applyFont="1" applyFill="1" applyBorder="1" applyAlignment="1">
      <alignment horizontal="right"/>
    </xf>
    <xf numFmtId="0" fontId="12" fillId="0" borderId="0" xfId="0" applyFont="1" applyAlignment="1">
      <alignment horizontal="left"/>
    </xf>
    <xf numFmtId="0" fontId="28" fillId="6" borderId="0" xfId="0" applyFont="1" applyFill="1"/>
    <xf numFmtId="167" fontId="29" fillId="6" borderId="0" xfId="0" applyNumberFormat="1" applyFont="1" applyFill="1"/>
    <xf numFmtId="0" fontId="33" fillId="5" borderId="0" xfId="14" applyFont="1" applyFill="1"/>
    <xf numFmtId="0" fontId="34" fillId="0" borderId="0" xfId="0" applyFont="1"/>
    <xf numFmtId="0" fontId="35" fillId="0" borderId="0" xfId="0" applyFont="1"/>
    <xf numFmtId="0" fontId="13" fillId="4" borderId="2" xfId="0" applyFont="1" applyFill="1" applyBorder="1" applyAlignment="1">
      <alignment horizontal="left"/>
    </xf>
    <xf numFmtId="0" fontId="13" fillId="7" borderId="0" xfId="0" applyFont="1" applyFill="1" applyAlignment="1">
      <alignment horizontal="center"/>
    </xf>
    <xf numFmtId="170" fontId="12" fillId="0" borderId="0" xfId="27" applyNumberFormat="1" applyFont="1"/>
    <xf numFmtId="0" fontId="13" fillId="0" borderId="3" xfId="0" applyFont="1" applyBorder="1" applyAlignment="1">
      <alignment horizontal="left"/>
    </xf>
    <xf numFmtId="166" fontId="13" fillId="0" borderId="5" xfId="0" applyNumberFormat="1" applyFont="1" applyBorder="1" applyAlignment="1">
      <alignment horizontal="left" vertical="top"/>
    </xf>
    <xf numFmtId="0" fontId="13" fillId="8" borderId="0" xfId="0" applyFont="1" applyFill="1"/>
    <xf numFmtId="6" fontId="13" fillId="8" borderId="0" xfId="0" applyNumberFormat="1" applyFont="1" applyFill="1"/>
    <xf numFmtId="0" fontId="25" fillId="0" borderId="0" xfId="0" applyFont="1" applyAlignment="1">
      <alignment horizontal="right"/>
    </xf>
    <xf numFmtId="0" fontId="31" fillId="0" borderId="0" xfId="0" applyFont="1" applyAlignment="1">
      <alignment horizontal="right"/>
    </xf>
    <xf numFmtId="166" fontId="12" fillId="6" borderId="0" xfId="0" applyNumberFormat="1" applyFont="1" applyFill="1"/>
    <xf numFmtId="10" fontId="15" fillId="3" borderId="0" xfId="0" applyNumberFormat="1" applyFont="1" applyFill="1"/>
    <xf numFmtId="0" fontId="26" fillId="0" borderId="0" xfId="13" applyFont="1" applyAlignment="1">
      <alignment horizontal="right" vertical="center"/>
    </xf>
    <xf numFmtId="0" fontId="12" fillId="0" borderId="0" xfId="0" applyFont="1" applyAlignment="1">
      <alignment horizontal="right"/>
    </xf>
    <xf numFmtId="10" fontId="16" fillId="3" borderId="0" xfId="0" applyNumberFormat="1" applyFont="1" applyFill="1"/>
    <xf numFmtId="171" fontId="32" fillId="0" borderId="1" xfId="0" applyNumberFormat="1" applyFont="1" applyBorder="1" applyAlignment="1">
      <alignment horizontal="right" vertical="top"/>
    </xf>
    <xf numFmtId="0" fontId="13" fillId="4" borderId="2" xfId="0" applyFont="1" applyFill="1" applyBorder="1" applyAlignment="1">
      <alignment vertical="center"/>
    </xf>
    <xf numFmtId="0" fontId="36" fillId="0" borderId="2" xfId="0" applyFont="1" applyBorder="1"/>
    <xf numFmtId="0" fontId="12" fillId="0" borderId="2" xfId="0" applyFont="1" applyBorder="1" applyAlignment="1">
      <alignment horizontal="center"/>
    </xf>
    <xf numFmtId="0" fontId="36" fillId="0" borderId="0" xfId="0" applyFont="1"/>
    <xf numFmtId="0" fontId="13" fillId="0" borderId="0" xfId="0" applyFont="1" applyAlignment="1">
      <alignment horizontal="center"/>
    </xf>
    <xf numFmtId="10" fontId="30" fillId="0" borderId="0" xfId="26" applyNumberFormat="1" applyFont="1" applyFill="1"/>
    <xf numFmtId="166" fontId="12" fillId="0" borderId="9" xfId="0" applyNumberFormat="1" applyFont="1" applyBorder="1" applyAlignment="1">
      <alignment horizontal="right" vertical="top"/>
    </xf>
    <xf numFmtId="166" fontId="12" fillId="0" borderId="10" xfId="0" applyNumberFormat="1" applyFont="1" applyBorder="1" applyAlignment="1">
      <alignment horizontal="right" vertical="top"/>
    </xf>
    <xf numFmtId="166" fontId="13" fillId="0" borderId="8" xfId="0" applyNumberFormat="1" applyFont="1" applyBorder="1" applyAlignment="1">
      <alignment horizontal="right" vertical="top"/>
    </xf>
    <xf numFmtId="0" fontId="13" fillId="4" borderId="11" xfId="0" applyFont="1" applyFill="1" applyBorder="1" applyAlignment="1">
      <alignment horizontal="center"/>
    </xf>
    <xf numFmtId="0" fontId="0" fillId="0" borderId="3" xfId="0" applyBorder="1"/>
    <xf numFmtId="0" fontId="37" fillId="0" borderId="3" xfId="0" applyFont="1" applyBorder="1"/>
    <xf numFmtId="10" fontId="30" fillId="2" borderId="1" xfId="26" applyNumberFormat="1" applyFont="1" applyFill="1" applyBorder="1" applyProtection="1">
      <protection locked="0"/>
    </xf>
    <xf numFmtId="10" fontId="30" fillId="2" borderId="1" xfId="26" applyNumberFormat="1" applyFont="1" applyFill="1" applyBorder="1" applyAlignment="1" applyProtection="1">
      <alignment horizontal="right"/>
      <protection locked="0"/>
    </xf>
    <xf numFmtId="1" fontId="30" fillId="2" borderId="1" xfId="26" applyNumberFormat="1" applyFont="1" applyFill="1" applyBorder="1" applyAlignment="1" applyProtection="1">
      <alignment horizontal="right"/>
      <protection locked="0"/>
    </xf>
    <xf numFmtId="0" fontId="32" fillId="2" borderId="7" xfId="0" applyFont="1" applyFill="1" applyBorder="1" applyAlignment="1" applyProtection="1">
      <alignment vertical="center"/>
      <protection locked="0"/>
    </xf>
    <xf numFmtId="0" fontId="32" fillId="2" borderId="6" xfId="0" applyFont="1" applyFill="1" applyBorder="1" applyAlignment="1" applyProtection="1">
      <alignment vertical="center"/>
      <protection locked="0"/>
    </xf>
    <xf numFmtId="0" fontId="32" fillId="2" borderId="5" xfId="0" applyFont="1" applyFill="1" applyBorder="1" applyAlignment="1" applyProtection="1">
      <alignment vertical="center"/>
      <protection locked="0"/>
    </xf>
    <xf numFmtId="168" fontId="32" fillId="2" borderId="1" xfId="0" applyNumberFormat="1" applyFont="1" applyFill="1" applyBorder="1" applyAlignment="1" applyProtection="1">
      <alignment horizontal="right" vertical="top"/>
      <protection locked="0"/>
    </xf>
    <xf numFmtId="0" fontId="13" fillId="2" borderId="1" xfId="0" applyFont="1" applyFill="1" applyBorder="1" applyProtection="1">
      <protection locked="0"/>
    </xf>
    <xf numFmtId="0" fontId="39" fillId="0" borderId="0" xfId="0" applyFont="1" applyAlignment="1">
      <alignment horizontal="left"/>
    </xf>
    <xf numFmtId="10" fontId="30" fillId="2" borderId="13" xfId="26" applyNumberFormat="1" applyFont="1" applyFill="1" applyBorder="1" applyProtection="1">
      <protection locked="0"/>
    </xf>
    <xf numFmtId="10" fontId="30" fillId="2" borderId="2" xfId="26" applyNumberFormat="1" applyFont="1" applyFill="1" applyBorder="1" applyProtection="1">
      <protection locked="0"/>
    </xf>
    <xf numFmtId="10" fontId="30" fillId="2" borderId="12" xfId="26" applyNumberFormat="1" applyFont="1" applyFill="1" applyBorder="1" applyProtection="1">
      <protection locked="0"/>
    </xf>
    <xf numFmtId="10" fontId="30" fillId="2" borderId="6" xfId="26" applyNumberFormat="1" applyFont="1" applyFill="1" applyBorder="1" applyProtection="1">
      <protection locked="0"/>
    </xf>
    <xf numFmtId="10" fontId="30" fillId="2" borderId="5" xfId="26" applyNumberFormat="1" applyFont="1" applyFill="1" applyBorder="1" applyProtection="1">
      <protection locked="0"/>
    </xf>
    <xf numFmtId="10" fontId="30" fillId="2" borderId="7" xfId="26" applyNumberFormat="1" applyFont="1" applyFill="1" applyBorder="1" applyProtection="1">
      <protection locked="0"/>
    </xf>
    <xf numFmtId="10" fontId="30" fillId="0" borderId="0" xfId="26" applyNumberFormat="1" applyFont="1" applyFill="1" applyBorder="1" applyProtection="1">
      <protection locked="0"/>
    </xf>
    <xf numFmtId="9" fontId="30" fillId="2" borderId="1" xfId="26" applyFont="1" applyFill="1" applyBorder="1" applyProtection="1">
      <protection locked="0"/>
    </xf>
    <xf numFmtId="9" fontId="30" fillId="2" borderId="14" xfId="26" applyFont="1" applyFill="1" applyBorder="1" applyProtection="1">
      <protection locked="0"/>
    </xf>
    <xf numFmtId="9" fontId="13" fillId="0" borderId="4" xfId="0" applyNumberFormat="1" applyFont="1" applyBorder="1" applyAlignment="1">
      <alignment horizontal="right"/>
    </xf>
    <xf numFmtId="169" fontId="12" fillId="0" borderId="1" xfId="0" applyNumberFormat="1" applyFont="1" applyBorder="1"/>
    <xf numFmtId="7" fontId="27" fillId="0" borderId="1" xfId="32" applyNumberFormat="1" applyFont="1" applyFill="1" applyBorder="1" applyAlignment="1">
      <alignment horizontal="right"/>
    </xf>
    <xf numFmtId="7" fontId="12" fillId="0" borderId="1" xfId="32" applyNumberFormat="1" applyFont="1" applyBorder="1"/>
    <xf numFmtId="9" fontId="12" fillId="0" borderId="0" xfId="26" applyFont="1"/>
    <xf numFmtId="0" fontId="13" fillId="4" borderId="0" xfId="0" applyFont="1" applyFill="1" applyAlignment="1">
      <alignment vertical="center"/>
    </xf>
    <xf numFmtId="0" fontId="23" fillId="0" borderId="3" xfId="0" applyFont="1" applyBorder="1" applyAlignment="1">
      <alignment horizontal="right"/>
    </xf>
    <xf numFmtId="0" fontId="12" fillId="0" borderId="5" xfId="0" applyFont="1" applyBorder="1"/>
    <xf numFmtId="0" fontId="36" fillId="0" borderId="5" xfId="0" applyFont="1" applyBorder="1"/>
    <xf numFmtId="3" fontId="12" fillId="0" borderId="5" xfId="0" applyNumberFormat="1" applyFont="1" applyBorder="1"/>
    <xf numFmtId="0" fontId="12" fillId="0" borderId="5" xfId="0" applyFont="1" applyBorder="1" applyAlignment="1">
      <alignment horizontal="center"/>
    </xf>
    <xf numFmtId="166" fontId="12" fillId="0" borderId="5" xfId="0" applyNumberFormat="1" applyFont="1" applyBorder="1" applyAlignment="1">
      <alignment horizontal="right" vertical="top"/>
    </xf>
    <xf numFmtId="6" fontId="12" fillId="0" borderId="0" xfId="0" applyNumberFormat="1" applyFont="1"/>
    <xf numFmtId="0" fontId="42" fillId="0" borderId="0" xfId="0" applyFont="1"/>
    <xf numFmtId="0" fontId="35" fillId="0" borderId="5" xfId="0" applyFont="1" applyBorder="1"/>
    <xf numFmtId="0" fontId="13" fillId="4" borderId="0" xfId="0" applyFont="1" applyFill="1" applyAlignment="1">
      <alignment horizontal="center" vertical="center"/>
    </xf>
    <xf numFmtId="0" fontId="13" fillId="4" borderId="2" xfId="0" applyFont="1" applyFill="1" applyBorder="1" applyAlignment="1">
      <alignment vertical="center" wrapText="1"/>
    </xf>
    <xf numFmtId="166" fontId="12" fillId="0" borderId="15" xfId="0" applyNumberFormat="1" applyFont="1" applyBorder="1" applyAlignment="1">
      <alignment horizontal="right" vertical="top"/>
    </xf>
    <xf numFmtId="0" fontId="13" fillId="0" borderId="3" xfId="0" applyFont="1" applyBorder="1" applyAlignment="1">
      <alignment horizontal="center"/>
    </xf>
    <xf numFmtId="0" fontId="43" fillId="0" borderId="5" xfId="0" applyFont="1" applyBorder="1"/>
    <xf numFmtId="0" fontId="28" fillId="0" borderId="0" xfId="0" applyFont="1"/>
    <xf numFmtId="167" fontId="29" fillId="0" borderId="0" xfId="0" applyNumberFormat="1" applyFont="1"/>
    <xf numFmtId="6" fontId="12" fillId="0" borderId="0" xfId="0" applyNumberFormat="1" applyFont="1" applyAlignment="1">
      <alignment horizontal="right" vertical="top"/>
    </xf>
    <xf numFmtId="0" fontId="32" fillId="9" borderId="5" xfId="0" applyFont="1" applyFill="1" applyBorder="1" applyAlignment="1" applyProtection="1">
      <alignment vertical="center"/>
      <protection locked="0"/>
    </xf>
    <xf numFmtId="166" fontId="12" fillId="0" borderId="0" xfId="0" applyNumberFormat="1" applyFont="1"/>
    <xf numFmtId="0" fontId="32" fillId="2" borderId="5" xfId="0" applyFont="1" applyFill="1" applyBorder="1" applyAlignment="1" applyProtection="1">
      <alignment horizontal="center" vertical="center"/>
      <protection locked="0"/>
    </xf>
    <xf numFmtId="9" fontId="32" fillId="2" borderId="5" xfId="26" applyFont="1" applyFill="1" applyBorder="1" applyAlignment="1" applyProtection="1">
      <alignment horizontal="center" vertical="center"/>
      <protection locked="0"/>
    </xf>
    <xf numFmtId="0" fontId="28" fillId="0" borderId="0" xfId="0" applyFont="1" applyAlignment="1">
      <alignment horizontal="center"/>
    </xf>
    <xf numFmtId="0" fontId="28" fillId="6" borderId="0" xfId="0" applyFont="1" applyFill="1" applyAlignment="1">
      <alignment horizontal="center"/>
    </xf>
    <xf numFmtId="0" fontId="13" fillId="4" borderId="2" xfId="0" applyFont="1" applyFill="1" applyBorder="1" applyAlignment="1">
      <alignment horizontal="center" vertical="center"/>
    </xf>
    <xf numFmtId="0" fontId="27" fillId="0" borderId="2" xfId="0" applyFont="1" applyBorder="1" applyAlignment="1">
      <alignment horizontal="left"/>
    </xf>
    <xf numFmtId="0" fontId="38" fillId="0" borderId="2" xfId="0" applyFont="1" applyBorder="1"/>
    <xf numFmtId="0" fontId="44" fillId="0" borderId="2" xfId="0" applyFont="1" applyBorder="1"/>
    <xf numFmtId="0" fontId="27" fillId="0" borderId="2" xfId="0" applyFont="1" applyBorder="1" applyAlignment="1">
      <alignment horizontal="right"/>
    </xf>
    <xf numFmtId="169" fontId="27" fillId="0" borderId="2" xfId="0" applyNumberFormat="1" applyFont="1" applyBorder="1" applyAlignment="1">
      <alignment horizontal="right"/>
    </xf>
    <xf numFmtId="10" fontId="27" fillId="0" borderId="0" xfId="26" applyNumberFormat="1" applyFont="1" applyFill="1"/>
    <xf numFmtId="0" fontId="1" fillId="10" borderId="0" xfId="45" applyFill="1"/>
    <xf numFmtId="0" fontId="1" fillId="0" borderId="0" xfId="45"/>
    <xf numFmtId="0" fontId="11" fillId="0" borderId="0" xfId="46"/>
    <xf numFmtId="0" fontId="45" fillId="0" borderId="0" xfId="45" applyFont="1"/>
    <xf numFmtId="0" fontId="46" fillId="0" borderId="0" xfId="45" applyFont="1"/>
    <xf numFmtId="0" fontId="47" fillId="0" borderId="0" xfId="45" applyFont="1"/>
    <xf numFmtId="0" fontId="48" fillId="0" borderId="0" xfId="45" applyFont="1"/>
    <xf numFmtId="0" fontId="49" fillId="0" borderId="0" xfId="45" applyFont="1"/>
    <xf numFmtId="173" fontId="49" fillId="0" borderId="0" xfId="45" applyNumberFormat="1" applyFont="1"/>
    <xf numFmtId="0" fontId="50" fillId="0" borderId="0" xfId="45" applyFont="1"/>
    <xf numFmtId="174" fontId="51" fillId="0" borderId="0" xfId="45" applyNumberFormat="1" applyFont="1" applyAlignment="1">
      <alignment horizontal="left"/>
    </xf>
    <xf numFmtId="0" fontId="52" fillId="0" borderId="0" xfId="45" applyFont="1"/>
    <xf numFmtId="49" fontId="23" fillId="0" borderId="0" xfId="0" applyNumberFormat="1" applyFont="1" applyAlignment="1">
      <alignment horizontal="right"/>
    </xf>
    <xf numFmtId="10" fontId="30" fillId="2" borderId="1" xfId="26" applyNumberFormat="1" applyFont="1" applyFill="1" applyBorder="1" applyAlignment="1">
      <alignment horizontal="right"/>
    </xf>
    <xf numFmtId="8" fontId="32" fillId="2" borderId="1" xfId="0" applyNumberFormat="1" applyFont="1" applyFill="1" applyBorder="1" applyAlignment="1">
      <alignment horizontal="right"/>
    </xf>
    <xf numFmtId="43" fontId="32" fillId="2" borderId="1" xfId="0" applyNumberFormat="1" applyFont="1" applyFill="1" applyBorder="1" applyAlignment="1" applyProtection="1">
      <alignment horizontal="right" vertical="top"/>
      <protection locked="0"/>
    </xf>
    <xf numFmtId="171" fontId="32" fillId="1" borderId="1" xfId="0" applyNumberFormat="1" applyFont="1" applyFill="1" applyBorder="1" applyAlignment="1">
      <alignment horizontal="right" vertical="top"/>
    </xf>
    <xf numFmtId="166" fontId="12" fillId="0" borderId="3" xfId="0" applyNumberFormat="1" applyFont="1" applyBorder="1" applyAlignment="1">
      <alignment horizontal="right" vertical="top"/>
    </xf>
    <xf numFmtId="166" fontId="12" fillId="0" borderId="16" xfId="0" applyNumberFormat="1" applyFont="1" applyBorder="1" applyAlignment="1">
      <alignment horizontal="right" vertical="top"/>
    </xf>
    <xf numFmtId="166" fontId="12" fillId="0" borderId="17" xfId="0" applyNumberFormat="1" applyFont="1" applyBorder="1" applyAlignment="1">
      <alignment horizontal="right" vertical="top"/>
    </xf>
    <xf numFmtId="166" fontId="13" fillId="0" borderId="3" xfId="0" applyNumberFormat="1" applyFont="1" applyBorder="1" applyAlignment="1">
      <alignment horizontal="right" vertical="top"/>
    </xf>
    <xf numFmtId="166" fontId="12" fillId="0" borderId="18" xfId="0" applyNumberFormat="1" applyFont="1" applyBorder="1" applyAlignment="1">
      <alignment horizontal="right" vertical="top"/>
    </xf>
    <xf numFmtId="0" fontId="12" fillId="0" borderId="18" xfId="0" applyFont="1" applyBorder="1"/>
    <xf numFmtId="49" fontId="30" fillId="2" borderId="1" xfId="26" applyNumberFormat="1" applyFont="1" applyFill="1" applyBorder="1" applyAlignment="1">
      <alignment horizontal="right"/>
    </xf>
    <xf numFmtId="7" fontId="30" fillId="2" borderId="1" xfId="26" applyNumberFormat="1" applyFont="1" applyFill="1" applyBorder="1" applyAlignment="1">
      <alignment horizontal="right"/>
    </xf>
  </cellXfs>
  <cellStyles count="47">
    <cellStyle name="Check RedRedGreen" xfId="29" xr:uid="{81F56CD6-3B68-4074-B257-FFF69A21ECCD}"/>
    <cellStyle name="Comma" xfId="27" builtinId="3"/>
    <cellStyle name="Comma 2" xfId="11" xr:uid="{00000000-0005-0000-0000-000001000000}"/>
    <cellStyle name="Comma 2 2" xfId="36" xr:uid="{6EF9BB61-1365-4CDA-AB49-F952B36F0289}"/>
    <cellStyle name="Comma 3" xfId="24" xr:uid="{00000000-0005-0000-0000-000002000000}"/>
    <cellStyle name="Comma 3 2" xfId="41" xr:uid="{767CCE56-A566-495F-949D-E2F7D3CE7928}"/>
    <cellStyle name="Comma 4" xfId="31" xr:uid="{6D11CEBA-4733-4C43-948A-484B1D4FEF60}"/>
    <cellStyle name="Comma 4 2" xfId="43" xr:uid="{04F7A444-4D4E-4A37-9757-3C73F054D423}"/>
    <cellStyle name="Comma 5" xfId="42" xr:uid="{43CFF0FD-A343-404E-8658-72742AA268F9}"/>
    <cellStyle name="Currency" xfId="32" builtinId="4"/>
    <cellStyle name="Currency 2" xfId="5" xr:uid="{00000000-0005-0000-0000-000003000000}"/>
    <cellStyle name="Currency 2 2" xfId="33" xr:uid="{A6CAAD06-19CB-4863-BBE4-E014654C9499}"/>
    <cellStyle name="Currency 3" xfId="10" xr:uid="{00000000-0005-0000-0000-000004000000}"/>
    <cellStyle name="Currency 3 2" xfId="35" xr:uid="{D1938D47-8412-4C9B-A767-F458A1355CD5}"/>
    <cellStyle name="Currency 4" xfId="8" xr:uid="{00000000-0005-0000-0000-000005000000}"/>
    <cellStyle name="Currency 4 2" xfId="34" xr:uid="{1E5A96B0-0A94-49C6-8730-42B2FA614067}"/>
    <cellStyle name="Currency 5" xfId="19" xr:uid="{00000000-0005-0000-0000-000006000000}"/>
    <cellStyle name="Currency 5 2" xfId="39" xr:uid="{89D8E1B2-52B4-41E0-9691-51DD5E20BDDF}"/>
    <cellStyle name="Currency 6" xfId="21" xr:uid="{00000000-0005-0000-0000-000007000000}"/>
    <cellStyle name="Currency 6 2" xfId="40" xr:uid="{FAA777B5-A9F6-4D3D-AACE-192DC80D89B6}"/>
    <cellStyle name="Currency 7" xfId="44" xr:uid="{BA94A435-E222-42A9-80EF-724A0AC48A40}"/>
    <cellStyle name="Normal" xfId="0" builtinId="0"/>
    <cellStyle name="Normal 10" xfId="28" xr:uid="{7B16BCF1-6E54-4F93-AB46-72D8CC94A7D5}"/>
    <cellStyle name="Normal 2" xfId="1" xr:uid="{00000000-0005-0000-0000-000009000000}"/>
    <cellStyle name="Normal 2 2" xfId="3" xr:uid="{00000000-0005-0000-0000-00000A000000}"/>
    <cellStyle name="Normal 2 3" xfId="4" xr:uid="{00000000-0005-0000-0000-00000B000000}"/>
    <cellStyle name="Normal 2 4" xfId="6" xr:uid="{00000000-0005-0000-0000-00000C000000}"/>
    <cellStyle name="Normal 2 5" xfId="46" xr:uid="{C25548C7-81EE-40CA-8C7A-1A62E418ACED}"/>
    <cellStyle name="Normal 3" xfId="2" xr:uid="{00000000-0005-0000-0000-00000D000000}"/>
    <cellStyle name="Normal 3 2" xfId="14" xr:uid="{00000000-0005-0000-0000-00000E000000}"/>
    <cellStyle name="Normal 3 3" xfId="22" xr:uid="{00000000-0005-0000-0000-00000F000000}"/>
    <cellStyle name="Normal 3 3 2" xfId="25" xr:uid="{00000000-0005-0000-0000-000010000000}"/>
    <cellStyle name="Normal 3 4" xfId="45" xr:uid="{763065C8-1647-4EA1-953D-F5B2C4D06DED}"/>
    <cellStyle name="Normal 4" xfId="7" xr:uid="{00000000-0005-0000-0000-000011000000}"/>
    <cellStyle name="Normal 5" xfId="13" xr:uid="{00000000-0005-0000-0000-000012000000}"/>
    <cellStyle name="Normal 6" xfId="15" xr:uid="{00000000-0005-0000-0000-000013000000}"/>
    <cellStyle name="Normal 6 2" xfId="37" xr:uid="{997C6A28-9B94-4F52-8897-9CFECA676192}"/>
    <cellStyle name="Normal 7" xfId="16" xr:uid="{00000000-0005-0000-0000-000014000000}"/>
    <cellStyle name="Normal 7 2" xfId="38" xr:uid="{9AC6199C-7AAD-49F8-88A4-A6EAF64842DB}"/>
    <cellStyle name="Normal 8" xfId="17" xr:uid="{00000000-0005-0000-0000-000015000000}"/>
    <cellStyle name="Normal 9" xfId="20" xr:uid="{00000000-0005-0000-0000-000016000000}"/>
    <cellStyle name="Percent" xfId="26" builtinId="5"/>
    <cellStyle name="Percent 2" xfId="12" xr:uid="{00000000-0005-0000-0000-000018000000}"/>
    <cellStyle name="Percent 3" xfId="9" xr:uid="{00000000-0005-0000-0000-000019000000}"/>
    <cellStyle name="Percent 4" xfId="18" xr:uid="{00000000-0005-0000-0000-00001A000000}"/>
    <cellStyle name="Percent 5" xfId="23" xr:uid="{00000000-0005-0000-0000-00001B000000}"/>
    <cellStyle name="Percent 6" xfId="30" xr:uid="{5763A556-E968-406C-970C-EC0BDBFFAC4D}"/>
  </cellStyles>
  <dxfs count="35">
    <dxf>
      <font>
        <b/>
        <i val="0"/>
        <color auto="1"/>
      </font>
      <numFmt numFmtId="3" formatCode="#,##0"/>
      <fill>
        <patternFill>
          <bgColor rgb="FFFF0000"/>
        </patternFill>
      </fill>
    </dxf>
    <dxf>
      <font>
        <b/>
        <i val="0"/>
        <color auto="1"/>
      </font>
      <numFmt numFmtId="3" formatCode="#,##0"/>
      <fill>
        <patternFill>
          <bgColor rgb="FFFF0000"/>
        </patternFill>
      </fill>
    </dxf>
    <dxf>
      <font>
        <b/>
        <i val="0"/>
        <color auto="1"/>
      </font>
      <numFmt numFmtId="3" formatCode="#,##0"/>
      <fill>
        <patternFill>
          <bgColor rgb="FFFF0000"/>
        </patternFill>
      </fill>
    </dxf>
    <dxf>
      <font>
        <b/>
        <i val="0"/>
        <color auto="1"/>
      </font>
      <numFmt numFmtId="3" formatCode="#,##0"/>
      <fill>
        <patternFill>
          <bgColor rgb="FFFF0000"/>
        </patternFill>
      </fill>
    </dxf>
    <dxf>
      <font>
        <b/>
        <i val="0"/>
        <color auto="1"/>
      </font>
      <numFmt numFmtId="3" formatCode="#,##0"/>
      <fill>
        <patternFill>
          <bgColor rgb="FFFF6600"/>
        </patternFill>
      </fill>
    </dxf>
    <dxf>
      <font>
        <b/>
        <i val="0"/>
        <color auto="1"/>
      </font>
      <numFmt numFmtId="3" formatCode="#,##0"/>
      <fill>
        <patternFill>
          <bgColor rgb="FFFF6600"/>
        </patternFill>
      </fill>
    </dxf>
    <dxf>
      <font>
        <b/>
        <i val="0"/>
        <color auto="1"/>
      </font>
      <numFmt numFmtId="3" formatCode="#,##0"/>
      <fill>
        <patternFill>
          <bgColor rgb="FFFF6600"/>
        </patternFill>
      </fill>
    </dxf>
    <dxf>
      <font>
        <b/>
        <i val="0"/>
        <color auto="1"/>
      </font>
      <numFmt numFmtId="3" formatCode="#,##0"/>
      <fill>
        <patternFill>
          <bgColor rgb="FFFF6600"/>
        </patternFill>
      </fill>
    </dxf>
    <dxf>
      <fill>
        <patternFill patternType="none">
          <bgColor auto="1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 patternType="gray125"/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 patternType="gray125"/>
      </fill>
    </dxf>
    <dxf>
      <font>
        <b/>
        <i val="0"/>
        <color auto="1"/>
      </font>
      <numFmt numFmtId="3" formatCode="#,##0"/>
      <fill>
        <patternFill>
          <bgColor rgb="FFFF0000"/>
        </patternFill>
      </fill>
    </dxf>
    <dxf>
      <font>
        <b/>
        <i val="0"/>
        <color auto="1"/>
      </font>
      <numFmt numFmtId="3" formatCode="#,##0"/>
      <fill>
        <patternFill>
          <bgColor rgb="FFFF0000"/>
        </patternFill>
      </fill>
    </dxf>
    <dxf>
      <font>
        <b/>
        <i val="0"/>
        <color auto="1"/>
      </font>
      <numFmt numFmtId="3" formatCode="#,##0"/>
      <fill>
        <patternFill>
          <bgColor rgb="FFFF0000"/>
        </patternFill>
      </fill>
    </dxf>
    <dxf>
      <font>
        <b/>
        <i val="0"/>
        <color auto="1"/>
      </font>
      <numFmt numFmtId="3" formatCode="#,##0"/>
      <fill>
        <patternFill>
          <bgColor rgb="FFFF0000"/>
        </patternFill>
      </fill>
    </dxf>
    <dxf>
      <font>
        <b/>
        <i val="0"/>
        <color auto="1"/>
      </font>
      <numFmt numFmtId="3" formatCode="#,##0"/>
      <fill>
        <patternFill>
          <bgColor rgb="FFFF6600"/>
        </patternFill>
      </fill>
    </dxf>
    <dxf>
      <font>
        <b/>
        <i val="0"/>
        <color auto="1"/>
      </font>
      <numFmt numFmtId="3" formatCode="#,##0"/>
      <fill>
        <patternFill>
          <bgColor rgb="FFFF6600"/>
        </patternFill>
      </fill>
    </dxf>
    <dxf>
      <font>
        <b/>
        <i val="0"/>
        <color auto="1"/>
      </font>
      <numFmt numFmtId="3" formatCode="#,##0"/>
      <fill>
        <patternFill>
          <bgColor rgb="FFFF6600"/>
        </patternFill>
      </fill>
    </dxf>
    <dxf>
      <font>
        <b/>
        <i val="0"/>
        <color auto="1"/>
      </font>
      <numFmt numFmtId="3" formatCode="#,##0"/>
      <fill>
        <patternFill>
          <bgColor rgb="FFFF6600"/>
        </patternFill>
      </fill>
    </dxf>
    <dxf>
      <fill>
        <patternFill patternType="none">
          <bgColor auto="1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 patternType="gray125"/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 patternType="gray125"/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b/>
        <i val="0"/>
        <color auto="1"/>
      </font>
      <numFmt numFmtId="3" formatCode="#,##0"/>
      <fill>
        <patternFill>
          <bgColor rgb="FFFF0000"/>
        </patternFill>
      </fill>
    </dxf>
    <dxf>
      <font>
        <b/>
        <i val="0"/>
        <color auto="1"/>
      </font>
      <numFmt numFmtId="3" formatCode="#,##0"/>
      <fill>
        <patternFill>
          <bgColor rgb="FFFF0000"/>
        </patternFill>
      </fill>
    </dxf>
    <dxf>
      <font>
        <b/>
        <i val="0"/>
        <color auto="1"/>
      </font>
      <numFmt numFmtId="3" formatCode="#,##0"/>
      <fill>
        <patternFill>
          <bgColor rgb="FFFF0000"/>
        </patternFill>
      </fill>
    </dxf>
    <dxf>
      <font>
        <b/>
        <i val="0"/>
        <color auto="1"/>
      </font>
      <numFmt numFmtId="3" formatCode="#,##0"/>
      <fill>
        <patternFill>
          <bgColor rgb="FFFF0000"/>
        </patternFill>
      </fill>
    </dxf>
    <dxf>
      <font>
        <b/>
        <i val="0"/>
        <color auto="1"/>
      </font>
      <numFmt numFmtId="3" formatCode="#,##0"/>
      <fill>
        <patternFill>
          <bgColor rgb="FFFF6600"/>
        </patternFill>
      </fill>
    </dxf>
    <dxf>
      <font>
        <b/>
        <i val="0"/>
        <color auto="1"/>
      </font>
      <numFmt numFmtId="3" formatCode="#,##0"/>
      <fill>
        <patternFill>
          <bgColor rgb="FFFF6600"/>
        </patternFill>
      </fill>
    </dxf>
    <dxf>
      <font>
        <b/>
        <i val="0"/>
        <color auto="1"/>
      </font>
      <numFmt numFmtId="3" formatCode="#,##0"/>
      <fill>
        <patternFill>
          <bgColor rgb="FFFF6600"/>
        </patternFill>
      </fill>
    </dxf>
    <dxf>
      <font>
        <b/>
        <i val="0"/>
        <color auto="1"/>
      </font>
      <numFmt numFmtId="3" formatCode="#,##0"/>
      <fill>
        <patternFill>
          <bgColor rgb="FFFF6600"/>
        </patternFill>
      </fill>
    </dxf>
    <dxf>
      <fill>
        <patternFill patternType="none">
          <bgColor auto="1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 patternType="gray125"/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 patternType="gray125"/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theme="5"/>
      </font>
    </dxf>
    <dxf>
      <font>
        <color theme="5"/>
      </font>
    </dxf>
  </dxfs>
  <tableStyles count="0" defaultTableStyle="TableStyleMedium2" defaultPivotStyle="PivotStyleLight16"/>
  <colors>
    <mruColors>
      <color rgb="FFFFFFCC"/>
      <color rgb="FF0000FF"/>
      <color rgb="FF487B79"/>
      <color rgb="FF40566A"/>
      <color rgb="FFFFCCCC"/>
      <color rgb="FFFFCCFF"/>
      <color rgb="FFFF6600"/>
      <color rgb="FFEBF2F9"/>
      <color rgb="FFE5EEF7"/>
      <color rgb="FFD6E5F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eetMetadata" Target="metadata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95250</xdr:colOff>
      <xdr:row>0</xdr:row>
      <xdr:rowOff>171450</xdr:rowOff>
    </xdr:from>
    <xdr:ext cx="876300" cy="876300"/>
    <xdr:pic>
      <xdr:nvPicPr>
        <xdr:cNvPr id="2" name="Picture 1">
          <a:extLst>
            <a:ext uri="{FF2B5EF4-FFF2-40B4-BE49-F238E27FC236}">
              <a16:creationId xmlns:a16="http://schemas.microsoft.com/office/drawing/2014/main" id="{FCBA2557-1CB3-4D9E-B1D9-B1C83B0B4E9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00850" y="171450"/>
          <a:ext cx="876300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Blue II">
      <a:dk1>
        <a:sysClr val="windowText" lastClr="000000"/>
      </a:dk1>
      <a:lt1>
        <a:sysClr val="window" lastClr="FFFFFF"/>
      </a:lt1>
      <a:dk2>
        <a:srgbClr val="335B74"/>
      </a:dk2>
      <a:lt2>
        <a:srgbClr val="DFE3E5"/>
      </a:lt2>
      <a:accent1>
        <a:srgbClr val="1CADE4"/>
      </a:accent1>
      <a:accent2>
        <a:srgbClr val="2683C6"/>
      </a:accent2>
      <a:accent3>
        <a:srgbClr val="27CED7"/>
      </a:accent3>
      <a:accent4>
        <a:srgbClr val="42BA97"/>
      </a:accent4>
      <a:accent5>
        <a:srgbClr val="3E8853"/>
      </a:accent5>
      <a:accent6>
        <a:srgbClr val="62A39F"/>
      </a:accent6>
      <a:hlink>
        <a:srgbClr val="6EAC1C"/>
      </a:hlink>
      <a:folHlink>
        <a:srgbClr val="B26B0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D1291C-58CC-4E5F-9696-72282C1F0B27}">
  <dimension ref="A1:K43"/>
  <sheetViews>
    <sheetView showGridLines="0" tabSelected="1" workbookViewId="0">
      <selection activeCell="H17" sqref="H17"/>
    </sheetView>
  </sheetViews>
  <sheetFormatPr defaultColWidth="0" defaultRowHeight="12.95" customHeight="1" zeroHeight="1" x14ac:dyDescent="0.2"/>
  <cols>
    <col min="1" max="1" width="12.85546875" style="133" customWidth="1"/>
    <col min="2" max="2" width="2.5703125" style="133" customWidth="1"/>
    <col min="3" max="3" width="16.85546875" style="133" customWidth="1"/>
    <col min="4" max="11" width="10.5703125" style="133" customWidth="1"/>
    <col min="12" max="16384" width="10.5703125" style="133" hidden="1"/>
  </cols>
  <sheetData>
    <row r="1" spans="1:11" ht="15" x14ac:dyDescent="0.25">
      <c r="A1" s="131"/>
      <c r="B1" s="132"/>
      <c r="C1" s="132"/>
      <c r="D1" s="132"/>
      <c r="E1" s="132"/>
      <c r="F1" s="132"/>
      <c r="G1" s="132"/>
      <c r="H1" s="132"/>
      <c r="I1" s="132"/>
      <c r="J1" s="132"/>
      <c r="K1" s="132"/>
    </row>
    <row r="2" spans="1:11" ht="23.25" x14ac:dyDescent="0.35">
      <c r="A2" s="131"/>
      <c r="B2" s="132"/>
      <c r="C2" s="134" t="s">
        <v>1</v>
      </c>
      <c r="D2" s="135"/>
      <c r="E2" s="135"/>
      <c r="F2" s="132"/>
      <c r="G2" s="132"/>
      <c r="H2" s="132"/>
      <c r="I2" s="132"/>
      <c r="J2" s="132"/>
      <c r="K2" s="132"/>
    </row>
    <row r="3" spans="1:11" ht="15.75" x14ac:dyDescent="0.25">
      <c r="A3" s="131"/>
      <c r="B3" s="132"/>
      <c r="C3" s="136" t="s">
        <v>93</v>
      </c>
      <c r="D3" s="135"/>
      <c r="E3" s="135"/>
      <c r="F3" s="132"/>
      <c r="G3" s="132"/>
      <c r="H3" s="132"/>
      <c r="I3" s="132"/>
      <c r="J3" s="132"/>
      <c r="K3" s="132"/>
    </row>
    <row r="4" spans="1:11" ht="15" x14ac:dyDescent="0.25">
      <c r="A4" s="131"/>
      <c r="B4" s="132"/>
      <c r="C4" s="132"/>
      <c r="D4" s="135"/>
      <c r="E4" s="135"/>
      <c r="F4" s="132"/>
      <c r="G4" s="132"/>
      <c r="H4" s="132"/>
      <c r="I4" s="132"/>
      <c r="J4" s="132"/>
      <c r="K4" s="132"/>
    </row>
    <row r="5" spans="1:11" ht="15" x14ac:dyDescent="0.25">
      <c r="A5" s="131"/>
      <c r="B5" s="132"/>
      <c r="C5" s="137" t="str" cm="1">
        <f t="array" aca="1" ref="C5" ca="1">REPLACE(LEFT(_xlfn.TEXTAFTER(CELL("filename")," - ",1),FIND("Jan2025",_xlfn.TEXTAFTER(CELL("filename")," - "),1)-4),1,1,UPPER(LEFT(LEFT(_xlfn.TEXTAFTER(CELL("filename")," - ",1),FIND("Jan2025",_xlfn.TEXTAFTER(CELL("filename")," - "),1)-4),1)))</f>
        <v>Property recurrent</v>
      </c>
      <c r="D5" s="132"/>
      <c r="E5" s="132"/>
      <c r="F5" s="132"/>
      <c r="G5" s="132"/>
      <c r="H5" s="132"/>
      <c r="I5" s="132"/>
      <c r="J5" s="132"/>
      <c r="K5" s="132"/>
    </row>
    <row r="6" spans="1:11" ht="15" x14ac:dyDescent="0.25">
      <c r="A6" s="131"/>
      <c r="B6" s="132"/>
      <c r="C6" s="138" t="s">
        <v>94</v>
      </c>
      <c r="D6" s="139" t="str" cm="1">
        <f t="array" aca="1" ref="D6" ca="1">LEFT(_xlfn.TEXTAFTER(CELL("filename")," MOD "),FIND(" - ",_xlfn.TEXTAFTER(CELL("filename")," MOD "),1)-1)</f>
        <v>8.04</v>
      </c>
      <c r="E6" s="138"/>
      <c r="F6" s="132"/>
      <c r="G6" s="132"/>
      <c r="H6" s="132"/>
      <c r="I6" s="132"/>
      <c r="J6" s="132"/>
      <c r="K6" s="132"/>
    </row>
    <row r="7" spans="1:11" ht="15" x14ac:dyDescent="0.25">
      <c r="A7" s="131"/>
      <c r="B7" s="132"/>
      <c r="C7" s="132"/>
      <c r="D7" s="132"/>
      <c r="E7" s="132"/>
      <c r="F7" s="140"/>
      <c r="G7" s="140"/>
      <c r="H7" s="140"/>
      <c r="I7" s="132"/>
      <c r="J7" s="140"/>
      <c r="K7" s="140"/>
    </row>
    <row r="8" spans="1:11" ht="15" x14ac:dyDescent="0.25">
      <c r="A8" s="131"/>
      <c r="B8" s="132"/>
      <c r="C8" s="141">
        <v>45688</v>
      </c>
      <c r="D8" s="132"/>
      <c r="E8" s="132"/>
      <c r="F8" s="140"/>
      <c r="G8" s="140"/>
      <c r="H8" s="140"/>
      <c r="I8" s="132"/>
      <c r="J8" s="140"/>
      <c r="K8" s="140"/>
    </row>
    <row r="9" spans="1:11" ht="15" x14ac:dyDescent="0.25">
      <c r="A9" s="131"/>
      <c r="B9" s="132"/>
      <c r="C9" s="142"/>
      <c r="D9" s="142"/>
      <c r="E9" s="132"/>
      <c r="F9" s="140"/>
      <c r="G9" s="140"/>
      <c r="H9" s="140"/>
      <c r="I9" s="140"/>
      <c r="J9" s="140"/>
      <c r="K9" s="140"/>
    </row>
    <row r="10" spans="1:11" ht="15" x14ac:dyDescent="0.25">
      <c r="A10" s="131"/>
      <c r="B10" s="132"/>
      <c r="C10" s="142"/>
      <c r="D10" s="142"/>
      <c r="E10" s="132"/>
      <c r="F10" s="140"/>
      <c r="G10" s="140"/>
      <c r="H10" s="140"/>
      <c r="I10" s="140"/>
      <c r="J10" s="140"/>
      <c r="K10" s="140"/>
    </row>
    <row r="11" spans="1:11" ht="15" x14ac:dyDescent="0.25">
      <c r="A11" s="131"/>
      <c r="B11" s="132"/>
      <c r="C11" s="142"/>
      <c r="D11" s="142"/>
      <c r="E11" s="132"/>
      <c r="F11" s="140"/>
      <c r="G11" s="140"/>
      <c r="H11" s="140"/>
      <c r="I11" s="140"/>
      <c r="J11" s="140"/>
      <c r="K11" s="140"/>
    </row>
    <row r="12" spans="1:11" ht="15" x14ac:dyDescent="0.25">
      <c r="A12" s="131"/>
      <c r="B12" s="132"/>
      <c r="C12" s="142"/>
      <c r="D12" s="142"/>
      <c r="E12" s="132"/>
      <c r="F12" s="140"/>
      <c r="G12" s="140"/>
      <c r="H12" s="140"/>
      <c r="I12" s="140"/>
      <c r="J12" s="140"/>
      <c r="K12" s="140"/>
    </row>
    <row r="13" spans="1:11" ht="15" x14ac:dyDescent="0.25">
      <c r="A13" s="131"/>
      <c r="B13" s="132"/>
      <c r="C13" s="142"/>
      <c r="D13" s="142"/>
      <c r="E13" s="132"/>
      <c r="F13" s="140"/>
      <c r="G13" s="140"/>
      <c r="H13" s="140"/>
      <c r="I13" s="140"/>
      <c r="J13" s="140"/>
      <c r="K13" s="140"/>
    </row>
    <row r="14" spans="1:11" ht="15" x14ac:dyDescent="0.25">
      <c r="A14" s="131"/>
      <c r="B14" s="132"/>
      <c r="C14" s="140"/>
      <c r="D14" s="140"/>
      <c r="E14" s="140"/>
      <c r="F14" s="140"/>
      <c r="G14" s="140"/>
      <c r="H14" s="140"/>
      <c r="I14" s="140"/>
      <c r="J14" s="140"/>
      <c r="K14" s="140"/>
    </row>
    <row r="15" spans="1:11" ht="15" x14ac:dyDescent="0.25">
      <c r="A15" s="131"/>
      <c r="B15" s="132"/>
      <c r="C15" s="137"/>
      <c r="D15" s="140"/>
      <c r="E15" s="140"/>
      <c r="F15" s="140"/>
      <c r="G15" s="140"/>
      <c r="H15" s="140"/>
      <c r="I15" s="140"/>
      <c r="J15" s="140"/>
      <c r="K15" s="140"/>
    </row>
    <row r="16" spans="1:11" ht="15" x14ac:dyDescent="0.25">
      <c r="A16" s="131"/>
      <c r="B16" s="132"/>
      <c r="C16" s="137"/>
      <c r="D16" s="140"/>
      <c r="E16" s="140"/>
      <c r="F16" s="140"/>
      <c r="G16" s="140"/>
      <c r="H16" s="140"/>
      <c r="I16" s="140"/>
      <c r="J16" s="140"/>
      <c r="K16" s="140"/>
    </row>
    <row r="17" spans="1:11" ht="15" x14ac:dyDescent="0.25">
      <c r="A17" s="131"/>
      <c r="B17" s="132"/>
      <c r="C17" s="140"/>
      <c r="D17" s="140"/>
      <c r="E17" s="140"/>
      <c r="F17" s="140"/>
      <c r="G17" s="140"/>
      <c r="H17" s="140"/>
      <c r="I17" s="140"/>
      <c r="J17" s="140"/>
      <c r="K17" s="140"/>
    </row>
    <row r="18" spans="1:11" ht="15" x14ac:dyDescent="0.25">
      <c r="A18" s="131"/>
      <c r="B18" s="132"/>
      <c r="C18" s="140"/>
      <c r="D18" s="140"/>
      <c r="E18" s="140"/>
      <c r="F18" s="140"/>
      <c r="G18" s="140"/>
      <c r="H18" s="140"/>
      <c r="I18" s="140"/>
      <c r="J18" s="140"/>
      <c r="K18" s="140"/>
    </row>
    <row r="19" spans="1:11" ht="15" x14ac:dyDescent="0.25">
      <c r="A19" s="131"/>
      <c r="B19" s="132"/>
      <c r="C19" s="140"/>
      <c r="D19" s="140"/>
      <c r="E19" s="140"/>
      <c r="F19" s="140"/>
      <c r="H19" s="140"/>
      <c r="I19" s="140"/>
      <c r="J19" s="140"/>
      <c r="K19" s="140"/>
    </row>
    <row r="20" spans="1:11" ht="15" x14ac:dyDescent="0.25">
      <c r="A20" s="131"/>
      <c r="B20" s="132"/>
      <c r="C20" s="140"/>
      <c r="D20" s="140"/>
      <c r="E20" s="140"/>
      <c r="F20" s="140"/>
      <c r="G20" s="140"/>
      <c r="H20" s="140"/>
      <c r="I20" s="140"/>
      <c r="J20" s="140"/>
      <c r="K20" s="140"/>
    </row>
    <row r="21" spans="1:11" ht="15" x14ac:dyDescent="0.25">
      <c r="A21" s="131"/>
      <c r="B21" s="132"/>
      <c r="C21" s="140"/>
      <c r="D21" s="140"/>
      <c r="E21" s="140"/>
      <c r="F21" s="140"/>
      <c r="G21" s="140"/>
      <c r="H21" s="140"/>
      <c r="I21" s="140"/>
      <c r="J21" s="140"/>
      <c r="K21" s="140"/>
    </row>
    <row r="22" spans="1:11" ht="15" x14ac:dyDescent="0.25">
      <c r="A22" s="131"/>
      <c r="B22" s="132"/>
      <c r="C22" s="140"/>
      <c r="D22" s="140"/>
      <c r="E22" s="140"/>
      <c r="F22" s="140"/>
      <c r="G22" s="140"/>
      <c r="H22" s="140"/>
      <c r="I22" s="140"/>
      <c r="J22" s="140"/>
      <c r="K22" s="140"/>
    </row>
    <row r="23" spans="1:11" ht="15" x14ac:dyDescent="0.25">
      <c r="A23" s="131"/>
      <c r="B23" s="132"/>
      <c r="C23" s="140"/>
      <c r="D23" s="140"/>
      <c r="E23" s="140"/>
      <c r="F23" s="140"/>
      <c r="G23" s="140"/>
      <c r="H23" s="140"/>
      <c r="I23" s="140"/>
      <c r="J23" s="140"/>
      <c r="K23" s="140"/>
    </row>
    <row r="24" spans="1:11" ht="15" x14ac:dyDescent="0.25">
      <c r="A24" s="131"/>
      <c r="B24" s="132"/>
      <c r="C24" s="140"/>
      <c r="D24" s="140"/>
      <c r="E24" s="140"/>
      <c r="F24" s="140"/>
      <c r="G24" s="140"/>
      <c r="H24" s="140"/>
      <c r="I24" s="140"/>
      <c r="J24" s="140"/>
      <c r="K24" s="140"/>
    </row>
    <row r="25" spans="1:11" ht="15" x14ac:dyDescent="0.25">
      <c r="A25" s="131"/>
      <c r="B25" s="132"/>
      <c r="C25" s="140"/>
      <c r="D25" s="140"/>
      <c r="E25" s="140"/>
      <c r="F25" s="140"/>
      <c r="G25" s="140"/>
      <c r="H25" s="140"/>
      <c r="I25" s="140"/>
      <c r="J25" s="140"/>
      <c r="K25" s="140"/>
    </row>
    <row r="26" spans="1:11" ht="15" x14ac:dyDescent="0.25">
      <c r="A26" s="131"/>
      <c r="B26" s="132"/>
      <c r="C26" s="140"/>
      <c r="D26" s="140"/>
      <c r="E26" s="140"/>
      <c r="F26" s="140"/>
      <c r="G26" s="140"/>
      <c r="H26" s="140"/>
      <c r="I26" s="140"/>
      <c r="J26" s="140"/>
      <c r="K26" s="140"/>
    </row>
    <row r="27" spans="1:11" ht="15" x14ac:dyDescent="0.25">
      <c r="A27" s="131"/>
      <c r="B27" s="132"/>
      <c r="C27" s="140"/>
      <c r="D27" s="140"/>
      <c r="E27" s="140"/>
      <c r="F27" s="140"/>
      <c r="G27" s="140"/>
      <c r="H27" s="140"/>
      <c r="I27" s="140"/>
      <c r="J27" s="140"/>
      <c r="K27" s="140"/>
    </row>
    <row r="28" spans="1:11" ht="15" x14ac:dyDescent="0.25">
      <c r="A28" s="131"/>
      <c r="B28" s="132"/>
      <c r="C28" s="140"/>
      <c r="D28" s="140"/>
      <c r="E28" s="140"/>
      <c r="F28" s="140"/>
      <c r="G28" s="140"/>
      <c r="H28" s="140"/>
      <c r="I28" s="140"/>
      <c r="J28" s="140"/>
      <c r="K28" s="140"/>
    </row>
    <row r="29" spans="1:11" ht="15" x14ac:dyDescent="0.25">
      <c r="A29" s="131"/>
      <c r="B29" s="132"/>
      <c r="C29" s="140"/>
      <c r="D29" s="140"/>
      <c r="E29" s="140"/>
      <c r="F29" s="140"/>
      <c r="G29" s="140"/>
      <c r="H29" s="140"/>
      <c r="I29" s="140"/>
      <c r="J29" s="140"/>
      <c r="K29" s="140"/>
    </row>
    <row r="30" spans="1:11" ht="15" x14ac:dyDescent="0.25">
      <c r="A30" s="131"/>
      <c r="B30" s="132"/>
      <c r="C30" s="140"/>
      <c r="D30" s="132"/>
      <c r="E30" s="140"/>
      <c r="F30" s="140"/>
      <c r="G30" s="140"/>
      <c r="H30" s="140"/>
      <c r="I30" s="140"/>
      <c r="J30" s="140"/>
      <c r="K30" s="140"/>
    </row>
    <row r="31" spans="1:11" ht="15" x14ac:dyDescent="0.25">
      <c r="A31" s="131"/>
      <c r="B31" s="132"/>
      <c r="C31" s="132"/>
      <c r="D31" s="132"/>
      <c r="E31" s="132"/>
      <c r="F31" s="132"/>
      <c r="G31" s="132"/>
      <c r="H31" s="132"/>
      <c r="I31" s="132"/>
      <c r="J31" s="132"/>
      <c r="K31" s="132"/>
    </row>
    <row r="32" spans="1:11" ht="15" x14ac:dyDescent="0.25">
      <c r="A32" s="131"/>
      <c r="B32" s="132"/>
      <c r="C32" s="132"/>
      <c r="D32" s="132"/>
      <c r="E32" s="132"/>
      <c r="F32" s="132"/>
      <c r="G32" s="132"/>
      <c r="H32" s="132"/>
      <c r="I32" s="132"/>
      <c r="J32" s="132"/>
      <c r="K32" s="132"/>
    </row>
    <row r="33" spans="1:11" ht="15" x14ac:dyDescent="0.25">
      <c r="A33" s="131"/>
      <c r="B33" s="132"/>
      <c r="C33" s="132"/>
      <c r="D33" s="132"/>
      <c r="E33" s="132"/>
      <c r="F33" s="132"/>
      <c r="G33" s="132"/>
      <c r="H33" s="132"/>
      <c r="I33" s="132"/>
      <c r="J33" s="132"/>
      <c r="K33" s="132"/>
    </row>
    <row r="34" spans="1:11" ht="15" x14ac:dyDescent="0.25">
      <c r="A34" s="131"/>
      <c r="B34" s="132"/>
      <c r="C34" s="132"/>
      <c r="D34" s="132"/>
      <c r="E34" s="132"/>
      <c r="F34" s="132"/>
      <c r="G34" s="132"/>
      <c r="H34" s="132"/>
      <c r="I34" s="132"/>
      <c r="J34" s="132"/>
      <c r="K34" s="132"/>
    </row>
    <row r="35" spans="1:11" ht="15" x14ac:dyDescent="0.25">
      <c r="A35" s="131"/>
      <c r="B35" s="132"/>
      <c r="C35" s="132"/>
      <c r="D35" s="132"/>
      <c r="E35" s="132"/>
      <c r="F35" s="132"/>
      <c r="G35" s="132"/>
      <c r="H35" s="132"/>
      <c r="I35" s="132"/>
      <c r="J35" s="132"/>
      <c r="K35" s="132"/>
    </row>
    <row r="36" spans="1:11" ht="15" x14ac:dyDescent="0.25">
      <c r="A36" s="131"/>
      <c r="B36" s="132"/>
      <c r="C36" s="132"/>
      <c r="D36" s="132"/>
      <c r="E36" s="132"/>
      <c r="F36" s="132"/>
      <c r="G36" s="132"/>
      <c r="H36" s="132"/>
      <c r="I36" s="132"/>
      <c r="J36" s="132"/>
      <c r="K36" s="132"/>
    </row>
    <row r="37" spans="1:11" ht="15" x14ac:dyDescent="0.25">
      <c r="A37" s="131"/>
      <c r="B37" s="132"/>
      <c r="C37" s="132"/>
      <c r="D37" s="132"/>
      <c r="E37" s="132"/>
      <c r="F37" s="132"/>
      <c r="G37" s="132"/>
      <c r="H37" s="132"/>
      <c r="I37" s="132"/>
      <c r="J37" s="132"/>
      <c r="K37" s="132"/>
    </row>
    <row r="38" spans="1:11" ht="15" x14ac:dyDescent="0.25">
      <c r="A38" s="131"/>
      <c r="B38" s="132"/>
      <c r="C38" s="132"/>
      <c r="D38" s="132"/>
      <c r="E38" s="132"/>
      <c r="F38" s="132"/>
      <c r="G38" s="132"/>
      <c r="H38" s="132"/>
      <c r="I38" s="132"/>
      <c r="J38" s="132"/>
      <c r="K38" s="132"/>
    </row>
    <row r="39" spans="1:11" ht="15" x14ac:dyDescent="0.25">
      <c r="A39" s="131"/>
      <c r="B39" s="132"/>
      <c r="C39" s="132"/>
      <c r="D39" s="132"/>
      <c r="E39" s="132"/>
      <c r="F39" s="132"/>
      <c r="G39" s="132"/>
      <c r="H39" s="132"/>
      <c r="I39" s="132"/>
      <c r="J39" s="132"/>
      <c r="K39" s="132"/>
    </row>
    <row r="40" spans="1:11" ht="15" x14ac:dyDescent="0.25">
      <c r="A40" s="131"/>
      <c r="B40" s="132"/>
      <c r="C40" s="132"/>
      <c r="D40" s="132"/>
      <c r="E40" s="132"/>
      <c r="F40" s="132"/>
      <c r="G40" s="132"/>
      <c r="H40" s="132"/>
      <c r="I40" s="132"/>
      <c r="J40" s="132"/>
      <c r="K40" s="132"/>
    </row>
    <row r="41" spans="1:11" ht="15" x14ac:dyDescent="0.25">
      <c r="A41" s="131"/>
      <c r="B41" s="132"/>
      <c r="C41" s="132"/>
      <c r="D41" s="132"/>
      <c r="E41" s="132"/>
      <c r="F41" s="132"/>
      <c r="G41" s="132"/>
      <c r="H41" s="132"/>
      <c r="I41" s="132"/>
      <c r="J41" s="132"/>
      <c r="K41" s="132"/>
    </row>
    <row r="42" spans="1:11" ht="15" x14ac:dyDescent="0.25">
      <c r="A42" s="131"/>
      <c r="B42" s="132"/>
      <c r="C42" s="132"/>
      <c r="D42" s="132"/>
      <c r="E42" s="132"/>
      <c r="F42" s="132"/>
      <c r="G42" s="132"/>
      <c r="H42" s="132"/>
      <c r="I42" s="132"/>
      <c r="J42" s="132"/>
      <c r="K42" s="132"/>
    </row>
    <row r="43" spans="1:11" ht="15" x14ac:dyDescent="0.25">
      <c r="A43" s="131"/>
      <c r="B43" s="132"/>
      <c r="C43" s="132"/>
      <c r="D43" s="132"/>
      <c r="E43" s="132"/>
      <c r="F43" s="132"/>
      <c r="G43" s="132"/>
      <c r="H43" s="132"/>
      <c r="I43" s="132"/>
      <c r="J43" s="132"/>
      <c r="K43" s="132"/>
    </row>
  </sheetData>
  <conditionalFormatting sqref="C5">
    <cfRule type="expression" dxfId="34" priority="1">
      <formula>LEFT(C5,1)="&lt;"</formula>
    </cfRule>
  </conditionalFormatting>
  <conditionalFormatting sqref="D6">
    <cfRule type="expression" dxfId="33" priority="2">
      <formula>LEFT(D6,1)="&lt;"</formula>
    </cfRule>
  </conditionalFormatting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DE3313-C902-436C-8915-2461C9C9F158}">
  <sheetPr>
    <pageSetUpPr fitToPage="1"/>
  </sheetPr>
  <dimension ref="A1:P58"/>
  <sheetViews>
    <sheetView showGridLines="0" zoomScale="85" zoomScaleNormal="85" workbookViewId="0">
      <selection activeCell="H17" sqref="H17"/>
    </sheetView>
  </sheetViews>
  <sheetFormatPr defaultColWidth="9.140625" defaultRowHeight="12.75" x14ac:dyDescent="0.2"/>
  <cols>
    <col min="1" max="1" width="7.140625" style="1" customWidth="1"/>
    <col min="2" max="2" width="9.7109375" style="1" customWidth="1"/>
    <col min="3" max="3" width="15.28515625" style="1" customWidth="1"/>
    <col min="4" max="4" width="13.85546875" style="1" customWidth="1"/>
    <col min="5" max="5" width="2.85546875" style="1" customWidth="1"/>
    <col min="6" max="11" width="12.42578125" style="1" customWidth="1"/>
    <col min="12" max="13" width="11.28515625" style="1" bestFit="1" customWidth="1"/>
    <col min="14" max="16384" width="9.140625" style="1"/>
  </cols>
  <sheetData>
    <row r="1" spans="1:16" ht="21" x14ac:dyDescent="0.35">
      <c r="A1" s="14" t="str">
        <f>Project_name</f>
        <v>Property recurrent</v>
      </c>
      <c r="B1" s="14"/>
      <c r="C1" s="11"/>
      <c r="D1" s="11"/>
      <c r="E1" s="11"/>
      <c r="F1" s="11"/>
      <c r="G1" s="11"/>
      <c r="H1" s="11"/>
      <c r="I1" s="11"/>
      <c r="J1" s="11"/>
      <c r="K1" s="11"/>
    </row>
    <row r="2" spans="1:16" ht="15.75" x14ac:dyDescent="0.25">
      <c r="A2" s="13" t="str">
        <f>Business</f>
        <v>Powercor</v>
      </c>
      <c r="B2" s="13"/>
      <c r="C2" s="11"/>
      <c r="D2" s="11"/>
      <c r="E2" s="11"/>
      <c r="F2" s="11"/>
      <c r="G2" s="11"/>
      <c r="H2" s="11"/>
      <c r="I2" s="11"/>
      <c r="J2" s="11"/>
      <c r="K2" s="11"/>
    </row>
    <row r="3" spans="1:16" s="18" customFormat="1" ht="15.75" x14ac:dyDescent="0.25">
      <c r="A3" s="30" t="str">
        <f>"Summary ($ "&amp;Assumptions!$C$35&amp;")"</f>
        <v>Summary ($ June 2026)</v>
      </c>
      <c r="B3" s="28"/>
      <c r="C3" s="29"/>
      <c r="D3" s="29"/>
      <c r="E3" s="29"/>
      <c r="F3" s="29"/>
      <c r="G3" s="29"/>
      <c r="H3" s="29"/>
      <c r="I3" s="29"/>
      <c r="J3" s="29"/>
      <c r="K3" s="29"/>
      <c r="L3" s="1"/>
    </row>
    <row r="4" spans="1:16" ht="12.75" customHeight="1" x14ac:dyDescent="0.25">
      <c r="E4" s="2"/>
      <c r="P4"/>
    </row>
    <row r="5" spans="1:16" ht="12.75" customHeight="1" x14ac:dyDescent="0.25">
      <c r="B5" s="15"/>
      <c r="C5" s="16"/>
      <c r="D5" s="16"/>
      <c r="E5" s="16"/>
      <c r="F5" s="16"/>
      <c r="G5" s="16"/>
      <c r="H5" s="16"/>
      <c r="I5" s="16"/>
      <c r="J5" s="16"/>
      <c r="K5" s="16"/>
    </row>
    <row r="6" spans="1:16" ht="12.75" customHeight="1" x14ac:dyDescent="0.25">
      <c r="B6" s="4" t="s">
        <v>2</v>
      </c>
      <c r="D6" s="84" t="s">
        <v>3</v>
      </c>
      <c r="E6" s="2"/>
      <c r="P6"/>
    </row>
    <row r="7" spans="1:16" ht="12.75" customHeight="1" x14ac:dyDescent="0.25">
      <c r="B7" s="47"/>
      <c r="D7" s="2"/>
      <c r="E7" s="2"/>
      <c r="P7"/>
    </row>
    <row r="8" spans="1:16" ht="12.75" customHeight="1" x14ac:dyDescent="0.25">
      <c r="E8" s="2"/>
      <c r="P8"/>
    </row>
    <row r="9" spans="1:16" ht="12.75" customHeight="1" x14ac:dyDescent="0.25">
      <c r="E9" s="2"/>
      <c r="P9"/>
    </row>
    <row r="10" spans="1:16" ht="12.75" customHeight="1" x14ac:dyDescent="0.25">
      <c r="B10" s="36" t="s">
        <v>4</v>
      </c>
      <c r="C10" s="36" t="s">
        <v>5</v>
      </c>
      <c r="D10" s="36"/>
      <c r="E10" s="37"/>
      <c r="F10" s="38" t="s">
        <v>6</v>
      </c>
      <c r="G10" s="38" t="s">
        <v>7</v>
      </c>
      <c r="H10" s="38" t="s">
        <v>8</v>
      </c>
      <c r="I10" s="38" t="s">
        <v>9</v>
      </c>
      <c r="J10" s="38" t="s">
        <v>10</v>
      </c>
      <c r="K10" s="74" t="s">
        <v>0</v>
      </c>
      <c r="P10"/>
    </row>
    <row r="11" spans="1:16" ht="12.75" customHeight="1" x14ac:dyDescent="0.25">
      <c r="C11" s="24" t="s">
        <v>95</v>
      </c>
      <c r="D11" s="108" t="s">
        <v>12</v>
      </c>
      <c r="E11" s="2"/>
      <c r="F11" s="6">
        <f>SUMIFS('Option 1'!R$118:R$125,'Option 2'!$C$118:$C$125,$C11,'Option 2'!$D$118:$D$125,$D11)</f>
        <v>0</v>
      </c>
      <c r="G11" s="6">
        <f>SUMIFS('Option 1'!S$118:S$125,'Option 2'!$C$118:$C$125,$C11,'Option 2'!$D$118:$D$125,$D11)</f>
        <v>0</v>
      </c>
      <c r="H11" s="6">
        <f>SUMIFS('Option 1'!T$118:T$125,'Option 2'!$C$118:$C$125,$C11,'Option 2'!$D$118:$D$125,$D11)</f>
        <v>0</v>
      </c>
      <c r="I11" s="6">
        <f>SUMIFS('Option 1'!U$118:U$125,'Option 2'!$C$118:$C$125,$C11,'Option 2'!$D$118:$D$125,$D11)</f>
        <v>0</v>
      </c>
      <c r="J11" s="6">
        <f>SUMIFS('Option 1'!V$118:V$125,'Option 2'!$C$118:$C$125,$C11,'Option 2'!$D$118:$D$125,$D11)</f>
        <v>0</v>
      </c>
      <c r="K11" s="25">
        <f>SUM(F11:J11)</f>
        <v>0</v>
      </c>
      <c r="M11" s="99"/>
      <c r="P11"/>
    </row>
    <row r="12" spans="1:16" ht="12.75" customHeight="1" x14ac:dyDescent="0.25">
      <c r="C12" s="1" t="s">
        <v>110</v>
      </c>
      <c r="D12" s="108" t="s">
        <v>12</v>
      </c>
      <c r="E12" s="2"/>
      <c r="F12" s="6">
        <f>SUMIFS('Option 1'!R$118:R$125,'Option 2'!$C$118:$C$125,$C12,'Option 2'!$D$118:$D$125,$D12)</f>
        <v>0</v>
      </c>
      <c r="G12" s="6">
        <f>SUMIFS('Option 1'!S$118:S$125,'Option 2'!$C$118:$C$125,$C12,'Option 2'!$D$118:$D$125,$D12)</f>
        <v>0</v>
      </c>
      <c r="H12" s="6">
        <f>SUMIFS('Option 1'!T$118:T$125,'Option 2'!$C$118:$C$125,$C12,'Option 2'!$D$118:$D$125,$D12)</f>
        <v>0</v>
      </c>
      <c r="I12" s="6">
        <f>SUMIFS('Option 1'!U$118:U$125,'Option 2'!$C$118:$C$125,$C12,'Option 2'!$D$118:$D$125,$D12)</f>
        <v>0</v>
      </c>
      <c r="J12" s="6">
        <f>SUMIFS('Option 1'!V$118:V$125,'Option 2'!$C$118:$C$125,$C12,'Option 2'!$D$118:$D$125,$D12)</f>
        <v>0</v>
      </c>
      <c r="K12" s="6">
        <f t="shared" ref="K12:K17" si="0">SUM(F12:J12)</f>
        <v>0</v>
      </c>
      <c r="M12" s="99"/>
      <c r="P12"/>
    </row>
    <row r="13" spans="1:16" ht="12.75" customHeight="1" x14ac:dyDescent="0.2">
      <c r="C13" s="1" t="s">
        <v>111</v>
      </c>
      <c r="D13" s="108" t="s">
        <v>12</v>
      </c>
      <c r="E13" s="2"/>
      <c r="F13" s="6">
        <f>SUMIFS('Option 1'!R$118:R$125,'Option 2'!$C$118:$C$125,$C13,'Option 2'!$D$118:$D$125,$D13)</f>
        <v>0</v>
      </c>
      <c r="G13" s="6">
        <f>SUMIFS('Option 1'!S$118:S$125,'Option 2'!$C$118:$C$125,$C13,'Option 2'!$D$118:$D$125,$D13)</f>
        <v>0</v>
      </c>
      <c r="H13" s="6">
        <f>SUMIFS('Option 1'!T$118:T$125,'Option 2'!$C$118:$C$125,$C13,'Option 2'!$D$118:$D$125,$D13)</f>
        <v>0</v>
      </c>
      <c r="I13" s="6">
        <f>SUMIFS('Option 1'!U$118:U$125,'Option 2'!$C$118:$C$125,$C13,'Option 2'!$D$118:$D$125,$D13)</f>
        <v>0</v>
      </c>
      <c r="J13" s="6">
        <f>SUMIFS('Option 1'!V$118:V$125,'Option 2'!$C$118:$C$125,$C13,'Option 2'!$D$118:$D$125,$D13)</f>
        <v>0</v>
      </c>
      <c r="K13" s="6">
        <f t="shared" si="0"/>
        <v>0</v>
      </c>
      <c r="M13" s="99"/>
    </row>
    <row r="14" spans="1:16" ht="12.75" customHeight="1" x14ac:dyDescent="0.2">
      <c r="C14" s="1" t="s">
        <v>116</v>
      </c>
      <c r="D14" s="108" t="s">
        <v>12</v>
      </c>
      <c r="E14" s="2"/>
      <c r="F14" s="6">
        <f>SUMIFS('Option 1'!R$118:R$125,'Option 2'!$C$118:$C$125,$C14,'Option 2'!$D$118:$D$125,$D14)</f>
        <v>0</v>
      </c>
      <c r="G14" s="6">
        <f>SUMIFS('Option 1'!S$118:S$125,'Option 2'!$C$118:$C$125,$C14,'Option 2'!$D$118:$D$125,$D14)</f>
        <v>0</v>
      </c>
      <c r="H14" s="6">
        <f>SUMIFS('Option 1'!T$118:T$125,'Option 2'!$C$118:$C$125,$C14,'Option 2'!$D$118:$D$125,$D14)</f>
        <v>0</v>
      </c>
      <c r="I14" s="6">
        <f>SUMIFS('Option 1'!U$118:U$125,'Option 2'!$C$118:$C$125,$C14,'Option 2'!$D$118:$D$125,$D14)</f>
        <v>0</v>
      </c>
      <c r="J14" s="6">
        <f>SUMIFS('Option 1'!V$118:V$125,'Option 2'!$C$118:$C$125,$C14,'Option 2'!$D$118:$D$125,$D14)</f>
        <v>0</v>
      </c>
      <c r="K14" s="6">
        <f t="shared" si="0"/>
        <v>0</v>
      </c>
      <c r="M14" s="99"/>
    </row>
    <row r="15" spans="1:16" ht="12.75" customHeight="1" x14ac:dyDescent="0.2">
      <c r="C15" s="1" t="s">
        <v>122</v>
      </c>
      <c r="D15" s="108" t="s">
        <v>12</v>
      </c>
      <c r="E15" s="2"/>
      <c r="F15" s="6">
        <f>SUMIFS('Option 1'!R$118:R$125,'Option 2'!$C$118:$C$125,$C15,'Option 2'!$D$118:$D$125,$D15)</f>
        <v>0</v>
      </c>
      <c r="G15" s="6">
        <f>SUMIFS('Option 1'!S$118:S$125,'Option 2'!$C$118:$C$125,$C15,'Option 2'!$D$118:$D$125,$D15)</f>
        <v>0</v>
      </c>
      <c r="H15" s="6">
        <f>SUMIFS('Option 1'!T$118:T$125,'Option 2'!$C$118:$C$125,$C15,'Option 2'!$D$118:$D$125,$D15)</f>
        <v>0</v>
      </c>
      <c r="I15" s="6">
        <f>SUMIFS('Option 1'!U$118:U$125,'Option 2'!$C$118:$C$125,$C15,'Option 2'!$D$118:$D$125,$D15)</f>
        <v>0</v>
      </c>
      <c r="J15" s="6">
        <f>SUMIFS('Option 1'!V$118:V$125,'Option 2'!$C$118:$C$125,$C15,'Option 2'!$D$118:$D$125,$D15)</f>
        <v>0</v>
      </c>
      <c r="K15" s="6">
        <f t="shared" si="0"/>
        <v>0</v>
      </c>
      <c r="M15" s="99"/>
    </row>
    <row r="16" spans="1:16" ht="12.75" customHeight="1" x14ac:dyDescent="0.2">
      <c r="C16" s="1" t="s">
        <v>123</v>
      </c>
      <c r="D16" s="108" t="s">
        <v>12</v>
      </c>
      <c r="E16" s="2"/>
      <c r="F16" s="6">
        <f>SUMIFS('Option 1'!R$118:R$125,'Option 2'!$C$118:$C$125,$C16,'Option 2'!$D$118:$D$125,$D16)</f>
        <v>0</v>
      </c>
      <c r="G16" s="6">
        <f>SUMIFS('Option 1'!S$118:S$125,'Option 2'!$C$118:$C$125,$C16,'Option 2'!$D$118:$D$125,$D16)</f>
        <v>0</v>
      </c>
      <c r="H16" s="6">
        <f>SUMIFS('Option 1'!T$118:T$125,'Option 2'!$C$118:$C$125,$C16,'Option 2'!$D$118:$D$125,$D16)</f>
        <v>0</v>
      </c>
      <c r="I16" s="6">
        <f>SUMIFS('Option 1'!U$118:U$125,'Option 2'!$C$118:$C$125,$C16,'Option 2'!$D$118:$D$125,$D16)</f>
        <v>0</v>
      </c>
      <c r="J16" s="6">
        <f>SUMIFS('Option 1'!V$118:V$125,'Option 2'!$C$118:$C$125,$C16,'Option 2'!$D$118:$D$125,$D16)</f>
        <v>0</v>
      </c>
      <c r="K16" s="6">
        <f t="shared" si="0"/>
        <v>0</v>
      </c>
      <c r="M16" s="99"/>
    </row>
    <row r="17" spans="2:13" ht="12.75" customHeight="1" x14ac:dyDescent="0.2">
      <c r="C17" s="1" t="s">
        <v>125</v>
      </c>
      <c r="D17" s="108" t="s">
        <v>12</v>
      </c>
      <c r="E17" s="2"/>
      <c r="F17" s="6">
        <f>SUMIFS('Option 1'!R$118:R$125,'Option 2'!$C$118:$C$125,$C17,'Option 2'!$D$118:$D$125,$D17)</f>
        <v>0</v>
      </c>
      <c r="G17" s="6">
        <f>SUMIFS('Option 1'!S$118:S$125,'Option 2'!$C$118:$C$125,$C17,'Option 2'!$D$118:$D$125,$D17)</f>
        <v>0</v>
      </c>
      <c r="H17" s="6">
        <f>SUMIFS('Option 1'!T$118:T$125,'Option 2'!$C$118:$C$125,$C17,'Option 2'!$D$118:$D$125,$D17)</f>
        <v>0</v>
      </c>
      <c r="I17" s="6">
        <f>SUMIFS('Option 1'!U$118:U$125,'Option 2'!$C$118:$C$125,$C17,'Option 2'!$D$118:$D$125,$D17)</f>
        <v>0</v>
      </c>
      <c r="J17" s="6">
        <f>SUMIFS('Option 1'!V$118:V$125,'Option 2'!$C$118:$C$125,$C17,'Option 2'!$D$118:$D$125,$D17)</f>
        <v>0</v>
      </c>
      <c r="K17" s="112">
        <f t="shared" si="0"/>
        <v>0</v>
      </c>
      <c r="M17" s="99"/>
    </row>
    <row r="18" spans="2:13" ht="12.75" customHeight="1" x14ac:dyDescent="0.2">
      <c r="C18" s="102" t="s">
        <v>15</v>
      </c>
      <c r="D18" s="109"/>
      <c r="E18" s="102"/>
      <c r="F18" s="106">
        <f>SUM(F11:F17)</f>
        <v>0</v>
      </c>
      <c r="G18" s="106">
        <f t="shared" ref="G18" si="1">SUM(G11:G17)</f>
        <v>0</v>
      </c>
      <c r="H18" s="106">
        <f t="shared" ref="H18" si="2">SUM(H11:H17)</f>
        <v>0</v>
      </c>
      <c r="I18" s="106">
        <f t="shared" ref="I18" si="3">SUM(I11:I17)</f>
        <v>0</v>
      </c>
      <c r="J18" s="106">
        <f t="shared" ref="J18" si="4">SUM(J11:J17)</f>
        <v>0</v>
      </c>
      <c r="K18" s="106">
        <f t="shared" ref="K18" si="5">SUM(K11:K17)</f>
        <v>0</v>
      </c>
      <c r="M18" s="99"/>
    </row>
    <row r="19" spans="2:13" ht="12.75" customHeight="1" x14ac:dyDescent="0.2">
      <c r="C19" s="153"/>
      <c r="D19" s="49"/>
      <c r="F19" s="6"/>
      <c r="G19" s="6"/>
      <c r="H19" s="6"/>
      <c r="I19" s="6"/>
      <c r="J19" s="6"/>
      <c r="K19" s="152"/>
      <c r="M19" s="99"/>
    </row>
    <row r="20" spans="2:13" ht="12.75" customHeight="1" x14ac:dyDescent="0.2">
      <c r="C20" s="1" t="s">
        <v>95</v>
      </c>
      <c r="D20" s="108" t="s">
        <v>16</v>
      </c>
      <c r="E20" s="2"/>
      <c r="F20" s="6">
        <f>SUMIFS('Option 1'!R$118:R$125,'Option 2'!$C$118:$C$125,$C20,'Option 2'!$D$118:$D$125,$D20)</f>
        <v>0</v>
      </c>
      <c r="G20" s="6">
        <f>SUMIFS('Option 1'!S$118:S$125,'Option 2'!$C$118:$C$125,$C20,'Option 2'!$D$118:$D$125,$D20)</f>
        <v>0</v>
      </c>
      <c r="H20" s="6">
        <f>SUMIFS('Option 1'!T$118:T$125,'Option 2'!$C$118:$C$125,$C20,'Option 2'!$D$118:$D$125,$D20)</f>
        <v>0</v>
      </c>
      <c r="I20" s="6">
        <f>SUMIFS('Option 1'!U$118:U$125,'Option 2'!$C$118:$C$125,$C20,'Option 2'!$D$118:$D$125,$D20)</f>
        <v>0</v>
      </c>
      <c r="J20" s="6">
        <f>SUMIFS('Option 1'!V$118:V$125,'Option 2'!$C$118:$C$125,$C20,'Option 2'!$D$118:$D$125,$D20)</f>
        <v>0</v>
      </c>
      <c r="K20" s="6">
        <f>SUM(F20:J20)</f>
        <v>0</v>
      </c>
      <c r="M20" s="99"/>
    </row>
    <row r="21" spans="2:13" ht="12.75" customHeight="1" x14ac:dyDescent="0.2">
      <c r="D21" s="49"/>
      <c r="F21" s="6"/>
      <c r="G21" s="6"/>
      <c r="H21" s="6"/>
      <c r="I21" s="6"/>
      <c r="J21" s="6"/>
      <c r="K21" s="6"/>
      <c r="M21" s="99"/>
    </row>
    <row r="22" spans="2:13" ht="12.75" customHeight="1" x14ac:dyDescent="0.2">
      <c r="C22" s="114" t="str">
        <f>"Total Cost ($ "&amp;Assumptions!$C35&amp;")"</f>
        <v>Total Cost ($ June 2026)</v>
      </c>
      <c r="D22" s="21"/>
      <c r="E22" s="21"/>
      <c r="F22" s="22">
        <f>F18+F20</f>
        <v>0</v>
      </c>
      <c r="G22" s="22">
        <f t="shared" ref="G22:K22" si="6">G18+G20</f>
        <v>0</v>
      </c>
      <c r="H22" s="22">
        <f t="shared" si="6"/>
        <v>0</v>
      </c>
      <c r="I22" s="22">
        <f t="shared" si="6"/>
        <v>0</v>
      </c>
      <c r="J22" s="22">
        <f t="shared" si="6"/>
        <v>0</v>
      </c>
      <c r="K22" s="22">
        <f t="shared" si="6"/>
        <v>0</v>
      </c>
      <c r="L22" s="59">
        <f>K22-'Option 1'!$W$126</f>
        <v>0</v>
      </c>
    </row>
    <row r="23" spans="2:13" ht="12.75" customHeight="1" x14ac:dyDescent="0.2">
      <c r="C23" s="4"/>
      <c r="D23" s="4"/>
      <c r="E23" s="4"/>
      <c r="F23" s="35"/>
      <c r="G23" s="35"/>
      <c r="H23" s="35"/>
      <c r="I23" s="35"/>
      <c r="J23" s="35"/>
      <c r="K23" s="35"/>
    </row>
    <row r="24" spans="2:13" ht="12.75" customHeight="1" x14ac:dyDescent="0.2">
      <c r="C24" s="54" t="s">
        <v>18</v>
      </c>
      <c r="D24" s="22"/>
      <c r="E24" s="22"/>
      <c r="F24" s="22">
        <f>NPV(Assumptions!$B$10,F22:J22)</f>
        <v>0</v>
      </c>
      <c r="G24" s="35"/>
      <c r="H24" s="35"/>
      <c r="I24" s="35"/>
      <c r="J24" s="35"/>
      <c r="K24" s="35"/>
    </row>
    <row r="25" spans="2:13" ht="12.75" customHeight="1" x14ac:dyDescent="0.2">
      <c r="C25" s="33"/>
      <c r="D25" s="33"/>
      <c r="E25" s="4"/>
      <c r="F25" s="35"/>
      <c r="G25" s="35"/>
      <c r="H25" s="35"/>
      <c r="I25" s="35"/>
      <c r="J25" s="35"/>
      <c r="K25" s="35"/>
    </row>
    <row r="26" spans="2:13" ht="12.75" customHeight="1" x14ac:dyDescent="0.2">
      <c r="B26" s="4"/>
      <c r="C26" s="4"/>
      <c r="D26" s="4"/>
      <c r="E26" s="4"/>
      <c r="F26" s="23"/>
      <c r="G26" s="23"/>
      <c r="H26" s="23"/>
      <c r="I26" s="23"/>
      <c r="J26" s="23"/>
      <c r="K26" s="23"/>
    </row>
    <row r="27" spans="2:13" ht="12.75" customHeight="1" x14ac:dyDescent="0.2">
      <c r="B27" s="36" t="s">
        <v>19</v>
      </c>
      <c r="C27" s="36" t="s">
        <v>5</v>
      </c>
      <c r="D27" s="36"/>
      <c r="E27" s="37"/>
      <c r="F27" s="38" t="str">
        <f>F$10</f>
        <v>2026/27</v>
      </c>
      <c r="G27" s="38" t="str">
        <f t="shared" ref="G27:J27" si="7">G$10</f>
        <v>2027/28</v>
      </c>
      <c r="H27" s="38" t="str">
        <f t="shared" si="7"/>
        <v>2028/29</v>
      </c>
      <c r="I27" s="38" t="str">
        <f t="shared" si="7"/>
        <v>2029/30</v>
      </c>
      <c r="J27" s="38" t="str">
        <f t="shared" si="7"/>
        <v>2030/31</v>
      </c>
      <c r="K27" s="74" t="s">
        <v>0</v>
      </c>
    </row>
    <row r="28" spans="2:13" ht="12.75" customHeight="1" x14ac:dyDescent="0.2">
      <c r="C28" s="24" t="s">
        <v>95</v>
      </c>
      <c r="D28" s="108" t="s">
        <v>12</v>
      </c>
      <c r="E28" s="2"/>
      <c r="F28" s="6">
        <f>SUMIFS('Option 2'!R$118:R$125,'Option 2'!$C$118:$C$125,$C28,'Option 2'!$D$118:$D$125,$D28)</f>
        <v>470841.37064572505</v>
      </c>
      <c r="G28" s="6">
        <f>SUMIFS('Option 2'!S$118:S$125,'Option 2'!$C$118:$C$125,$C28,'Option 2'!$D$118:$D$125,$D28)</f>
        <v>618964.22822406073</v>
      </c>
      <c r="H28" s="6">
        <f>SUMIFS('Option 2'!T$118:T$125,'Option 2'!$C$118:$C$125,$C28,'Option 2'!$D$118:$D$125,$D28)</f>
        <v>470841.37064572505</v>
      </c>
      <c r="I28" s="6">
        <f>SUMIFS('Option 2'!U$118:U$125,'Option 2'!$C$118:$C$125,$C28,'Option 2'!$D$118:$D$125,$D28)</f>
        <v>544821.68067389703</v>
      </c>
      <c r="J28" s="6">
        <f>SUMIFS('Option 2'!V$118:V$125,'Option 2'!$C$118:$C$125,$C28,'Option 2'!$D$118:$D$125,$D28)</f>
        <v>470841.37064572505</v>
      </c>
      <c r="K28" s="25">
        <f>SUM(F28:J28)</f>
        <v>2576310.0208351333</v>
      </c>
      <c r="M28" s="99"/>
    </row>
    <row r="29" spans="2:13" x14ac:dyDescent="0.2">
      <c r="C29" s="1" t="s">
        <v>110</v>
      </c>
      <c r="D29" s="108" t="s">
        <v>12</v>
      </c>
      <c r="E29" s="2"/>
      <c r="F29" s="6">
        <f>SUMIFS('Option 2'!R$118:R$125,'Option 2'!$C$118:$C$125,$C29,'Option 2'!$D$118:$D$125,$D29)</f>
        <v>1183961.7127708362</v>
      </c>
      <c r="G29" s="6">
        <f>SUMIFS('Option 2'!S$118:S$125,'Option 2'!$C$118:$C$125,$C29,'Option 2'!$D$118:$D$125,$D29)</f>
        <v>1183961.7127708362</v>
      </c>
      <c r="H29" s="6">
        <f>SUMIFS('Option 2'!T$118:T$125,'Option 2'!$C$118:$C$125,$C29,'Option 2'!$D$118:$D$125,$D29)</f>
        <v>2367923.4255416724</v>
      </c>
      <c r="I29" s="6">
        <f>SUMIFS('Option 2'!U$118:U$125,'Option 2'!$C$118:$C$125,$C29,'Option 2'!$D$118:$D$125,$D29)</f>
        <v>2367923.4255416724</v>
      </c>
      <c r="J29" s="6">
        <f>SUMIFS('Option 2'!V$118:V$125,'Option 2'!$C$118:$C$125,$C29,'Option 2'!$D$118:$D$125,$D29)</f>
        <v>1183961.7127708362</v>
      </c>
      <c r="K29" s="6">
        <f t="shared" ref="K29" si="8">SUM(F29:J29)</f>
        <v>8287731.9893958531</v>
      </c>
      <c r="M29" s="99"/>
    </row>
    <row r="30" spans="2:13" x14ac:dyDescent="0.2">
      <c r="C30" s="1" t="s">
        <v>111</v>
      </c>
      <c r="D30" s="108" t="s">
        <v>12</v>
      </c>
      <c r="E30" s="2"/>
      <c r="F30" s="6">
        <f>SUMIFS('Option 2'!R$118:R$125,'Option 2'!$C$118:$C$125,$C30,'Option 2'!$D$118:$D$125,$D30)</f>
        <v>288343.49597478978</v>
      </c>
      <c r="G30" s="6">
        <f>SUMIFS('Option 2'!S$118:S$125,'Option 2'!$C$118:$C$125,$C30,'Option 2'!$D$118:$D$125,$D30)</f>
        <v>309400.50724047166</v>
      </c>
      <c r="H30" s="6">
        <f>SUMIFS('Option 2'!T$118:T$125,'Option 2'!$C$118:$C$125,$C30,'Option 2'!$D$118:$D$125,$D30)</f>
        <v>331974.18765929312</v>
      </c>
      <c r="I30" s="6">
        <f>SUMIFS('Option 2'!U$118:U$125,'Option 2'!$C$118:$C$125,$C30,'Option 2'!$D$118:$D$125,$D30)</f>
        <v>356205.6227338718</v>
      </c>
      <c r="J30" s="6">
        <f>SUMIFS('Option 2'!V$118:V$125,'Option 2'!$C$118:$C$125,$C30,'Option 2'!$D$118:$D$125,$D30)</f>
        <v>425090.61938693165</v>
      </c>
      <c r="K30" s="6">
        <f t="shared" ref="K30:K34" si="9">SUM(F30:J30)</f>
        <v>1711014.4329953582</v>
      </c>
      <c r="M30" s="99"/>
    </row>
    <row r="31" spans="2:13" x14ac:dyDescent="0.2">
      <c r="C31" s="1" t="s">
        <v>116</v>
      </c>
      <c r="D31" s="108" t="s">
        <v>12</v>
      </c>
      <c r="E31" s="2"/>
      <c r="F31" s="6">
        <f>SUMIFS('Option 2'!R$118:R$125,'Option 2'!$C$118:$C$125,$C31,'Option 2'!$D$118:$D$125,$D31)</f>
        <v>0</v>
      </c>
      <c r="G31" s="6">
        <f>SUMIFS('Option 2'!S$118:S$125,'Option 2'!$C$118:$C$125,$C31,'Option 2'!$D$118:$D$125,$D31)</f>
        <v>1136367.5374136295</v>
      </c>
      <c r="H31" s="6">
        <f>SUMIFS('Option 2'!T$118:T$125,'Option 2'!$C$118:$C$125,$C31,'Option 2'!$D$118:$D$125,$D31)</f>
        <v>1420459.4217670369</v>
      </c>
      <c r="I31" s="6">
        <f>SUMIFS('Option 2'!U$118:U$125,'Option 2'!$C$118:$C$125,$C31,'Option 2'!$D$118:$D$125,$D31)</f>
        <v>2840918.8435340738</v>
      </c>
      <c r="J31" s="6">
        <f>SUMIFS('Option 2'!V$118:V$125,'Option 2'!$C$118:$C$125,$C31,'Option 2'!$D$118:$D$125,$D31)</f>
        <v>0</v>
      </c>
      <c r="K31" s="6">
        <f t="shared" si="9"/>
        <v>5397745.8027147399</v>
      </c>
      <c r="M31" s="99"/>
    </row>
    <row r="32" spans="2:13" x14ac:dyDescent="0.2">
      <c r="C32" s="1" t="s">
        <v>122</v>
      </c>
      <c r="D32" s="108" t="s">
        <v>12</v>
      </c>
      <c r="E32" s="2"/>
      <c r="F32" s="6">
        <f>SUMIFS('Option 2'!R$118:R$125,'Option 2'!$C$118:$C$125,$C32,'Option 2'!$D$118:$D$125,$D32)</f>
        <v>250405.34544373426</v>
      </c>
      <c r="G32" s="6">
        <f>SUMIFS('Option 2'!S$118:S$125,'Option 2'!$C$118:$C$125,$C32,'Option 2'!$D$118:$D$125,$D32)</f>
        <v>250405.34544373426</v>
      </c>
      <c r="H32" s="6">
        <f>SUMIFS('Option 2'!T$118:T$125,'Option 2'!$C$118:$C$125,$C32,'Option 2'!$D$118:$D$125,$D32)</f>
        <v>250405.34544373426</v>
      </c>
      <c r="I32" s="6">
        <f>SUMIFS('Option 2'!U$118:U$125,'Option 2'!$C$118:$C$125,$C32,'Option 2'!$D$118:$D$125,$D32)</f>
        <v>250405.34544373426</v>
      </c>
      <c r="J32" s="6">
        <f>SUMIFS('Option 2'!V$118:V$125,'Option 2'!$C$118:$C$125,$C32,'Option 2'!$D$118:$D$125,$D32)</f>
        <v>250405.34544373426</v>
      </c>
      <c r="K32" s="6">
        <f t="shared" si="9"/>
        <v>1252026.7272186712</v>
      </c>
      <c r="M32" s="99"/>
    </row>
    <row r="33" spans="2:13" x14ac:dyDescent="0.2">
      <c r="C33" s="1" t="s">
        <v>123</v>
      </c>
      <c r="D33" s="108" t="s">
        <v>12</v>
      </c>
      <c r="E33" s="2"/>
      <c r="F33" s="6">
        <f>SUMIFS('Option 2'!R$118:R$125,'Option 2'!$C$118:$C$125,$C33,'Option 2'!$D$118:$D$125,$D33)</f>
        <v>1907469.952849847</v>
      </c>
      <c r="G33" s="6">
        <f>SUMIFS('Option 2'!S$118:S$125,'Option 2'!$C$118:$C$125,$C33,'Option 2'!$D$118:$D$125,$D33)</f>
        <v>1695610.3369147519</v>
      </c>
      <c r="H33" s="6">
        <f>SUMIFS('Option 2'!T$118:T$125,'Option 2'!$C$118:$C$125,$C33,'Option 2'!$D$118:$D$125,$D33)</f>
        <v>3447195.7282936727</v>
      </c>
      <c r="I33" s="6">
        <f>SUMIFS('Option 2'!U$118:U$125,'Option 2'!$C$118:$C$125,$C33,'Option 2'!$D$118:$D$125,$D33)</f>
        <v>3391220.6738295038</v>
      </c>
      <c r="J33" s="6">
        <f>SUMIFS('Option 2'!V$118:V$125,'Option 2'!$C$118:$C$125,$C33,'Option 2'!$D$118:$D$125,$D33)</f>
        <v>3391220.6738295038</v>
      </c>
      <c r="K33" s="6">
        <f t="shared" si="9"/>
        <v>13832717.365717279</v>
      </c>
      <c r="M33" s="99"/>
    </row>
    <row r="34" spans="2:13" x14ac:dyDescent="0.2">
      <c r="C34" s="1" t="s">
        <v>125</v>
      </c>
      <c r="D34" s="108" t="s">
        <v>12</v>
      </c>
      <c r="E34" s="2"/>
      <c r="F34" s="6">
        <f>SUMIFS('Option 2'!R$118:R$125,'Option 2'!$C$118:$C$125,$C34,'Option 2'!$D$118:$D$125,$D34)</f>
        <v>909771.00921719766</v>
      </c>
      <c r="G34" s="6">
        <f>SUMIFS('Option 2'!S$118:S$125,'Option 2'!$C$118:$C$125,$C34,'Option 2'!$D$118:$D$125,$D34)</f>
        <v>863574.39601507678</v>
      </c>
      <c r="H34" s="6">
        <f>SUMIFS('Option 2'!T$118:T$125,'Option 2'!$C$118:$C$125,$C34,'Option 2'!$D$118:$D$125,$D34)</f>
        <v>611460.68849350431</v>
      </c>
      <c r="I34" s="6">
        <f>SUMIFS('Option 2'!U$118:U$125,'Option 2'!$C$118:$C$125,$C34,'Option 2'!$D$118:$D$125,$D34)</f>
        <v>655102.93020969525</v>
      </c>
      <c r="J34" s="6">
        <f>SUMIFS('Option 2'!V$118:V$125,'Option 2'!$C$118:$C$125,$C34,'Option 2'!$D$118:$D$125,$D34)</f>
        <v>141760.59674765953</v>
      </c>
      <c r="K34" s="112">
        <f t="shared" si="9"/>
        <v>3181669.6206831336</v>
      </c>
      <c r="M34" s="99"/>
    </row>
    <row r="35" spans="2:13" x14ac:dyDescent="0.2">
      <c r="C35" s="102" t="s">
        <v>15</v>
      </c>
      <c r="D35" s="109"/>
      <c r="E35" s="102"/>
      <c r="F35" s="106">
        <f>SUM(F28:F34)</f>
        <v>5010792.8869021302</v>
      </c>
      <c r="G35" s="106">
        <f t="shared" ref="G35:K35" si="10">SUM(G28:G34)</f>
        <v>6058284.0640225615</v>
      </c>
      <c r="H35" s="106">
        <f t="shared" si="10"/>
        <v>8900260.1678446401</v>
      </c>
      <c r="I35" s="106">
        <f t="shared" si="10"/>
        <v>10406598.521966448</v>
      </c>
      <c r="J35" s="106">
        <f t="shared" si="10"/>
        <v>5863280.3188243899</v>
      </c>
      <c r="K35" s="106">
        <f t="shared" si="10"/>
        <v>36239215.959560171</v>
      </c>
      <c r="M35" s="99"/>
    </row>
    <row r="36" spans="2:13" x14ac:dyDescent="0.2">
      <c r="C36" s="153"/>
      <c r="D36" s="49"/>
      <c r="F36" s="6"/>
      <c r="G36" s="6"/>
      <c r="H36" s="6"/>
      <c r="I36" s="6"/>
      <c r="J36" s="6"/>
      <c r="K36" s="152"/>
      <c r="M36" s="99"/>
    </row>
    <row r="37" spans="2:13" x14ac:dyDescent="0.2">
      <c r="C37" s="1" t="s">
        <v>95</v>
      </c>
      <c r="D37" s="108" t="s">
        <v>16</v>
      </c>
      <c r="E37" s="2"/>
      <c r="F37" s="6">
        <f>SUMIFS('Option 2'!R$118:R$125,'Option 2'!$C$118:$C$125,$C37,'Option 2'!$D$118:$D$125,$D37)</f>
        <v>377273.50974756613</v>
      </c>
      <c r="G37" s="6">
        <f>SUMIFS('Option 2'!S$118:S$125,'Option 2'!$C$118:$C$125,$C37,'Option 2'!$D$118:$D$125,$D37)</f>
        <v>377273.50974756613</v>
      </c>
      <c r="H37" s="6">
        <f>SUMIFS('Option 2'!T$118:T$125,'Option 2'!$C$118:$C$125,$C37,'Option 2'!$D$118:$D$125,$D37)</f>
        <v>377273.50974756613</v>
      </c>
      <c r="I37" s="6">
        <f>SUMIFS('Option 2'!U$118:U$125,'Option 2'!$C$118:$C$125,$C37,'Option 2'!$D$118:$D$125,$D37)</f>
        <v>377273.50974756613</v>
      </c>
      <c r="J37" s="6">
        <f>SUMIFS('Option 2'!V$118:V$125,'Option 2'!$C$118:$C$125,$C37,'Option 2'!$D$118:$D$125,$D37)</f>
        <v>377273.50974756613</v>
      </c>
      <c r="K37" s="6">
        <f>SUM(F37:J37)</f>
        <v>1886367.5487378307</v>
      </c>
      <c r="M37" s="99"/>
    </row>
    <row r="38" spans="2:13" x14ac:dyDescent="0.2">
      <c r="D38" s="49"/>
      <c r="F38" s="6"/>
      <c r="G38" s="6"/>
      <c r="H38" s="6"/>
      <c r="I38" s="6"/>
      <c r="J38" s="6"/>
      <c r="K38" s="6"/>
      <c r="M38" s="99"/>
    </row>
    <row r="39" spans="2:13" x14ac:dyDescent="0.2">
      <c r="C39" s="114" t="str">
        <f>"Total Cost ($ "&amp;Assumptions!$C$35&amp;")"</f>
        <v>Total Cost ($ June 2026)</v>
      </c>
      <c r="D39" s="21"/>
      <c r="E39" s="21"/>
      <c r="F39" s="22">
        <f>F35+F37</f>
        <v>5388066.3966496959</v>
      </c>
      <c r="G39" s="22">
        <f t="shared" ref="G39:K39" si="11">G35+G37</f>
        <v>6435557.5737701273</v>
      </c>
      <c r="H39" s="22">
        <f t="shared" si="11"/>
        <v>9277533.6775922067</v>
      </c>
      <c r="I39" s="22">
        <f t="shared" si="11"/>
        <v>10783872.031714015</v>
      </c>
      <c r="J39" s="22">
        <f t="shared" si="11"/>
        <v>6240553.8285719557</v>
      </c>
      <c r="K39" s="22">
        <f t="shared" si="11"/>
        <v>38125583.508298002</v>
      </c>
      <c r="L39" s="59">
        <f>K39-'Option 2'!$W$126</f>
        <v>0</v>
      </c>
    </row>
    <row r="41" spans="2:13" x14ac:dyDescent="0.2">
      <c r="C41" s="54" t="s">
        <v>18</v>
      </c>
      <c r="D41" s="22"/>
      <c r="E41" s="22"/>
      <c r="F41" s="22">
        <f>NPV(Assumptions!$B$10,F39:J39)</f>
        <v>34233227.274360821</v>
      </c>
    </row>
    <row r="42" spans="2:13" x14ac:dyDescent="0.2">
      <c r="B42" s="26"/>
      <c r="C42" s="33"/>
      <c r="D42" s="33"/>
      <c r="E42" s="26"/>
      <c r="F42" s="26"/>
      <c r="G42" s="26"/>
      <c r="H42" s="26"/>
      <c r="I42" s="26"/>
      <c r="J42" s="26"/>
      <c r="K42" s="26"/>
    </row>
    <row r="44" spans="2:13" x14ac:dyDescent="0.2">
      <c r="B44" s="36" t="s">
        <v>3</v>
      </c>
      <c r="C44" s="36" t="s">
        <v>5</v>
      </c>
      <c r="D44" s="36"/>
      <c r="E44" s="37"/>
      <c r="F44" s="38" t="str">
        <f>F$10</f>
        <v>2026/27</v>
      </c>
      <c r="G44" s="38" t="str">
        <f t="shared" ref="G44:J44" si="12">G$10</f>
        <v>2027/28</v>
      </c>
      <c r="H44" s="38" t="str">
        <f t="shared" si="12"/>
        <v>2028/29</v>
      </c>
      <c r="I44" s="38" t="str">
        <f t="shared" si="12"/>
        <v>2029/30</v>
      </c>
      <c r="J44" s="38" t="str">
        <f t="shared" si="12"/>
        <v>2030/31</v>
      </c>
      <c r="K44" s="74" t="s">
        <v>0</v>
      </c>
    </row>
    <row r="45" spans="2:13" x14ac:dyDescent="0.2">
      <c r="C45" s="24" t="s">
        <v>95</v>
      </c>
      <c r="D45" s="108" t="s">
        <v>12</v>
      </c>
      <c r="E45" s="2"/>
      <c r="F45" s="6">
        <f>SUMIFS('Option 3'!T$118:T$125,'Option 3'!$C$118:$C$125,$C45,'Option 3'!$D$118:$D$125,$D45)</f>
        <v>1341690.2039461939</v>
      </c>
      <c r="G45" s="6">
        <f>SUMIFS('Option 3'!U$118:U$125,'Option 3'!$C$118:$C$125,$C45,'Option 3'!$D$118:$D$125,$D45)</f>
        <v>1341690.2039461939</v>
      </c>
      <c r="H45" s="6">
        <f>SUMIFS('Option 3'!V$118:V$125,'Option 3'!$C$118:$C$125,$C45,'Option 3'!$D$118:$D$125,$D45)</f>
        <v>1341690.2039461939</v>
      </c>
      <c r="I45" s="6">
        <f>SUMIFS('Option 3'!W$118:W$125,'Option 3'!$C$118:$C$125,$C45,'Option 3'!$D$118:$D$125,$D45)</f>
        <v>1341690.2039461939</v>
      </c>
      <c r="J45" s="6">
        <f>SUMIFS('Option 3'!X$118:X$125,'Option 3'!$C$118:$C$125,$C45,'Option 3'!$D$118:$D$125,$D45)</f>
        <v>1341690.2039461939</v>
      </c>
      <c r="K45" s="25">
        <f>SUM(F45:J45)</f>
        <v>6708451.0197309693</v>
      </c>
      <c r="M45" s="99"/>
    </row>
    <row r="46" spans="2:13" x14ac:dyDescent="0.2">
      <c r="C46" s="1" t="s">
        <v>110</v>
      </c>
      <c r="D46" s="108" t="s">
        <v>12</v>
      </c>
      <c r="E46" s="2"/>
      <c r="F46" s="6">
        <f>SUMIFS('Option 3'!T$118:T$125,'Option 3'!$C$118:$C$125,$C46,'Option 3'!$D$118:$D$125,$D46)</f>
        <v>1183961.7127708362</v>
      </c>
      <c r="G46" s="6">
        <f>SUMIFS('Option 3'!U$118:U$125,'Option 3'!$C$118:$C$125,$C46,'Option 3'!$D$118:$D$125,$D46)</f>
        <v>1183961.7127708362</v>
      </c>
      <c r="H46" s="6">
        <f>SUMIFS('Option 3'!V$118:V$125,'Option 3'!$C$118:$C$125,$C46,'Option 3'!$D$118:$D$125,$D46)</f>
        <v>2367923.4255416724</v>
      </c>
      <c r="I46" s="6">
        <f>SUMIFS('Option 3'!W$118:W$125,'Option 3'!$C$118:$C$125,$C46,'Option 3'!$D$118:$D$125,$D46)</f>
        <v>2367923.4255416724</v>
      </c>
      <c r="J46" s="6">
        <f>SUMIFS('Option 3'!X$118:X$125,'Option 3'!$C$118:$C$125,$C46,'Option 3'!$D$118:$D$125,$D46)</f>
        <v>1183961.7127708362</v>
      </c>
      <c r="K46" s="6">
        <f t="shared" ref="K46:K51" si="13">SUM(F46:J46)</f>
        <v>8287731.9893958531</v>
      </c>
      <c r="M46" s="99"/>
    </row>
    <row r="47" spans="2:13" x14ac:dyDescent="0.2">
      <c r="C47" s="1" t="s">
        <v>111</v>
      </c>
      <c r="D47" s="108" t="s">
        <v>12</v>
      </c>
      <c r="E47" s="2"/>
      <c r="F47" s="6">
        <f>SUMIFS('Option 3'!T$118:T$125,'Option 3'!$C$118:$C$125,$C47,'Option 3'!$D$118:$D$125,$D47)</f>
        <v>288343.49597478978</v>
      </c>
      <c r="G47" s="6">
        <f>SUMIFS('Option 3'!U$118:U$125,'Option 3'!$C$118:$C$125,$C47,'Option 3'!$D$118:$D$125,$D47)</f>
        <v>309400.50724047166</v>
      </c>
      <c r="H47" s="6">
        <f>SUMIFS('Option 3'!V$118:V$125,'Option 3'!$C$118:$C$125,$C47,'Option 3'!$D$118:$D$125,$D47)</f>
        <v>331974.18765929312</v>
      </c>
      <c r="I47" s="6">
        <f>SUMIFS('Option 3'!W$118:W$125,'Option 3'!$C$118:$C$125,$C47,'Option 3'!$D$118:$D$125,$D47)</f>
        <v>356205.6227338718</v>
      </c>
      <c r="J47" s="6">
        <f>SUMIFS('Option 3'!X$118:X$125,'Option 3'!$C$118:$C$125,$C47,'Option 3'!$D$118:$D$125,$D47)</f>
        <v>425090.61938693165</v>
      </c>
      <c r="K47" s="6">
        <f t="shared" si="13"/>
        <v>1711014.4329953582</v>
      </c>
      <c r="M47" s="99"/>
    </row>
    <row r="48" spans="2:13" x14ac:dyDescent="0.2">
      <c r="C48" s="1" t="s">
        <v>116</v>
      </c>
      <c r="D48" s="108" t="s">
        <v>12</v>
      </c>
      <c r="E48" s="2"/>
      <c r="F48" s="6">
        <f>SUMIFS('Option 3'!T$118:T$125,'Option 3'!$C$118:$C$125,$C48,'Option 3'!$D$118:$D$125,$D48)</f>
        <v>1136367.5374136295</v>
      </c>
      <c r="G48" s="6">
        <f>SUMIFS('Option 3'!U$118:U$125,'Option 3'!$C$118:$C$125,$C48,'Option 3'!$D$118:$D$125,$D48)</f>
        <v>3409102.6122408877</v>
      </c>
      <c r="H48" s="6">
        <f>SUMIFS('Option 3'!V$118:V$125,'Option 3'!$C$118:$C$125,$C48,'Option 3'!$D$118:$D$125,$D48)</f>
        <v>5397745.8027147399</v>
      </c>
      <c r="I48" s="6">
        <f>SUMIFS('Option 3'!W$118:W$125,'Option 3'!$C$118:$C$125,$C48,'Option 3'!$D$118:$D$125,$D48)</f>
        <v>852275.65306022193</v>
      </c>
      <c r="J48" s="6">
        <f>SUMIFS('Option 3'!X$118:X$125,'Option 3'!$C$118:$C$125,$C48,'Option 3'!$D$118:$D$125,$D48)</f>
        <v>0</v>
      </c>
      <c r="K48" s="6">
        <f t="shared" si="13"/>
        <v>10795491.60542948</v>
      </c>
      <c r="M48" s="99"/>
    </row>
    <row r="49" spans="2:13" x14ac:dyDescent="0.2">
      <c r="C49" s="1" t="s">
        <v>122</v>
      </c>
      <c r="D49" s="108" t="s">
        <v>12</v>
      </c>
      <c r="E49" s="2"/>
      <c r="F49" s="6">
        <f>SUMIFS('Option 3'!T$118:T$125,'Option 3'!$C$118:$C$125,$C49,'Option 3'!$D$118:$D$125,$D49)</f>
        <v>250405.34544373426</v>
      </c>
      <c r="G49" s="6">
        <f>SUMIFS('Option 3'!U$118:U$125,'Option 3'!$C$118:$C$125,$C49,'Option 3'!$D$118:$D$125,$D49)</f>
        <v>250405.34544373426</v>
      </c>
      <c r="H49" s="6">
        <f>SUMIFS('Option 3'!V$118:V$125,'Option 3'!$C$118:$C$125,$C49,'Option 3'!$D$118:$D$125,$D49)</f>
        <v>250405.34544373426</v>
      </c>
      <c r="I49" s="6">
        <f>SUMIFS('Option 3'!W$118:W$125,'Option 3'!$C$118:$C$125,$C49,'Option 3'!$D$118:$D$125,$D49)</f>
        <v>250405.34544373426</v>
      </c>
      <c r="J49" s="6">
        <f>SUMIFS('Option 3'!X$118:X$125,'Option 3'!$C$118:$C$125,$C49,'Option 3'!$D$118:$D$125,$D49)</f>
        <v>250405.34544373426</v>
      </c>
      <c r="K49" s="6">
        <f t="shared" si="13"/>
        <v>1252026.7272186712</v>
      </c>
      <c r="M49" s="99"/>
    </row>
    <row r="50" spans="2:13" x14ac:dyDescent="0.2">
      <c r="C50" s="1" t="s">
        <v>123</v>
      </c>
      <c r="D50" s="108" t="s">
        <v>12</v>
      </c>
      <c r="E50" s="2"/>
      <c r="F50" s="6">
        <f>SUMIFS('Option 3'!T$118:T$125,'Option 3'!$C$118:$C$125,$C50,'Option 3'!$D$118:$D$125,$D50)</f>
        <v>1907469.952849847</v>
      </c>
      <c r="G50" s="6">
        <f>SUMIFS('Option 3'!U$118:U$125,'Option 3'!$C$118:$C$125,$C50,'Option 3'!$D$118:$D$125,$D50)</f>
        <v>1695610.3369147519</v>
      </c>
      <c r="H50" s="6">
        <f>SUMIFS('Option 3'!V$118:V$125,'Option 3'!$C$118:$C$125,$C50,'Option 3'!$D$118:$D$125,$D50)</f>
        <v>3447195.7282936727</v>
      </c>
      <c r="I50" s="6">
        <f>SUMIFS('Option 3'!W$118:W$125,'Option 3'!$C$118:$C$125,$C50,'Option 3'!$D$118:$D$125,$D50)</f>
        <v>3391220.6738295038</v>
      </c>
      <c r="J50" s="6">
        <f>SUMIFS('Option 3'!X$118:X$125,'Option 3'!$C$118:$C$125,$C50,'Option 3'!$D$118:$D$125,$D50)</f>
        <v>3391220.6738295038</v>
      </c>
      <c r="K50" s="6">
        <f t="shared" si="13"/>
        <v>13832717.365717279</v>
      </c>
      <c r="M50" s="99"/>
    </row>
    <row r="51" spans="2:13" x14ac:dyDescent="0.2">
      <c r="C51" s="1" t="s">
        <v>125</v>
      </c>
      <c r="D51" s="108" t="s">
        <v>12</v>
      </c>
      <c r="E51" s="2"/>
      <c r="F51" s="6">
        <f>SUMIFS('Option 3'!T$118:T$125,'Option 3'!$C$118:$C$125,$C51,'Option 3'!$D$118:$D$125,$D51)</f>
        <v>2744319.9083045558</v>
      </c>
      <c r="G51" s="6">
        <f>SUMIFS('Option 3'!U$118:U$125,'Option 3'!$C$118:$C$125,$C51,'Option 3'!$D$118:$D$125,$D51)</f>
        <v>2031014.6045252138</v>
      </c>
      <c r="H51" s="6">
        <f>SUMIFS('Option 3'!V$118:V$125,'Option 3'!$C$118:$C$125,$C51,'Option 3'!$D$118:$D$125,$D51)</f>
        <v>1445346.5517150308</v>
      </c>
      <c r="I51" s="6">
        <f>SUMIFS('Option 3'!W$118:W$125,'Option 3'!$C$118:$C$125,$C51,'Option 3'!$D$118:$D$125,$D51)</f>
        <v>1739154.5523976798</v>
      </c>
      <c r="J51" s="6">
        <f>SUMIFS('Option 3'!X$118:X$125,'Option 3'!$C$118:$C$125,$C51,'Option 3'!$D$118:$D$125,$D51)</f>
        <v>141760.59674765953</v>
      </c>
      <c r="K51" s="112">
        <f t="shared" si="13"/>
        <v>8101596.2136901394</v>
      </c>
      <c r="M51" s="99"/>
    </row>
    <row r="52" spans="2:13" x14ac:dyDescent="0.2">
      <c r="C52" s="102" t="s">
        <v>15</v>
      </c>
      <c r="D52" s="109"/>
      <c r="E52" s="102"/>
      <c r="F52" s="106">
        <f>SUM(F45:F51)</f>
        <v>8852558.1567035858</v>
      </c>
      <c r="G52" s="106">
        <f t="shared" ref="G52" si="14">SUM(G45:G51)</f>
        <v>10221185.323082088</v>
      </c>
      <c r="H52" s="106">
        <f t="shared" ref="H52" si="15">SUM(H45:H51)</f>
        <v>14582281.245314337</v>
      </c>
      <c r="I52" s="106">
        <f t="shared" ref="I52" si="16">SUM(I45:I51)</f>
        <v>10298875.476952877</v>
      </c>
      <c r="J52" s="106">
        <f t="shared" ref="J52" si="17">SUM(J45:J51)</f>
        <v>6734129.1521248594</v>
      </c>
      <c r="K52" s="106">
        <f t="shared" ref="K52" si="18">SUM(K45:K51)</f>
        <v>50689029.354177751</v>
      </c>
      <c r="M52" s="99"/>
    </row>
    <row r="53" spans="2:13" x14ac:dyDescent="0.2">
      <c r="C53" s="153"/>
      <c r="D53" s="49"/>
      <c r="F53" s="6"/>
      <c r="G53" s="6"/>
      <c r="H53" s="6"/>
      <c r="I53" s="6"/>
      <c r="J53" s="6"/>
      <c r="K53" s="152"/>
      <c r="M53" s="99"/>
    </row>
    <row r="54" spans="2:13" x14ac:dyDescent="0.2">
      <c r="C54" s="1" t="s">
        <v>95</v>
      </c>
      <c r="D54" s="108" t="s">
        <v>16</v>
      </c>
      <c r="E54" s="2"/>
      <c r="F54" s="6">
        <f>SUMIFS('Option 3'!T$118:T$125,'Option 3'!$C$118:$C$125,$C54,'Option 3'!$D$118:$D$125,$D54)</f>
        <v>0</v>
      </c>
      <c r="G54" s="6">
        <f>SUMIFS('Option 3'!U$118:U$125,'Option 3'!$C$118:$C$125,$C54,'Option 3'!$D$118:$D$125,$D54)</f>
        <v>0</v>
      </c>
      <c r="H54" s="6">
        <f>SUMIFS('Option 3'!V$118:V$125,'Option 3'!$C$118:$C$125,$C54,'Option 3'!$D$118:$D$125,$D54)</f>
        <v>0</v>
      </c>
      <c r="I54" s="6">
        <f>SUMIFS('Option 3'!W$118:W$125,'Option 3'!$C$118:$C$125,$C54,'Option 3'!$D$118:$D$125,$D54)</f>
        <v>0</v>
      </c>
      <c r="J54" s="6">
        <f>SUMIFS('Option 3'!X$118:X$125,'Option 3'!$C$118:$C$125,$C54,'Option 3'!$D$118:$D$125,$D54)</f>
        <v>0</v>
      </c>
      <c r="K54" s="6">
        <f>SUM(F54:J54)</f>
        <v>0</v>
      </c>
    </row>
    <row r="55" spans="2:13" x14ac:dyDescent="0.2">
      <c r="D55" s="49"/>
      <c r="F55" s="6"/>
      <c r="G55" s="6"/>
      <c r="H55" s="6"/>
      <c r="I55" s="6"/>
      <c r="J55" s="6"/>
      <c r="K55" s="6"/>
    </row>
    <row r="56" spans="2:13" x14ac:dyDescent="0.2">
      <c r="B56" s="26"/>
      <c r="C56" s="114" t="str">
        <f>"Total Cost ($ "&amp;Assumptions!$C$35&amp;")"</f>
        <v>Total Cost ($ June 2026)</v>
      </c>
      <c r="D56" s="21"/>
      <c r="E56" s="21"/>
      <c r="F56" s="22">
        <f>F52+F54</f>
        <v>8852558.1567035858</v>
      </c>
      <c r="G56" s="22">
        <f t="shared" ref="G56:K56" si="19">G52+G54</f>
        <v>10221185.323082088</v>
      </c>
      <c r="H56" s="22">
        <f t="shared" si="19"/>
        <v>14582281.245314337</v>
      </c>
      <c r="I56" s="22">
        <f t="shared" si="19"/>
        <v>10298875.476952877</v>
      </c>
      <c r="J56" s="22">
        <f t="shared" si="19"/>
        <v>6734129.1521248594</v>
      </c>
      <c r="K56" s="22">
        <f t="shared" si="19"/>
        <v>50689029.354177751</v>
      </c>
      <c r="L56" s="59">
        <f>K56-'Option 3'!$Y$126</f>
        <v>0</v>
      </c>
    </row>
    <row r="58" spans="2:13" x14ac:dyDescent="0.2">
      <c r="C58" s="54" t="s">
        <v>18</v>
      </c>
      <c r="D58" s="22"/>
      <c r="E58" s="22"/>
      <c r="F58" s="22">
        <f>NPV(Assumptions!$B$10,F56:J56)</f>
        <v>45891995.394081056</v>
      </c>
    </row>
  </sheetData>
  <pageMargins left="0.70866141732283472" right="0.70866141732283472" top="0.74803149606299213" bottom="0.74803149606299213" header="0.31496062992125984" footer="0.31496062992125984"/>
  <pageSetup paperSize="9" scale="83" orientation="portrait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51E592DF-ED89-43F6-B80A-8222194A4436}">
          <x14:formula1>
            <xm:f>Assumptions!$A$24:$A$26</xm:f>
          </x14:formula1>
          <xm:sqref>D6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1">
    <outlinePr summaryBelow="0" summaryRight="0"/>
  </sheetPr>
  <dimension ref="A1:AI102"/>
  <sheetViews>
    <sheetView showGridLines="0" zoomScale="90" zoomScaleNormal="90" workbookViewId="0">
      <selection activeCell="H17" sqref="H17"/>
    </sheetView>
  </sheetViews>
  <sheetFormatPr defaultColWidth="14.42578125" defaultRowHeight="15" customHeight="1" x14ac:dyDescent="0.25"/>
  <cols>
    <col min="1" max="1" width="24.42578125" customWidth="1"/>
    <col min="2" max="2" width="16.28515625" customWidth="1"/>
    <col min="4" max="4" width="2.7109375" customWidth="1"/>
    <col min="5" max="5" width="14.42578125" customWidth="1"/>
    <col min="10" max="10" width="19.140625" customWidth="1"/>
    <col min="11" max="11" width="15.7109375" customWidth="1"/>
  </cols>
  <sheetData>
    <row r="1" spans="1:35" ht="21" x14ac:dyDescent="0.35">
      <c r="A1" s="63" t="str">
        <f>Project_name</f>
        <v>Property recurrent</v>
      </c>
      <c r="B1" s="14"/>
      <c r="C1" s="14"/>
      <c r="D1" s="14"/>
      <c r="E1" s="14"/>
      <c r="F1" s="14"/>
      <c r="G1" s="14"/>
      <c r="H1" s="14"/>
      <c r="I1" s="11"/>
      <c r="J1" s="11"/>
      <c r="K1" s="11"/>
    </row>
    <row r="2" spans="1:35" ht="15.75" x14ac:dyDescent="0.25">
      <c r="A2" s="60" t="str">
        <f>Business</f>
        <v>Powercor</v>
      </c>
      <c r="B2" s="13"/>
      <c r="C2" s="13"/>
      <c r="D2" s="13"/>
      <c r="E2" s="13"/>
      <c r="F2" s="13"/>
      <c r="G2" s="13"/>
      <c r="H2" s="13"/>
      <c r="I2" s="11"/>
      <c r="J2" s="11"/>
      <c r="K2" s="11"/>
    </row>
    <row r="3" spans="1:35" s="18" customFormat="1" ht="12.75" customHeight="1" x14ac:dyDescent="0.25">
      <c r="A3" s="30" t="s">
        <v>21</v>
      </c>
      <c r="B3" s="28"/>
      <c r="C3" s="28"/>
      <c r="D3" s="28"/>
      <c r="E3" s="28"/>
      <c r="F3" s="28"/>
      <c r="G3" s="28"/>
      <c r="H3" s="13"/>
      <c r="I3" s="29"/>
      <c r="J3" s="29"/>
      <c r="K3" s="29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</row>
    <row r="4" spans="1:35" ht="12.75" customHeight="1" x14ac:dyDescent="0.25">
      <c r="A4" s="27" t="s">
        <v>20</v>
      </c>
      <c r="B4" s="42" t="s">
        <v>21</v>
      </c>
      <c r="C4" s="27" t="s">
        <v>22</v>
      </c>
      <c r="D4" s="27" t="s">
        <v>23</v>
      </c>
    </row>
    <row r="5" spans="1:35" ht="12.75" customHeight="1" x14ac:dyDescent="0.25">
      <c r="A5" s="27"/>
      <c r="B5" s="42"/>
      <c r="C5" s="27"/>
      <c r="D5" s="27"/>
    </row>
    <row r="6" spans="1:35" ht="12.75" customHeight="1" x14ac:dyDescent="0.25">
      <c r="A6" s="1" t="s">
        <v>24</v>
      </c>
      <c r="B6" s="77" t="s">
        <v>107</v>
      </c>
      <c r="C6" s="27"/>
      <c r="D6" s="27"/>
    </row>
    <row r="7" spans="1:35" ht="12.75" customHeight="1" x14ac:dyDescent="0.25">
      <c r="A7" s="27"/>
      <c r="B7" s="42"/>
      <c r="C7" s="27"/>
      <c r="D7" s="27"/>
    </row>
    <row r="8" spans="1:35" ht="12.75" customHeight="1" x14ac:dyDescent="0.25">
      <c r="A8" s="1" t="s">
        <v>25</v>
      </c>
      <c r="B8" s="78" t="s">
        <v>1</v>
      </c>
      <c r="C8" s="27"/>
      <c r="D8" s="27"/>
    </row>
    <row r="9" spans="1:35" ht="12.75" customHeight="1" x14ac:dyDescent="0.25">
      <c r="A9" s="27"/>
      <c r="B9" s="61"/>
      <c r="C9" s="27"/>
      <c r="D9" s="27"/>
    </row>
    <row r="10" spans="1:35" ht="12.75" customHeight="1" x14ac:dyDescent="0.25">
      <c r="A10" s="1" t="s">
        <v>26</v>
      </c>
      <c r="B10" s="144">
        <v>3.5000000000000003E-2</v>
      </c>
      <c r="C10" s="44"/>
      <c r="D10" s="27"/>
    </row>
    <row r="11" spans="1:35" ht="12.75" customHeight="1" x14ac:dyDescent="0.25">
      <c r="A11" s="27"/>
      <c r="B11" s="61"/>
      <c r="C11" s="27"/>
      <c r="D11" s="27"/>
    </row>
    <row r="12" spans="1:35" ht="12.75" customHeight="1" x14ac:dyDescent="0.25">
      <c r="A12" s="44" t="s">
        <v>27</v>
      </c>
      <c r="B12" s="79" t="s">
        <v>97</v>
      </c>
      <c r="C12" s="44" t="s">
        <v>28</v>
      </c>
      <c r="D12" s="27"/>
    </row>
    <row r="13" spans="1:35" ht="12.75" customHeight="1" x14ac:dyDescent="0.25">
      <c r="A13" s="44"/>
      <c r="B13" s="62"/>
      <c r="C13" s="44"/>
      <c r="D13" s="44"/>
      <c r="E13" s="44"/>
    </row>
    <row r="14" spans="1:35" ht="12.75" customHeight="1" x14ac:dyDescent="0.25">
      <c r="A14" s="44" t="s">
        <v>29</v>
      </c>
      <c r="B14" s="145">
        <f>IF(B12="2022/23",C42,C43)</f>
        <v>145.77740895836223</v>
      </c>
      <c r="C14" s="44"/>
      <c r="D14" s="44"/>
      <c r="E14" s="44"/>
    </row>
    <row r="15" spans="1:35" ht="12.75" customHeight="1" x14ac:dyDescent="0.25">
      <c r="A15" s="85"/>
      <c r="B15" s="44"/>
      <c r="C15" s="44"/>
      <c r="D15" s="44"/>
      <c r="E15" s="44"/>
    </row>
    <row r="16" spans="1:35" ht="12.75" customHeight="1" x14ac:dyDescent="0.25">
      <c r="A16" s="44"/>
      <c r="B16" s="44"/>
      <c r="C16" s="44"/>
      <c r="D16" s="44"/>
      <c r="E16" s="44"/>
    </row>
    <row r="17" spans="1:11" ht="12.75" customHeight="1" x14ac:dyDescent="0.25">
      <c r="A17" s="53" t="s">
        <v>30</v>
      </c>
      <c r="B17" s="75"/>
      <c r="C17" s="75"/>
      <c r="D17" s="75"/>
      <c r="E17" s="75"/>
      <c r="F17" s="75"/>
      <c r="G17" s="75"/>
      <c r="H17" s="75"/>
      <c r="I17" s="75"/>
      <c r="J17" s="75"/>
      <c r="K17" s="75"/>
    </row>
    <row r="18" spans="1:11" ht="12.75" customHeight="1" x14ac:dyDescent="0.25">
      <c r="A18" s="44" t="s">
        <v>1</v>
      </c>
      <c r="B18" s="93">
        <v>1</v>
      </c>
    </row>
    <row r="19" spans="1:11" ht="12.75" customHeight="1" x14ac:dyDescent="0.25">
      <c r="A19" s="44"/>
      <c r="B19" s="93"/>
      <c r="D19" s="44"/>
      <c r="E19" s="44"/>
    </row>
    <row r="20" spans="1:11" ht="12.75" customHeight="1" x14ac:dyDescent="0.25">
      <c r="A20" s="44"/>
      <c r="B20" s="94"/>
      <c r="D20" s="44"/>
      <c r="E20" s="44"/>
    </row>
    <row r="21" spans="1:11" ht="12.75" customHeight="1" x14ac:dyDescent="0.25">
      <c r="A21" s="44"/>
      <c r="B21" s="95">
        <f>SUM(B18:B20)</f>
        <v>1</v>
      </c>
      <c r="D21" s="44"/>
      <c r="E21" s="44"/>
    </row>
    <row r="22" spans="1:11" ht="12.75" customHeight="1" x14ac:dyDescent="0.25">
      <c r="A22" s="44"/>
      <c r="B22" s="44"/>
      <c r="C22" s="44"/>
      <c r="D22" s="44"/>
      <c r="E22" s="44"/>
    </row>
    <row r="23" spans="1:11" ht="12.75" customHeight="1" x14ac:dyDescent="0.25">
      <c r="A23" s="53" t="s">
        <v>31</v>
      </c>
      <c r="B23" s="75"/>
      <c r="C23" s="75"/>
      <c r="D23" s="75"/>
      <c r="E23" s="75"/>
      <c r="F23" s="75"/>
      <c r="G23" s="75"/>
      <c r="H23" s="75"/>
      <c r="I23" s="75"/>
      <c r="J23" s="75"/>
      <c r="K23" s="75"/>
    </row>
    <row r="24" spans="1:11" ht="12.75" customHeight="1" x14ac:dyDescent="0.25">
      <c r="A24" s="44" t="s">
        <v>4</v>
      </c>
      <c r="B24" s="86" t="s">
        <v>127</v>
      </c>
      <c r="C24" s="87"/>
      <c r="D24" s="87"/>
      <c r="E24" s="87"/>
      <c r="F24" s="87"/>
      <c r="G24" s="87"/>
      <c r="H24" s="87"/>
      <c r="I24" s="87"/>
      <c r="J24" s="88"/>
    </row>
    <row r="25" spans="1:11" ht="12.75" customHeight="1" x14ac:dyDescent="0.25">
      <c r="A25" s="44" t="s">
        <v>19</v>
      </c>
      <c r="B25" s="89" t="s">
        <v>128</v>
      </c>
      <c r="C25" s="90"/>
      <c r="D25" s="90"/>
      <c r="E25" s="90"/>
      <c r="F25" s="90"/>
      <c r="G25" s="90"/>
      <c r="H25" s="90"/>
      <c r="I25" s="90"/>
      <c r="J25" s="91"/>
    </row>
    <row r="26" spans="1:11" ht="12.75" customHeight="1" x14ac:dyDescent="0.25">
      <c r="A26" s="44" t="s">
        <v>3</v>
      </c>
      <c r="B26" s="89" t="s">
        <v>128</v>
      </c>
      <c r="C26" s="90"/>
      <c r="D26" s="90"/>
      <c r="E26" s="90"/>
      <c r="F26" s="90"/>
      <c r="G26" s="90"/>
      <c r="H26" s="90"/>
      <c r="I26" s="90"/>
      <c r="J26" s="91"/>
    </row>
    <row r="27" spans="1:11" ht="12.75" customHeight="1" x14ac:dyDescent="0.25">
      <c r="A27" s="44"/>
      <c r="B27" s="92"/>
      <c r="C27" s="92"/>
      <c r="D27" s="92"/>
      <c r="E27" s="92"/>
      <c r="F27" s="92"/>
      <c r="G27" s="92"/>
    </row>
    <row r="28" spans="1:11" ht="12.75" customHeight="1" x14ac:dyDescent="0.25">
      <c r="A28" s="44"/>
      <c r="B28" s="92"/>
      <c r="C28" s="92"/>
      <c r="D28" s="92"/>
      <c r="E28" s="92"/>
      <c r="F28" s="92"/>
      <c r="G28" s="92"/>
    </row>
    <row r="29" spans="1:11" x14ac:dyDescent="0.25">
      <c r="A29" s="39" t="s">
        <v>106</v>
      </c>
      <c r="B29" s="39"/>
      <c r="C29" s="39"/>
      <c r="D29" s="40"/>
      <c r="E29" s="143" t="s">
        <v>96</v>
      </c>
      <c r="F29" s="143" t="s">
        <v>97</v>
      </c>
      <c r="G29" s="143" t="s">
        <v>98</v>
      </c>
      <c r="H29" s="143" t="s">
        <v>99</v>
      </c>
      <c r="I29" s="101"/>
      <c r="J29" s="40"/>
      <c r="K29" s="40"/>
    </row>
    <row r="30" spans="1:11" x14ac:dyDescent="0.25">
      <c r="A30" s="125" t="s">
        <v>92</v>
      </c>
      <c r="B30" s="126"/>
      <c r="C30" s="127"/>
      <c r="D30" s="128"/>
      <c r="E30" s="129">
        <v>1.1757125218136175</v>
      </c>
      <c r="F30" s="129">
        <v>1.1129126464165966</v>
      </c>
      <c r="G30" s="129">
        <v>1.050660524730181</v>
      </c>
      <c r="H30" s="129">
        <v>1.014889156509222</v>
      </c>
      <c r="I30" s="130"/>
      <c r="J30" s="128"/>
      <c r="K30" s="128"/>
    </row>
    <row r="31" spans="1:11" x14ac:dyDescent="0.25">
      <c r="B31" s="1"/>
      <c r="D31" s="57"/>
      <c r="I31" s="70"/>
      <c r="J31" s="58"/>
      <c r="K31" s="58"/>
    </row>
    <row r="32" spans="1:11" x14ac:dyDescent="0.25">
      <c r="A32" s="1"/>
      <c r="B32" s="1"/>
      <c r="D32" s="41"/>
      <c r="I32" s="70"/>
      <c r="J32" s="70"/>
      <c r="K32" s="70"/>
    </row>
    <row r="33" spans="1:11" ht="12.75" customHeight="1" x14ac:dyDescent="0.25">
      <c r="A33" s="75"/>
      <c r="B33" s="75"/>
      <c r="C33" s="75"/>
      <c r="D33" s="75"/>
      <c r="E33" s="75"/>
      <c r="F33" s="75"/>
      <c r="G33" s="75"/>
      <c r="H33" s="75"/>
      <c r="I33" s="75"/>
      <c r="J33" s="75"/>
      <c r="K33" s="75"/>
    </row>
    <row r="34" spans="1:11" ht="12.75" customHeight="1" x14ac:dyDescent="0.25"/>
    <row r="35" spans="1:11" ht="12.75" customHeight="1" x14ac:dyDescent="0.25">
      <c r="A35" s="44" t="s">
        <v>32</v>
      </c>
      <c r="C35" s="154" t="s">
        <v>99</v>
      </c>
      <c r="D35" t="s">
        <v>28</v>
      </c>
    </row>
    <row r="36" spans="1:11" ht="12.75" customHeight="1" x14ac:dyDescent="0.25">
      <c r="A36" s="44" t="s">
        <v>33</v>
      </c>
      <c r="C36" s="43" t="str">
        <f>$B$12</f>
        <v>June 2024</v>
      </c>
    </row>
    <row r="37" spans="1:11" ht="12.75" customHeight="1" x14ac:dyDescent="0.25">
      <c r="A37" s="44" t="s">
        <v>34</v>
      </c>
      <c r="C37" s="96">
        <f>INDEX($E$30:$H$30,MATCH($C$36,$E$29:$H$29))</f>
        <v>1.1129126464165966</v>
      </c>
    </row>
    <row r="38" spans="1:11" ht="12.75" customHeight="1" x14ac:dyDescent="0.25"/>
    <row r="39" spans="1:11" ht="12.75" customHeight="1" x14ac:dyDescent="0.25">
      <c r="A39" s="75"/>
      <c r="B39" s="75"/>
      <c r="C39" s="75"/>
      <c r="D39" s="75"/>
      <c r="E39" s="75"/>
      <c r="F39" s="75"/>
      <c r="G39" s="75"/>
      <c r="H39" s="75"/>
      <c r="I39" s="75"/>
      <c r="J39" s="75"/>
      <c r="K39" s="75"/>
    </row>
    <row r="40" spans="1:11" ht="12.75" customHeight="1" x14ac:dyDescent="0.25"/>
    <row r="41" spans="1:11" ht="12.75" customHeight="1" x14ac:dyDescent="0.25">
      <c r="A41" s="44" t="s">
        <v>35</v>
      </c>
      <c r="C41" s="155" t="s">
        <v>36</v>
      </c>
      <c r="D41" t="s">
        <v>100</v>
      </c>
    </row>
    <row r="42" spans="1:11" ht="12.75" customHeight="1" x14ac:dyDescent="0.25">
      <c r="A42" s="44" t="s">
        <v>33</v>
      </c>
      <c r="C42" s="97">
        <v>135.18960020374115</v>
      </c>
      <c r="D42" t="s">
        <v>101</v>
      </c>
    </row>
    <row r="43" spans="1:11" ht="12.75" customHeight="1" x14ac:dyDescent="0.25">
      <c r="A43" s="44" t="s">
        <v>34</v>
      </c>
      <c r="C43" s="98">
        <v>145.77740895836223</v>
      </c>
      <c r="D43" t="s">
        <v>102</v>
      </c>
    </row>
    <row r="44" spans="1:11" ht="12.75" customHeight="1" x14ac:dyDescent="0.25"/>
    <row r="45" spans="1:11" ht="12.75" customHeight="1" x14ac:dyDescent="0.25"/>
    <row r="46" spans="1:11" ht="12.75" customHeight="1" x14ac:dyDescent="0.25"/>
    <row r="47" spans="1:11" ht="12.75" customHeight="1" x14ac:dyDescent="0.25"/>
    <row r="48" spans="1:11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</sheetData>
  <dataValidations count="1">
    <dataValidation type="list" allowBlank="1" showInputMessage="1" showErrorMessage="1" sqref="B12" xr:uid="{F4530B8B-E1E8-402D-B0E6-F53F35029D26}">
      <formula1>$E$29:$F$29</formula1>
    </dataValidation>
  </dataValidation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D6F26E-5845-4C2B-802C-F5BB95486F50}">
  <dimension ref="A1:AA127"/>
  <sheetViews>
    <sheetView showGridLines="0" zoomScale="80" zoomScaleNormal="80" workbookViewId="0">
      <pane ySplit="9" topLeftCell="A10" activePane="bottomLeft" state="frozen"/>
      <selection activeCell="H17" sqref="H17"/>
      <selection pane="bottomLeft" activeCell="H17" sqref="H17"/>
    </sheetView>
  </sheetViews>
  <sheetFormatPr defaultColWidth="9.140625" defaultRowHeight="12.75" x14ac:dyDescent="0.2"/>
  <cols>
    <col min="1" max="1" width="2.28515625" style="1" customWidth="1"/>
    <col min="2" max="2" width="1.5703125" style="1" customWidth="1"/>
    <col min="3" max="3" width="67.7109375" style="1" customWidth="1"/>
    <col min="4" max="4" width="12.7109375" style="1" customWidth="1"/>
    <col min="5" max="5" width="11.140625" style="1" customWidth="1"/>
    <col min="6" max="6" width="13" style="1" customWidth="1"/>
    <col min="7" max="7" width="14.140625" style="1" customWidth="1"/>
    <col min="8" max="8" width="2.85546875" style="1" customWidth="1"/>
    <col min="9" max="9" width="12.140625" style="1" customWidth="1"/>
    <col min="10" max="10" width="12.7109375" style="9" customWidth="1"/>
    <col min="11" max="11" width="2.85546875" style="1" customWidth="1"/>
    <col min="12" max="16" width="12.140625" style="1" customWidth="1"/>
    <col min="17" max="17" width="2.85546875" style="1" customWidth="1"/>
    <col min="18" max="22" width="12.140625" style="1" customWidth="1"/>
    <col min="23" max="23" width="13" style="1" customWidth="1"/>
    <col min="24" max="16384" width="9.140625" style="1"/>
  </cols>
  <sheetData>
    <row r="1" spans="1:27" ht="21" x14ac:dyDescent="0.35">
      <c r="A1" s="63" t="str">
        <f>Project_name</f>
        <v>Property recurrent</v>
      </c>
      <c r="B1" s="14"/>
      <c r="C1" s="11"/>
      <c r="D1" s="11"/>
      <c r="E1" s="11"/>
      <c r="F1" s="11"/>
      <c r="G1" s="11"/>
      <c r="H1" s="11"/>
      <c r="I1" s="11"/>
      <c r="J1" s="12"/>
      <c r="K1" s="11"/>
      <c r="L1" s="11"/>
      <c r="M1" s="11"/>
      <c r="N1" s="11"/>
      <c r="O1" s="11"/>
      <c r="P1" s="11"/>
      <c r="Q1" s="11"/>
      <c r="R1" s="11"/>
      <c r="S1" s="11"/>
      <c r="T1" s="11"/>
      <c r="U1" s="11"/>
      <c r="V1" s="11"/>
    </row>
    <row r="2" spans="1:27" ht="15.75" x14ac:dyDescent="0.25">
      <c r="A2" s="60" t="str">
        <f>Business</f>
        <v>Powercor</v>
      </c>
      <c r="B2" s="13"/>
      <c r="C2" s="11"/>
      <c r="D2" s="11"/>
      <c r="E2" s="11"/>
      <c r="F2" s="11"/>
      <c r="G2" s="11"/>
      <c r="H2" s="11"/>
      <c r="I2" s="11"/>
      <c r="J2" s="12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</row>
    <row r="3" spans="1:27" s="32" customFormat="1" ht="15.75" x14ac:dyDescent="0.25">
      <c r="A3" s="30" t="s">
        <v>4</v>
      </c>
      <c r="B3" s="30"/>
      <c r="C3" s="30"/>
      <c r="D3" s="30"/>
      <c r="E3" s="30"/>
      <c r="F3" s="30"/>
      <c r="G3" s="30"/>
      <c r="H3" s="30"/>
      <c r="I3" s="30"/>
      <c r="J3" s="31"/>
      <c r="K3" s="30"/>
      <c r="L3" s="30"/>
      <c r="M3" s="30"/>
      <c r="N3" s="30"/>
      <c r="O3" s="30"/>
      <c r="P3" s="30"/>
      <c r="Q3" s="30"/>
      <c r="R3" s="13"/>
      <c r="S3" s="11"/>
      <c r="T3" s="29"/>
      <c r="U3" s="29"/>
      <c r="V3" s="29"/>
      <c r="X3" s="48" t="b">
        <f>SUM(X7:X70)=0</f>
        <v>1</v>
      </c>
    </row>
    <row r="4" spans="1:27" ht="12.75" customHeight="1" x14ac:dyDescent="0.25">
      <c r="B4" s="15"/>
      <c r="C4" s="16"/>
      <c r="D4" s="16"/>
      <c r="E4" s="16"/>
      <c r="F4" s="16"/>
      <c r="G4" s="16"/>
      <c r="H4" s="16"/>
      <c r="I4" s="16"/>
      <c r="J4" s="17"/>
      <c r="K4" s="16"/>
      <c r="L4" s="16"/>
      <c r="M4" s="16"/>
      <c r="N4" s="16"/>
      <c r="O4" s="16"/>
      <c r="P4" s="16"/>
      <c r="Q4" s="16"/>
      <c r="R4" s="16"/>
      <c r="S4" s="16"/>
      <c r="T4" s="16"/>
      <c r="U4" s="16"/>
      <c r="V4" s="16"/>
    </row>
    <row r="5" spans="1:27" ht="12.75" customHeight="1" x14ac:dyDescent="0.2">
      <c r="A5" s="1" t="str">
        <f>"Inputs are in $"&amp;Assumptions!$B$12&amp; " unless otherwise stated"</f>
        <v>Inputs are in $June 2024 unless otherwise stated</v>
      </c>
      <c r="B5" s="18"/>
      <c r="C5" s="16"/>
      <c r="D5" s="16"/>
      <c r="E5" s="16"/>
      <c r="F5" s="16"/>
      <c r="G5" s="16"/>
      <c r="H5" s="16"/>
      <c r="I5" s="16"/>
      <c r="J5" s="17"/>
      <c r="K5" s="16"/>
      <c r="L5" s="16"/>
      <c r="M5" s="16"/>
      <c r="N5" s="16"/>
      <c r="O5" s="16"/>
      <c r="P5" s="16"/>
      <c r="Q5" s="16"/>
      <c r="R5" s="16"/>
      <c r="S5" s="16"/>
      <c r="T5" s="16"/>
      <c r="U5" s="16"/>
      <c r="V5" s="16"/>
    </row>
    <row r="6" spans="1:27" ht="12.75" customHeight="1" x14ac:dyDescent="0.2">
      <c r="A6" s="4"/>
      <c r="H6" s="16"/>
    </row>
    <row r="7" spans="1:27" ht="12.75" customHeight="1" x14ac:dyDescent="0.2">
      <c r="A7" s="4"/>
      <c r="C7" s="50" t="s">
        <v>41</v>
      </c>
      <c r="D7" s="65" t="s">
        <v>42</v>
      </c>
      <c r="E7" s="65" t="s">
        <v>43</v>
      </c>
      <c r="F7" s="65" t="s">
        <v>108</v>
      </c>
      <c r="G7" s="111" t="s">
        <v>44</v>
      </c>
      <c r="H7" s="16"/>
      <c r="I7" s="19" t="s">
        <v>11</v>
      </c>
      <c r="J7" s="19" t="s">
        <v>45</v>
      </c>
      <c r="L7" s="19" t="s">
        <v>46</v>
      </c>
      <c r="M7" s="20"/>
      <c r="N7" s="20"/>
      <c r="O7" s="20"/>
      <c r="P7" s="20"/>
      <c r="R7" s="19" t="s">
        <v>47</v>
      </c>
      <c r="S7" s="20"/>
      <c r="T7" s="20"/>
      <c r="U7" s="20"/>
      <c r="V7" s="20"/>
    </row>
    <row r="8" spans="1:27" ht="12.75" customHeight="1" x14ac:dyDescent="0.2">
      <c r="A8" s="4"/>
      <c r="B8" s="4"/>
      <c r="C8" s="100"/>
      <c r="D8" s="100" t="s">
        <v>40</v>
      </c>
      <c r="E8" s="100"/>
      <c r="F8" s="100"/>
      <c r="G8" s="100" t="s">
        <v>48</v>
      </c>
      <c r="H8" s="16"/>
      <c r="I8" s="110" t="s">
        <v>49</v>
      </c>
      <c r="J8" s="100"/>
      <c r="L8" s="51" t="s">
        <v>6</v>
      </c>
      <c r="M8" s="51" t="s">
        <v>7</v>
      </c>
      <c r="N8" s="51" t="s">
        <v>8</v>
      </c>
      <c r="O8" s="51" t="s">
        <v>9</v>
      </c>
      <c r="P8" s="51" t="s">
        <v>10</v>
      </c>
      <c r="R8" s="51" t="s">
        <v>6</v>
      </c>
      <c r="S8" s="51" t="s">
        <v>7</v>
      </c>
      <c r="T8" s="51" t="s">
        <v>8</v>
      </c>
      <c r="U8" s="51" t="s">
        <v>9</v>
      </c>
      <c r="V8" s="51" t="s">
        <v>10</v>
      </c>
    </row>
    <row r="9" spans="1:27" ht="12.75" customHeight="1" x14ac:dyDescent="0.2">
      <c r="H9" s="16"/>
    </row>
    <row r="10" spans="1:27" ht="12.75" customHeight="1" x14ac:dyDescent="0.2">
      <c r="A10" s="4"/>
      <c r="C10" s="81"/>
      <c r="D10" s="82"/>
      <c r="E10" s="82"/>
      <c r="F10" s="82"/>
      <c r="G10" s="80"/>
      <c r="H10" s="2"/>
      <c r="I10" s="64">
        <f>IF($E10="Labour",Assumptions!$B$14,)</f>
        <v>0</v>
      </c>
      <c r="J10" s="9" t="str">
        <f>IF($E10="Labour","Hours","$")</f>
        <v>$</v>
      </c>
      <c r="K10" s="2"/>
      <c r="L10" s="83"/>
      <c r="M10" s="83"/>
      <c r="N10" s="83"/>
      <c r="O10" s="83"/>
      <c r="P10" s="83"/>
      <c r="Q10" s="2"/>
      <c r="R10" s="5">
        <f t="shared" ref="R10:R41" si="0">IF($E10="Labour",$I10*L10,L10)</f>
        <v>0</v>
      </c>
      <c r="S10" s="5">
        <f t="shared" ref="S10:S41" si="1">IF($E10="Labour",$I10*M10,M10)</f>
        <v>0</v>
      </c>
      <c r="T10" s="5">
        <f t="shared" ref="T10:T41" si="2">IF($E10="Labour",$I10*N10,N10)</f>
        <v>0</v>
      </c>
      <c r="U10" s="5">
        <f t="shared" ref="U10:U41" si="3">IF($E10="Labour",$I10*O10,O10)</f>
        <v>0</v>
      </c>
      <c r="V10" s="5">
        <f t="shared" ref="V10:V41" si="4">IF($E10="Labour",$I10*P10,P10)</f>
        <v>0</v>
      </c>
    </row>
    <row r="11" spans="1:27" ht="12.75" customHeight="1" x14ac:dyDescent="0.2">
      <c r="A11" s="4"/>
      <c r="C11" s="81"/>
      <c r="D11" s="82"/>
      <c r="E11" s="82"/>
      <c r="F11" s="82"/>
      <c r="G11" s="80"/>
      <c r="H11" s="2"/>
      <c r="I11" s="64">
        <f>IF($E11="Labour",Assumptions!$B$14,)</f>
        <v>0</v>
      </c>
      <c r="J11" s="9" t="str">
        <f t="shared" ref="J11:J69" si="5">IF($E11="Labour","Hours","$")</f>
        <v>$</v>
      </c>
      <c r="K11" s="2"/>
      <c r="L11" s="83"/>
      <c r="M11" s="83"/>
      <c r="N11" s="83"/>
      <c r="O11" s="83"/>
      <c r="P11" s="83"/>
      <c r="Q11" s="2"/>
      <c r="R11" s="5">
        <f t="shared" si="0"/>
        <v>0</v>
      </c>
      <c r="S11" s="5">
        <f t="shared" si="1"/>
        <v>0</v>
      </c>
      <c r="T11" s="5">
        <f t="shared" si="2"/>
        <v>0</v>
      </c>
      <c r="U11" s="5">
        <f t="shared" si="3"/>
        <v>0</v>
      </c>
      <c r="V11" s="5">
        <f t="shared" si="4"/>
        <v>0</v>
      </c>
    </row>
    <row r="12" spans="1:27" ht="12.75" customHeight="1" x14ac:dyDescent="0.2">
      <c r="A12" s="4"/>
      <c r="C12" s="81"/>
      <c r="D12" s="82"/>
      <c r="E12" s="82"/>
      <c r="F12" s="82"/>
      <c r="G12" s="80"/>
      <c r="H12" s="2"/>
      <c r="I12" s="64">
        <f>IF($E12="Labour",Assumptions!$B$14,)</f>
        <v>0</v>
      </c>
      <c r="J12" s="9" t="str">
        <f t="shared" si="5"/>
        <v>$</v>
      </c>
      <c r="K12" s="2"/>
      <c r="L12" s="83"/>
      <c r="M12" s="83"/>
      <c r="N12" s="83"/>
      <c r="O12" s="83"/>
      <c r="P12" s="83"/>
      <c r="Q12" s="2"/>
      <c r="R12" s="5">
        <f t="shared" si="0"/>
        <v>0</v>
      </c>
      <c r="S12" s="5">
        <f t="shared" si="1"/>
        <v>0</v>
      </c>
      <c r="T12" s="5">
        <f t="shared" si="2"/>
        <v>0</v>
      </c>
      <c r="U12" s="5">
        <f t="shared" si="3"/>
        <v>0</v>
      </c>
      <c r="V12" s="5">
        <f t="shared" si="4"/>
        <v>0</v>
      </c>
    </row>
    <row r="13" spans="1:27" ht="12.75" customHeight="1" x14ac:dyDescent="0.25">
      <c r="A13" s="4"/>
      <c r="C13" s="81"/>
      <c r="D13" s="82"/>
      <c r="E13" s="82"/>
      <c r="F13" s="82"/>
      <c r="G13" s="80"/>
      <c r="H13" s="2"/>
      <c r="I13" s="64">
        <f>IF($E13="Labour",Assumptions!$B$14,)</f>
        <v>0</v>
      </c>
      <c r="J13" s="9" t="str">
        <f t="shared" si="5"/>
        <v>$</v>
      </c>
      <c r="K13" s="2"/>
      <c r="L13" s="83"/>
      <c r="M13" s="83"/>
      <c r="N13" s="83"/>
      <c r="O13" s="83"/>
      <c r="P13" s="83"/>
      <c r="Q13" s="2"/>
      <c r="R13" s="5">
        <f t="shared" si="0"/>
        <v>0</v>
      </c>
      <c r="S13" s="5">
        <f t="shared" si="1"/>
        <v>0</v>
      </c>
      <c r="T13" s="5">
        <f t="shared" si="2"/>
        <v>0</v>
      </c>
      <c r="U13" s="5">
        <f t="shared" si="3"/>
        <v>0</v>
      </c>
      <c r="V13" s="5">
        <f t="shared" si="4"/>
        <v>0</v>
      </c>
      <c r="AA13"/>
    </row>
    <row r="14" spans="1:27" ht="12.75" customHeight="1" x14ac:dyDescent="0.25">
      <c r="A14" s="4"/>
      <c r="C14" s="81"/>
      <c r="D14" s="82"/>
      <c r="E14" s="82"/>
      <c r="F14" s="82"/>
      <c r="G14" s="80"/>
      <c r="H14" s="2"/>
      <c r="I14" s="64">
        <f>IF($E14="Labour",Assumptions!$B$14,)</f>
        <v>0</v>
      </c>
      <c r="J14" s="9" t="str">
        <f t="shared" si="5"/>
        <v>$</v>
      </c>
      <c r="K14" s="2"/>
      <c r="L14" s="83"/>
      <c r="M14" s="83"/>
      <c r="N14" s="83"/>
      <c r="O14" s="83"/>
      <c r="P14" s="83"/>
      <c r="Q14" s="2"/>
      <c r="R14" s="5">
        <f t="shared" si="0"/>
        <v>0</v>
      </c>
      <c r="S14" s="5">
        <f t="shared" si="1"/>
        <v>0</v>
      </c>
      <c r="T14" s="5">
        <f t="shared" si="2"/>
        <v>0</v>
      </c>
      <c r="U14" s="5">
        <f t="shared" si="3"/>
        <v>0</v>
      </c>
      <c r="V14" s="5">
        <f t="shared" si="4"/>
        <v>0</v>
      </c>
      <c r="AA14"/>
    </row>
    <row r="15" spans="1:27" ht="12.75" customHeight="1" x14ac:dyDescent="0.25">
      <c r="A15" s="4"/>
      <c r="C15" s="81"/>
      <c r="D15" s="82"/>
      <c r="E15" s="82"/>
      <c r="F15" s="82"/>
      <c r="G15" s="80"/>
      <c r="H15" s="2"/>
      <c r="I15" s="64">
        <f>IF($E15="Labour",Assumptions!$B$14,)</f>
        <v>0</v>
      </c>
      <c r="J15" s="9" t="str">
        <f t="shared" si="5"/>
        <v>$</v>
      </c>
      <c r="K15" s="2"/>
      <c r="L15" s="83"/>
      <c r="M15" s="83"/>
      <c r="N15" s="83"/>
      <c r="O15" s="83"/>
      <c r="P15" s="83"/>
      <c r="Q15" s="2"/>
      <c r="R15" s="5">
        <f t="shared" si="0"/>
        <v>0</v>
      </c>
      <c r="S15" s="5">
        <f t="shared" si="1"/>
        <v>0</v>
      </c>
      <c r="T15" s="5">
        <f t="shared" si="2"/>
        <v>0</v>
      </c>
      <c r="U15" s="5">
        <f t="shared" si="3"/>
        <v>0</v>
      </c>
      <c r="V15" s="5">
        <f t="shared" si="4"/>
        <v>0</v>
      </c>
      <c r="AA15"/>
    </row>
    <row r="16" spans="1:27" ht="12.75" customHeight="1" x14ac:dyDescent="0.25">
      <c r="A16" s="4"/>
      <c r="C16" s="81"/>
      <c r="D16" s="82"/>
      <c r="E16" s="82"/>
      <c r="F16" s="82"/>
      <c r="G16" s="80"/>
      <c r="H16" s="2"/>
      <c r="I16" s="64">
        <f>IF($E16="Labour",Assumptions!$B$14,)</f>
        <v>0</v>
      </c>
      <c r="J16" s="9" t="str">
        <f t="shared" si="5"/>
        <v>$</v>
      </c>
      <c r="K16" s="2"/>
      <c r="L16" s="83"/>
      <c r="M16" s="83"/>
      <c r="N16" s="83"/>
      <c r="O16" s="83"/>
      <c r="P16" s="83"/>
      <c r="Q16" s="2"/>
      <c r="R16" s="5">
        <f t="shared" si="0"/>
        <v>0</v>
      </c>
      <c r="S16" s="5">
        <f t="shared" si="1"/>
        <v>0</v>
      </c>
      <c r="T16" s="5">
        <f t="shared" si="2"/>
        <v>0</v>
      </c>
      <c r="U16" s="5">
        <f t="shared" si="3"/>
        <v>0</v>
      </c>
      <c r="V16" s="5">
        <f t="shared" si="4"/>
        <v>0</v>
      </c>
      <c r="AA16"/>
    </row>
    <row r="17" spans="1:27" ht="12.75" customHeight="1" x14ac:dyDescent="0.25">
      <c r="A17" s="4"/>
      <c r="C17" s="81"/>
      <c r="D17" s="82"/>
      <c r="E17" s="82"/>
      <c r="F17" s="82"/>
      <c r="G17" s="80"/>
      <c r="H17" s="2"/>
      <c r="I17" s="64">
        <f>IF($E17="Labour",Assumptions!$B$14,)</f>
        <v>0</v>
      </c>
      <c r="J17" s="9" t="str">
        <f t="shared" si="5"/>
        <v>$</v>
      </c>
      <c r="K17" s="2"/>
      <c r="L17" s="83"/>
      <c r="M17" s="83"/>
      <c r="N17" s="83"/>
      <c r="O17" s="83"/>
      <c r="P17" s="83"/>
      <c r="Q17" s="2"/>
      <c r="R17" s="5">
        <f t="shared" si="0"/>
        <v>0</v>
      </c>
      <c r="S17" s="5">
        <f t="shared" si="1"/>
        <v>0</v>
      </c>
      <c r="T17" s="5">
        <f t="shared" si="2"/>
        <v>0</v>
      </c>
      <c r="U17" s="5">
        <f t="shared" si="3"/>
        <v>0</v>
      </c>
      <c r="V17" s="5">
        <f t="shared" si="4"/>
        <v>0</v>
      </c>
      <c r="AA17"/>
    </row>
    <row r="18" spans="1:27" ht="12.75" customHeight="1" x14ac:dyDescent="0.25">
      <c r="A18" s="4"/>
      <c r="C18" s="81"/>
      <c r="D18" s="82"/>
      <c r="E18" s="82"/>
      <c r="F18" s="82"/>
      <c r="G18" s="80"/>
      <c r="H18" s="2"/>
      <c r="I18" s="64">
        <f>IF($E18="Labour",Assumptions!$B$14,)</f>
        <v>0</v>
      </c>
      <c r="J18" s="9" t="str">
        <f t="shared" si="5"/>
        <v>$</v>
      </c>
      <c r="K18" s="2"/>
      <c r="L18" s="83"/>
      <c r="M18" s="83"/>
      <c r="N18" s="83"/>
      <c r="O18" s="83"/>
      <c r="P18" s="83"/>
      <c r="Q18" s="2"/>
      <c r="R18" s="5">
        <f t="shared" si="0"/>
        <v>0</v>
      </c>
      <c r="S18" s="5">
        <f t="shared" si="1"/>
        <v>0</v>
      </c>
      <c r="T18" s="5">
        <f t="shared" si="2"/>
        <v>0</v>
      </c>
      <c r="U18" s="5">
        <f t="shared" si="3"/>
        <v>0</v>
      </c>
      <c r="V18" s="5">
        <f t="shared" si="4"/>
        <v>0</v>
      </c>
      <c r="AA18"/>
    </row>
    <row r="19" spans="1:27" ht="12.75" customHeight="1" x14ac:dyDescent="0.25">
      <c r="A19" s="4"/>
      <c r="C19" s="81"/>
      <c r="D19" s="82"/>
      <c r="E19" s="82"/>
      <c r="F19" s="82"/>
      <c r="G19" s="80"/>
      <c r="H19" s="2"/>
      <c r="I19" s="64">
        <f>IF($E19="Labour",Assumptions!$B$14,)</f>
        <v>0</v>
      </c>
      <c r="J19" s="9" t="str">
        <f t="shared" si="5"/>
        <v>$</v>
      </c>
      <c r="K19" s="2"/>
      <c r="L19" s="83"/>
      <c r="M19" s="83"/>
      <c r="N19" s="83"/>
      <c r="O19" s="83"/>
      <c r="P19" s="83"/>
      <c r="Q19" s="2"/>
      <c r="R19" s="5">
        <f t="shared" si="0"/>
        <v>0</v>
      </c>
      <c r="S19" s="5">
        <f t="shared" si="1"/>
        <v>0</v>
      </c>
      <c r="T19" s="5">
        <f t="shared" si="2"/>
        <v>0</v>
      </c>
      <c r="U19" s="5">
        <f t="shared" si="3"/>
        <v>0</v>
      </c>
      <c r="V19" s="5">
        <f t="shared" si="4"/>
        <v>0</v>
      </c>
      <c r="AA19"/>
    </row>
    <row r="20" spans="1:27" ht="12.75" customHeight="1" x14ac:dyDescent="0.25">
      <c r="A20" s="4"/>
      <c r="C20" s="81"/>
      <c r="D20" s="82"/>
      <c r="E20" s="82"/>
      <c r="F20" s="82"/>
      <c r="G20" s="80"/>
      <c r="H20" s="2"/>
      <c r="I20" s="64">
        <f>IF($E20="Labour",Assumptions!$B$14,)</f>
        <v>0</v>
      </c>
      <c r="J20" s="9" t="str">
        <f t="shared" si="5"/>
        <v>$</v>
      </c>
      <c r="K20" s="2"/>
      <c r="L20" s="83"/>
      <c r="M20" s="83"/>
      <c r="N20" s="83"/>
      <c r="O20" s="83"/>
      <c r="P20" s="83"/>
      <c r="Q20" s="2"/>
      <c r="R20" s="5">
        <f t="shared" si="0"/>
        <v>0</v>
      </c>
      <c r="S20" s="5">
        <f t="shared" si="1"/>
        <v>0</v>
      </c>
      <c r="T20" s="5">
        <f t="shared" si="2"/>
        <v>0</v>
      </c>
      <c r="U20" s="5">
        <f t="shared" si="3"/>
        <v>0</v>
      </c>
      <c r="V20" s="5">
        <f t="shared" si="4"/>
        <v>0</v>
      </c>
      <c r="AA20"/>
    </row>
    <row r="21" spans="1:27" ht="12.75" customHeight="1" x14ac:dyDescent="0.25">
      <c r="A21" s="4"/>
      <c r="C21" s="81"/>
      <c r="D21" s="82"/>
      <c r="E21" s="82"/>
      <c r="F21" s="82"/>
      <c r="G21" s="80"/>
      <c r="H21" s="2"/>
      <c r="I21" s="64">
        <f>IF($E21="Labour",Assumptions!$B$14,)</f>
        <v>0</v>
      </c>
      <c r="J21" s="9" t="str">
        <f t="shared" si="5"/>
        <v>$</v>
      </c>
      <c r="K21" s="2"/>
      <c r="L21" s="83"/>
      <c r="M21" s="83"/>
      <c r="N21" s="83"/>
      <c r="O21" s="83"/>
      <c r="P21" s="83"/>
      <c r="Q21" s="2"/>
      <c r="R21" s="5">
        <f t="shared" si="0"/>
        <v>0</v>
      </c>
      <c r="S21" s="5">
        <f t="shared" si="1"/>
        <v>0</v>
      </c>
      <c r="T21" s="5">
        <f t="shared" si="2"/>
        <v>0</v>
      </c>
      <c r="U21" s="5">
        <f t="shared" si="3"/>
        <v>0</v>
      </c>
      <c r="V21" s="5">
        <f t="shared" si="4"/>
        <v>0</v>
      </c>
      <c r="AA21"/>
    </row>
    <row r="22" spans="1:27" ht="12.75" customHeight="1" x14ac:dyDescent="0.25">
      <c r="A22" s="4"/>
      <c r="C22" s="81"/>
      <c r="D22" s="82"/>
      <c r="E22" s="82"/>
      <c r="F22" s="82"/>
      <c r="G22" s="80"/>
      <c r="H22" s="2"/>
      <c r="I22" s="64">
        <f>IF($E22="Labour",Assumptions!$B$14,)</f>
        <v>0</v>
      </c>
      <c r="J22" s="9" t="str">
        <f t="shared" si="5"/>
        <v>$</v>
      </c>
      <c r="K22" s="2"/>
      <c r="L22" s="83"/>
      <c r="M22" s="83"/>
      <c r="N22" s="83"/>
      <c r="O22" s="83"/>
      <c r="P22" s="83"/>
      <c r="Q22" s="2"/>
      <c r="R22" s="5">
        <f t="shared" si="0"/>
        <v>0</v>
      </c>
      <c r="S22" s="5">
        <f t="shared" si="1"/>
        <v>0</v>
      </c>
      <c r="T22" s="5">
        <f t="shared" si="2"/>
        <v>0</v>
      </c>
      <c r="U22" s="5">
        <f t="shared" si="3"/>
        <v>0</v>
      </c>
      <c r="V22" s="5">
        <f t="shared" si="4"/>
        <v>0</v>
      </c>
      <c r="AA22"/>
    </row>
    <row r="23" spans="1:27" ht="12.75" customHeight="1" x14ac:dyDescent="0.25">
      <c r="A23" s="4"/>
      <c r="C23" s="81"/>
      <c r="D23" s="82"/>
      <c r="E23" s="82"/>
      <c r="F23" s="82"/>
      <c r="G23" s="80"/>
      <c r="H23" s="2"/>
      <c r="I23" s="64">
        <f>IF($E23="Labour",Assumptions!$B$14,)</f>
        <v>0</v>
      </c>
      <c r="J23" s="9" t="str">
        <f t="shared" si="5"/>
        <v>$</v>
      </c>
      <c r="K23" s="2"/>
      <c r="L23" s="83"/>
      <c r="M23" s="83"/>
      <c r="N23" s="83"/>
      <c r="O23" s="83"/>
      <c r="P23" s="83"/>
      <c r="Q23" s="2"/>
      <c r="R23" s="5">
        <f t="shared" si="0"/>
        <v>0</v>
      </c>
      <c r="S23" s="5">
        <f t="shared" si="1"/>
        <v>0</v>
      </c>
      <c r="T23" s="5">
        <f t="shared" si="2"/>
        <v>0</v>
      </c>
      <c r="U23" s="5">
        <f t="shared" si="3"/>
        <v>0</v>
      </c>
      <c r="V23" s="5">
        <f t="shared" si="4"/>
        <v>0</v>
      </c>
      <c r="AA23"/>
    </row>
    <row r="24" spans="1:27" ht="12.75" customHeight="1" x14ac:dyDescent="0.25">
      <c r="A24" s="4"/>
      <c r="C24" s="81"/>
      <c r="D24" s="82"/>
      <c r="E24" s="82"/>
      <c r="F24" s="82"/>
      <c r="G24" s="80"/>
      <c r="H24" s="2"/>
      <c r="I24" s="64">
        <f>IF($E24="Labour",Assumptions!$B$14,)</f>
        <v>0</v>
      </c>
      <c r="J24" s="9" t="str">
        <f t="shared" si="5"/>
        <v>$</v>
      </c>
      <c r="K24" s="2"/>
      <c r="L24" s="83"/>
      <c r="M24" s="83"/>
      <c r="N24" s="83"/>
      <c r="O24" s="83"/>
      <c r="P24" s="83"/>
      <c r="Q24" s="2"/>
      <c r="R24" s="5">
        <f t="shared" si="0"/>
        <v>0</v>
      </c>
      <c r="S24" s="5">
        <f t="shared" si="1"/>
        <v>0</v>
      </c>
      <c r="T24" s="5">
        <f t="shared" si="2"/>
        <v>0</v>
      </c>
      <c r="U24" s="5">
        <f t="shared" si="3"/>
        <v>0</v>
      </c>
      <c r="V24" s="5">
        <f t="shared" si="4"/>
        <v>0</v>
      </c>
      <c r="AA24"/>
    </row>
    <row r="25" spans="1:27" ht="12.75" customHeight="1" x14ac:dyDescent="0.25">
      <c r="A25" s="4"/>
      <c r="C25" s="81"/>
      <c r="D25" s="82"/>
      <c r="E25" s="82"/>
      <c r="F25" s="82"/>
      <c r="G25" s="80"/>
      <c r="H25" s="2"/>
      <c r="I25" s="64">
        <f>IF($E25="Labour",Assumptions!$B$14,)</f>
        <v>0</v>
      </c>
      <c r="J25" s="9" t="str">
        <f t="shared" si="5"/>
        <v>$</v>
      </c>
      <c r="K25" s="2"/>
      <c r="L25" s="83"/>
      <c r="M25" s="83"/>
      <c r="N25" s="83"/>
      <c r="O25" s="83"/>
      <c r="P25" s="83"/>
      <c r="Q25" s="2"/>
      <c r="R25" s="5">
        <f t="shared" si="0"/>
        <v>0</v>
      </c>
      <c r="S25" s="5">
        <f t="shared" si="1"/>
        <v>0</v>
      </c>
      <c r="T25" s="5">
        <f t="shared" si="2"/>
        <v>0</v>
      </c>
      <c r="U25" s="5">
        <f t="shared" si="3"/>
        <v>0</v>
      </c>
      <c r="V25" s="5">
        <f t="shared" si="4"/>
        <v>0</v>
      </c>
      <c r="AA25"/>
    </row>
    <row r="26" spans="1:27" ht="12.75" customHeight="1" x14ac:dyDescent="0.25">
      <c r="A26" s="4"/>
      <c r="C26" s="81"/>
      <c r="D26" s="82"/>
      <c r="E26" s="82"/>
      <c r="F26" s="82"/>
      <c r="G26" s="80"/>
      <c r="H26" s="2"/>
      <c r="I26" s="64">
        <f>IF($E26="Labour",Assumptions!$B$14,)</f>
        <v>0</v>
      </c>
      <c r="J26" s="9" t="str">
        <f t="shared" si="5"/>
        <v>$</v>
      </c>
      <c r="K26" s="2"/>
      <c r="L26" s="83"/>
      <c r="M26" s="83"/>
      <c r="N26" s="83"/>
      <c r="O26" s="83"/>
      <c r="P26" s="83"/>
      <c r="Q26" s="2"/>
      <c r="R26" s="5">
        <f t="shared" si="0"/>
        <v>0</v>
      </c>
      <c r="S26" s="5">
        <f t="shared" si="1"/>
        <v>0</v>
      </c>
      <c r="T26" s="5">
        <f t="shared" si="2"/>
        <v>0</v>
      </c>
      <c r="U26" s="5">
        <f t="shared" si="3"/>
        <v>0</v>
      </c>
      <c r="V26" s="5">
        <f t="shared" si="4"/>
        <v>0</v>
      </c>
      <c r="AA26"/>
    </row>
    <row r="27" spans="1:27" ht="12.75" customHeight="1" x14ac:dyDescent="0.25">
      <c r="A27" s="4"/>
      <c r="C27" s="81"/>
      <c r="D27" s="82"/>
      <c r="E27" s="82"/>
      <c r="F27" s="82"/>
      <c r="G27" s="80"/>
      <c r="H27" s="2"/>
      <c r="I27" s="64">
        <f>IF($E27="Labour",Assumptions!$B$14,)</f>
        <v>0</v>
      </c>
      <c r="J27" s="9" t="str">
        <f t="shared" si="5"/>
        <v>$</v>
      </c>
      <c r="K27" s="2"/>
      <c r="L27" s="83"/>
      <c r="M27" s="83"/>
      <c r="N27" s="83"/>
      <c r="O27" s="83"/>
      <c r="P27" s="83"/>
      <c r="Q27" s="2"/>
      <c r="R27" s="5">
        <f t="shared" si="0"/>
        <v>0</v>
      </c>
      <c r="S27" s="5">
        <f t="shared" si="1"/>
        <v>0</v>
      </c>
      <c r="T27" s="5">
        <f t="shared" si="2"/>
        <v>0</v>
      </c>
      <c r="U27" s="5">
        <f t="shared" si="3"/>
        <v>0</v>
      </c>
      <c r="V27" s="5">
        <f t="shared" si="4"/>
        <v>0</v>
      </c>
      <c r="AA27"/>
    </row>
    <row r="28" spans="1:27" ht="12.75" customHeight="1" x14ac:dyDescent="0.25">
      <c r="A28" s="4"/>
      <c r="C28" s="81"/>
      <c r="D28" s="82"/>
      <c r="E28" s="82"/>
      <c r="F28" s="82"/>
      <c r="G28" s="80"/>
      <c r="H28" s="2"/>
      <c r="I28" s="64">
        <f>IF($E28="Labour",Assumptions!$B$14,)</f>
        <v>0</v>
      </c>
      <c r="J28" s="9" t="str">
        <f t="shared" si="5"/>
        <v>$</v>
      </c>
      <c r="K28" s="2"/>
      <c r="L28" s="83"/>
      <c r="M28" s="83"/>
      <c r="N28" s="83"/>
      <c r="O28" s="83"/>
      <c r="P28" s="83"/>
      <c r="Q28" s="2"/>
      <c r="R28" s="5">
        <f t="shared" si="0"/>
        <v>0</v>
      </c>
      <c r="S28" s="5">
        <f t="shared" si="1"/>
        <v>0</v>
      </c>
      <c r="T28" s="5">
        <f t="shared" si="2"/>
        <v>0</v>
      </c>
      <c r="U28" s="5">
        <f t="shared" si="3"/>
        <v>0</v>
      </c>
      <c r="V28" s="5">
        <f t="shared" si="4"/>
        <v>0</v>
      </c>
      <c r="AA28"/>
    </row>
    <row r="29" spans="1:27" ht="12.75" customHeight="1" x14ac:dyDescent="0.25">
      <c r="A29" s="4"/>
      <c r="C29" s="81"/>
      <c r="D29" s="82"/>
      <c r="E29" s="82"/>
      <c r="F29" s="82"/>
      <c r="G29" s="80"/>
      <c r="H29" s="2"/>
      <c r="I29" s="64">
        <f>IF($E29="Labour",Assumptions!$B$14,)</f>
        <v>0</v>
      </c>
      <c r="J29" s="9" t="str">
        <f t="shared" si="5"/>
        <v>$</v>
      </c>
      <c r="K29" s="2"/>
      <c r="L29" s="83"/>
      <c r="M29" s="83"/>
      <c r="N29" s="83"/>
      <c r="O29" s="83"/>
      <c r="P29" s="83"/>
      <c r="Q29" s="2"/>
      <c r="R29" s="5">
        <f t="shared" si="0"/>
        <v>0</v>
      </c>
      <c r="S29" s="5">
        <f t="shared" si="1"/>
        <v>0</v>
      </c>
      <c r="T29" s="5">
        <f t="shared" si="2"/>
        <v>0</v>
      </c>
      <c r="U29" s="5">
        <f t="shared" si="3"/>
        <v>0</v>
      </c>
      <c r="V29" s="5">
        <f t="shared" si="4"/>
        <v>0</v>
      </c>
      <c r="AA29"/>
    </row>
    <row r="30" spans="1:27" ht="12.75" customHeight="1" x14ac:dyDescent="0.25">
      <c r="A30" s="4"/>
      <c r="C30" s="81"/>
      <c r="D30" s="82"/>
      <c r="E30" s="82"/>
      <c r="F30" s="82"/>
      <c r="G30" s="80"/>
      <c r="H30" s="2"/>
      <c r="I30" s="64">
        <f>IF($E30="Labour",Assumptions!$B$14,)</f>
        <v>0</v>
      </c>
      <c r="J30" s="9" t="str">
        <f t="shared" si="5"/>
        <v>$</v>
      </c>
      <c r="K30" s="2"/>
      <c r="L30" s="83"/>
      <c r="M30" s="83"/>
      <c r="N30" s="83"/>
      <c r="O30" s="83"/>
      <c r="P30" s="83"/>
      <c r="Q30" s="2"/>
      <c r="R30" s="5">
        <f t="shared" si="0"/>
        <v>0</v>
      </c>
      <c r="S30" s="5">
        <f t="shared" si="1"/>
        <v>0</v>
      </c>
      <c r="T30" s="5">
        <f t="shared" si="2"/>
        <v>0</v>
      </c>
      <c r="U30" s="5">
        <f t="shared" si="3"/>
        <v>0</v>
      </c>
      <c r="V30" s="5">
        <f t="shared" si="4"/>
        <v>0</v>
      </c>
      <c r="AA30"/>
    </row>
    <row r="31" spans="1:27" ht="12.75" customHeight="1" x14ac:dyDescent="0.25">
      <c r="A31" s="4"/>
      <c r="C31" s="81"/>
      <c r="D31" s="82"/>
      <c r="E31" s="82"/>
      <c r="F31" s="82"/>
      <c r="G31" s="80"/>
      <c r="H31" s="2"/>
      <c r="I31" s="64">
        <f>IF($E31="Labour",Assumptions!$B$14,)</f>
        <v>0</v>
      </c>
      <c r="J31" s="9" t="str">
        <f t="shared" si="5"/>
        <v>$</v>
      </c>
      <c r="K31" s="2"/>
      <c r="L31" s="83"/>
      <c r="M31" s="83"/>
      <c r="N31" s="83"/>
      <c r="O31" s="83"/>
      <c r="P31" s="83"/>
      <c r="Q31" s="2"/>
      <c r="R31" s="5">
        <f t="shared" si="0"/>
        <v>0</v>
      </c>
      <c r="S31" s="5">
        <f t="shared" si="1"/>
        <v>0</v>
      </c>
      <c r="T31" s="5">
        <f t="shared" si="2"/>
        <v>0</v>
      </c>
      <c r="U31" s="5">
        <f t="shared" si="3"/>
        <v>0</v>
      </c>
      <c r="V31" s="5">
        <f t="shared" si="4"/>
        <v>0</v>
      </c>
      <c r="AA31"/>
    </row>
    <row r="32" spans="1:27" ht="12.75" customHeight="1" x14ac:dyDescent="0.25">
      <c r="A32" s="4"/>
      <c r="C32" s="81"/>
      <c r="D32" s="82"/>
      <c r="E32" s="82"/>
      <c r="F32" s="82"/>
      <c r="G32" s="80"/>
      <c r="H32" s="2"/>
      <c r="I32" s="64">
        <f>IF($E32="Labour",Assumptions!$B$14,)</f>
        <v>0</v>
      </c>
      <c r="J32" s="9" t="str">
        <f t="shared" si="5"/>
        <v>$</v>
      </c>
      <c r="K32" s="2"/>
      <c r="L32" s="83"/>
      <c r="M32" s="83"/>
      <c r="N32" s="83"/>
      <c r="O32" s="83"/>
      <c r="P32" s="83"/>
      <c r="Q32" s="2"/>
      <c r="R32" s="5">
        <f t="shared" si="0"/>
        <v>0</v>
      </c>
      <c r="S32" s="5">
        <f t="shared" si="1"/>
        <v>0</v>
      </c>
      <c r="T32" s="5">
        <f t="shared" si="2"/>
        <v>0</v>
      </c>
      <c r="U32" s="5">
        <f t="shared" si="3"/>
        <v>0</v>
      </c>
      <c r="V32" s="5">
        <f t="shared" si="4"/>
        <v>0</v>
      </c>
      <c r="AA32"/>
    </row>
    <row r="33" spans="1:27" ht="12.75" customHeight="1" x14ac:dyDescent="0.25">
      <c r="A33" s="4"/>
      <c r="C33" s="81"/>
      <c r="D33" s="82"/>
      <c r="E33" s="82"/>
      <c r="F33" s="82"/>
      <c r="G33" s="80"/>
      <c r="H33" s="2"/>
      <c r="I33" s="64">
        <f>IF($E33="Labour",Assumptions!$B$14,)</f>
        <v>0</v>
      </c>
      <c r="J33" s="9" t="str">
        <f t="shared" si="5"/>
        <v>$</v>
      </c>
      <c r="K33" s="2"/>
      <c r="L33" s="83"/>
      <c r="M33" s="83"/>
      <c r="N33" s="83"/>
      <c r="O33" s="83"/>
      <c r="P33" s="83"/>
      <c r="Q33" s="2"/>
      <c r="R33" s="5">
        <f t="shared" si="0"/>
        <v>0</v>
      </c>
      <c r="S33" s="5">
        <f t="shared" si="1"/>
        <v>0</v>
      </c>
      <c r="T33" s="5">
        <f t="shared" si="2"/>
        <v>0</v>
      </c>
      <c r="U33" s="5">
        <f t="shared" si="3"/>
        <v>0</v>
      </c>
      <c r="V33" s="5">
        <f t="shared" si="4"/>
        <v>0</v>
      </c>
      <c r="AA33"/>
    </row>
    <row r="34" spans="1:27" ht="12.75" customHeight="1" x14ac:dyDescent="0.25">
      <c r="A34" s="4"/>
      <c r="C34" s="81"/>
      <c r="D34" s="82"/>
      <c r="E34" s="82"/>
      <c r="F34" s="82"/>
      <c r="G34" s="80"/>
      <c r="H34" s="2"/>
      <c r="I34" s="64">
        <f>IF($E34="Labour",Assumptions!$B$14,)</f>
        <v>0</v>
      </c>
      <c r="J34" s="9" t="str">
        <f t="shared" si="5"/>
        <v>$</v>
      </c>
      <c r="K34" s="2"/>
      <c r="L34" s="83"/>
      <c r="M34" s="83"/>
      <c r="N34" s="83"/>
      <c r="O34" s="83"/>
      <c r="P34" s="83"/>
      <c r="Q34" s="2"/>
      <c r="R34" s="5">
        <f t="shared" si="0"/>
        <v>0</v>
      </c>
      <c r="S34" s="5">
        <f t="shared" si="1"/>
        <v>0</v>
      </c>
      <c r="T34" s="5">
        <f t="shared" si="2"/>
        <v>0</v>
      </c>
      <c r="U34" s="5">
        <f t="shared" si="3"/>
        <v>0</v>
      </c>
      <c r="V34" s="5">
        <f t="shared" si="4"/>
        <v>0</v>
      </c>
      <c r="AA34"/>
    </row>
    <row r="35" spans="1:27" ht="12.75" customHeight="1" x14ac:dyDescent="0.25">
      <c r="A35" s="4"/>
      <c r="C35" s="81"/>
      <c r="D35" s="82"/>
      <c r="E35" s="82"/>
      <c r="F35" s="82"/>
      <c r="G35" s="80"/>
      <c r="H35" s="2"/>
      <c r="I35" s="64">
        <f>IF($E35="Labour",Assumptions!$B$14,)</f>
        <v>0</v>
      </c>
      <c r="J35" s="9" t="str">
        <f t="shared" si="5"/>
        <v>$</v>
      </c>
      <c r="K35" s="2"/>
      <c r="L35" s="83"/>
      <c r="M35" s="83"/>
      <c r="N35" s="83"/>
      <c r="O35" s="83"/>
      <c r="P35" s="83"/>
      <c r="Q35" s="2"/>
      <c r="R35" s="5">
        <f t="shared" si="0"/>
        <v>0</v>
      </c>
      <c r="S35" s="5">
        <f t="shared" si="1"/>
        <v>0</v>
      </c>
      <c r="T35" s="5">
        <f t="shared" si="2"/>
        <v>0</v>
      </c>
      <c r="U35" s="5">
        <f t="shared" si="3"/>
        <v>0</v>
      </c>
      <c r="V35" s="5">
        <f t="shared" si="4"/>
        <v>0</v>
      </c>
      <c r="AA35"/>
    </row>
    <row r="36" spans="1:27" ht="12.75" customHeight="1" x14ac:dyDescent="0.25">
      <c r="A36" s="4"/>
      <c r="C36" s="81"/>
      <c r="D36" s="82"/>
      <c r="E36" s="82"/>
      <c r="F36" s="82"/>
      <c r="G36" s="80"/>
      <c r="H36" s="2"/>
      <c r="I36" s="64">
        <f>IF($E36="Labour",Assumptions!$B$14,)</f>
        <v>0</v>
      </c>
      <c r="J36" s="9" t="str">
        <f t="shared" si="5"/>
        <v>$</v>
      </c>
      <c r="K36" s="2"/>
      <c r="L36" s="83"/>
      <c r="M36" s="83"/>
      <c r="N36" s="83"/>
      <c r="O36" s="83"/>
      <c r="P36" s="83"/>
      <c r="Q36" s="2"/>
      <c r="R36" s="5">
        <f t="shared" si="0"/>
        <v>0</v>
      </c>
      <c r="S36" s="5">
        <f t="shared" si="1"/>
        <v>0</v>
      </c>
      <c r="T36" s="5">
        <f t="shared" si="2"/>
        <v>0</v>
      </c>
      <c r="U36" s="5">
        <f t="shared" si="3"/>
        <v>0</v>
      </c>
      <c r="V36" s="5">
        <f t="shared" si="4"/>
        <v>0</v>
      </c>
      <c r="AA36"/>
    </row>
    <row r="37" spans="1:27" ht="12.75" customHeight="1" x14ac:dyDescent="0.25">
      <c r="A37" s="4"/>
      <c r="C37" s="81"/>
      <c r="D37" s="82"/>
      <c r="E37" s="82"/>
      <c r="F37" s="82"/>
      <c r="G37" s="80"/>
      <c r="H37" s="2"/>
      <c r="I37" s="64">
        <f>IF($E37="Labour",Assumptions!$B$14,)</f>
        <v>0</v>
      </c>
      <c r="J37" s="9" t="str">
        <f t="shared" si="5"/>
        <v>$</v>
      </c>
      <c r="K37" s="2"/>
      <c r="L37" s="83"/>
      <c r="M37" s="83"/>
      <c r="N37" s="83"/>
      <c r="O37" s="83"/>
      <c r="P37" s="83"/>
      <c r="Q37" s="2"/>
      <c r="R37" s="5">
        <f t="shared" si="0"/>
        <v>0</v>
      </c>
      <c r="S37" s="5">
        <f t="shared" si="1"/>
        <v>0</v>
      </c>
      <c r="T37" s="5">
        <f t="shared" si="2"/>
        <v>0</v>
      </c>
      <c r="U37" s="5">
        <f t="shared" si="3"/>
        <v>0</v>
      </c>
      <c r="V37" s="5">
        <f t="shared" si="4"/>
        <v>0</v>
      </c>
      <c r="AA37"/>
    </row>
    <row r="38" spans="1:27" ht="12.75" customHeight="1" x14ac:dyDescent="0.25">
      <c r="A38" s="4"/>
      <c r="C38" s="81"/>
      <c r="D38" s="82"/>
      <c r="E38" s="82"/>
      <c r="F38" s="82"/>
      <c r="G38" s="80"/>
      <c r="H38" s="2"/>
      <c r="I38" s="64">
        <f>IF($E38="Labour",Assumptions!$B$14,)</f>
        <v>0</v>
      </c>
      <c r="J38" s="9" t="str">
        <f t="shared" si="5"/>
        <v>$</v>
      </c>
      <c r="K38" s="2"/>
      <c r="L38" s="83"/>
      <c r="M38" s="83"/>
      <c r="N38" s="83"/>
      <c r="O38" s="83"/>
      <c r="P38" s="83"/>
      <c r="Q38" s="2"/>
      <c r="R38" s="5">
        <f t="shared" si="0"/>
        <v>0</v>
      </c>
      <c r="S38" s="5">
        <f t="shared" si="1"/>
        <v>0</v>
      </c>
      <c r="T38" s="5">
        <f t="shared" si="2"/>
        <v>0</v>
      </c>
      <c r="U38" s="5">
        <f t="shared" si="3"/>
        <v>0</v>
      </c>
      <c r="V38" s="5">
        <f t="shared" si="4"/>
        <v>0</v>
      </c>
      <c r="AA38"/>
    </row>
    <row r="39" spans="1:27" ht="12.75" customHeight="1" x14ac:dyDescent="0.25">
      <c r="A39" s="4"/>
      <c r="C39" s="81"/>
      <c r="D39" s="82"/>
      <c r="E39" s="82"/>
      <c r="F39" s="82"/>
      <c r="G39" s="80"/>
      <c r="H39" s="2"/>
      <c r="I39" s="64">
        <f>IF($E39="Labour",Assumptions!$B$14,)</f>
        <v>0</v>
      </c>
      <c r="J39" s="9" t="str">
        <f t="shared" si="5"/>
        <v>$</v>
      </c>
      <c r="K39" s="2"/>
      <c r="L39" s="83"/>
      <c r="M39" s="83"/>
      <c r="N39" s="83"/>
      <c r="O39" s="83"/>
      <c r="P39" s="83"/>
      <c r="Q39" s="2"/>
      <c r="R39" s="5">
        <f t="shared" si="0"/>
        <v>0</v>
      </c>
      <c r="S39" s="5">
        <f t="shared" si="1"/>
        <v>0</v>
      </c>
      <c r="T39" s="5">
        <f t="shared" si="2"/>
        <v>0</v>
      </c>
      <c r="U39" s="5">
        <f t="shared" si="3"/>
        <v>0</v>
      </c>
      <c r="V39" s="5">
        <f t="shared" si="4"/>
        <v>0</v>
      </c>
      <c r="AA39"/>
    </row>
    <row r="40" spans="1:27" ht="12.75" customHeight="1" x14ac:dyDescent="0.25">
      <c r="A40" s="4"/>
      <c r="C40" s="81"/>
      <c r="D40" s="82"/>
      <c r="E40" s="82"/>
      <c r="F40" s="82"/>
      <c r="G40" s="80"/>
      <c r="H40" s="2"/>
      <c r="I40" s="64">
        <f>IF($E40="Labour",Assumptions!$B$14,)</f>
        <v>0</v>
      </c>
      <c r="J40" s="9" t="str">
        <f t="shared" si="5"/>
        <v>$</v>
      </c>
      <c r="K40" s="2"/>
      <c r="L40" s="83"/>
      <c r="M40" s="83"/>
      <c r="N40" s="83"/>
      <c r="O40" s="83"/>
      <c r="P40" s="83"/>
      <c r="Q40" s="2"/>
      <c r="R40" s="5">
        <f t="shared" si="0"/>
        <v>0</v>
      </c>
      <c r="S40" s="5">
        <f t="shared" si="1"/>
        <v>0</v>
      </c>
      <c r="T40" s="5">
        <f t="shared" si="2"/>
        <v>0</v>
      </c>
      <c r="U40" s="5">
        <f t="shared" si="3"/>
        <v>0</v>
      </c>
      <c r="V40" s="5">
        <f t="shared" si="4"/>
        <v>0</v>
      </c>
      <c r="AA40"/>
    </row>
    <row r="41" spans="1:27" ht="12.75" customHeight="1" x14ac:dyDescent="0.25">
      <c r="A41" s="4"/>
      <c r="C41" s="81"/>
      <c r="D41" s="82"/>
      <c r="E41" s="82"/>
      <c r="F41" s="82"/>
      <c r="G41" s="80"/>
      <c r="H41" s="2"/>
      <c r="I41" s="64">
        <f>IF($E41="Labour",Assumptions!$B$14,)</f>
        <v>0</v>
      </c>
      <c r="J41" s="9" t="str">
        <f t="shared" si="5"/>
        <v>$</v>
      </c>
      <c r="K41" s="2"/>
      <c r="L41" s="83"/>
      <c r="M41" s="83"/>
      <c r="N41" s="83"/>
      <c r="O41" s="83"/>
      <c r="P41" s="83"/>
      <c r="Q41" s="2"/>
      <c r="R41" s="5">
        <f t="shared" si="0"/>
        <v>0</v>
      </c>
      <c r="S41" s="5">
        <f t="shared" si="1"/>
        <v>0</v>
      </c>
      <c r="T41" s="5">
        <f t="shared" si="2"/>
        <v>0</v>
      </c>
      <c r="U41" s="5">
        <f t="shared" si="3"/>
        <v>0</v>
      </c>
      <c r="V41" s="5">
        <f t="shared" si="4"/>
        <v>0</v>
      </c>
      <c r="AA41"/>
    </row>
    <row r="42" spans="1:27" ht="12.75" customHeight="1" x14ac:dyDescent="0.25">
      <c r="A42" s="4"/>
      <c r="C42" s="81"/>
      <c r="D42" s="82"/>
      <c r="E42" s="82"/>
      <c r="F42" s="82"/>
      <c r="G42" s="80"/>
      <c r="H42" s="2"/>
      <c r="I42" s="64">
        <f>IF($E42="Labour",Assumptions!$B$14,)</f>
        <v>0</v>
      </c>
      <c r="J42" s="9" t="str">
        <f t="shared" si="5"/>
        <v>$</v>
      </c>
      <c r="K42" s="2"/>
      <c r="L42" s="83"/>
      <c r="M42" s="83"/>
      <c r="N42" s="83"/>
      <c r="O42" s="83"/>
      <c r="P42" s="83"/>
      <c r="Q42" s="2"/>
      <c r="R42" s="5">
        <f t="shared" ref="R42:R69" si="6">IF($E42="Labour",$I42*L42,L42)</f>
        <v>0</v>
      </c>
      <c r="S42" s="5">
        <f t="shared" ref="S42:S69" si="7">IF($E42="Labour",$I42*M42,M42)</f>
        <v>0</v>
      </c>
      <c r="T42" s="5">
        <f t="shared" ref="T42:T69" si="8">IF($E42="Labour",$I42*N42,N42)</f>
        <v>0</v>
      </c>
      <c r="U42" s="5">
        <f t="shared" ref="U42:U69" si="9">IF($E42="Labour",$I42*O42,O42)</f>
        <v>0</v>
      </c>
      <c r="V42" s="5">
        <f t="shared" ref="V42:V69" si="10">IF($E42="Labour",$I42*P42,P42)</f>
        <v>0</v>
      </c>
      <c r="AA42"/>
    </row>
    <row r="43" spans="1:27" ht="12.75" customHeight="1" x14ac:dyDescent="0.25">
      <c r="A43" s="4"/>
      <c r="C43" s="81"/>
      <c r="D43" s="82"/>
      <c r="E43" s="82"/>
      <c r="F43" s="82"/>
      <c r="G43" s="80"/>
      <c r="H43" s="2"/>
      <c r="I43" s="64">
        <f>IF($E43="Labour",Assumptions!$B$14,)</f>
        <v>0</v>
      </c>
      <c r="J43" s="9" t="str">
        <f t="shared" si="5"/>
        <v>$</v>
      </c>
      <c r="K43" s="2"/>
      <c r="L43" s="83"/>
      <c r="M43" s="83"/>
      <c r="N43" s="83"/>
      <c r="O43" s="83"/>
      <c r="P43" s="83"/>
      <c r="Q43" s="2"/>
      <c r="R43" s="5">
        <f t="shared" si="6"/>
        <v>0</v>
      </c>
      <c r="S43" s="5">
        <f t="shared" si="7"/>
        <v>0</v>
      </c>
      <c r="T43" s="5">
        <f t="shared" si="8"/>
        <v>0</v>
      </c>
      <c r="U43" s="5">
        <f t="shared" si="9"/>
        <v>0</v>
      </c>
      <c r="V43" s="5">
        <f t="shared" si="10"/>
        <v>0</v>
      </c>
      <c r="AA43"/>
    </row>
    <row r="44" spans="1:27" ht="12.75" customHeight="1" x14ac:dyDescent="0.25">
      <c r="A44" s="4"/>
      <c r="C44" s="81"/>
      <c r="D44" s="82"/>
      <c r="E44" s="82"/>
      <c r="F44" s="82"/>
      <c r="G44" s="80"/>
      <c r="H44" s="2"/>
      <c r="I44" s="64">
        <f>IF($E44="Labour",Assumptions!$B$14,)</f>
        <v>0</v>
      </c>
      <c r="J44" s="9" t="str">
        <f t="shared" si="5"/>
        <v>$</v>
      </c>
      <c r="K44" s="2"/>
      <c r="L44" s="83"/>
      <c r="M44" s="83"/>
      <c r="N44" s="83"/>
      <c r="O44" s="83"/>
      <c r="P44" s="83"/>
      <c r="Q44" s="2"/>
      <c r="R44" s="5">
        <f t="shared" si="6"/>
        <v>0</v>
      </c>
      <c r="S44" s="5">
        <f t="shared" si="7"/>
        <v>0</v>
      </c>
      <c r="T44" s="5">
        <f t="shared" si="8"/>
        <v>0</v>
      </c>
      <c r="U44" s="5">
        <f t="shared" si="9"/>
        <v>0</v>
      </c>
      <c r="V44" s="5">
        <f t="shared" si="10"/>
        <v>0</v>
      </c>
      <c r="AA44"/>
    </row>
    <row r="45" spans="1:27" ht="12.75" customHeight="1" x14ac:dyDescent="0.25">
      <c r="A45" s="4"/>
      <c r="C45" s="81"/>
      <c r="D45" s="82"/>
      <c r="E45" s="82"/>
      <c r="F45" s="82"/>
      <c r="G45" s="80"/>
      <c r="H45" s="2"/>
      <c r="I45" s="64">
        <f>IF($E45="Labour",Assumptions!$B$14,)</f>
        <v>0</v>
      </c>
      <c r="J45" s="9" t="str">
        <f t="shared" si="5"/>
        <v>$</v>
      </c>
      <c r="K45" s="2"/>
      <c r="L45" s="83"/>
      <c r="M45" s="83"/>
      <c r="N45" s="83"/>
      <c r="O45" s="83"/>
      <c r="P45" s="83"/>
      <c r="Q45" s="2"/>
      <c r="R45" s="5">
        <f t="shared" si="6"/>
        <v>0</v>
      </c>
      <c r="S45" s="5">
        <f t="shared" si="7"/>
        <v>0</v>
      </c>
      <c r="T45" s="5">
        <f t="shared" si="8"/>
        <v>0</v>
      </c>
      <c r="U45" s="5">
        <f t="shared" si="9"/>
        <v>0</v>
      </c>
      <c r="V45" s="5">
        <f t="shared" si="10"/>
        <v>0</v>
      </c>
      <c r="AA45"/>
    </row>
    <row r="46" spans="1:27" ht="12.75" customHeight="1" x14ac:dyDescent="0.25">
      <c r="A46" s="4"/>
      <c r="C46" s="81"/>
      <c r="D46" s="82"/>
      <c r="E46" s="82"/>
      <c r="F46" s="82"/>
      <c r="G46" s="80"/>
      <c r="H46" s="2"/>
      <c r="I46" s="64">
        <f>IF($E46="Labour",Assumptions!$B$14,)</f>
        <v>0</v>
      </c>
      <c r="J46" s="9" t="str">
        <f t="shared" si="5"/>
        <v>$</v>
      </c>
      <c r="K46" s="2"/>
      <c r="L46" s="83"/>
      <c r="M46" s="83"/>
      <c r="N46" s="83"/>
      <c r="O46" s="83"/>
      <c r="P46" s="83"/>
      <c r="Q46" s="2"/>
      <c r="R46" s="5">
        <f t="shared" si="6"/>
        <v>0</v>
      </c>
      <c r="S46" s="5">
        <f t="shared" si="7"/>
        <v>0</v>
      </c>
      <c r="T46" s="5">
        <f t="shared" si="8"/>
        <v>0</v>
      </c>
      <c r="U46" s="5">
        <f t="shared" si="9"/>
        <v>0</v>
      </c>
      <c r="V46" s="5">
        <f t="shared" si="10"/>
        <v>0</v>
      </c>
      <c r="AA46"/>
    </row>
    <row r="47" spans="1:27" ht="12.75" customHeight="1" x14ac:dyDescent="0.25">
      <c r="A47" s="4"/>
      <c r="C47" s="81"/>
      <c r="D47" s="82"/>
      <c r="E47" s="82"/>
      <c r="F47" s="82"/>
      <c r="G47" s="80"/>
      <c r="H47" s="2"/>
      <c r="I47" s="64">
        <f>IF($E47="Labour",Assumptions!$B$14,)</f>
        <v>0</v>
      </c>
      <c r="J47" s="9" t="str">
        <f t="shared" si="5"/>
        <v>$</v>
      </c>
      <c r="K47" s="2"/>
      <c r="L47" s="83"/>
      <c r="M47" s="83"/>
      <c r="N47" s="83"/>
      <c r="O47" s="83"/>
      <c r="P47" s="83"/>
      <c r="Q47" s="2"/>
      <c r="R47" s="5">
        <f t="shared" si="6"/>
        <v>0</v>
      </c>
      <c r="S47" s="5">
        <f t="shared" si="7"/>
        <v>0</v>
      </c>
      <c r="T47" s="5">
        <f t="shared" si="8"/>
        <v>0</v>
      </c>
      <c r="U47" s="5">
        <f t="shared" si="9"/>
        <v>0</v>
      </c>
      <c r="V47" s="5">
        <f t="shared" si="10"/>
        <v>0</v>
      </c>
      <c r="AA47"/>
    </row>
    <row r="48" spans="1:27" ht="12.75" customHeight="1" x14ac:dyDescent="0.25">
      <c r="A48" s="4"/>
      <c r="C48" s="81"/>
      <c r="D48" s="82"/>
      <c r="E48" s="82"/>
      <c r="F48" s="82"/>
      <c r="G48" s="80"/>
      <c r="H48" s="2"/>
      <c r="I48" s="64">
        <f>IF($E48="Labour",Assumptions!$B$14,)</f>
        <v>0</v>
      </c>
      <c r="J48" s="9" t="str">
        <f t="shared" si="5"/>
        <v>$</v>
      </c>
      <c r="K48" s="2"/>
      <c r="L48" s="83"/>
      <c r="M48" s="83"/>
      <c r="N48" s="83"/>
      <c r="O48" s="83"/>
      <c r="P48" s="83"/>
      <c r="Q48" s="2"/>
      <c r="R48" s="5">
        <f t="shared" si="6"/>
        <v>0</v>
      </c>
      <c r="S48" s="5">
        <f t="shared" si="7"/>
        <v>0</v>
      </c>
      <c r="T48" s="5">
        <f t="shared" si="8"/>
        <v>0</v>
      </c>
      <c r="U48" s="5">
        <f t="shared" si="9"/>
        <v>0</v>
      </c>
      <c r="V48" s="5">
        <f t="shared" si="10"/>
        <v>0</v>
      </c>
      <c r="AA48"/>
    </row>
    <row r="49" spans="1:27" ht="12.75" customHeight="1" x14ac:dyDescent="0.25">
      <c r="A49" s="4"/>
      <c r="C49" s="81"/>
      <c r="D49" s="82"/>
      <c r="E49" s="82"/>
      <c r="F49" s="82"/>
      <c r="G49" s="80"/>
      <c r="H49" s="2"/>
      <c r="I49" s="64">
        <f>IF($E49="Labour",Assumptions!$B$14,)</f>
        <v>0</v>
      </c>
      <c r="J49" s="9" t="str">
        <f t="shared" si="5"/>
        <v>$</v>
      </c>
      <c r="K49" s="2"/>
      <c r="L49" s="83"/>
      <c r="M49" s="83"/>
      <c r="N49" s="83"/>
      <c r="O49" s="83"/>
      <c r="P49" s="83"/>
      <c r="Q49" s="2"/>
      <c r="R49" s="5">
        <f t="shared" si="6"/>
        <v>0</v>
      </c>
      <c r="S49" s="5">
        <f t="shared" si="7"/>
        <v>0</v>
      </c>
      <c r="T49" s="5">
        <f t="shared" si="8"/>
        <v>0</v>
      </c>
      <c r="U49" s="5">
        <f t="shared" si="9"/>
        <v>0</v>
      </c>
      <c r="V49" s="5">
        <f t="shared" si="10"/>
        <v>0</v>
      </c>
      <c r="AA49"/>
    </row>
    <row r="50" spans="1:27" ht="12.75" customHeight="1" x14ac:dyDescent="0.25">
      <c r="A50" s="4"/>
      <c r="C50" s="81"/>
      <c r="D50" s="82"/>
      <c r="E50" s="82"/>
      <c r="F50" s="82"/>
      <c r="G50" s="80"/>
      <c r="H50" s="2"/>
      <c r="I50" s="64">
        <f>IF($E50="Labour",Assumptions!$B$14,)</f>
        <v>0</v>
      </c>
      <c r="J50" s="9" t="str">
        <f t="shared" si="5"/>
        <v>$</v>
      </c>
      <c r="K50" s="2"/>
      <c r="L50" s="83"/>
      <c r="M50" s="83"/>
      <c r="N50" s="83"/>
      <c r="O50" s="83"/>
      <c r="P50" s="83"/>
      <c r="Q50" s="2"/>
      <c r="R50" s="5">
        <f t="shared" si="6"/>
        <v>0</v>
      </c>
      <c r="S50" s="5">
        <f t="shared" si="7"/>
        <v>0</v>
      </c>
      <c r="T50" s="5">
        <f t="shared" si="8"/>
        <v>0</v>
      </c>
      <c r="U50" s="5">
        <f t="shared" si="9"/>
        <v>0</v>
      </c>
      <c r="V50" s="5">
        <f t="shared" si="10"/>
        <v>0</v>
      </c>
      <c r="AA50"/>
    </row>
    <row r="51" spans="1:27" ht="12.75" customHeight="1" x14ac:dyDescent="0.25">
      <c r="A51" s="4"/>
      <c r="C51" s="81"/>
      <c r="D51" s="82"/>
      <c r="E51" s="82"/>
      <c r="F51" s="82"/>
      <c r="G51" s="80"/>
      <c r="H51" s="2"/>
      <c r="I51" s="64">
        <f>IF($E51="Labour",Assumptions!$B$14,)</f>
        <v>0</v>
      </c>
      <c r="J51" s="9" t="str">
        <f t="shared" si="5"/>
        <v>$</v>
      </c>
      <c r="K51" s="2"/>
      <c r="L51" s="83"/>
      <c r="M51" s="83"/>
      <c r="N51" s="83"/>
      <c r="O51" s="83"/>
      <c r="P51" s="83"/>
      <c r="Q51" s="2"/>
      <c r="R51" s="5">
        <f t="shared" si="6"/>
        <v>0</v>
      </c>
      <c r="S51" s="5">
        <f t="shared" si="7"/>
        <v>0</v>
      </c>
      <c r="T51" s="5">
        <f t="shared" si="8"/>
        <v>0</v>
      </c>
      <c r="U51" s="5">
        <f t="shared" si="9"/>
        <v>0</v>
      </c>
      <c r="V51" s="5">
        <f t="shared" si="10"/>
        <v>0</v>
      </c>
      <c r="AA51"/>
    </row>
    <row r="52" spans="1:27" ht="12.75" customHeight="1" x14ac:dyDescent="0.25">
      <c r="A52" s="4"/>
      <c r="C52" s="81"/>
      <c r="D52" s="82"/>
      <c r="E52" s="82"/>
      <c r="F52" s="82"/>
      <c r="G52" s="80"/>
      <c r="H52" s="2"/>
      <c r="I52" s="64">
        <f>IF($E52="Labour",Assumptions!$B$14,)</f>
        <v>0</v>
      </c>
      <c r="J52" s="9" t="str">
        <f t="shared" si="5"/>
        <v>$</v>
      </c>
      <c r="K52" s="2"/>
      <c r="L52" s="83"/>
      <c r="M52" s="83"/>
      <c r="N52" s="83"/>
      <c r="O52" s="83"/>
      <c r="P52" s="83"/>
      <c r="Q52" s="2"/>
      <c r="R52" s="5">
        <f t="shared" si="6"/>
        <v>0</v>
      </c>
      <c r="S52" s="5">
        <f t="shared" si="7"/>
        <v>0</v>
      </c>
      <c r="T52" s="5">
        <f t="shared" si="8"/>
        <v>0</v>
      </c>
      <c r="U52" s="5">
        <f t="shared" si="9"/>
        <v>0</v>
      </c>
      <c r="V52" s="5">
        <f t="shared" si="10"/>
        <v>0</v>
      </c>
      <c r="AA52"/>
    </row>
    <row r="53" spans="1:27" ht="12.75" customHeight="1" x14ac:dyDescent="0.25">
      <c r="A53" s="4"/>
      <c r="C53" s="81"/>
      <c r="D53" s="82"/>
      <c r="E53" s="82"/>
      <c r="F53" s="82"/>
      <c r="G53" s="80"/>
      <c r="H53" s="2"/>
      <c r="I53" s="64">
        <f>IF($E53="Labour",Assumptions!$B$14,)</f>
        <v>0</v>
      </c>
      <c r="J53" s="9" t="str">
        <f t="shared" si="5"/>
        <v>$</v>
      </c>
      <c r="K53" s="2"/>
      <c r="L53" s="83"/>
      <c r="M53" s="83"/>
      <c r="N53" s="83"/>
      <c r="O53" s="83"/>
      <c r="P53" s="83"/>
      <c r="Q53" s="2"/>
      <c r="R53" s="5">
        <f t="shared" si="6"/>
        <v>0</v>
      </c>
      <c r="S53" s="5">
        <f t="shared" si="7"/>
        <v>0</v>
      </c>
      <c r="T53" s="5">
        <f t="shared" si="8"/>
        <v>0</v>
      </c>
      <c r="U53" s="5">
        <f t="shared" si="9"/>
        <v>0</v>
      </c>
      <c r="V53" s="5">
        <f t="shared" si="10"/>
        <v>0</v>
      </c>
      <c r="AA53"/>
    </row>
    <row r="54" spans="1:27" ht="12.75" customHeight="1" x14ac:dyDescent="0.25">
      <c r="A54" s="4"/>
      <c r="C54" s="81"/>
      <c r="D54" s="82"/>
      <c r="E54" s="82"/>
      <c r="F54" s="82"/>
      <c r="G54" s="80"/>
      <c r="H54" s="2"/>
      <c r="I54" s="64">
        <f>IF($E54="Labour",Assumptions!$B$14,)</f>
        <v>0</v>
      </c>
      <c r="J54" s="9" t="str">
        <f t="shared" si="5"/>
        <v>$</v>
      </c>
      <c r="K54" s="2"/>
      <c r="L54" s="83"/>
      <c r="M54" s="83"/>
      <c r="N54" s="83"/>
      <c r="O54" s="83"/>
      <c r="P54" s="83"/>
      <c r="Q54" s="2"/>
      <c r="R54" s="5">
        <f t="shared" si="6"/>
        <v>0</v>
      </c>
      <c r="S54" s="5">
        <f t="shared" si="7"/>
        <v>0</v>
      </c>
      <c r="T54" s="5">
        <f t="shared" si="8"/>
        <v>0</v>
      </c>
      <c r="U54" s="5">
        <f t="shared" si="9"/>
        <v>0</v>
      </c>
      <c r="V54" s="5">
        <f t="shared" si="10"/>
        <v>0</v>
      </c>
      <c r="AA54"/>
    </row>
    <row r="55" spans="1:27" ht="12.75" customHeight="1" x14ac:dyDescent="0.25">
      <c r="A55" s="4"/>
      <c r="C55" s="81"/>
      <c r="D55" s="82"/>
      <c r="E55" s="82"/>
      <c r="F55" s="82"/>
      <c r="G55" s="80"/>
      <c r="H55" s="2"/>
      <c r="I55" s="64">
        <f>IF($E55="Labour",Assumptions!$B$14,)</f>
        <v>0</v>
      </c>
      <c r="J55" s="9" t="str">
        <f t="shared" si="5"/>
        <v>$</v>
      </c>
      <c r="K55" s="2"/>
      <c r="L55" s="83"/>
      <c r="M55" s="83"/>
      <c r="N55" s="83"/>
      <c r="O55" s="83"/>
      <c r="P55" s="83"/>
      <c r="Q55" s="2"/>
      <c r="R55" s="5">
        <f t="shared" si="6"/>
        <v>0</v>
      </c>
      <c r="S55" s="5">
        <f t="shared" si="7"/>
        <v>0</v>
      </c>
      <c r="T55" s="5">
        <f t="shared" si="8"/>
        <v>0</v>
      </c>
      <c r="U55" s="5">
        <f t="shared" si="9"/>
        <v>0</v>
      </c>
      <c r="V55" s="5">
        <f t="shared" si="10"/>
        <v>0</v>
      </c>
      <c r="AA55"/>
    </row>
    <row r="56" spans="1:27" ht="12.75" customHeight="1" x14ac:dyDescent="0.25">
      <c r="A56" s="4"/>
      <c r="C56" s="81"/>
      <c r="D56" s="82"/>
      <c r="E56" s="82"/>
      <c r="F56" s="82"/>
      <c r="G56" s="80"/>
      <c r="H56" s="2"/>
      <c r="I56" s="64">
        <f>IF($E56="Labour",Assumptions!$B$14,)</f>
        <v>0</v>
      </c>
      <c r="J56" s="9" t="str">
        <f t="shared" si="5"/>
        <v>$</v>
      </c>
      <c r="K56" s="2"/>
      <c r="L56" s="83"/>
      <c r="M56" s="83"/>
      <c r="N56" s="83"/>
      <c r="O56" s="83"/>
      <c r="P56" s="83"/>
      <c r="Q56" s="2"/>
      <c r="R56" s="5">
        <f t="shared" si="6"/>
        <v>0</v>
      </c>
      <c r="S56" s="5">
        <f t="shared" si="7"/>
        <v>0</v>
      </c>
      <c r="T56" s="5">
        <f t="shared" si="8"/>
        <v>0</v>
      </c>
      <c r="U56" s="5">
        <f t="shared" si="9"/>
        <v>0</v>
      </c>
      <c r="V56" s="5">
        <f t="shared" si="10"/>
        <v>0</v>
      </c>
      <c r="AA56"/>
    </row>
    <row r="57" spans="1:27" ht="12.75" customHeight="1" x14ac:dyDescent="0.25">
      <c r="A57" s="4"/>
      <c r="C57" s="81"/>
      <c r="D57" s="82"/>
      <c r="E57" s="82"/>
      <c r="F57" s="82"/>
      <c r="G57" s="80"/>
      <c r="H57" s="2"/>
      <c r="I57" s="64">
        <f>IF($E57="Labour",Assumptions!$B$14,)</f>
        <v>0</v>
      </c>
      <c r="J57" s="9" t="str">
        <f t="shared" si="5"/>
        <v>$</v>
      </c>
      <c r="K57" s="2"/>
      <c r="L57" s="83"/>
      <c r="M57" s="83"/>
      <c r="N57" s="83"/>
      <c r="O57" s="83"/>
      <c r="P57" s="83"/>
      <c r="Q57" s="2"/>
      <c r="R57" s="5">
        <f t="shared" si="6"/>
        <v>0</v>
      </c>
      <c r="S57" s="5">
        <f t="shared" si="7"/>
        <v>0</v>
      </c>
      <c r="T57" s="5">
        <f t="shared" si="8"/>
        <v>0</v>
      </c>
      <c r="U57" s="5">
        <f t="shared" si="9"/>
        <v>0</v>
      </c>
      <c r="V57" s="5">
        <f t="shared" si="10"/>
        <v>0</v>
      </c>
      <c r="AA57"/>
    </row>
    <row r="58" spans="1:27" ht="12.75" customHeight="1" x14ac:dyDescent="0.25">
      <c r="A58" s="4"/>
      <c r="C58" s="81"/>
      <c r="D58" s="82"/>
      <c r="E58" s="82"/>
      <c r="F58" s="82"/>
      <c r="G58" s="80"/>
      <c r="H58" s="2"/>
      <c r="I58" s="64">
        <f>IF($E58="Labour",Assumptions!$B$14,)</f>
        <v>0</v>
      </c>
      <c r="J58" s="9" t="str">
        <f t="shared" si="5"/>
        <v>$</v>
      </c>
      <c r="K58" s="2"/>
      <c r="L58" s="83"/>
      <c r="M58" s="83"/>
      <c r="N58" s="83"/>
      <c r="O58" s="83"/>
      <c r="P58" s="83"/>
      <c r="Q58" s="2"/>
      <c r="R58" s="5">
        <f t="shared" si="6"/>
        <v>0</v>
      </c>
      <c r="S58" s="5">
        <f t="shared" si="7"/>
        <v>0</v>
      </c>
      <c r="T58" s="5">
        <f t="shared" si="8"/>
        <v>0</v>
      </c>
      <c r="U58" s="5">
        <f t="shared" si="9"/>
        <v>0</v>
      </c>
      <c r="V58" s="5">
        <f t="shared" si="10"/>
        <v>0</v>
      </c>
      <c r="AA58"/>
    </row>
    <row r="59" spans="1:27" ht="12.75" customHeight="1" x14ac:dyDescent="0.25">
      <c r="A59" s="4"/>
      <c r="C59" s="81"/>
      <c r="D59" s="82"/>
      <c r="E59" s="82"/>
      <c r="F59" s="82"/>
      <c r="G59" s="80"/>
      <c r="H59" s="2"/>
      <c r="I59" s="64">
        <f>IF($E59="Labour",Assumptions!$B$14,)</f>
        <v>0</v>
      </c>
      <c r="J59" s="9" t="str">
        <f t="shared" si="5"/>
        <v>$</v>
      </c>
      <c r="K59" s="2"/>
      <c r="L59" s="83"/>
      <c r="M59" s="83"/>
      <c r="N59" s="83"/>
      <c r="O59" s="83"/>
      <c r="P59" s="83"/>
      <c r="Q59" s="2"/>
      <c r="R59" s="5">
        <f t="shared" si="6"/>
        <v>0</v>
      </c>
      <c r="S59" s="5">
        <f t="shared" si="7"/>
        <v>0</v>
      </c>
      <c r="T59" s="5">
        <f t="shared" si="8"/>
        <v>0</v>
      </c>
      <c r="U59" s="5">
        <f t="shared" si="9"/>
        <v>0</v>
      </c>
      <c r="V59" s="5">
        <f t="shared" si="10"/>
        <v>0</v>
      </c>
      <c r="AA59"/>
    </row>
    <row r="60" spans="1:27" ht="12.75" customHeight="1" x14ac:dyDescent="0.25">
      <c r="A60" s="4"/>
      <c r="C60" s="81"/>
      <c r="D60" s="82"/>
      <c r="E60" s="82"/>
      <c r="F60" s="82"/>
      <c r="G60" s="80"/>
      <c r="H60" s="2"/>
      <c r="I60" s="64">
        <f>IF($E60="Labour",Assumptions!$B$14,)</f>
        <v>0</v>
      </c>
      <c r="J60" s="9" t="str">
        <f t="shared" si="5"/>
        <v>$</v>
      </c>
      <c r="K60" s="2"/>
      <c r="L60" s="83"/>
      <c r="M60" s="83"/>
      <c r="N60" s="83"/>
      <c r="O60" s="83"/>
      <c r="P60" s="83"/>
      <c r="Q60" s="2"/>
      <c r="R60" s="5">
        <f t="shared" si="6"/>
        <v>0</v>
      </c>
      <c r="S60" s="5">
        <f t="shared" si="7"/>
        <v>0</v>
      </c>
      <c r="T60" s="5">
        <f t="shared" si="8"/>
        <v>0</v>
      </c>
      <c r="U60" s="5">
        <f t="shared" si="9"/>
        <v>0</v>
      </c>
      <c r="V60" s="5">
        <f t="shared" si="10"/>
        <v>0</v>
      </c>
      <c r="AA60"/>
    </row>
    <row r="61" spans="1:27" ht="12.75" customHeight="1" x14ac:dyDescent="0.25">
      <c r="A61" s="4"/>
      <c r="C61" s="81"/>
      <c r="D61" s="82"/>
      <c r="E61" s="82"/>
      <c r="F61" s="82"/>
      <c r="G61" s="80"/>
      <c r="H61" s="2"/>
      <c r="I61" s="64">
        <f>IF($E61="Labour",Assumptions!$B$14,)</f>
        <v>0</v>
      </c>
      <c r="J61" s="9" t="str">
        <f t="shared" si="5"/>
        <v>$</v>
      </c>
      <c r="K61" s="2"/>
      <c r="L61" s="83"/>
      <c r="M61" s="83"/>
      <c r="N61" s="83"/>
      <c r="O61" s="83"/>
      <c r="P61" s="83"/>
      <c r="Q61" s="2"/>
      <c r="R61" s="5">
        <f t="shared" si="6"/>
        <v>0</v>
      </c>
      <c r="S61" s="5">
        <f t="shared" si="7"/>
        <v>0</v>
      </c>
      <c r="T61" s="5">
        <f t="shared" si="8"/>
        <v>0</v>
      </c>
      <c r="U61" s="5">
        <f t="shared" si="9"/>
        <v>0</v>
      </c>
      <c r="V61" s="5">
        <f t="shared" si="10"/>
        <v>0</v>
      </c>
      <c r="AA61"/>
    </row>
    <row r="62" spans="1:27" ht="12.75" customHeight="1" x14ac:dyDescent="0.25">
      <c r="A62" s="4"/>
      <c r="C62" s="81"/>
      <c r="D62" s="82"/>
      <c r="E62" s="82"/>
      <c r="F62" s="82"/>
      <c r="G62" s="80"/>
      <c r="H62" s="2"/>
      <c r="I62" s="64">
        <f>IF($E62="Labour",Assumptions!$B$14,)</f>
        <v>0</v>
      </c>
      <c r="J62" s="9" t="str">
        <f t="shared" si="5"/>
        <v>$</v>
      </c>
      <c r="K62" s="2"/>
      <c r="L62" s="83"/>
      <c r="M62" s="83"/>
      <c r="N62" s="83"/>
      <c r="O62" s="83"/>
      <c r="P62" s="83"/>
      <c r="Q62" s="2"/>
      <c r="R62" s="5">
        <f t="shared" si="6"/>
        <v>0</v>
      </c>
      <c r="S62" s="5">
        <f t="shared" si="7"/>
        <v>0</v>
      </c>
      <c r="T62" s="5">
        <f t="shared" si="8"/>
        <v>0</v>
      </c>
      <c r="U62" s="5">
        <f t="shared" si="9"/>
        <v>0</v>
      </c>
      <c r="V62" s="5">
        <f t="shared" si="10"/>
        <v>0</v>
      </c>
      <c r="AA62"/>
    </row>
    <row r="63" spans="1:27" ht="12.75" customHeight="1" x14ac:dyDescent="0.25">
      <c r="A63" s="4"/>
      <c r="C63" s="81"/>
      <c r="D63" s="82"/>
      <c r="E63" s="82"/>
      <c r="F63" s="82"/>
      <c r="G63" s="80"/>
      <c r="H63" s="2"/>
      <c r="I63" s="64">
        <f>IF($E63="Labour",Assumptions!$B$14,)</f>
        <v>0</v>
      </c>
      <c r="J63" s="9" t="str">
        <f t="shared" si="5"/>
        <v>$</v>
      </c>
      <c r="K63" s="2"/>
      <c r="L63" s="83"/>
      <c r="M63" s="83"/>
      <c r="N63" s="83"/>
      <c r="O63" s="83"/>
      <c r="P63" s="83"/>
      <c r="Q63" s="2"/>
      <c r="R63" s="5">
        <f t="shared" si="6"/>
        <v>0</v>
      </c>
      <c r="S63" s="5">
        <f t="shared" si="7"/>
        <v>0</v>
      </c>
      <c r="T63" s="5">
        <f t="shared" si="8"/>
        <v>0</v>
      </c>
      <c r="U63" s="5">
        <f t="shared" si="9"/>
        <v>0</v>
      </c>
      <c r="V63" s="5">
        <f t="shared" si="10"/>
        <v>0</v>
      </c>
      <c r="AA63"/>
    </row>
    <row r="64" spans="1:27" ht="12.75" customHeight="1" x14ac:dyDescent="0.2">
      <c r="A64" s="4"/>
      <c r="C64" s="81"/>
      <c r="D64" s="82"/>
      <c r="E64" s="82"/>
      <c r="F64" s="82"/>
      <c r="G64" s="80"/>
      <c r="I64" s="64">
        <f>IF($E64="Labour",Assumptions!$B$14,)</f>
        <v>0</v>
      </c>
      <c r="J64" s="9" t="str">
        <f t="shared" si="5"/>
        <v>$</v>
      </c>
      <c r="L64" s="83"/>
      <c r="M64" s="83"/>
      <c r="N64" s="83"/>
      <c r="O64" s="83"/>
      <c r="P64" s="83"/>
      <c r="R64" s="5">
        <f t="shared" si="6"/>
        <v>0</v>
      </c>
      <c r="S64" s="5">
        <f t="shared" si="7"/>
        <v>0</v>
      </c>
      <c r="T64" s="5">
        <f t="shared" si="8"/>
        <v>0</v>
      </c>
      <c r="U64" s="5">
        <f t="shared" si="9"/>
        <v>0</v>
      </c>
      <c r="V64" s="5">
        <f t="shared" si="10"/>
        <v>0</v>
      </c>
    </row>
    <row r="65" spans="1:27" ht="12.75" customHeight="1" x14ac:dyDescent="0.2">
      <c r="A65" s="4"/>
      <c r="C65" s="81"/>
      <c r="D65" s="82"/>
      <c r="E65" s="82"/>
      <c r="F65" s="82"/>
      <c r="G65" s="80"/>
      <c r="I65" s="64">
        <f>IF($E65="Labour",Assumptions!$B$14,)</f>
        <v>0</v>
      </c>
      <c r="J65" s="9" t="str">
        <f t="shared" si="5"/>
        <v>$</v>
      </c>
      <c r="L65" s="83"/>
      <c r="M65" s="83"/>
      <c r="N65" s="83"/>
      <c r="O65" s="83"/>
      <c r="P65" s="83"/>
      <c r="R65" s="5">
        <f t="shared" si="6"/>
        <v>0</v>
      </c>
      <c r="S65" s="5">
        <f t="shared" si="7"/>
        <v>0</v>
      </c>
      <c r="T65" s="5">
        <f t="shared" si="8"/>
        <v>0</v>
      </c>
      <c r="U65" s="5">
        <f t="shared" si="9"/>
        <v>0</v>
      </c>
      <c r="V65" s="5">
        <f t="shared" si="10"/>
        <v>0</v>
      </c>
    </row>
    <row r="66" spans="1:27" ht="12.75" customHeight="1" x14ac:dyDescent="0.2">
      <c r="A66" s="4"/>
      <c r="C66" s="81"/>
      <c r="D66" s="82"/>
      <c r="E66" s="82"/>
      <c r="F66" s="82"/>
      <c r="G66" s="80"/>
      <c r="I66" s="64">
        <f>IF($E66="Labour",Assumptions!$B$14,)</f>
        <v>0</v>
      </c>
      <c r="J66" s="9" t="str">
        <f t="shared" si="5"/>
        <v>$</v>
      </c>
      <c r="L66" s="83"/>
      <c r="M66" s="83"/>
      <c r="N66" s="83"/>
      <c r="O66" s="83"/>
      <c r="P66" s="83"/>
      <c r="R66" s="5">
        <f t="shared" si="6"/>
        <v>0</v>
      </c>
      <c r="S66" s="5">
        <f t="shared" si="7"/>
        <v>0</v>
      </c>
      <c r="T66" s="5">
        <f t="shared" si="8"/>
        <v>0</v>
      </c>
      <c r="U66" s="5">
        <f t="shared" si="9"/>
        <v>0</v>
      </c>
      <c r="V66" s="5">
        <f t="shared" si="10"/>
        <v>0</v>
      </c>
    </row>
    <row r="67" spans="1:27" ht="12.75" customHeight="1" x14ac:dyDescent="0.2">
      <c r="A67" s="4"/>
      <c r="C67" s="81"/>
      <c r="D67" s="82"/>
      <c r="E67" s="82"/>
      <c r="F67" s="82"/>
      <c r="G67" s="80"/>
      <c r="I67" s="64">
        <f>IF($E67="Labour",Assumptions!$B$14,)</f>
        <v>0</v>
      </c>
      <c r="J67" s="9" t="str">
        <f t="shared" si="5"/>
        <v>$</v>
      </c>
      <c r="L67" s="83"/>
      <c r="M67" s="83"/>
      <c r="N67" s="83"/>
      <c r="O67" s="83"/>
      <c r="P67" s="83"/>
      <c r="R67" s="5">
        <f t="shared" si="6"/>
        <v>0</v>
      </c>
      <c r="S67" s="5">
        <f t="shared" si="7"/>
        <v>0</v>
      </c>
      <c r="T67" s="5">
        <f t="shared" si="8"/>
        <v>0</v>
      </c>
      <c r="U67" s="5">
        <f t="shared" si="9"/>
        <v>0</v>
      </c>
      <c r="V67" s="5">
        <f t="shared" si="10"/>
        <v>0</v>
      </c>
    </row>
    <row r="68" spans="1:27" ht="12.75" customHeight="1" x14ac:dyDescent="0.2">
      <c r="A68" s="4"/>
      <c r="C68" s="81"/>
      <c r="D68" s="82"/>
      <c r="E68" s="82"/>
      <c r="F68" s="82"/>
      <c r="G68" s="80"/>
      <c r="I68" s="64">
        <f>IF($E68="Labour",Assumptions!$B$14,)</f>
        <v>0</v>
      </c>
      <c r="J68" s="9" t="str">
        <f t="shared" si="5"/>
        <v>$</v>
      </c>
      <c r="L68" s="83"/>
      <c r="M68" s="83"/>
      <c r="N68" s="83"/>
      <c r="O68" s="83"/>
      <c r="P68" s="83"/>
      <c r="R68" s="5">
        <f t="shared" si="6"/>
        <v>0</v>
      </c>
      <c r="S68" s="5">
        <f t="shared" si="7"/>
        <v>0</v>
      </c>
      <c r="T68" s="5">
        <f t="shared" si="8"/>
        <v>0</v>
      </c>
      <c r="U68" s="5">
        <f t="shared" si="9"/>
        <v>0</v>
      </c>
      <c r="V68" s="5">
        <f t="shared" si="10"/>
        <v>0</v>
      </c>
    </row>
    <row r="69" spans="1:27" ht="12.75" customHeight="1" x14ac:dyDescent="0.2">
      <c r="A69" s="4"/>
      <c r="C69" s="81"/>
      <c r="D69" s="82"/>
      <c r="E69" s="82"/>
      <c r="F69" s="82"/>
      <c r="G69" s="80"/>
      <c r="I69" s="64">
        <f>IF($E69="Labour",Assumptions!$B$14,)</f>
        <v>0</v>
      </c>
      <c r="J69" s="9" t="str">
        <f t="shared" si="5"/>
        <v>$</v>
      </c>
      <c r="L69" s="83"/>
      <c r="M69" s="83"/>
      <c r="N69" s="83"/>
      <c r="O69" s="83"/>
      <c r="P69" s="83"/>
      <c r="R69" s="5">
        <f t="shared" si="6"/>
        <v>0</v>
      </c>
      <c r="S69" s="5">
        <f t="shared" si="7"/>
        <v>0</v>
      </c>
      <c r="T69" s="5">
        <f t="shared" si="8"/>
        <v>0</v>
      </c>
      <c r="U69" s="5">
        <f t="shared" si="9"/>
        <v>0</v>
      </c>
      <c r="V69" s="5">
        <f t="shared" si="10"/>
        <v>0</v>
      </c>
    </row>
    <row r="70" spans="1:27" ht="12.75" customHeight="1" x14ac:dyDescent="0.25">
      <c r="H70" s="2"/>
      <c r="K70" s="2"/>
      <c r="Q70" s="2"/>
      <c r="AA70"/>
    </row>
    <row r="71" spans="1:27" ht="12.75" customHeight="1" x14ac:dyDescent="0.25">
      <c r="H71" s="2"/>
      <c r="K71" s="2"/>
      <c r="Q71" s="2"/>
      <c r="AA71"/>
    </row>
    <row r="72" spans="1:27" ht="12.75" customHeight="1" x14ac:dyDescent="0.25">
      <c r="C72" s="3" t="s">
        <v>67</v>
      </c>
      <c r="H72" s="2"/>
      <c r="K72" s="2"/>
      <c r="Q72" s="2"/>
      <c r="R72" s="69" t="s">
        <v>6</v>
      </c>
      <c r="S72" s="69" t="s">
        <v>7</v>
      </c>
      <c r="T72" s="69" t="s">
        <v>8</v>
      </c>
      <c r="U72" s="69" t="s">
        <v>9</v>
      </c>
      <c r="V72" s="69" t="s">
        <v>10</v>
      </c>
      <c r="W72" s="69" t="s">
        <v>0</v>
      </c>
      <c r="AA72"/>
    </row>
    <row r="73" spans="1:27" ht="12.75" customHeight="1" x14ac:dyDescent="0.2">
      <c r="C73" s="24" t="s">
        <v>11</v>
      </c>
      <c r="D73" s="24" t="s">
        <v>53</v>
      </c>
      <c r="E73" s="24"/>
      <c r="F73" s="24"/>
      <c r="G73" s="24" t="s">
        <v>51</v>
      </c>
      <c r="H73" s="2"/>
      <c r="I73" s="66"/>
      <c r="J73" s="67"/>
      <c r="K73" s="2"/>
      <c r="L73" s="24"/>
      <c r="M73" s="24"/>
      <c r="N73" s="24"/>
      <c r="O73" s="24"/>
      <c r="P73" s="24"/>
      <c r="Q73" s="2"/>
      <c r="R73" s="25">
        <f t="shared" ref="R73:V75" si="11">SUMIFS(R$10:R$69,$E$10:$E$69,$C73,$D$10:$D$69,$D73,$G$10:$G$69,$G73)</f>
        <v>0</v>
      </c>
      <c r="S73" s="25">
        <f t="shared" si="11"/>
        <v>0</v>
      </c>
      <c r="T73" s="25">
        <f t="shared" si="11"/>
        <v>0</v>
      </c>
      <c r="U73" s="25">
        <f t="shared" si="11"/>
        <v>0</v>
      </c>
      <c r="V73" s="25">
        <f t="shared" si="11"/>
        <v>0</v>
      </c>
      <c r="W73" s="71">
        <f>SUM(R73:V73)</f>
        <v>0</v>
      </c>
    </row>
    <row r="74" spans="1:27" ht="12.75" customHeight="1" x14ac:dyDescent="0.2">
      <c r="C74" s="1" t="s">
        <v>13</v>
      </c>
      <c r="D74" s="1" t="s">
        <v>53</v>
      </c>
      <c r="G74" s="1" t="s">
        <v>51</v>
      </c>
      <c r="H74" s="2"/>
      <c r="I74" s="68"/>
      <c r="K74" s="2"/>
      <c r="Q74" s="2"/>
      <c r="R74" s="6">
        <f t="shared" si="11"/>
        <v>0</v>
      </c>
      <c r="S74" s="6">
        <f t="shared" si="11"/>
        <v>0</v>
      </c>
      <c r="T74" s="6">
        <f t="shared" si="11"/>
        <v>0</v>
      </c>
      <c r="U74" s="6">
        <f t="shared" si="11"/>
        <v>0</v>
      </c>
      <c r="V74" s="6">
        <f t="shared" si="11"/>
        <v>0</v>
      </c>
      <c r="W74" s="72">
        <f t="shared" ref="W74:W82" si="12">SUM(R74:V74)</f>
        <v>0</v>
      </c>
    </row>
    <row r="75" spans="1:27" ht="12.75" customHeight="1" x14ac:dyDescent="0.2">
      <c r="C75" s="1" t="s">
        <v>14</v>
      </c>
      <c r="D75" s="1" t="s">
        <v>53</v>
      </c>
      <c r="G75" s="1" t="s">
        <v>51</v>
      </c>
      <c r="H75" s="2"/>
      <c r="I75" s="68"/>
      <c r="K75" s="2"/>
      <c r="Q75" s="2"/>
      <c r="R75" s="6">
        <f t="shared" si="11"/>
        <v>0</v>
      </c>
      <c r="S75" s="6">
        <f t="shared" si="11"/>
        <v>0</v>
      </c>
      <c r="T75" s="6">
        <f t="shared" si="11"/>
        <v>0</v>
      </c>
      <c r="U75" s="6">
        <f t="shared" si="11"/>
        <v>0</v>
      </c>
      <c r="V75" s="6">
        <f t="shared" si="11"/>
        <v>0</v>
      </c>
      <c r="W75" s="72">
        <f t="shared" si="12"/>
        <v>0</v>
      </c>
    </row>
    <row r="76" spans="1:27" ht="12.75" customHeight="1" x14ac:dyDescent="0.2">
      <c r="C76" s="21" t="s">
        <v>15</v>
      </c>
      <c r="D76" s="21" t="s">
        <v>53</v>
      </c>
      <c r="E76" s="102"/>
      <c r="F76" s="102"/>
      <c r="G76" s="103"/>
      <c r="H76" s="2"/>
      <c r="I76" s="103"/>
      <c r="J76" s="105"/>
      <c r="K76" s="104"/>
      <c r="L76" s="102"/>
      <c r="M76" s="102"/>
      <c r="N76" s="102"/>
      <c r="O76" s="102"/>
      <c r="P76" s="102"/>
      <c r="Q76" s="2"/>
      <c r="R76" s="22">
        <f t="shared" ref="R76:W76" si="13">SUM(R73:R75)</f>
        <v>0</v>
      </c>
      <c r="S76" s="22">
        <f t="shared" si="13"/>
        <v>0</v>
      </c>
      <c r="T76" s="22">
        <f t="shared" si="13"/>
        <v>0</v>
      </c>
      <c r="U76" s="22">
        <f t="shared" si="13"/>
        <v>0</v>
      </c>
      <c r="V76" s="22">
        <f t="shared" si="13"/>
        <v>0</v>
      </c>
      <c r="W76" s="22">
        <f t="shared" si="13"/>
        <v>0</v>
      </c>
    </row>
    <row r="77" spans="1:27" ht="12.75" customHeight="1" x14ac:dyDescent="0.2">
      <c r="C77" s="1" t="s">
        <v>11</v>
      </c>
      <c r="D77" s="1" t="s">
        <v>40</v>
      </c>
      <c r="G77" s="1" t="s">
        <v>51</v>
      </c>
      <c r="H77" s="2"/>
      <c r="I77" s="68"/>
      <c r="K77" s="2"/>
      <c r="Q77" s="2"/>
      <c r="R77" s="6">
        <f t="shared" ref="R77:V79" si="14">SUMIFS(R$10:R$69,$E$10:$E$69,$C77,$D$10:$D$69,$D77,$G$10:$G$69,$G77)</f>
        <v>0</v>
      </c>
      <c r="S77" s="6">
        <f t="shared" si="14"/>
        <v>0</v>
      </c>
      <c r="T77" s="6">
        <f t="shared" si="14"/>
        <v>0</v>
      </c>
      <c r="U77" s="6">
        <f t="shared" si="14"/>
        <v>0</v>
      </c>
      <c r="V77" s="6">
        <f t="shared" si="14"/>
        <v>0</v>
      </c>
      <c r="W77" s="72">
        <f t="shared" si="12"/>
        <v>0</v>
      </c>
    </row>
    <row r="78" spans="1:27" ht="12.75" customHeight="1" x14ac:dyDescent="0.2">
      <c r="C78" s="1" t="s">
        <v>13</v>
      </c>
      <c r="D78" s="1" t="s">
        <v>40</v>
      </c>
      <c r="G78" s="1" t="s">
        <v>51</v>
      </c>
      <c r="H78" s="2"/>
      <c r="I78" s="68"/>
      <c r="K78" s="2"/>
      <c r="Q78" s="2"/>
      <c r="R78" s="6">
        <f t="shared" si="14"/>
        <v>0</v>
      </c>
      <c r="S78" s="6">
        <f t="shared" si="14"/>
        <v>0</v>
      </c>
      <c r="T78" s="6">
        <f t="shared" si="14"/>
        <v>0</v>
      </c>
      <c r="U78" s="6">
        <f t="shared" si="14"/>
        <v>0</v>
      </c>
      <c r="V78" s="6">
        <f t="shared" si="14"/>
        <v>0</v>
      </c>
      <c r="W78" s="72">
        <f t="shared" si="12"/>
        <v>0</v>
      </c>
    </row>
    <row r="79" spans="1:27" ht="12.75" customHeight="1" x14ac:dyDescent="0.2">
      <c r="C79" s="1" t="s">
        <v>14</v>
      </c>
      <c r="D79" s="1" t="s">
        <v>40</v>
      </c>
      <c r="G79" s="1" t="s">
        <v>51</v>
      </c>
      <c r="H79" s="2"/>
      <c r="I79" s="68"/>
      <c r="K79" s="2"/>
      <c r="Q79" s="2"/>
      <c r="R79" s="6">
        <f t="shared" si="14"/>
        <v>0</v>
      </c>
      <c r="S79" s="6">
        <f t="shared" si="14"/>
        <v>0</v>
      </c>
      <c r="T79" s="6">
        <f t="shared" si="14"/>
        <v>0</v>
      </c>
      <c r="U79" s="6">
        <f t="shared" si="14"/>
        <v>0</v>
      </c>
      <c r="V79" s="6">
        <f t="shared" si="14"/>
        <v>0</v>
      </c>
      <c r="W79" s="72">
        <f t="shared" si="12"/>
        <v>0</v>
      </c>
    </row>
    <row r="80" spans="1:27" ht="12.75" customHeight="1" x14ac:dyDescent="0.2">
      <c r="C80" s="21" t="s">
        <v>17</v>
      </c>
      <c r="D80" s="21" t="s">
        <v>40</v>
      </c>
      <c r="E80" s="102"/>
      <c r="F80" s="102"/>
      <c r="G80" s="103"/>
      <c r="H80" s="2"/>
      <c r="I80" s="103"/>
      <c r="J80" s="105"/>
      <c r="K80" s="104"/>
      <c r="L80" s="102"/>
      <c r="M80" s="102"/>
      <c r="N80" s="102"/>
      <c r="O80" s="102"/>
      <c r="P80" s="102"/>
      <c r="Q80" s="2"/>
      <c r="R80" s="22">
        <f t="shared" ref="R80:W80" si="15">SUM(R77:R79)</f>
        <v>0</v>
      </c>
      <c r="S80" s="22">
        <f t="shared" si="15"/>
        <v>0</v>
      </c>
      <c r="T80" s="22">
        <f t="shared" si="15"/>
        <v>0</v>
      </c>
      <c r="U80" s="22">
        <f t="shared" si="15"/>
        <v>0</v>
      </c>
      <c r="V80" s="22">
        <f t="shared" si="15"/>
        <v>0</v>
      </c>
      <c r="W80" s="22">
        <f t="shared" si="15"/>
        <v>0</v>
      </c>
    </row>
    <row r="81" spans="3:24" ht="12.75" customHeight="1" x14ac:dyDescent="0.2">
      <c r="G81" s="68"/>
      <c r="H81" s="2"/>
      <c r="I81" s="68"/>
      <c r="K81" s="2"/>
      <c r="Q81" s="2"/>
      <c r="R81" s="6"/>
      <c r="S81" s="6"/>
      <c r="T81" s="6"/>
      <c r="U81" s="6"/>
      <c r="V81" s="6"/>
      <c r="W81" s="72"/>
    </row>
    <row r="82" spans="3:24" ht="12.75" customHeight="1" x14ac:dyDescent="0.2">
      <c r="C82" s="7" t="str">
        <f>"Total Expenditure ($ "&amp;Assumptions!$B$12&amp;")"</f>
        <v>Total Expenditure ($ June 2024)</v>
      </c>
      <c r="D82" s="7"/>
      <c r="E82" s="7"/>
      <c r="F82" s="7"/>
      <c r="G82" s="7"/>
      <c r="H82" s="2"/>
      <c r="I82" s="7"/>
      <c r="J82" s="10"/>
      <c r="K82" s="2"/>
      <c r="L82" s="7"/>
      <c r="M82" s="7"/>
      <c r="N82" s="7"/>
      <c r="O82" s="7"/>
      <c r="P82" s="7"/>
      <c r="Q82" s="2"/>
      <c r="R82" s="8">
        <f>R76+R80</f>
        <v>0</v>
      </c>
      <c r="S82" s="8">
        <f>S76+S80</f>
        <v>0</v>
      </c>
      <c r="T82" s="8">
        <f>T76+T80</f>
        <v>0</v>
      </c>
      <c r="U82" s="8">
        <f>U76+U80</f>
        <v>0</v>
      </c>
      <c r="V82" s="8">
        <f>V76+V80</f>
        <v>0</v>
      </c>
      <c r="W82" s="73">
        <f t="shared" si="12"/>
        <v>0</v>
      </c>
    </row>
    <row r="83" spans="3:24" ht="12.75" customHeight="1" x14ac:dyDescent="0.2">
      <c r="C83" s="45" t="s">
        <v>68</v>
      </c>
      <c r="D83" s="45"/>
      <c r="E83" s="45"/>
      <c r="F83" s="45"/>
      <c r="G83" s="45"/>
      <c r="H83" s="2"/>
      <c r="I83" s="45"/>
      <c r="J83" s="45"/>
      <c r="K83" s="2"/>
      <c r="L83" s="45"/>
      <c r="M83" s="45"/>
      <c r="N83" s="45"/>
      <c r="O83" s="45"/>
      <c r="P83" s="45"/>
      <c r="Q83" s="2"/>
      <c r="R83" s="46">
        <f>R82-SUM(R$10:R$69)</f>
        <v>0</v>
      </c>
      <c r="S83" s="46">
        <f>S82-SUM(S$10:S$69)</f>
        <v>0</v>
      </c>
      <c r="T83" s="46">
        <f>T82-SUM(T$10:T$69)</f>
        <v>0</v>
      </c>
      <c r="U83" s="46">
        <f>U82-SUM(U$10:U$69)</f>
        <v>0</v>
      </c>
      <c r="V83" s="46">
        <f>V82-SUM(V$10:V$69)</f>
        <v>0</v>
      </c>
      <c r="W83" s="46">
        <f>W82-SUM(R$10:V$69)</f>
        <v>0</v>
      </c>
      <c r="X83" s="46">
        <f>SUM(R83:W83)</f>
        <v>0</v>
      </c>
    </row>
    <row r="84" spans="3:24" ht="12.75" customHeight="1" x14ac:dyDescent="0.2">
      <c r="H84" s="2"/>
      <c r="K84" s="2"/>
      <c r="Q84" s="2"/>
    </row>
    <row r="85" spans="3:24" ht="12.75" customHeight="1" x14ac:dyDescent="0.2">
      <c r="C85" s="55" t="str">
        <f>"NPV ($ "&amp;Assumptions!$B$12&amp;")"</f>
        <v>NPV ($ June 2024)</v>
      </c>
      <c r="D85" s="56">
        <f>NPV(Real_Discount_rate,R82:V82)</f>
        <v>0</v>
      </c>
      <c r="H85" s="2"/>
      <c r="K85" s="2"/>
      <c r="Q85" s="2"/>
    </row>
    <row r="86" spans="3:24" ht="12.75" customHeight="1" x14ac:dyDescent="0.2">
      <c r="H86" s="2"/>
      <c r="K86" s="2"/>
      <c r="Q86" s="2"/>
    </row>
    <row r="87" spans="3:24" ht="12.75" customHeight="1" x14ac:dyDescent="0.2">
      <c r="H87" s="2"/>
      <c r="K87" s="2"/>
      <c r="Q87" s="2"/>
    </row>
    <row r="88" spans="3:24" ht="12.75" customHeight="1" x14ac:dyDescent="0.2">
      <c r="C88" s="4" t="s">
        <v>67</v>
      </c>
      <c r="G88" s="3"/>
      <c r="H88" s="2"/>
      <c r="K88" s="2"/>
      <c r="Q88" s="2"/>
      <c r="R88" s="69" t="s">
        <v>6</v>
      </c>
      <c r="S88" s="69" t="s">
        <v>7</v>
      </c>
      <c r="T88" s="69" t="s">
        <v>8</v>
      </c>
      <c r="U88" s="69" t="s">
        <v>9</v>
      </c>
      <c r="V88" s="69" t="s">
        <v>10</v>
      </c>
      <c r="W88" s="113" t="s">
        <v>0</v>
      </c>
    </row>
    <row r="89" spans="3:24" ht="12.75" customHeight="1" x14ac:dyDescent="0.2">
      <c r="C89" s="24" t="s">
        <v>95</v>
      </c>
      <c r="D89" s="24" t="s">
        <v>53</v>
      </c>
      <c r="E89" s="24"/>
      <c r="F89" s="24"/>
      <c r="G89" s="24" t="s">
        <v>51</v>
      </c>
      <c r="H89" s="2"/>
      <c r="I89" s="66"/>
      <c r="J89" s="67"/>
      <c r="K89" s="2"/>
      <c r="L89" s="24"/>
      <c r="M89" s="24"/>
      <c r="N89" s="24"/>
      <c r="O89" s="24"/>
      <c r="P89" s="24"/>
      <c r="Q89" s="2"/>
      <c r="R89" s="25">
        <f>SUMIFS(R$10:R$69,$D$10:$D$69,$D89,$G$10:$G$69,$G89,$F$10:$F$69,$C89)</f>
        <v>0</v>
      </c>
      <c r="S89" s="25">
        <f t="shared" ref="S89:V96" si="16">SUMIFS(S$10:S$69,$D$10:$D$69,$D89,$G$10:$G$69,$G89,$F$10:$F$69,$C89)</f>
        <v>0</v>
      </c>
      <c r="T89" s="25">
        <f t="shared" si="16"/>
        <v>0</v>
      </c>
      <c r="U89" s="25">
        <f t="shared" si="16"/>
        <v>0</v>
      </c>
      <c r="V89" s="149">
        <f t="shared" si="16"/>
        <v>0</v>
      </c>
      <c r="W89" s="71">
        <f t="shared" ref="W89:W96" si="17">SUM(R89:V89)</f>
        <v>0</v>
      </c>
    </row>
    <row r="90" spans="3:24" ht="12.75" customHeight="1" x14ac:dyDescent="0.2">
      <c r="C90" s="1" t="s">
        <v>95</v>
      </c>
      <c r="D90" s="1" t="s">
        <v>40</v>
      </c>
      <c r="G90" s="1" t="s">
        <v>51</v>
      </c>
      <c r="H90" s="2"/>
      <c r="K90" s="2"/>
      <c r="Q90" s="2"/>
      <c r="R90" s="6">
        <f>SUMIFS(R$10:R$69,$D$10:$D$69,$D90,$G$10:$G$69,$G90,$F$10:$F$69,$C90)</f>
        <v>0</v>
      </c>
      <c r="S90" s="6">
        <f t="shared" si="16"/>
        <v>0</v>
      </c>
      <c r="T90" s="6">
        <f t="shared" si="16"/>
        <v>0</v>
      </c>
      <c r="U90" s="6">
        <f t="shared" si="16"/>
        <v>0</v>
      </c>
      <c r="V90" s="150">
        <f t="shared" si="16"/>
        <v>0</v>
      </c>
      <c r="W90" s="72">
        <f t="shared" si="17"/>
        <v>0</v>
      </c>
    </row>
    <row r="91" spans="3:24" ht="12.75" customHeight="1" x14ac:dyDescent="0.2">
      <c r="C91" s="1" t="s">
        <v>110</v>
      </c>
      <c r="D91" s="1" t="s">
        <v>53</v>
      </c>
      <c r="G91" s="1" t="s">
        <v>51</v>
      </c>
      <c r="H91" s="2"/>
      <c r="I91" s="68"/>
      <c r="K91" s="2"/>
      <c r="Q91" s="2"/>
      <c r="R91" s="6">
        <f t="shared" ref="R91:R96" si="18">SUMIFS(R$10:R$69,$D$10:$D$69,$D91,$G$10:$G$69,$G91,$F$10:$F$69,$C91)</f>
        <v>0</v>
      </c>
      <c r="S91" s="6">
        <f t="shared" si="16"/>
        <v>0</v>
      </c>
      <c r="T91" s="6">
        <f t="shared" si="16"/>
        <v>0</v>
      </c>
      <c r="U91" s="6">
        <f t="shared" si="16"/>
        <v>0</v>
      </c>
      <c r="V91" s="6">
        <f t="shared" si="16"/>
        <v>0</v>
      </c>
      <c r="W91" s="23">
        <f t="shared" si="17"/>
        <v>0</v>
      </c>
    </row>
    <row r="92" spans="3:24" ht="12.75" customHeight="1" x14ac:dyDescent="0.2">
      <c r="C92" s="1" t="s">
        <v>111</v>
      </c>
      <c r="D92" s="1" t="s">
        <v>53</v>
      </c>
      <c r="G92" s="1" t="s">
        <v>51</v>
      </c>
      <c r="H92" s="2"/>
      <c r="I92" s="68"/>
      <c r="K92" s="2"/>
      <c r="Q92" s="2"/>
      <c r="R92" s="6">
        <f t="shared" si="18"/>
        <v>0</v>
      </c>
      <c r="S92" s="6">
        <f t="shared" si="16"/>
        <v>0</v>
      </c>
      <c r="T92" s="6">
        <f t="shared" si="16"/>
        <v>0</v>
      </c>
      <c r="U92" s="6">
        <f t="shared" si="16"/>
        <v>0</v>
      </c>
      <c r="V92" s="6">
        <f t="shared" si="16"/>
        <v>0</v>
      </c>
      <c r="W92" s="72">
        <f t="shared" si="17"/>
        <v>0</v>
      </c>
    </row>
    <row r="93" spans="3:24" ht="12.75" customHeight="1" x14ac:dyDescent="0.2">
      <c r="C93" s="1" t="s">
        <v>116</v>
      </c>
      <c r="D93" s="1" t="s">
        <v>53</v>
      </c>
      <c r="G93" s="1" t="s">
        <v>51</v>
      </c>
      <c r="H93" s="2"/>
      <c r="I93" s="68"/>
      <c r="K93" s="2"/>
      <c r="Q93" s="2"/>
      <c r="R93" s="6">
        <f t="shared" si="18"/>
        <v>0</v>
      </c>
      <c r="S93" s="6">
        <f t="shared" si="16"/>
        <v>0</v>
      </c>
      <c r="T93" s="6">
        <f t="shared" si="16"/>
        <v>0</v>
      </c>
      <c r="U93" s="6">
        <f t="shared" si="16"/>
        <v>0</v>
      </c>
      <c r="V93" s="6">
        <f t="shared" si="16"/>
        <v>0</v>
      </c>
      <c r="W93" s="72">
        <f t="shared" si="17"/>
        <v>0</v>
      </c>
    </row>
    <row r="94" spans="3:24" ht="12.75" customHeight="1" x14ac:dyDescent="0.2">
      <c r="C94" s="1" t="s">
        <v>122</v>
      </c>
      <c r="D94" s="1" t="s">
        <v>53</v>
      </c>
      <c r="G94" s="1" t="s">
        <v>51</v>
      </c>
      <c r="H94" s="2"/>
      <c r="I94" s="68"/>
      <c r="K94" s="2"/>
      <c r="Q94" s="2"/>
      <c r="R94" s="6">
        <f t="shared" si="18"/>
        <v>0</v>
      </c>
      <c r="S94" s="6">
        <f t="shared" si="16"/>
        <v>0</v>
      </c>
      <c r="T94" s="6">
        <f t="shared" si="16"/>
        <v>0</v>
      </c>
      <c r="U94" s="6">
        <f t="shared" si="16"/>
        <v>0</v>
      </c>
      <c r="V94" s="6">
        <f t="shared" si="16"/>
        <v>0</v>
      </c>
      <c r="W94" s="23">
        <f t="shared" si="17"/>
        <v>0</v>
      </c>
    </row>
    <row r="95" spans="3:24" ht="12.75" customHeight="1" x14ac:dyDescent="0.2">
      <c r="C95" s="1" t="s">
        <v>123</v>
      </c>
      <c r="D95" s="1" t="s">
        <v>53</v>
      </c>
      <c r="G95" s="1" t="s">
        <v>51</v>
      </c>
      <c r="H95" s="2"/>
      <c r="I95" s="68"/>
      <c r="K95" s="2"/>
      <c r="Q95" s="2"/>
      <c r="R95" s="6">
        <f t="shared" si="18"/>
        <v>0</v>
      </c>
      <c r="S95" s="6">
        <f t="shared" si="16"/>
        <v>0</v>
      </c>
      <c r="T95" s="6">
        <f t="shared" si="16"/>
        <v>0</v>
      </c>
      <c r="U95" s="6">
        <f t="shared" si="16"/>
        <v>0</v>
      </c>
      <c r="V95" s="6">
        <f t="shared" si="16"/>
        <v>0</v>
      </c>
      <c r="W95" s="23">
        <f t="shared" si="17"/>
        <v>0</v>
      </c>
    </row>
    <row r="96" spans="3:24" ht="12.75" customHeight="1" x14ac:dyDescent="0.2">
      <c r="C96" s="1" t="s">
        <v>125</v>
      </c>
      <c r="D96" s="1" t="s">
        <v>53</v>
      </c>
      <c r="G96" s="1" t="s">
        <v>51</v>
      </c>
      <c r="H96" s="2"/>
      <c r="I96" s="68"/>
      <c r="K96" s="2"/>
      <c r="Q96" s="2"/>
      <c r="R96" s="148">
        <f t="shared" si="18"/>
        <v>0</v>
      </c>
      <c r="S96" s="148">
        <f t="shared" si="16"/>
        <v>0</v>
      </c>
      <c r="T96" s="148">
        <f t="shared" si="16"/>
        <v>0</v>
      </c>
      <c r="U96" s="148">
        <f t="shared" si="16"/>
        <v>0</v>
      </c>
      <c r="V96" s="148">
        <f t="shared" si="16"/>
        <v>0</v>
      </c>
      <c r="W96" s="151">
        <f t="shared" si="17"/>
        <v>0</v>
      </c>
    </row>
    <row r="97" spans="3:24" ht="12.75" customHeight="1" x14ac:dyDescent="0.2">
      <c r="C97" s="7" t="str">
        <f>"Total Expenditure ($ "&amp;Assumptions!$B$12&amp;")"</f>
        <v>Total Expenditure ($ June 2024)</v>
      </c>
      <c r="D97" s="7"/>
      <c r="E97" s="7"/>
      <c r="F97" s="7"/>
      <c r="G97" s="7"/>
      <c r="H97" s="2"/>
      <c r="I97" s="7"/>
      <c r="J97" s="10"/>
      <c r="K97" s="2"/>
      <c r="L97" s="7"/>
      <c r="M97" s="7"/>
      <c r="N97" s="7"/>
      <c r="O97" s="7"/>
      <c r="P97" s="7"/>
      <c r="Q97" s="2"/>
      <c r="R97" s="8">
        <f>SUM(R89:R96)</f>
        <v>0</v>
      </c>
      <c r="S97" s="8">
        <f t="shared" ref="S97:W97" si="19">SUM(S89:S96)</f>
        <v>0</v>
      </c>
      <c r="T97" s="8">
        <f t="shared" si="19"/>
        <v>0</v>
      </c>
      <c r="U97" s="8">
        <f t="shared" si="19"/>
        <v>0</v>
      </c>
      <c r="V97" s="8">
        <f t="shared" si="19"/>
        <v>0</v>
      </c>
      <c r="W97" s="8">
        <f t="shared" si="19"/>
        <v>0</v>
      </c>
    </row>
    <row r="98" spans="3:24" ht="12.75" customHeight="1" x14ac:dyDescent="0.2">
      <c r="C98" s="45" t="s">
        <v>68</v>
      </c>
      <c r="D98" s="45"/>
      <c r="E98" s="45"/>
      <c r="F98" s="45"/>
      <c r="G98" s="45"/>
      <c r="H98" s="2"/>
      <c r="I98" s="45"/>
      <c r="J98" s="45"/>
      <c r="K98" s="2"/>
      <c r="L98" s="45"/>
      <c r="M98" s="45"/>
      <c r="N98" s="45"/>
      <c r="O98" s="45"/>
      <c r="P98" s="45"/>
      <c r="Q98" s="2"/>
      <c r="R98" s="46">
        <f>R97-SUM(R$10:R$69)</f>
        <v>0</v>
      </c>
      <c r="S98" s="46">
        <f>S97-SUM(S$10:S$69)</f>
        <v>0</v>
      </c>
      <c r="T98" s="46">
        <f>T97-SUM(T$10:T$69)</f>
        <v>0</v>
      </c>
      <c r="U98" s="46">
        <f>U97-SUM(U$10:U$69)</f>
        <v>0</v>
      </c>
      <c r="V98" s="46">
        <f>V97-SUM(V$10:V$69)</f>
        <v>0</v>
      </c>
      <c r="W98" s="46">
        <f>W97-SUM(R$10:V$69)</f>
        <v>0</v>
      </c>
      <c r="X98" s="46">
        <f>SUM(R98:W98)</f>
        <v>0</v>
      </c>
    </row>
    <row r="99" spans="3:24" ht="12.75" customHeight="1" x14ac:dyDescent="0.2">
      <c r="C99" s="115"/>
      <c r="D99" s="115"/>
      <c r="E99" s="115"/>
      <c r="F99" s="115"/>
      <c r="G99" s="115"/>
      <c r="H99" s="2"/>
      <c r="I99" s="115"/>
      <c r="J99" s="115"/>
      <c r="K99" s="2"/>
      <c r="L99" s="115"/>
      <c r="M99" s="115"/>
      <c r="N99" s="115"/>
      <c r="O99" s="115"/>
      <c r="P99" s="115"/>
      <c r="Q99" s="2"/>
      <c r="R99" s="116"/>
      <c r="S99" s="116"/>
      <c r="T99" s="116"/>
      <c r="U99" s="116"/>
      <c r="V99" s="116"/>
      <c r="W99" s="116"/>
      <c r="X99" s="116"/>
    </row>
    <row r="100" spans="3:24" ht="12.75" customHeight="1" x14ac:dyDescent="0.2">
      <c r="C100" s="115"/>
      <c r="D100" s="115"/>
      <c r="E100" s="115"/>
      <c r="F100" s="115"/>
      <c r="G100" s="115"/>
      <c r="H100" s="2"/>
      <c r="I100" s="115"/>
      <c r="J100" s="115"/>
      <c r="K100" s="2"/>
      <c r="L100" s="115"/>
      <c r="M100" s="115"/>
      <c r="N100" s="115"/>
      <c r="O100" s="115"/>
      <c r="P100" s="115"/>
      <c r="Q100" s="2"/>
      <c r="R100" s="116"/>
      <c r="S100" s="116"/>
      <c r="T100" s="116"/>
      <c r="U100" s="116"/>
      <c r="V100" s="116"/>
      <c r="W100" s="116"/>
      <c r="X100" s="116"/>
    </row>
    <row r="101" spans="3:24" ht="12.75" customHeight="1" x14ac:dyDescent="0.2">
      <c r="C101" s="115"/>
      <c r="D101" s="115"/>
      <c r="E101" s="115"/>
      <c r="F101" s="115"/>
      <c r="G101" s="115"/>
      <c r="H101" s="2"/>
      <c r="I101" s="115"/>
      <c r="J101" s="115"/>
      <c r="K101" s="2"/>
      <c r="L101" s="115"/>
      <c r="M101" s="115"/>
      <c r="N101" s="115"/>
      <c r="O101" s="115"/>
      <c r="P101" s="115"/>
      <c r="Q101" s="2"/>
      <c r="R101" s="116"/>
      <c r="S101" s="116"/>
      <c r="T101" s="116"/>
      <c r="U101" s="116"/>
      <c r="V101" s="116"/>
      <c r="W101" s="116"/>
      <c r="X101" s="116"/>
    </row>
    <row r="102" spans="3:24" ht="12.75" customHeight="1" x14ac:dyDescent="0.2">
      <c r="C102" s="76" t="s">
        <v>69</v>
      </c>
      <c r="H102" s="2"/>
      <c r="K102" s="2"/>
      <c r="Q102" s="2"/>
      <c r="R102" s="69" t="s">
        <v>6</v>
      </c>
      <c r="S102" s="69" t="s">
        <v>7</v>
      </c>
      <c r="T102" s="69" t="s">
        <v>8</v>
      </c>
      <c r="U102" s="69" t="s">
        <v>9</v>
      </c>
      <c r="V102" s="69" t="s">
        <v>10</v>
      </c>
      <c r="W102" s="69" t="s">
        <v>0</v>
      </c>
    </row>
    <row r="103" spans="3:24" ht="12.75" customHeight="1" x14ac:dyDescent="0.2">
      <c r="C103" s="24" t="s">
        <v>11</v>
      </c>
      <c r="D103" s="24" t="s">
        <v>53</v>
      </c>
      <c r="E103" s="24"/>
      <c r="F103" s="24"/>
      <c r="G103" s="24" t="s">
        <v>51</v>
      </c>
      <c r="H103" s="2"/>
      <c r="I103" s="66"/>
      <c r="J103" s="67"/>
      <c r="K103" s="2"/>
      <c r="L103" s="24"/>
      <c r="M103" s="24"/>
      <c r="N103" s="24"/>
      <c r="O103" s="24"/>
      <c r="P103" s="24"/>
      <c r="Q103" s="2"/>
      <c r="R103" s="34">
        <f t="shared" ref="R103:V105" si="20">R73*business_case_dollars</f>
        <v>0</v>
      </c>
      <c r="S103" s="34">
        <f t="shared" si="20"/>
        <v>0</v>
      </c>
      <c r="T103" s="34">
        <f t="shared" si="20"/>
        <v>0</v>
      </c>
      <c r="U103" s="34">
        <f t="shared" si="20"/>
        <v>0</v>
      </c>
      <c r="V103" s="34">
        <f t="shared" si="20"/>
        <v>0</v>
      </c>
      <c r="W103" s="71">
        <f>SUM(R103:V103)</f>
        <v>0</v>
      </c>
    </row>
    <row r="104" spans="3:24" ht="12.75" customHeight="1" x14ac:dyDescent="0.2">
      <c r="C104" s="1" t="s">
        <v>13</v>
      </c>
      <c r="D104" s="1" t="s">
        <v>53</v>
      </c>
      <c r="G104" s="1" t="s">
        <v>51</v>
      </c>
      <c r="H104" s="2"/>
      <c r="I104" s="68"/>
      <c r="K104" s="2"/>
      <c r="Q104" s="2"/>
      <c r="R104" s="6">
        <f t="shared" si="20"/>
        <v>0</v>
      </c>
      <c r="S104" s="6">
        <f t="shared" si="20"/>
        <v>0</v>
      </c>
      <c r="T104" s="6">
        <f t="shared" si="20"/>
        <v>0</v>
      </c>
      <c r="U104" s="6">
        <f t="shared" si="20"/>
        <v>0</v>
      </c>
      <c r="V104" s="6">
        <f t="shared" si="20"/>
        <v>0</v>
      </c>
      <c r="W104" s="72">
        <f t="shared" ref="W104:W112" si="21">SUM(R104:V104)</f>
        <v>0</v>
      </c>
    </row>
    <row r="105" spans="3:24" ht="12.75" customHeight="1" x14ac:dyDescent="0.2">
      <c r="C105" s="1" t="s">
        <v>14</v>
      </c>
      <c r="D105" s="1" t="s">
        <v>53</v>
      </c>
      <c r="G105" s="1" t="s">
        <v>51</v>
      </c>
      <c r="H105" s="2"/>
      <c r="I105" s="68"/>
      <c r="K105" s="2"/>
      <c r="Q105" s="2"/>
      <c r="R105" s="6">
        <f t="shared" si="20"/>
        <v>0</v>
      </c>
      <c r="S105" s="6">
        <f t="shared" si="20"/>
        <v>0</v>
      </c>
      <c r="T105" s="6">
        <f t="shared" si="20"/>
        <v>0</v>
      </c>
      <c r="U105" s="6">
        <f t="shared" si="20"/>
        <v>0</v>
      </c>
      <c r="V105" s="6">
        <f t="shared" si="20"/>
        <v>0</v>
      </c>
      <c r="W105" s="72">
        <f t="shared" si="21"/>
        <v>0</v>
      </c>
    </row>
    <row r="106" spans="3:24" ht="12.75" customHeight="1" x14ac:dyDescent="0.2">
      <c r="C106" s="21" t="s">
        <v>15</v>
      </c>
      <c r="D106" s="21" t="s">
        <v>53</v>
      </c>
      <c r="E106" s="102"/>
      <c r="F106" s="102"/>
      <c r="G106" s="103"/>
      <c r="H106" s="104"/>
      <c r="I106" s="103"/>
      <c r="J106" s="105"/>
      <c r="K106" s="104"/>
      <c r="L106" s="102"/>
      <c r="M106" s="102"/>
      <c r="N106" s="102"/>
      <c r="O106" s="102"/>
      <c r="P106" s="102"/>
      <c r="Q106" s="104"/>
      <c r="R106" s="22">
        <f t="shared" ref="R106:W106" si="22">SUM(R103:R105)</f>
        <v>0</v>
      </c>
      <c r="S106" s="22">
        <f t="shared" si="22"/>
        <v>0</v>
      </c>
      <c r="T106" s="22">
        <f t="shared" si="22"/>
        <v>0</v>
      </c>
      <c r="U106" s="22">
        <f t="shared" si="22"/>
        <v>0</v>
      </c>
      <c r="V106" s="22">
        <f t="shared" si="22"/>
        <v>0</v>
      </c>
      <c r="W106" s="22">
        <f t="shared" si="22"/>
        <v>0</v>
      </c>
    </row>
    <row r="107" spans="3:24" ht="12.75" customHeight="1" x14ac:dyDescent="0.2">
      <c r="C107" s="1" t="s">
        <v>11</v>
      </c>
      <c r="D107" s="1" t="s">
        <v>40</v>
      </c>
      <c r="G107" s="1" t="s">
        <v>51</v>
      </c>
      <c r="H107" s="2"/>
      <c r="I107" s="68"/>
      <c r="K107" s="2"/>
      <c r="Q107" s="2"/>
      <c r="R107" s="117">
        <f t="shared" ref="R107:V109" si="23">R77*business_case_dollars</f>
        <v>0</v>
      </c>
      <c r="S107" s="117">
        <f t="shared" si="23"/>
        <v>0</v>
      </c>
      <c r="T107" s="117">
        <f t="shared" si="23"/>
        <v>0</v>
      </c>
      <c r="U107" s="117">
        <f t="shared" si="23"/>
        <v>0</v>
      </c>
      <c r="V107" s="117">
        <f t="shared" si="23"/>
        <v>0</v>
      </c>
      <c r="W107" s="72">
        <f>SUM(R107:V107)</f>
        <v>0</v>
      </c>
    </row>
    <row r="108" spans="3:24" ht="12.75" customHeight="1" x14ac:dyDescent="0.2">
      <c r="C108" s="1" t="s">
        <v>13</v>
      </c>
      <c r="D108" s="1" t="s">
        <v>40</v>
      </c>
      <c r="G108" s="1" t="s">
        <v>51</v>
      </c>
      <c r="H108" s="2"/>
      <c r="I108" s="68"/>
      <c r="K108" s="2"/>
      <c r="Q108" s="2"/>
      <c r="R108" s="6">
        <f t="shared" si="23"/>
        <v>0</v>
      </c>
      <c r="S108" s="6">
        <f t="shared" si="23"/>
        <v>0</v>
      </c>
      <c r="T108" s="6">
        <f t="shared" si="23"/>
        <v>0</v>
      </c>
      <c r="U108" s="6">
        <f t="shared" si="23"/>
        <v>0</v>
      </c>
      <c r="V108" s="6">
        <f t="shared" si="23"/>
        <v>0</v>
      </c>
      <c r="W108" s="72">
        <f t="shared" ref="W108:W109" si="24">SUM(R108:V108)</f>
        <v>0</v>
      </c>
    </row>
    <row r="109" spans="3:24" ht="12.75" customHeight="1" x14ac:dyDescent="0.2">
      <c r="C109" s="1" t="s">
        <v>14</v>
      </c>
      <c r="D109" s="1" t="s">
        <v>40</v>
      </c>
      <c r="G109" s="1" t="s">
        <v>51</v>
      </c>
      <c r="H109" s="2"/>
      <c r="I109" s="68"/>
      <c r="K109" s="2"/>
      <c r="Q109" s="2"/>
      <c r="R109" s="6">
        <f t="shared" si="23"/>
        <v>0</v>
      </c>
      <c r="S109" s="6">
        <f t="shared" si="23"/>
        <v>0</v>
      </c>
      <c r="T109" s="6">
        <f t="shared" si="23"/>
        <v>0</v>
      </c>
      <c r="U109" s="6">
        <f t="shared" si="23"/>
        <v>0</v>
      </c>
      <c r="V109" s="6">
        <f t="shared" si="23"/>
        <v>0</v>
      </c>
      <c r="W109" s="72">
        <f t="shared" si="24"/>
        <v>0</v>
      </c>
    </row>
    <row r="110" spans="3:24" ht="12.75" customHeight="1" x14ac:dyDescent="0.2">
      <c r="C110" s="21" t="s">
        <v>17</v>
      </c>
      <c r="D110" s="21" t="s">
        <v>40</v>
      </c>
      <c r="E110" s="102"/>
      <c r="F110" s="102"/>
      <c r="G110" s="103"/>
      <c r="H110" s="104"/>
      <c r="I110" s="103"/>
      <c r="J110" s="105"/>
      <c r="K110" s="104"/>
      <c r="L110" s="102"/>
      <c r="M110" s="102"/>
      <c r="N110" s="102"/>
      <c r="O110" s="102"/>
      <c r="P110" s="102"/>
      <c r="Q110" s="104"/>
      <c r="R110" s="22">
        <f t="shared" ref="R110:W110" si="25">SUM(R107:R109)</f>
        <v>0</v>
      </c>
      <c r="S110" s="22">
        <f t="shared" si="25"/>
        <v>0</v>
      </c>
      <c r="T110" s="22">
        <f t="shared" si="25"/>
        <v>0</v>
      </c>
      <c r="U110" s="22">
        <f t="shared" si="25"/>
        <v>0</v>
      </c>
      <c r="V110" s="22">
        <f t="shared" si="25"/>
        <v>0</v>
      </c>
      <c r="W110" s="22">
        <f t="shared" si="25"/>
        <v>0</v>
      </c>
    </row>
    <row r="111" spans="3:24" ht="12.75" customHeight="1" x14ac:dyDescent="0.2">
      <c r="H111" s="2"/>
      <c r="I111" s="68"/>
      <c r="K111" s="2"/>
      <c r="Q111" s="2"/>
      <c r="R111" s="6"/>
      <c r="S111" s="6"/>
      <c r="T111" s="6"/>
      <c r="U111" s="6"/>
      <c r="V111" s="6"/>
      <c r="W111" s="72"/>
    </row>
    <row r="112" spans="3:24" x14ac:dyDescent="0.2">
      <c r="C112" s="7" t="str">
        <f>"Total Expenditure ($ "&amp;Assumptions!$C$35&amp;")"</f>
        <v>Total Expenditure ($ June 2026)</v>
      </c>
      <c r="D112" s="7" t="s">
        <v>70</v>
      </c>
      <c r="E112" s="7"/>
      <c r="F112" s="7"/>
      <c r="G112" s="7"/>
      <c r="H112" s="2"/>
      <c r="I112" s="7"/>
      <c r="J112" s="10"/>
      <c r="K112" s="2"/>
      <c r="L112" s="7"/>
      <c r="M112" s="7"/>
      <c r="N112" s="7"/>
      <c r="O112" s="7"/>
      <c r="P112" s="7"/>
      <c r="Q112" s="2"/>
      <c r="R112" s="8">
        <f>R106+R110</f>
        <v>0</v>
      </c>
      <c r="S112" s="8">
        <f>S106+S110</f>
        <v>0</v>
      </c>
      <c r="T112" s="8">
        <f>T106+T110</f>
        <v>0</v>
      </c>
      <c r="U112" s="8">
        <f>U106+U110</f>
        <v>0</v>
      </c>
      <c r="V112" s="8">
        <f>V106+V110</f>
        <v>0</v>
      </c>
      <c r="W112" s="73">
        <f t="shared" si="21"/>
        <v>0</v>
      </c>
    </row>
    <row r="113" spans="3:24" x14ac:dyDescent="0.2">
      <c r="H113" s="2"/>
      <c r="K113" s="2"/>
      <c r="Q113" s="2"/>
      <c r="R113" s="46">
        <f>SUM(R10:R69)*business_case_dollars-R112</f>
        <v>0</v>
      </c>
      <c r="S113" s="46">
        <f>SUM(S10:S69)*business_case_dollars-S112</f>
        <v>0</v>
      </c>
      <c r="T113" s="46">
        <f>SUM(T10:T69)*business_case_dollars-T112</f>
        <v>0</v>
      </c>
      <c r="U113" s="46">
        <f>SUM(U10:U69)*business_case_dollars-U112</f>
        <v>0</v>
      </c>
      <c r="V113" s="46">
        <f>SUM(V10:V69)*business_case_dollars-V112</f>
        <v>0</v>
      </c>
      <c r="W113" s="46">
        <f>SUM(R10:V69)*business_case_dollars-W112</f>
        <v>0</v>
      </c>
      <c r="X113" s="46">
        <f>SUM(R113:W113)</f>
        <v>0</v>
      </c>
    </row>
    <row r="114" spans="3:24" x14ac:dyDescent="0.2">
      <c r="C114" s="55" t="str">
        <f>"NPV ($ "&amp;Assumptions!$C$35&amp;")"</f>
        <v>NPV ($ June 2026)</v>
      </c>
      <c r="D114" s="56">
        <f>NPV(Real_Discount_rate,R112:V112)</f>
        <v>0</v>
      </c>
      <c r="H114" s="2"/>
      <c r="K114" s="2"/>
      <c r="Q114" s="2"/>
      <c r="R114" s="52"/>
      <c r="S114" s="52"/>
      <c r="T114" s="52"/>
      <c r="U114" s="52"/>
      <c r="V114" s="52"/>
    </row>
    <row r="117" spans="3:24" x14ac:dyDescent="0.2">
      <c r="C117" s="4" t="s">
        <v>67</v>
      </c>
      <c r="G117" s="3"/>
      <c r="H117" s="2"/>
      <c r="K117" s="2"/>
      <c r="Q117" s="2"/>
      <c r="R117" s="69" t="s">
        <v>6</v>
      </c>
      <c r="S117" s="69" t="s">
        <v>7</v>
      </c>
      <c r="T117" s="69" t="s">
        <v>8</v>
      </c>
      <c r="U117" s="69" t="s">
        <v>9</v>
      </c>
      <c r="V117" s="69" t="s">
        <v>10</v>
      </c>
      <c r="W117" s="113" t="s">
        <v>0</v>
      </c>
    </row>
    <row r="118" spans="3:24" x14ac:dyDescent="0.2">
      <c r="C118" s="24" t="s">
        <v>95</v>
      </c>
      <c r="D118" s="24" t="s">
        <v>53</v>
      </c>
      <c r="E118" s="24"/>
      <c r="F118" s="24"/>
      <c r="G118" s="24" t="s">
        <v>51</v>
      </c>
      <c r="H118" s="2"/>
      <c r="I118" s="66"/>
      <c r="J118" s="67"/>
      <c r="K118" s="2"/>
      <c r="L118" s="24"/>
      <c r="M118" s="24"/>
      <c r="N118" s="24"/>
      <c r="O118" s="24"/>
      <c r="P118" s="24"/>
      <c r="Q118" s="2"/>
      <c r="R118" s="25">
        <f t="shared" ref="R118:V125" si="26">R89*business_case_dollars</f>
        <v>0</v>
      </c>
      <c r="S118" s="25">
        <f t="shared" si="26"/>
        <v>0</v>
      </c>
      <c r="T118" s="25">
        <f t="shared" si="26"/>
        <v>0</v>
      </c>
      <c r="U118" s="25">
        <f t="shared" si="26"/>
        <v>0</v>
      </c>
      <c r="V118" s="25">
        <f t="shared" si="26"/>
        <v>0</v>
      </c>
      <c r="W118" s="71">
        <f t="shared" ref="W118:W125" si="27">SUM(R118:V118)</f>
        <v>0</v>
      </c>
    </row>
    <row r="119" spans="3:24" x14ac:dyDescent="0.2">
      <c r="C119" s="1" t="s">
        <v>95</v>
      </c>
      <c r="D119" s="1" t="s">
        <v>40</v>
      </c>
      <c r="G119" s="1" t="s">
        <v>51</v>
      </c>
      <c r="H119" s="2"/>
      <c r="K119" s="2"/>
      <c r="Q119" s="2"/>
      <c r="R119" s="6">
        <f t="shared" si="26"/>
        <v>0</v>
      </c>
      <c r="S119" s="6">
        <f t="shared" si="26"/>
        <v>0</v>
      </c>
      <c r="T119" s="6">
        <f t="shared" si="26"/>
        <v>0</v>
      </c>
      <c r="U119" s="6">
        <f t="shared" si="26"/>
        <v>0</v>
      </c>
      <c r="V119" s="6">
        <f t="shared" si="26"/>
        <v>0</v>
      </c>
      <c r="W119" s="72">
        <f t="shared" si="27"/>
        <v>0</v>
      </c>
    </row>
    <row r="120" spans="3:24" x14ac:dyDescent="0.2">
      <c r="C120" s="1" t="s">
        <v>110</v>
      </c>
      <c r="D120" s="1" t="s">
        <v>53</v>
      </c>
      <c r="G120" s="1" t="s">
        <v>51</v>
      </c>
      <c r="H120" s="2"/>
      <c r="I120" s="68"/>
      <c r="K120" s="2"/>
      <c r="Q120" s="2"/>
      <c r="R120" s="23">
        <f t="shared" si="26"/>
        <v>0</v>
      </c>
      <c r="S120" s="23">
        <f t="shared" si="26"/>
        <v>0</v>
      </c>
      <c r="T120" s="23">
        <f t="shared" si="26"/>
        <v>0</v>
      </c>
      <c r="U120" s="23">
        <f t="shared" si="26"/>
        <v>0</v>
      </c>
      <c r="V120" s="23">
        <f t="shared" si="26"/>
        <v>0</v>
      </c>
      <c r="W120" s="23">
        <f t="shared" si="27"/>
        <v>0</v>
      </c>
    </row>
    <row r="121" spans="3:24" x14ac:dyDescent="0.2">
      <c r="C121" s="1" t="s">
        <v>111</v>
      </c>
      <c r="D121" s="1" t="s">
        <v>53</v>
      </c>
      <c r="G121" s="1" t="s">
        <v>51</v>
      </c>
      <c r="H121" s="2"/>
      <c r="I121" s="68"/>
      <c r="K121" s="2"/>
      <c r="Q121" s="2"/>
      <c r="R121" s="6">
        <f t="shared" si="26"/>
        <v>0</v>
      </c>
      <c r="S121" s="6">
        <f t="shared" si="26"/>
        <v>0</v>
      </c>
      <c r="T121" s="6">
        <f t="shared" si="26"/>
        <v>0</v>
      </c>
      <c r="U121" s="6">
        <f t="shared" si="26"/>
        <v>0</v>
      </c>
      <c r="V121" s="6">
        <f t="shared" si="26"/>
        <v>0</v>
      </c>
      <c r="W121" s="72">
        <f t="shared" si="27"/>
        <v>0</v>
      </c>
    </row>
    <row r="122" spans="3:24" x14ac:dyDescent="0.2">
      <c r="C122" s="1" t="s">
        <v>116</v>
      </c>
      <c r="D122" s="1" t="s">
        <v>53</v>
      </c>
      <c r="G122" s="1" t="s">
        <v>51</v>
      </c>
      <c r="H122" s="2"/>
      <c r="I122" s="68"/>
      <c r="K122" s="2"/>
      <c r="Q122" s="2"/>
      <c r="R122" s="6">
        <f t="shared" si="26"/>
        <v>0</v>
      </c>
      <c r="S122" s="6">
        <f t="shared" si="26"/>
        <v>0</v>
      </c>
      <c r="T122" s="6">
        <f t="shared" si="26"/>
        <v>0</v>
      </c>
      <c r="U122" s="6">
        <f t="shared" si="26"/>
        <v>0</v>
      </c>
      <c r="V122" s="6">
        <f t="shared" si="26"/>
        <v>0</v>
      </c>
      <c r="W122" s="72">
        <f t="shared" si="27"/>
        <v>0</v>
      </c>
    </row>
    <row r="123" spans="3:24" x14ac:dyDescent="0.2">
      <c r="C123" s="1" t="s">
        <v>122</v>
      </c>
      <c r="D123" s="1" t="s">
        <v>53</v>
      </c>
      <c r="G123" s="1" t="s">
        <v>51</v>
      </c>
      <c r="H123" s="2"/>
      <c r="I123" s="68"/>
      <c r="K123" s="2"/>
      <c r="Q123" s="2"/>
      <c r="R123" s="23">
        <f t="shared" si="26"/>
        <v>0</v>
      </c>
      <c r="S123" s="23">
        <f t="shared" si="26"/>
        <v>0</v>
      </c>
      <c r="T123" s="23">
        <f t="shared" si="26"/>
        <v>0</v>
      </c>
      <c r="U123" s="23">
        <f t="shared" si="26"/>
        <v>0</v>
      </c>
      <c r="V123" s="23">
        <f t="shared" si="26"/>
        <v>0</v>
      </c>
      <c r="W123" s="23">
        <f t="shared" si="27"/>
        <v>0</v>
      </c>
    </row>
    <row r="124" spans="3:24" x14ac:dyDescent="0.2">
      <c r="C124" s="1" t="s">
        <v>123</v>
      </c>
      <c r="D124" s="1" t="s">
        <v>53</v>
      </c>
      <c r="G124" s="1" t="s">
        <v>51</v>
      </c>
      <c r="H124" s="2"/>
      <c r="I124" s="68"/>
      <c r="K124" s="2"/>
      <c r="Q124" s="2"/>
      <c r="R124" s="23">
        <f t="shared" si="26"/>
        <v>0</v>
      </c>
      <c r="S124" s="23">
        <f t="shared" si="26"/>
        <v>0</v>
      </c>
      <c r="T124" s="23">
        <f t="shared" si="26"/>
        <v>0</v>
      </c>
      <c r="U124" s="23">
        <f t="shared" si="26"/>
        <v>0</v>
      </c>
      <c r="V124" s="23">
        <f t="shared" si="26"/>
        <v>0</v>
      </c>
      <c r="W124" s="23">
        <f t="shared" si="27"/>
        <v>0</v>
      </c>
    </row>
    <row r="125" spans="3:24" x14ac:dyDescent="0.2">
      <c r="C125" s="1" t="s">
        <v>125</v>
      </c>
      <c r="D125" s="1" t="s">
        <v>53</v>
      </c>
      <c r="G125" s="1" t="s">
        <v>51</v>
      </c>
      <c r="H125" s="2"/>
      <c r="I125" s="68"/>
      <c r="K125" s="2"/>
      <c r="Q125" s="2"/>
      <c r="R125" s="151">
        <f t="shared" si="26"/>
        <v>0</v>
      </c>
      <c r="S125" s="151">
        <f t="shared" si="26"/>
        <v>0</v>
      </c>
      <c r="T125" s="151">
        <f t="shared" si="26"/>
        <v>0</v>
      </c>
      <c r="U125" s="151">
        <f t="shared" si="26"/>
        <v>0</v>
      </c>
      <c r="V125" s="151">
        <f t="shared" si="26"/>
        <v>0</v>
      </c>
      <c r="W125" s="151">
        <f t="shared" si="27"/>
        <v>0</v>
      </c>
    </row>
    <row r="126" spans="3:24" x14ac:dyDescent="0.2">
      <c r="C126" s="7" t="str">
        <f>"Total Expenditure ($ "&amp;Assumptions!$C$35&amp;")"</f>
        <v>Total Expenditure ($ June 2026)</v>
      </c>
      <c r="D126" s="7"/>
      <c r="E126" s="7"/>
      <c r="F126" s="7"/>
      <c r="G126" s="7"/>
      <c r="H126" s="2"/>
      <c r="I126" s="7"/>
      <c r="J126" s="10"/>
      <c r="K126" s="2"/>
      <c r="L126" s="7"/>
      <c r="M126" s="7"/>
      <c r="N126" s="7"/>
      <c r="O126" s="7"/>
      <c r="P126" s="7"/>
      <c r="Q126" s="2"/>
      <c r="R126" s="8">
        <f>SUM(R118:R125)</f>
        <v>0</v>
      </c>
      <c r="S126" s="8">
        <f t="shared" ref="S126:W126" si="28">SUM(S118:S125)</f>
        <v>0</v>
      </c>
      <c r="T126" s="8">
        <f t="shared" si="28"/>
        <v>0</v>
      </c>
      <c r="U126" s="8">
        <f t="shared" si="28"/>
        <v>0</v>
      </c>
      <c r="V126" s="8">
        <f t="shared" si="28"/>
        <v>0</v>
      </c>
      <c r="W126" s="8">
        <f t="shared" si="28"/>
        <v>0</v>
      </c>
    </row>
    <row r="127" spans="3:24" x14ac:dyDescent="0.2">
      <c r="C127" s="45" t="s">
        <v>68</v>
      </c>
      <c r="D127" s="45"/>
      <c r="E127" s="45"/>
      <c r="F127" s="45"/>
      <c r="G127" s="45"/>
      <c r="H127" s="2"/>
      <c r="I127" s="45"/>
      <c r="J127" s="45"/>
      <c r="K127" s="2"/>
      <c r="L127" s="45"/>
      <c r="M127" s="45"/>
      <c r="N127" s="45"/>
      <c r="O127" s="45"/>
      <c r="P127" s="45"/>
      <c r="Q127" s="2"/>
      <c r="R127" s="46">
        <f>R126-SUM(R$10:R$69)*business_case_dollars</f>
        <v>0</v>
      </c>
      <c r="S127" s="46">
        <f>S126-SUM(S$10:S$69)*business_case_dollars</f>
        <v>0</v>
      </c>
      <c r="T127" s="46">
        <f>T126-SUM(T$10:T$69)*business_case_dollars</f>
        <v>0</v>
      </c>
      <c r="U127" s="46">
        <f>U126-SUM(U$10:U$69)*business_case_dollars</f>
        <v>0</v>
      </c>
      <c r="V127" s="46">
        <f>V126-SUM(V$10:V$69)*business_case_dollars</f>
        <v>0</v>
      </c>
      <c r="W127" s="46">
        <f>W126-SUM(R$10:V$69)*business_case_dollars</f>
        <v>0</v>
      </c>
      <c r="X127" s="46">
        <f>SUM(R127:W127)</f>
        <v>0</v>
      </c>
    </row>
  </sheetData>
  <conditionalFormatting sqref="I10:I69">
    <cfRule type="expression" dxfId="32" priority="14">
      <formula>$E10="Contracts"</formula>
    </cfRule>
    <cfRule type="expression" dxfId="31" priority="15">
      <formula>$E10="Materials"</formula>
    </cfRule>
    <cfRule type="expression" dxfId="30" priority="16">
      <formula>$E10="Labour"</formula>
    </cfRule>
  </conditionalFormatting>
  <conditionalFormatting sqref="R83:W83">
    <cfRule type="expression" dxfId="29" priority="7">
      <formula>ABS(R83)&gt;0.001</formula>
    </cfRule>
  </conditionalFormatting>
  <conditionalFormatting sqref="R98:W101">
    <cfRule type="expression" dxfId="28" priority="4">
      <formula>ABS(R98)&gt;0.001</formula>
    </cfRule>
  </conditionalFormatting>
  <conditionalFormatting sqref="R113:W113">
    <cfRule type="expression" dxfId="27" priority="8">
      <formula>ABS(R113)&gt;0.001</formula>
    </cfRule>
  </conditionalFormatting>
  <conditionalFormatting sqref="R127:W127">
    <cfRule type="expression" dxfId="26" priority="1">
      <formula>ABS(R127)&gt;0.001</formula>
    </cfRule>
  </conditionalFormatting>
  <conditionalFormatting sqref="X83">
    <cfRule type="expression" dxfId="25" priority="20">
      <formula>ABS(X83)&gt;0.001</formula>
    </cfRule>
  </conditionalFormatting>
  <conditionalFormatting sqref="X98:X101">
    <cfRule type="expression" dxfId="24" priority="5">
      <formula>ABS(X98)&gt;0.001</formula>
    </cfRule>
  </conditionalFormatting>
  <conditionalFormatting sqref="X113">
    <cfRule type="expression" dxfId="23" priority="10">
      <formula>ABS(X113)&gt;0.001</formula>
    </cfRule>
  </conditionalFormatting>
  <conditionalFormatting sqref="X127">
    <cfRule type="expression" dxfId="22" priority="2">
      <formula>ABS(X127)&gt;0.001</formula>
    </cfRule>
  </conditionalFormatting>
  <dataValidations disablePrompts="1" count="3">
    <dataValidation type="list" allowBlank="1" showInputMessage="1" showErrorMessage="1" sqref="E10:E69" xr:uid="{B0E8B852-301B-4563-9163-FFDB1711704F}">
      <formula1>"Labour, Materials, Contracts"</formula1>
    </dataValidation>
    <dataValidation type="list" allowBlank="1" showInputMessage="1" showErrorMessage="1" sqref="D10:D69" xr:uid="{056126DF-837A-45EA-97BA-3AA3767E7A6C}">
      <formula1>"Capex, Opex"</formula1>
    </dataValidation>
    <dataValidation type="list" allowBlank="1" showInputMessage="1" showErrorMessage="1" sqref="G10:G69" xr:uid="{A87B8CA9-9117-400F-B444-E498C5629FFA}">
      <formula1>"Recurrent, Non recurrent"</formula1>
    </dataValidation>
  </dataValidations>
  <pageMargins left="0.7" right="0.7" top="0.75" bottom="0.75" header="0.3" footer="0.3"/>
  <pageSetup paperSize="9" orientation="portrait" r:id="rId1"/>
  <ignoredErrors>
    <ignoredError sqref="R76:W76 R106:W106" formula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69FB3C-4E4B-4F0D-B5CA-250C86D70AF7}">
  <dimension ref="A1:AA127"/>
  <sheetViews>
    <sheetView showGridLines="0" zoomScale="80" zoomScaleNormal="80" workbookViewId="0">
      <pane ySplit="9" topLeftCell="A10" activePane="bottomLeft" state="frozen"/>
      <selection activeCell="H17" sqref="H17"/>
      <selection pane="bottomLeft" activeCell="H17" sqref="H17"/>
    </sheetView>
  </sheetViews>
  <sheetFormatPr defaultColWidth="9.140625" defaultRowHeight="12.75" x14ac:dyDescent="0.2"/>
  <cols>
    <col min="1" max="1" width="2.28515625" style="1" customWidth="1"/>
    <col min="2" max="2" width="1.5703125" style="1" customWidth="1"/>
    <col min="3" max="3" width="75.7109375" style="1" customWidth="1"/>
    <col min="4" max="4" width="12.7109375" style="1" bestFit="1" customWidth="1"/>
    <col min="5" max="5" width="9.42578125" style="1" bestFit="1" customWidth="1"/>
    <col min="6" max="6" width="17.28515625" style="1" bestFit="1" customWidth="1"/>
    <col min="7" max="7" width="13" style="1" bestFit="1" customWidth="1"/>
    <col min="8" max="8" width="2.85546875" style="1" customWidth="1"/>
    <col min="9" max="9" width="12.140625" style="1" customWidth="1"/>
    <col min="10" max="10" width="6.28515625" style="9" bestFit="1" customWidth="1"/>
    <col min="11" max="11" width="2.85546875" style="1" customWidth="1"/>
    <col min="12" max="16" width="12.140625" style="1" customWidth="1"/>
    <col min="17" max="17" width="2.85546875" style="1" customWidth="1"/>
    <col min="18" max="22" width="12.140625" style="1" customWidth="1"/>
    <col min="23" max="23" width="13" style="1" customWidth="1"/>
    <col min="24" max="16384" width="9.140625" style="1"/>
  </cols>
  <sheetData>
    <row r="1" spans="1:27" ht="21" x14ac:dyDescent="0.35">
      <c r="A1" s="63" t="str">
        <f>Project_name</f>
        <v>Property recurrent</v>
      </c>
      <c r="B1" s="14"/>
      <c r="C1" s="11"/>
      <c r="D1" s="11"/>
      <c r="E1" s="11"/>
      <c r="F1" s="11"/>
      <c r="G1" s="11"/>
      <c r="H1" s="11"/>
      <c r="I1" s="11"/>
      <c r="J1" s="12"/>
      <c r="K1" s="11"/>
      <c r="L1" s="11"/>
      <c r="M1" s="11"/>
      <c r="N1" s="11"/>
      <c r="O1" s="11"/>
      <c r="P1" s="11"/>
      <c r="Q1" s="11"/>
      <c r="R1" s="11"/>
      <c r="S1" s="11"/>
      <c r="T1" s="11"/>
      <c r="U1" s="11"/>
      <c r="V1" s="11"/>
    </row>
    <row r="2" spans="1:27" ht="15.75" x14ac:dyDescent="0.25">
      <c r="A2" s="60" t="str">
        <f>Business</f>
        <v>Powercor</v>
      </c>
      <c r="B2" s="13"/>
      <c r="C2" s="11"/>
      <c r="D2" s="11"/>
      <c r="E2" s="11"/>
      <c r="F2" s="11"/>
      <c r="G2" s="11"/>
      <c r="H2" s="11"/>
      <c r="I2" s="11"/>
      <c r="J2" s="12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</row>
    <row r="3" spans="1:27" s="32" customFormat="1" ht="15.75" x14ac:dyDescent="0.25">
      <c r="A3" s="30" t="s">
        <v>19</v>
      </c>
      <c r="B3" s="30"/>
      <c r="C3" s="30"/>
      <c r="D3" s="30"/>
      <c r="E3" s="30"/>
      <c r="F3" s="30"/>
      <c r="G3" s="30"/>
      <c r="H3" s="30"/>
      <c r="I3" s="30"/>
      <c r="J3" s="31"/>
      <c r="K3" s="30"/>
      <c r="L3" s="30"/>
      <c r="M3" s="30"/>
      <c r="N3" s="30"/>
      <c r="O3" s="30"/>
      <c r="P3" s="30"/>
      <c r="Q3" s="30"/>
      <c r="R3" s="13"/>
      <c r="S3" s="11"/>
      <c r="T3" s="11"/>
      <c r="U3" s="11"/>
      <c r="V3" s="11"/>
      <c r="X3" s="48" t="b">
        <f>SUM(X7:X70)=0</f>
        <v>1</v>
      </c>
    </row>
    <row r="4" spans="1:27" ht="12.75" customHeight="1" x14ac:dyDescent="0.25">
      <c r="B4" s="15"/>
      <c r="C4" s="16"/>
      <c r="D4" s="16"/>
      <c r="E4" s="16"/>
      <c r="F4" s="16"/>
      <c r="G4" s="16"/>
      <c r="H4" s="16"/>
      <c r="I4" s="16"/>
      <c r="J4" s="17"/>
      <c r="K4" s="16"/>
      <c r="L4" s="16"/>
      <c r="M4" s="16"/>
      <c r="N4" s="16"/>
      <c r="O4" s="16"/>
      <c r="P4" s="16"/>
      <c r="Q4" s="16"/>
      <c r="R4" s="16"/>
      <c r="S4" s="16"/>
      <c r="T4" s="16"/>
      <c r="U4" s="16"/>
      <c r="V4" s="16"/>
    </row>
    <row r="5" spans="1:27" ht="12.75" customHeight="1" x14ac:dyDescent="0.2">
      <c r="A5" s="1" t="str">
        <f>"Inputs are in $"&amp;Assumptions!$B$12&amp; " unless otherwise stated"</f>
        <v>Inputs are in $June 2024 unless otherwise stated</v>
      </c>
      <c r="B5" s="18"/>
      <c r="C5" s="16"/>
      <c r="D5" s="16"/>
      <c r="E5" s="16"/>
      <c r="F5" s="16"/>
      <c r="G5" s="16"/>
      <c r="H5" s="16"/>
      <c r="I5" s="16"/>
      <c r="J5" s="17"/>
      <c r="K5" s="16"/>
      <c r="L5" s="16"/>
      <c r="M5" s="16"/>
      <c r="N5" s="16"/>
      <c r="O5" s="16"/>
      <c r="P5" s="16"/>
      <c r="Q5" s="16"/>
      <c r="R5" s="16"/>
      <c r="S5" s="16"/>
      <c r="T5" s="16"/>
      <c r="U5" s="16"/>
      <c r="V5" s="16"/>
    </row>
    <row r="6" spans="1:27" ht="12.75" customHeight="1" x14ac:dyDescent="0.2">
      <c r="A6" s="4"/>
      <c r="H6" s="16"/>
    </row>
    <row r="7" spans="1:27" ht="12.75" customHeight="1" x14ac:dyDescent="0.2">
      <c r="A7" s="4"/>
      <c r="C7" s="50" t="s">
        <v>41</v>
      </c>
      <c r="D7" s="65" t="s">
        <v>42</v>
      </c>
      <c r="E7" s="65" t="s">
        <v>43</v>
      </c>
      <c r="F7" s="65" t="s">
        <v>108</v>
      </c>
      <c r="G7" s="111" t="s">
        <v>44</v>
      </c>
      <c r="H7" s="16"/>
      <c r="I7" s="19" t="s">
        <v>11</v>
      </c>
      <c r="J7" s="19" t="s">
        <v>45</v>
      </c>
      <c r="L7" s="19" t="s">
        <v>46</v>
      </c>
      <c r="M7" s="20"/>
      <c r="N7" s="20"/>
      <c r="O7" s="20"/>
      <c r="P7" s="20"/>
      <c r="R7" s="19" t="s">
        <v>47</v>
      </c>
      <c r="S7" s="20"/>
      <c r="T7" s="20"/>
      <c r="U7" s="20"/>
      <c r="V7" s="20"/>
    </row>
    <row r="8" spans="1:27" ht="12.75" customHeight="1" x14ac:dyDescent="0.2">
      <c r="A8" s="4"/>
      <c r="B8" s="4"/>
      <c r="C8" s="100"/>
      <c r="D8" s="100" t="s">
        <v>40</v>
      </c>
      <c r="E8" s="100"/>
      <c r="F8" s="100"/>
      <c r="G8" s="100" t="s">
        <v>48</v>
      </c>
      <c r="H8" s="16"/>
      <c r="I8" s="110" t="s">
        <v>49</v>
      </c>
      <c r="J8" s="100"/>
      <c r="L8" s="51" t="s">
        <v>6</v>
      </c>
      <c r="M8" s="51" t="s">
        <v>7</v>
      </c>
      <c r="N8" s="51" t="s">
        <v>8</v>
      </c>
      <c r="O8" s="51" t="s">
        <v>9</v>
      </c>
      <c r="P8" s="51" t="s">
        <v>10</v>
      </c>
      <c r="R8" s="51" t="s">
        <v>6</v>
      </c>
      <c r="S8" s="51" t="s">
        <v>7</v>
      </c>
      <c r="T8" s="51" t="s">
        <v>8</v>
      </c>
      <c r="U8" s="51" t="s">
        <v>9</v>
      </c>
      <c r="V8" s="51" t="s">
        <v>10</v>
      </c>
    </row>
    <row r="9" spans="1:27" ht="12.75" customHeight="1" x14ac:dyDescent="0.2">
      <c r="H9" s="16"/>
    </row>
    <row r="10" spans="1:27" ht="12.75" customHeight="1" x14ac:dyDescent="0.2">
      <c r="A10" s="4"/>
      <c r="C10" s="81" t="s">
        <v>50</v>
      </c>
      <c r="D10" s="82" t="s">
        <v>40</v>
      </c>
      <c r="E10" s="82" t="s">
        <v>14</v>
      </c>
      <c r="F10" s="82" t="s">
        <v>95</v>
      </c>
      <c r="G10" s="80" t="s">
        <v>51</v>
      </c>
      <c r="H10" s="2"/>
      <c r="I10" s="64">
        <f>IF($E10="Labour",Assumptions!$B$14,)</f>
        <v>0</v>
      </c>
      <c r="J10" s="9" t="str">
        <f>IF($E10="Labour","Hours","$")</f>
        <v>$</v>
      </c>
      <c r="K10" s="2"/>
      <c r="L10" s="83">
        <v>33659.1</v>
      </c>
      <c r="M10" s="83">
        <v>33659.1</v>
      </c>
      <c r="N10" s="83">
        <v>33659.1</v>
      </c>
      <c r="O10" s="83">
        <v>33659.1</v>
      </c>
      <c r="P10" s="83">
        <v>33659.1</v>
      </c>
      <c r="Q10" s="2"/>
      <c r="R10" s="5">
        <f t="shared" ref="R10:R34" si="0">IF($E10="Labour",$I10*L10,L10)</f>
        <v>33659.1</v>
      </c>
      <c r="S10" s="5">
        <f t="shared" ref="S10:S34" si="1">IF($E10="Labour",$I10*M10,M10)</f>
        <v>33659.1</v>
      </c>
      <c r="T10" s="5">
        <f t="shared" ref="T10:T34" si="2">IF($E10="Labour",$I10*N10,N10)</f>
        <v>33659.1</v>
      </c>
      <c r="U10" s="5">
        <f t="shared" ref="U10:U34" si="3">IF($E10="Labour",$I10*O10,O10)</f>
        <v>33659.1</v>
      </c>
      <c r="V10" s="5">
        <f t="shared" ref="V10:V34" si="4">IF($E10="Labour",$I10*P10,P10)</f>
        <v>33659.1</v>
      </c>
    </row>
    <row r="11" spans="1:27" ht="12.75" customHeight="1" x14ac:dyDescent="0.2">
      <c r="A11" s="4"/>
      <c r="C11" s="81" t="s">
        <v>52</v>
      </c>
      <c r="D11" s="82" t="s">
        <v>53</v>
      </c>
      <c r="E11" s="82" t="s">
        <v>11</v>
      </c>
      <c r="F11" s="82" t="s">
        <v>95</v>
      </c>
      <c r="G11" s="80" t="s">
        <v>51</v>
      </c>
      <c r="H11" s="2"/>
      <c r="I11" s="64">
        <f>IF($E11="Labour",Assumptions!$B$14,)</f>
        <v>145.77740895836223</v>
      </c>
      <c r="J11" s="9" t="str">
        <f t="shared" ref="J11:J34" si="5">IF($E11="Labour","Hours","$")</f>
        <v>Hours</v>
      </c>
      <c r="K11" s="2"/>
      <c r="L11" s="83">
        <f>93837.5/I11</f>
        <v>643.70399138320806</v>
      </c>
      <c r="M11" s="83">
        <f>93837.5/I11</f>
        <v>643.70399138320806</v>
      </c>
      <c r="N11" s="83">
        <f>93837.5/I11</f>
        <v>643.70399138320806</v>
      </c>
      <c r="O11" s="83">
        <f>93837.5/I11</f>
        <v>643.70399138320806</v>
      </c>
      <c r="P11" s="83">
        <f>93837.5/I11</f>
        <v>643.70399138320806</v>
      </c>
      <c r="Q11" s="2"/>
      <c r="R11" s="5">
        <f t="shared" si="0"/>
        <v>93837.5</v>
      </c>
      <c r="S11" s="5">
        <f t="shared" si="1"/>
        <v>93837.5</v>
      </c>
      <c r="T11" s="5">
        <f t="shared" si="2"/>
        <v>93837.5</v>
      </c>
      <c r="U11" s="5">
        <f t="shared" si="3"/>
        <v>93837.5</v>
      </c>
      <c r="V11" s="5">
        <f t="shared" si="4"/>
        <v>93837.5</v>
      </c>
    </row>
    <row r="12" spans="1:27" ht="12.75" customHeight="1" x14ac:dyDescent="0.2">
      <c r="A12" s="4"/>
      <c r="C12" s="81" t="s">
        <v>54</v>
      </c>
      <c r="D12" s="82" t="s">
        <v>53</v>
      </c>
      <c r="E12" s="82" t="s">
        <v>13</v>
      </c>
      <c r="F12" s="82" t="s">
        <v>95</v>
      </c>
      <c r="G12" s="80" t="s">
        <v>51</v>
      </c>
      <c r="H12" s="2"/>
      <c r="I12" s="64">
        <f>IF($E12="Labour",Assumptions!$B$14,)</f>
        <v>0</v>
      </c>
      <c r="J12" s="9" t="str">
        <f t="shared" si="5"/>
        <v>$</v>
      </c>
      <c r="K12" s="2"/>
      <c r="L12" s="83">
        <v>120000</v>
      </c>
      <c r="M12" s="83">
        <v>120000</v>
      </c>
      <c r="N12" s="83">
        <v>120000</v>
      </c>
      <c r="O12" s="83">
        <v>120000</v>
      </c>
      <c r="P12" s="83">
        <v>120000</v>
      </c>
      <c r="Q12" s="2"/>
      <c r="R12" s="5">
        <f t="shared" si="0"/>
        <v>120000</v>
      </c>
      <c r="S12" s="5">
        <f t="shared" si="1"/>
        <v>120000</v>
      </c>
      <c r="T12" s="5">
        <f t="shared" si="2"/>
        <v>120000</v>
      </c>
      <c r="U12" s="5">
        <f t="shared" si="3"/>
        <v>120000</v>
      </c>
      <c r="V12" s="5">
        <f t="shared" si="4"/>
        <v>120000</v>
      </c>
    </row>
    <row r="13" spans="1:27" ht="12.75" customHeight="1" x14ac:dyDescent="0.25">
      <c r="A13" s="4"/>
      <c r="C13" s="81" t="s">
        <v>55</v>
      </c>
      <c r="D13" s="82" t="s">
        <v>40</v>
      </c>
      <c r="E13" s="82" t="s">
        <v>11</v>
      </c>
      <c r="F13" s="82" t="s">
        <v>95</v>
      </c>
      <c r="G13" s="80" t="s">
        <v>51</v>
      </c>
      <c r="H13" s="2"/>
      <c r="I13" s="64">
        <f>IF($E13="Labour",Assumptions!$B$14,)</f>
        <v>145.77740895836223</v>
      </c>
      <c r="J13" s="9" t="str">
        <f t="shared" si="5"/>
        <v>Hours</v>
      </c>
      <c r="K13" s="2"/>
      <c r="L13" s="83">
        <f>46823.616/I13</f>
        <v>321.19939800393922</v>
      </c>
      <c r="M13" s="83">
        <f>46823.616/I13</f>
        <v>321.19939800393922</v>
      </c>
      <c r="N13" s="83">
        <f>46823.616/I13</f>
        <v>321.19939800393922</v>
      </c>
      <c r="O13" s="83">
        <f>46823.616/I13</f>
        <v>321.19939800393922</v>
      </c>
      <c r="P13" s="83">
        <f>46823.616/I13</f>
        <v>321.19939800393922</v>
      </c>
      <c r="Q13" s="2"/>
      <c r="R13" s="5">
        <f t="shared" si="0"/>
        <v>46823.616000000002</v>
      </c>
      <c r="S13" s="5">
        <f t="shared" si="1"/>
        <v>46823.616000000002</v>
      </c>
      <c r="T13" s="5">
        <f t="shared" si="2"/>
        <v>46823.616000000002</v>
      </c>
      <c r="U13" s="5">
        <f t="shared" si="3"/>
        <v>46823.616000000002</v>
      </c>
      <c r="V13" s="5">
        <f t="shared" si="4"/>
        <v>46823.616000000002</v>
      </c>
      <c r="AA13"/>
    </row>
    <row r="14" spans="1:27" ht="12.75" customHeight="1" x14ac:dyDescent="0.25">
      <c r="A14" s="4"/>
      <c r="C14" s="81" t="s">
        <v>103</v>
      </c>
      <c r="D14" s="82" t="s">
        <v>53</v>
      </c>
      <c r="E14" s="82" t="s">
        <v>13</v>
      </c>
      <c r="F14" s="82" t="s">
        <v>95</v>
      </c>
      <c r="G14" s="80" t="s">
        <v>51</v>
      </c>
      <c r="H14" s="2"/>
      <c r="I14" s="64">
        <f>IF($E14="Labour",Assumptions!$B$14,)</f>
        <v>0</v>
      </c>
      <c r="J14" s="9" t="str">
        <f t="shared" si="5"/>
        <v>$</v>
      </c>
      <c r="K14" s="2"/>
      <c r="L14" s="83">
        <v>123189.82</v>
      </c>
      <c r="M14" s="83">
        <v>123189.82</v>
      </c>
      <c r="N14" s="83">
        <v>123189.82</v>
      </c>
      <c r="O14" s="83">
        <v>123189.82</v>
      </c>
      <c r="P14" s="83">
        <v>123189.82</v>
      </c>
      <c r="Q14" s="2"/>
      <c r="R14" s="5">
        <f t="shared" si="0"/>
        <v>123189.82</v>
      </c>
      <c r="S14" s="5">
        <f t="shared" si="1"/>
        <v>123189.82</v>
      </c>
      <c r="T14" s="5">
        <f t="shared" si="2"/>
        <v>123189.82</v>
      </c>
      <c r="U14" s="5">
        <f t="shared" si="3"/>
        <v>123189.82</v>
      </c>
      <c r="V14" s="5">
        <f t="shared" si="4"/>
        <v>123189.82</v>
      </c>
      <c r="AA14"/>
    </row>
    <row r="15" spans="1:27" ht="12.75" customHeight="1" x14ac:dyDescent="0.25">
      <c r="A15" s="4"/>
      <c r="C15" s="81" t="s">
        <v>56</v>
      </c>
      <c r="D15" s="82" t="s">
        <v>40</v>
      </c>
      <c r="E15" s="82" t="s">
        <v>14</v>
      </c>
      <c r="F15" s="82" t="s">
        <v>95</v>
      </c>
      <c r="G15" s="80" t="s">
        <v>51</v>
      </c>
      <c r="H15" s="2"/>
      <c r="I15" s="64">
        <f>IF($E15="Labour",Assumptions!$B$14,)</f>
        <v>0</v>
      </c>
      <c r="J15" s="9" t="str">
        <f t="shared" si="5"/>
        <v>$</v>
      </c>
      <c r="K15" s="2"/>
      <c r="L15" s="83">
        <v>53676</v>
      </c>
      <c r="M15" s="83">
        <v>53676</v>
      </c>
      <c r="N15" s="83">
        <v>53676</v>
      </c>
      <c r="O15" s="83">
        <v>53676</v>
      </c>
      <c r="P15" s="83">
        <v>53676</v>
      </c>
      <c r="Q15" s="2"/>
      <c r="R15" s="5">
        <f t="shared" si="0"/>
        <v>53676</v>
      </c>
      <c r="S15" s="5">
        <f t="shared" si="1"/>
        <v>53676</v>
      </c>
      <c r="T15" s="5">
        <f t="shared" si="2"/>
        <v>53676</v>
      </c>
      <c r="U15" s="5">
        <f t="shared" si="3"/>
        <v>53676</v>
      </c>
      <c r="V15" s="5">
        <f t="shared" si="4"/>
        <v>53676</v>
      </c>
      <c r="AA15"/>
    </row>
    <row r="16" spans="1:27" ht="12.75" customHeight="1" x14ac:dyDescent="0.25">
      <c r="A16" s="4"/>
      <c r="C16" s="81" t="s">
        <v>57</v>
      </c>
      <c r="D16" s="82" t="s">
        <v>53</v>
      </c>
      <c r="E16" s="82" t="s">
        <v>13</v>
      </c>
      <c r="F16" s="82" t="s">
        <v>95</v>
      </c>
      <c r="G16" s="80" t="s">
        <v>51</v>
      </c>
      <c r="H16" s="2"/>
      <c r="I16" s="64">
        <f>IF($E16="Labour",Assumptions!$B$14,)</f>
        <v>0</v>
      </c>
      <c r="J16" s="9" t="str">
        <f t="shared" si="5"/>
        <v>$</v>
      </c>
      <c r="K16" s="2"/>
      <c r="L16" s="83">
        <v>53676</v>
      </c>
      <c r="M16" s="83">
        <v>53676</v>
      </c>
      <c r="N16" s="83">
        <v>53676</v>
      </c>
      <c r="O16" s="83">
        <v>53676</v>
      </c>
      <c r="P16" s="83">
        <v>53676</v>
      </c>
      <c r="Q16" s="2"/>
      <c r="R16" s="5">
        <f t="shared" si="0"/>
        <v>53676</v>
      </c>
      <c r="S16" s="5">
        <f t="shared" si="1"/>
        <v>53676</v>
      </c>
      <c r="T16" s="5">
        <f t="shared" si="2"/>
        <v>53676</v>
      </c>
      <c r="U16" s="5">
        <f t="shared" si="3"/>
        <v>53676</v>
      </c>
      <c r="V16" s="5">
        <f t="shared" si="4"/>
        <v>53676</v>
      </c>
      <c r="AA16"/>
    </row>
    <row r="17" spans="1:27" ht="12.75" customHeight="1" x14ac:dyDescent="0.25">
      <c r="A17" s="4"/>
      <c r="C17" s="81" t="s">
        <v>105</v>
      </c>
      <c r="D17" s="82" t="s">
        <v>40</v>
      </c>
      <c r="E17" s="82" t="s">
        <v>11</v>
      </c>
      <c r="F17" s="82" t="s">
        <v>95</v>
      </c>
      <c r="G17" s="80" t="s">
        <v>51</v>
      </c>
      <c r="H17" s="2"/>
      <c r="I17" s="64">
        <f>IF($E17="Labour",Assumptions!$B$14,)</f>
        <v>145.77740895836223</v>
      </c>
      <c r="J17" s="9" t="str">
        <f t="shared" si="5"/>
        <v>Hours</v>
      </c>
      <c r="K17" s="2"/>
      <c r="L17" s="83">
        <f>80842.8/I17</f>
        <v>554.56329329526488</v>
      </c>
      <c r="M17" s="83">
        <f>80842.8/I17</f>
        <v>554.56329329526488</v>
      </c>
      <c r="N17" s="83">
        <f>80842.8/I17</f>
        <v>554.56329329526488</v>
      </c>
      <c r="O17" s="83">
        <f>80842.8/I17</f>
        <v>554.56329329526488</v>
      </c>
      <c r="P17" s="83">
        <f>80842.8/I17</f>
        <v>554.56329329526488</v>
      </c>
      <c r="Q17" s="2"/>
      <c r="R17" s="5">
        <f t="shared" si="0"/>
        <v>80842.8</v>
      </c>
      <c r="S17" s="5">
        <f t="shared" si="1"/>
        <v>80842.8</v>
      </c>
      <c r="T17" s="5">
        <f t="shared" si="2"/>
        <v>80842.8</v>
      </c>
      <c r="U17" s="5">
        <f t="shared" si="3"/>
        <v>80842.8</v>
      </c>
      <c r="V17" s="5">
        <f t="shared" si="4"/>
        <v>80842.8</v>
      </c>
      <c r="AA17"/>
    </row>
    <row r="18" spans="1:27" ht="12.75" customHeight="1" x14ac:dyDescent="0.25">
      <c r="A18" s="4"/>
      <c r="C18" s="81" t="s">
        <v>58</v>
      </c>
      <c r="D18" s="82" t="s">
        <v>40</v>
      </c>
      <c r="E18" s="82" t="s">
        <v>11</v>
      </c>
      <c r="F18" s="82" t="s">
        <v>95</v>
      </c>
      <c r="G18" s="80" t="s">
        <v>51</v>
      </c>
      <c r="H18" s="2"/>
      <c r="I18" s="64">
        <f>IF($E18="Labour",Assumptions!$B$14,)</f>
        <v>145.77740895836223</v>
      </c>
      <c r="J18" s="9" t="str">
        <f t="shared" si="5"/>
        <v>Hours</v>
      </c>
      <c r="K18" s="2"/>
      <c r="L18" s="83">
        <f>97495/I18</f>
        <v>668.79361278706142</v>
      </c>
      <c r="M18" s="83">
        <f>97495/I18</f>
        <v>668.79361278706142</v>
      </c>
      <c r="N18" s="83">
        <f>97495/I18</f>
        <v>668.79361278706142</v>
      </c>
      <c r="O18" s="83">
        <f>97495/I18</f>
        <v>668.79361278706142</v>
      </c>
      <c r="P18" s="83">
        <f>97495/I18</f>
        <v>668.79361278706142</v>
      </c>
      <c r="Q18" s="2"/>
      <c r="R18" s="5">
        <f t="shared" si="0"/>
        <v>97495.000000000015</v>
      </c>
      <c r="S18" s="5">
        <f t="shared" si="1"/>
        <v>97495.000000000015</v>
      </c>
      <c r="T18" s="5">
        <f t="shared" si="2"/>
        <v>97495.000000000015</v>
      </c>
      <c r="U18" s="5">
        <f t="shared" si="3"/>
        <v>97495.000000000015</v>
      </c>
      <c r="V18" s="5">
        <f t="shared" si="4"/>
        <v>97495.000000000015</v>
      </c>
      <c r="AA18"/>
    </row>
    <row r="19" spans="1:27" ht="12.75" customHeight="1" x14ac:dyDescent="0.25">
      <c r="A19" s="4"/>
      <c r="C19" s="81" t="s">
        <v>37</v>
      </c>
      <c r="D19" s="82" t="s">
        <v>40</v>
      </c>
      <c r="E19" s="82" t="s">
        <v>14</v>
      </c>
      <c r="F19" s="82" t="s">
        <v>95</v>
      </c>
      <c r="G19" s="80" t="s">
        <v>51</v>
      </c>
      <c r="H19" s="2"/>
      <c r="I19" s="64">
        <f>IF($E19="Labour",Assumptions!$B$14,)</f>
        <v>0</v>
      </c>
      <c r="J19" s="9" t="str">
        <f t="shared" si="5"/>
        <v>$</v>
      </c>
      <c r="K19" s="2"/>
      <c r="L19" s="83">
        <v>14295</v>
      </c>
      <c r="M19" s="83">
        <v>14295</v>
      </c>
      <c r="N19" s="83">
        <v>14295</v>
      </c>
      <c r="O19" s="83">
        <v>14295</v>
      </c>
      <c r="P19" s="83">
        <v>14295</v>
      </c>
      <c r="Q19" s="2"/>
      <c r="R19" s="5">
        <f t="shared" si="0"/>
        <v>14295</v>
      </c>
      <c r="S19" s="5">
        <f t="shared" si="1"/>
        <v>14295</v>
      </c>
      <c r="T19" s="5">
        <f t="shared" si="2"/>
        <v>14295</v>
      </c>
      <c r="U19" s="5">
        <f t="shared" si="3"/>
        <v>14295</v>
      </c>
      <c r="V19" s="5">
        <f t="shared" si="4"/>
        <v>14295</v>
      </c>
      <c r="AA19"/>
    </row>
    <row r="20" spans="1:27" ht="12.75" customHeight="1" x14ac:dyDescent="0.25">
      <c r="A20" s="4"/>
      <c r="C20" s="81" t="s">
        <v>38</v>
      </c>
      <c r="D20" s="82" t="s">
        <v>40</v>
      </c>
      <c r="E20" s="82" t="s">
        <v>14</v>
      </c>
      <c r="F20" s="82" t="s">
        <v>95</v>
      </c>
      <c r="G20" s="80" t="s">
        <v>51</v>
      </c>
      <c r="H20" s="2"/>
      <c r="I20" s="64">
        <f>IF($E20="Labour",Assumptions!$B$14,)</f>
        <v>0</v>
      </c>
      <c r="J20" s="9" t="str">
        <f t="shared" si="5"/>
        <v>$</v>
      </c>
      <c r="K20" s="2"/>
      <c r="L20" s="83">
        <v>4775</v>
      </c>
      <c r="M20" s="83">
        <v>4775</v>
      </c>
      <c r="N20" s="83">
        <v>4775</v>
      </c>
      <c r="O20" s="83">
        <v>4775</v>
      </c>
      <c r="P20" s="83">
        <v>4775</v>
      </c>
      <c r="Q20" s="2"/>
      <c r="R20" s="5">
        <f t="shared" si="0"/>
        <v>4775</v>
      </c>
      <c r="S20" s="5">
        <f t="shared" si="1"/>
        <v>4775</v>
      </c>
      <c r="T20" s="5">
        <f t="shared" si="2"/>
        <v>4775</v>
      </c>
      <c r="U20" s="5">
        <f t="shared" si="3"/>
        <v>4775</v>
      </c>
      <c r="V20" s="5">
        <f t="shared" si="4"/>
        <v>4775</v>
      </c>
      <c r="AA20"/>
    </row>
    <row r="21" spans="1:27" ht="12.75" customHeight="1" x14ac:dyDescent="0.25">
      <c r="A21" s="4"/>
      <c r="C21" s="81" t="s">
        <v>39</v>
      </c>
      <c r="D21" s="82" t="s">
        <v>40</v>
      </c>
      <c r="E21" s="82" t="s">
        <v>14</v>
      </c>
      <c r="F21" s="82" t="s">
        <v>95</v>
      </c>
      <c r="G21" s="80" t="s">
        <v>51</v>
      </c>
      <c r="H21" s="2"/>
      <c r="I21" s="64">
        <f>IF($E21="Labour",Assumptions!$B$14,)</f>
        <v>0</v>
      </c>
      <c r="J21" s="9" t="str">
        <f t="shared" si="5"/>
        <v>$</v>
      </c>
      <c r="K21" s="2"/>
      <c r="L21" s="83">
        <v>5050</v>
      </c>
      <c r="M21" s="83">
        <v>5050</v>
      </c>
      <c r="N21" s="83">
        <v>5050</v>
      </c>
      <c r="O21" s="83">
        <v>5050</v>
      </c>
      <c r="P21" s="83">
        <v>5050</v>
      </c>
      <c r="Q21" s="2"/>
      <c r="R21" s="5">
        <f t="shared" si="0"/>
        <v>5050</v>
      </c>
      <c r="S21" s="5">
        <f t="shared" si="1"/>
        <v>5050</v>
      </c>
      <c r="T21" s="5">
        <f t="shared" si="2"/>
        <v>5050</v>
      </c>
      <c r="U21" s="5">
        <f t="shared" si="3"/>
        <v>5050</v>
      </c>
      <c r="V21" s="5">
        <f t="shared" si="4"/>
        <v>5050</v>
      </c>
      <c r="AA21"/>
    </row>
    <row r="22" spans="1:27" ht="12.75" customHeight="1" x14ac:dyDescent="0.25">
      <c r="A22" s="4"/>
      <c r="C22" s="81" t="s">
        <v>59</v>
      </c>
      <c r="D22" s="82" t="s">
        <v>53</v>
      </c>
      <c r="E22" s="82" t="s">
        <v>11</v>
      </c>
      <c r="F22" s="82" t="s">
        <v>95</v>
      </c>
      <c r="G22" s="80" t="s">
        <v>51</v>
      </c>
      <c r="H22" s="2"/>
      <c r="I22" s="64">
        <f>IF($E22="Labour",Assumptions!$B$14,)</f>
        <v>145.77740895836223</v>
      </c>
      <c r="J22" s="9" t="str">
        <f t="shared" si="5"/>
        <v>Hours</v>
      </c>
      <c r="K22" s="2"/>
      <c r="L22" s="83">
        <v>28</v>
      </c>
      <c r="M22" s="83">
        <v>28</v>
      </c>
      <c r="N22" s="83">
        <v>28</v>
      </c>
      <c r="O22" s="83">
        <v>28</v>
      </c>
      <c r="P22" s="83">
        <v>28</v>
      </c>
      <c r="Q22" s="2"/>
      <c r="R22" s="5">
        <f t="shared" si="0"/>
        <v>4081.7674508341424</v>
      </c>
      <c r="S22" s="5">
        <f t="shared" si="1"/>
        <v>4081.7674508341424</v>
      </c>
      <c r="T22" s="5">
        <f t="shared" si="2"/>
        <v>4081.7674508341424</v>
      </c>
      <c r="U22" s="5">
        <f t="shared" si="3"/>
        <v>4081.7674508341424</v>
      </c>
      <c r="V22" s="5">
        <f t="shared" si="4"/>
        <v>4081.7674508341424</v>
      </c>
      <c r="AA22"/>
    </row>
    <row r="23" spans="1:27" ht="12.75" customHeight="1" x14ac:dyDescent="0.25">
      <c r="A23" s="4"/>
      <c r="C23" s="81" t="s">
        <v>60</v>
      </c>
      <c r="D23" s="82" t="s">
        <v>53</v>
      </c>
      <c r="E23" s="82" t="s">
        <v>11</v>
      </c>
      <c r="F23" s="82" t="s">
        <v>95</v>
      </c>
      <c r="G23" s="80" t="s">
        <v>51</v>
      </c>
      <c r="H23" s="2"/>
      <c r="I23" s="64">
        <f>IF($E23="Labour",Assumptions!$B$14,)</f>
        <v>145.77740895836223</v>
      </c>
      <c r="J23" s="9" t="str">
        <f t="shared" si="5"/>
        <v>Hours</v>
      </c>
      <c r="K23" s="2"/>
      <c r="L23" s="83">
        <v>87.5</v>
      </c>
      <c r="M23" s="83">
        <v>87.5</v>
      </c>
      <c r="N23" s="83">
        <v>87.5</v>
      </c>
      <c r="O23" s="83">
        <v>87.5</v>
      </c>
      <c r="P23" s="83">
        <v>87.5</v>
      </c>
      <c r="Q23" s="2"/>
      <c r="R23" s="5">
        <f t="shared" si="0"/>
        <v>12755.523283856695</v>
      </c>
      <c r="S23" s="5">
        <f t="shared" si="1"/>
        <v>12755.523283856695</v>
      </c>
      <c r="T23" s="5">
        <f t="shared" si="2"/>
        <v>12755.523283856695</v>
      </c>
      <c r="U23" s="5">
        <f t="shared" si="3"/>
        <v>12755.523283856695</v>
      </c>
      <c r="V23" s="5">
        <f t="shared" si="4"/>
        <v>12755.523283856695</v>
      </c>
      <c r="AA23"/>
    </row>
    <row r="24" spans="1:27" ht="12.75" customHeight="1" x14ac:dyDescent="0.25">
      <c r="A24" s="4"/>
      <c r="C24" s="81" t="s">
        <v>61</v>
      </c>
      <c r="D24" s="82" t="s">
        <v>53</v>
      </c>
      <c r="E24" s="82" t="s">
        <v>13</v>
      </c>
      <c r="F24" s="82" t="s">
        <v>95</v>
      </c>
      <c r="G24" s="80" t="s">
        <v>51</v>
      </c>
      <c r="H24" s="2"/>
      <c r="I24" s="64">
        <f>IF($E24="Labour",Assumptions!$B$14,)</f>
        <v>0</v>
      </c>
      <c r="J24" s="9" t="str">
        <f t="shared" si="5"/>
        <v>$</v>
      </c>
      <c r="K24" s="2"/>
      <c r="L24" s="83">
        <v>14000</v>
      </c>
      <c r="M24" s="83">
        <v>14000</v>
      </c>
      <c r="N24" s="83">
        <v>14000</v>
      </c>
      <c r="O24" s="83">
        <v>14000</v>
      </c>
      <c r="P24" s="83">
        <v>14000</v>
      </c>
      <c r="Q24" s="2"/>
      <c r="R24" s="5">
        <f t="shared" si="0"/>
        <v>14000</v>
      </c>
      <c r="S24" s="5">
        <f t="shared" si="1"/>
        <v>14000</v>
      </c>
      <c r="T24" s="5">
        <f t="shared" si="2"/>
        <v>14000</v>
      </c>
      <c r="U24" s="5">
        <f t="shared" si="3"/>
        <v>14000</v>
      </c>
      <c r="V24" s="5">
        <f t="shared" si="4"/>
        <v>14000</v>
      </c>
      <c r="AA24"/>
    </row>
    <row r="25" spans="1:27" ht="12.75" customHeight="1" x14ac:dyDescent="0.25">
      <c r="A25" s="4"/>
      <c r="C25" s="81" t="s">
        <v>62</v>
      </c>
      <c r="D25" s="82" t="s">
        <v>53</v>
      </c>
      <c r="E25" s="82" t="s">
        <v>11</v>
      </c>
      <c r="F25" s="82" t="s">
        <v>95</v>
      </c>
      <c r="G25" s="80" t="s">
        <v>51</v>
      </c>
      <c r="H25" s="2"/>
      <c r="I25" s="64">
        <f>IF($E25="Labour",Assumptions!$B$14,)</f>
        <v>145.77740895836223</v>
      </c>
      <c r="J25" s="9" t="str">
        <f t="shared" si="5"/>
        <v>Hours</v>
      </c>
      <c r="K25" s="2"/>
      <c r="L25" s="83">
        <v>10.5</v>
      </c>
      <c r="M25" s="83">
        <v>10.5</v>
      </c>
      <c r="N25" s="83">
        <v>10.5</v>
      </c>
      <c r="O25" s="83">
        <v>10.5</v>
      </c>
      <c r="P25" s="83">
        <v>10.5</v>
      </c>
      <c r="Q25" s="2"/>
      <c r="R25" s="5">
        <f t="shared" si="0"/>
        <v>1530.6627940628034</v>
      </c>
      <c r="S25" s="5">
        <f t="shared" si="1"/>
        <v>1530.6627940628034</v>
      </c>
      <c r="T25" s="5">
        <f t="shared" si="2"/>
        <v>1530.6627940628034</v>
      </c>
      <c r="U25" s="5">
        <f t="shared" si="3"/>
        <v>1530.6627940628034</v>
      </c>
      <c r="V25" s="5">
        <f t="shared" si="4"/>
        <v>1530.6627940628034</v>
      </c>
      <c r="AA25"/>
    </row>
    <row r="26" spans="1:27" ht="12.75" customHeight="1" x14ac:dyDescent="0.25">
      <c r="A26" s="4"/>
      <c r="C26" s="81" t="s">
        <v>63</v>
      </c>
      <c r="D26" s="82" t="s">
        <v>40</v>
      </c>
      <c r="E26" s="82" t="s">
        <v>14</v>
      </c>
      <c r="F26" s="82" t="s">
        <v>95</v>
      </c>
      <c r="G26" s="80" t="s">
        <v>51</v>
      </c>
      <c r="H26" s="2"/>
      <c r="I26" s="64">
        <f>IF($E26="Labour",Assumptions!$B$14,)</f>
        <v>0</v>
      </c>
      <c r="J26" s="9" t="str">
        <f t="shared" si="5"/>
        <v>$</v>
      </c>
      <c r="K26" s="2"/>
      <c r="L26" s="83">
        <v>1400</v>
      </c>
      <c r="M26" s="83">
        <v>1400</v>
      </c>
      <c r="N26" s="83">
        <v>1400</v>
      </c>
      <c r="O26" s="83">
        <v>1400</v>
      </c>
      <c r="P26" s="83">
        <v>1400</v>
      </c>
      <c r="Q26" s="2"/>
      <c r="R26" s="5">
        <f t="shared" si="0"/>
        <v>1400</v>
      </c>
      <c r="S26" s="5">
        <f t="shared" si="1"/>
        <v>1400</v>
      </c>
      <c r="T26" s="5">
        <f t="shared" si="2"/>
        <v>1400</v>
      </c>
      <c r="U26" s="5">
        <f t="shared" si="3"/>
        <v>1400</v>
      </c>
      <c r="V26" s="5">
        <f t="shared" si="4"/>
        <v>1400</v>
      </c>
      <c r="AA26"/>
    </row>
    <row r="27" spans="1:27" ht="12.75" customHeight="1" x14ac:dyDescent="0.25">
      <c r="A27" s="4"/>
      <c r="C27" s="81" t="s">
        <v>64</v>
      </c>
      <c r="D27" s="82" t="s">
        <v>40</v>
      </c>
      <c r="E27" s="82" t="s">
        <v>14</v>
      </c>
      <c r="F27" s="82" t="s">
        <v>95</v>
      </c>
      <c r="G27" s="80" t="s">
        <v>51</v>
      </c>
      <c r="H27" s="2"/>
      <c r="I27" s="64">
        <f>IF($E27="Labour",Assumptions!$B$14,)</f>
        <v>0</v>
      </c>
      <c r="J27" s="9" t="str">
        <f t="shared" si="5"/>
        <v>$</v>
      </c>
      <c r="K27" s="2"/>
      <c r="L27" s="83">
        <v>280</v>
      </c>
      <c r="M27" s="83">
        <v>280</v>
      </c>
      <c r="N27" s="83">
        <v>280</v>
      </c>
      <c r="O27" s="83">
        <v>280</v>
      </c>
      <c r="P27" s="83">
        <v>280</v>
      </c>
      <c r="Q27" s="2"/>
      <c r="R27" s="5">
        <f t="shared" si="0"/>
        <v>280</v>
      </c>
      <c r="S27" s="5">
        <f t="shared" si="1"/>
        <v>280</v>
      </c>
      <c r="T27" s="5">
        <f t="shared" si="2"/>
        <v>280</v>
      </c>
      <c r="U27" s="5">
        <f t="shared" si="3"/>
        <v>280</v>
      </c>
      <c r="V27" s="5">
        <f t="shared" si="4"/>
        <v>280</v>
      </c>
      <c r="AA27"/>
    </row>
    <row r="28" spans="1:27" ht="12.75" customHeight="1" x14ac:dyDescent="0.25">
      <c r="A28" s="4"/>
      <c r="C28" s="81" t="s">
        <v>65</v>
      </c>
      <c r="D28" s="82" t="s">
        <v>40</v>
      </c>
      <c r="E28" s="82" t="s">
        <v>14</v>
      </c>
      <c r="F28" s="82" t="s">
        <v>95</v>
      </c>
      <c r="G28" s="80" t="s">
        <v>51</v>
      </c>
      <c r="H28" s="2"/>
      <c r="I28" s="64">
        <f>IF($E28="Labour",Assumptions!$B$14,)</f>
        <v>0</v>
      </c>
      <c r="J28" s="9" t="str">
        <f t="shared" si="5"/>
        <v>$</v>
      </c>
      <c r="K28" s="2"/>
      <c r="L28" s="83">
        <v>700</v>
      </c>
      <c r="M28" s="83">
        <v>700</v>
      </c>
      <c r="N28" s="83">
        <v>700</v>
      </c>
      <c r="O28" s="83">
        <v>700</v>
      </c>
      <c r="P28" s="83">
        <v>700</v>
      </c>
      <c r="Q28" s="2"/>
      <c r="R28" s="5">
        <f t="shared" si="0"/>
        <v>700</v>
      </c>
      <c r="S28" s="5">
        <f t="shared" si="1"/>
        <v>700</v>
      </c>
      <c r="T28" s="5">
        <f t="shared" si="2"/>
        <v>700</v>
      </c>
      <c r="U28" s="5">
        <f t="shared" si="3"/>
        <v>700</v>
      </c>
      <c r="V28" s="5">
        <f t="shared" si="4"/>
        <v>700</v>
      </c>
      <c r="AA28"/>
    </row>
    <row r="29" spans="1:27" ht="12.75" customHeight="1" x14ac:dyDescent="0.25">
      <c r="A29" s="4"/>
      <c r="C29" s="81" t="s">
        <v>66</v>
      </c>
      <c r="D29" s="82" t="s">
        <v>53</v>
      </c>
      <c r="E29" s="82" t="s">
        <v>11</v>
      </c>
      <c r="F29" s="82" t="s">
        <v>95</v>
      </c>
      <c r="G29" s="80" t="s">
        <v>51</v>
      </c>
      <c r="H29" s="2"/>
      <c r="I29" s="64">
        <f>IF($E29="Labour",Assumptions!$B$14,)</f>
        <v>145.77740895836223</v>
      </c>
      <c r="J29" s="9" t="str">
        <f t="shared" si="5"/>
        <v>Hours</v>
      </c>
      <c r="K29" s="2"/>
      <c r="L29" s="83"/>
      <c r="M29" s="83">
        <v>913</v>
      </c>
      <c r="N29" s="83"/>
      <c r="O29" s="83">
        <v>456</v>
      </c>
      <c r="P29" s="83"/>
      <c r="Q29" s="2"/>
      <c r="R29" s="5">
        <f t="shared" si="0"/>
        <v>0</v>
      </c>
      <c r="S29" s="5">
        <f t="shared" si="1"/>
        <v>133094.77437898473</v>
      </c>
      <c r="T29" s="5">
        <f t="shared" si="2"/>
        <v>0</v>
      </c>
      <c r="U29" s="5">
        <f t="shared" si="3"/>
        <v>66474.498485013173</v>
      </c>
      <c r="V29" s="5">
        <f t="shared" si="4"/>
        <v>0</v>
      </c>
      <c r="AA29"/>
    </row>
    <row r="30" spans="1:27" ht="12.75" customHeight="1" x14ac:dyDescent="0.25">
      <c r="A30" s="4"/>
      <c r="C30" s="81"/>
      <c r="D30" s="82"/>
      <c r="E30" s="82"/>
      <c r="F30" s="82"/>
      <c r="G30" s="80"/>
      <c r="H30" s="2"/>
      <c r="I30" s="64">
        <f>IF($E30="Labour",Assumptions!$B$14,)</f>
        <v>0</v>
      </c>
      <c r="J30" s="9" t="str">
        <f t="shared" si="5"/>
        <v>$</v>
      </c>
      <c r="K30" s="2"/>
      <c r="L30" s="83"/>
      <c r="M30" s="83"/>
      <c r="N30" s="83"/>
      <c r="O30" s="83"/>
      <c r="P30" s="83"/>
      <c r="Q30" s="2"/>
      <c r="R30" s="5">
        <f t="shared" si="0"/>
        <v>0</v>
      </c>
      <c r="S30" s="5">
        <f t="shared" si="1"/>
        <v>0</v>
      </c>
      <c r="T30" s="5">
        <f t="shared" si="2"/>
        <v>0</v>
      </c>
      <c r="U30" s="5">
        <f t="shared" si="3"/>
        <v>0</v>
      </c>
      <c r="V30" s="5">
        <f t="shared" si="4"/>
        <v>0</v>
      </c>
      <c r="AA30"/>
    </row>
    <row r="31" spans="1:27" ht="12.75" customHeight="1" x14ac:dyDescent="0.25">
      <c r="A31" s="4"/>
      <c r="C31" s="81" t="s">
        <v>113</v>
      </c>
      <c r="D31" s="82" t="s">
        <v>109</v>
      </c>
      <c r="E31" s="82" t="s">
        <v>11</v>
      </c>
      <c r="F31" s="82" t="s">
        <v>110</v>
      </c>
      <c r="G31" s="80" t="s">
        <v>51</v>
      </c>
      <c r="H31" s="2"/>
      <c r="I31" s="64">
        <f>IF($E31="Labour",Assumptions!$B$14,)</f>
        <v>145.77740895836223</v>
      </c>
      <c r="J31" s="9" t="str">
        <f t="shared" si="5"/>
        <v>Hours</v>
      </c>
      <c r="K31" s="2"/>
      <c r="L31" s="83">
        <v>1799.6367671272885</v>
      </c>
      <c r="M31" s="83">
        <v>1799.6367671272885</v>
      </c>
      <c r="N31" s="83">
        <v>3599.273534254577</v>
      </c>
      <c r="O31" s="83">
        <v>3599.273534254577</v>
      </c>
      <c r="P31" s="83">
        <v>1799.6367671272885</v>
      </c>
      <c r="Q31" s="2"/>
      <c r="R31" s="5">
        <f t="shared" si="0"/>
        <v>262346.38497801963</v>
      </c>
      <c r="S31" s="5">
        <f t="shared" si="1"/>
        <v>262346.38497801963</v>
      </c>
      <c r="T31" s="5">
        <f t="shared" si="2"/>
        <v>524692.76995603926</v>
      </c>
      <c r="U31" s="5">
        <f t="shared" si="3"/>
        <v>524692.76995603926</v>
      </c>
      <c r="V31" s="5">
        <f t="shared" si="4"/>
        <v>262346.38497801963</v>
      </c>
      <c r="AA31"/>
    </row>
    <row r="32" spans="1:27" ht="12.75" customHeight="1" x14ac:dyDescent="0.25">
      <c r="A32" s="4"/>
      <c r="C32" s="81" t="s">
        <v>113</v>
      </c>
      <c r="D32" s="82" t="s">
        <v>109</v>
      </c>
      <c r="E32" s="82" t="s">
        <v>13</v>
      </c>
      <c r="F32" s="82" t="s">
        <v>110</v>
      </c>
      <c r="G32" s="80" t="s">
        <v>51</v>
      </c>
      <c r="H32" s="2"/>
      <c r="I32" s="64">
        <f>IF($E32="Labour",Assumptions!$B$14,)</f>
        <v>0</v>
      </c>
      <c r="J32" s="9" t="str">
        <f t="shared" si="5"/>
        <v>$</v>
      </c>
      <c r="K32" s="2"/>
      <c r="L32" s="83">
        <v>9172.9677614663524</v>
      </c>
      <c r="M32" s="83">
        <v>9172.9677614663524</v>
      </c>
      <c r="N32" s="83">
        <v>18345.935522932705</v>
      </c>
      <c r="O32" s="83">
        <v>18345.935522932705</v>
      </c>
      <c r="P32" s="83">
        <v>9172.9677614663524</v>
      </c>
      <c r="Q32" s="2"/>
      <c r="R32" s="5">
        <f t="shared" si="0"/>
        <v>9172.9677614663524</v>
      </c>
      <c r="S32" s="5">
        <f t="shared" si="1"/>
        <v>9172.9677614663524</v>
      </c>
      <c r="T32" s="5">
        <f t="shared" si="2"/>
        <v>18345.935522932705</v>
      </c>
      <c r="U32" s="5">
        <f t="shared" si="3"/>
        <v>18345.935522932705</v>
      </c>
      <c r="V32" s="5">
        <f t="shared" si="4"/>
        <v>9172.9677614663524</v>
      </c>
      <c r="AA32"/>
    </row>
    <row r="33" spans="1:27" ht="12.75" customHeight="1" x14ac:dyDescent="0.25">
      <c r="A33" s="4"/>
      <c r="C33" s="81" t="s">
        <v>113</v>
      </c>
      <c r="D33" s="82" t="s">
        <v>109</v>
      </c>
      <c r="E33" s="82" t="s">
        <v>14</v>
      </c>
      <c r="F33" s="82" t="s">
        <v>110</v>
      </c>
      <c r="G33" s="80" t="s">
        <v>51</v>
      </c>
      <c r="H33" s="2"/>
      <c r="I33" s="64">
        <f>IF($E33="Labour",Assumptions!$B$14,)</f>
        <v>0</v>
      </c>
      <c r="J33" s="9" t="str">
        <f t="shared" si="5"/>
        <v>$</v>
      </c>
      <c r="K33" s="2"/>
      <c r="L33" s="83">
        <v>792321.29691348213</v>
      </c>
      <c r="M33" s="83">
        <v>792321.29691348213</v>
      </c>
      <c r="N33" s="83">
        <v>1584642.5938269643</v>
      </c>
      <c r="O33" s="83">
        <v>1584642.5938269643</v>
      </c>
      <c r="P33" s="83">
        <v>792321.29691348213</v>
      </c>
      <c r="Q33" s="2"/>
      <c r="R33" s="5">
        <f t="shared" si="0"/>
        <v>792321.29691348213</v>
      </c>
      <c r="S33" s="5">
        <f t="shared" si="1"/>
        <v>792321.29691348213</v>
      </c>
      <c r="T33" s="5">
        <f t="shared" si="2"/>
        <v>1584642.5938269643</v>
      </c>
      <c r="U33" s="5">
        <f t="shared" si="3"/>
        <v>1584642.5938269643</v>
      </c>
      <c r="V33" s="5">
        <f t="shared" si="4"/>
        <v>792321.29691348213</v>
      </c>
      <c r="AA33"/>
    </row>
    <row r="34" spans="1:27" ht="12.75" customHeight="1" x14ac:dyDescent="0.25">
      <c r="A34" s="4"/>
      <c r="C34" s="81"/>
      <c r="D34" s="82"/>
      <c r="E34" s="82"/>
      <c r="F34" s="82"/>
      <c r="G34" s="80"/>
      <c r="H34" s="2"/>
      <c r="I34" s="64">
        <f>IF($E34="Labour",Assumptions!$B$14,)</f>
        <v>0</v>
      </c>
      <c r="J34" s="9" t="str">
        <f t="shared" si="5"/>
        <v>$</v>
      </c>
      <c r="K34" s="2"/>
      <c r="L34" s="83"/>
      <c r="M34" s="83"/>
      <c r="N34" s="83"/>
      <c r="O34" s="83"/>
      <c r="P34" s="83"/>
      <c r="Q34" s="2"/>
      <c r="R34" s="5">
        <f t="shared" si="0"/>
        <v>0</v>
      </c>
      <c r="S34" s="5">
        <f t="shared" si="1"/>
        <v>0</v>
      </c>
      <c r="T34" s="5">
        <f t="shared" si="2"/>
        <v>0</v>
      </c>
      <c r="U34" s="5">
        <f t="shared" si="3"/>
        <v>0</v>
      </c>
      <c r="V34" s="5">
        <f t="shared" si="4"/>
        <v>0</v>
      </c>
      <c r="AA34"/>
    </row>
    <row r="35" spans="1:27" ht="12.75" customHeight="1" x14ac:dyDescent="0.25">
      <c r="A35" s="4"/>
      <c r="C35" s="81" t="s">
        <v>112</v>
      </c>
      <c r="D35" s="82" t="s">
        <v>109</v>
      </c>
      <c r="E35" s="82" t="s">
        <v>11</v>
      </c>
      <c r="F35" s="82" t="s">
        <v>111</v>
      </c>
      <c r="G35" s="80" t="s">
        <v>51</v>
      </c>
      <c r="H35" s="2"/>
      <c r="I35" s="147"/>
      <c r="J35" s="9" t="s">
        <v>114</v>
      </c>
      <c r="K35" s="2"/>
      <c r="L35" s="146">
        <v>51817.812818141734</v>
      </c>
      <c r="M35" s="146">
        <v>55601.93933220052</v>
      </c>
      <c r="N35" s="146">
        <v>59658.624372397549</v>
      </c>
      <c r="O35" s="146">
        <v>64013.222220234049</v>
      </c>
      <c r="P35" s="146">
        <v>76392.450163210291</v>
      </c>
      <c r="Q35" s="2"/>
      <c r="R35" s="5">
        <f>L35</f>
        <v>51817.812818141734</v>
      </c>
      <c r="S35" s="5">
        <f t="shared" ref="S35:V35" si="6">M35</f>
        <v>55601.93933220052</v>
      </c>
      <c r="T35" s="5">
        <f t="shared" si="6"/>
        <v>59658.624372397549</v>
      </c>
      <c r="U35" s="5">
        <f t="shared" si="6"/>
        <v>64013.222220234049</v>
      </c>
      <c r="V35" s="5">
        <f t="shared" si="6"/>
        <v>76392.450163210291</v>
      </c>
      <c r="AA35"/>
    </row>
    <row r="36" spans="1:27" ht="12.75" customHeight="1" x14ac:dyDescent="0.25">
      <c r="A36" s="4"/>
      <c r="C36" s="81" t="s">
        <v>112</v>
      </c>
      <c r="D36" s="82" t="s">
        <v>109</v>
      </c>
      <c r="E36" s="82" t="s">
        <v>13</v>
      </c>
      <c r="F36" s="82" t="s">
        <v>111</v>
      </c>
      <c r="G36" s="80" t="s">
        <v>51</v>
      </c>
      <c r="H36" s="2"/>
      <c r="I36" s="147"/>
      <c r="J36" s="9" t="s">
        <v>114</v>
      </c>
      <c r="K36" s="2"/>
      <c r="L36" s="146">
        <v>207271.25127256694</v>
      </c>
      <c r="M36" s="146">
        <v>222407.75732880208</v>
      </c>
      <c r="N36" s="146">
        <v>238634.4974895902</v>
      </c>
      <c r="O36" s="146">
        <v>256052.8888809362</v>
      </c>
      <c r="P36" s="146">
        <v>305569.80065284116</v>
      </c>
      <c r="Q36" s="2"/>
      <c r="R36" s="5">
        <f t="shared" ref="R36:R69" si="7">L36</f>
        <v>207271.25127256694</v>
      </c>
      <c r="S36" s="5">
        <f t="shared" ref="S36:S69" si="8">M36</f>
        <v>222407.75732880208</v>
      </c>
      <c r="T36" s="5">
        <f t="shared" ref="T36:T69" si="9">N36</f>
        <v>238634.4974895902</v>
      </c>
      <c r="U36" s="5">
        <f t="shared" ref="U36:U69" si="10">O36</f>
        <v>256052.8888809362</v>
      </c>
      <c r="V36" s="5">
        <f t="shared" ref="V36:V69" si="11">P36</f>
        <v>305569.80065284116</v>
      </c>
      <c r="AA36"/>
    </row>
    <row r="37" spans="1:27" ht="12.75" customHeight="1" x14ac:dyDescent="0.25">
      <c r="A37" s="4"/>
      <c r="C37" s="81"/>
      <c r="D37" s="82"/>
      <c r="E37" s="82"/>
      <c r="F37" s="82"/>
      <c r="G37" s="80"/>
      <c r="H37" s="2"/>
      <c r="I37" s="147"/>
      <c r="J37" s="9" t="s">
        <v>114</v>
      </c>
      <c r="K37" s="2"/>
      <c r="L37" s="83"/>
      <c r="M37" s="83"/>
      <c r="N37" s="83"/>
      <c r="O37" s="83"/>
      <c r="P37" s="83"/>
      <c r="Q37" s="2"/>
      <c r="R37" s="5">
        <f t="shared" si="7"/>
        <v>0</v>
      </c>
      <c r="S37" s="5">
        <f t="shared" si="8"/>
        <v>0</v>
      </c>
      <c r="T37" s="5">
        <f t="shared" si="9"/>
        <v>0</v>
      </c>
      <c r="U37" s="5">
        <f t="shared" si="10"/>
        <v>0</v>
      </c>
      <c r="V37" s="5">
        <f t="shared" si="11"/>
        <v>0</v>
      </c>
      <c r="AA37"/>
    </row>
    <row r="38" spans="1:27" ht="12.75" customHeight="1" x14ac:dyDescent="0.25">
      <c r="A38" s="4"/>
      <c r="C38" s="81" t="s">
        <v>115</v>
      </c>
      <c r="D38" s="82" t="s">
        <v>109</v>
      </c>
      <c r="E38" s="82" t="s">
        <v>13</v>
      </c>
      <c r="F38" s="82" t="s">
        <v>116</v>
      </c>
      <c r="G38" s="80" t="s">
        <v>51</v>
      </c>
      <c r="H38" s="2"/>
      <c r="I38" s="147"/>
      <c r="J38" s="9" t="s">
        <v>114</v>
      </c>
      <c r="K38" s="2"/>
      <c r="L38" s="83">
        <v>0</v>
      </c>
      <c r="M38" s="83">
        <v>714752.66163142968</v>
      </c>
      <c r="N38" s="83">
        <v>893440.82703928708</v>
      </c>
      <c r="O38" s="83">
        <v>1786881.6540785742</v>
      </c>
      <c r="P38" s="83">
        <v>0</v>
      </c>
      <c r="Q38" s="2"/>
      <c r="R38" s="5">
        <f t="shared" si="7"/>
        <v>0</v>
      </c>
      <c r="S38" s="5">
        <f t="shared" si="8"/>
        <v>714752.66163142968</v>
      </c>
      <c r="T38" s="5">
        <f t="shared" si="9"/>
        <v>893440.82703928708</v>
      </c>
      <c r="U38" s="5">
        <f t="shared" si="10"/>
        <v>1786881.6540785742</v>
      </c>
      <c r="V38" s="5">
        <f t="shared" si="11"/>
        <v>0</v>
      </c>
      <c r="AA38"/>
    </row>
    <row r="39" spans="1:27" ht="12.75" customHeight="1" x14ac:dyDescent="0.25">
      <c r="A39" s="4"/>
      <c r="C39" s="81" t="s">
        <v>115</v>
      </c>
      <c r="D39" s="82" t="s">
        <v>109</v>
      </c>
      <c r="E39" s="82" t="s">
        <v>14</v>
      </c>
      <c r="F39" s="82" t="s">
        <v>116</v>
      </c>
      <c r="G39" s="80" t="s">
        <v>51</v>
      </c>
      <c r="H39" s="2"/>
      <c r="I39" s="147"/>
      <c r="J39" s="9" t="s">
        <v>114</v>
      </c>
      <c r="K39" s="2"/>
      <c r="L39" s="83">
        <v>0</v>
      </c>
      <c r="M39" s="83">
        <v>306322.56927061273</v>
      </c>
      <c r="N39" s="83">
        <v>382903.2115882659</v>
      </c>
      <c r="O39" s="83">
        <v>765806.4231765318</v>
      </c>
      <c r="P39" s="83">
        <v>0</v>
      </c>
      <c r="Q39" s="2"/>
      <c r="R39" s="5">
        <f t="shared" si="7"/>
        <v>0</v>
      </c>
      <c r="S39" s="5">
        <f t="shared" si="8"/>
        <v>306322.56927061273</v>
      </c>
      <c r="T39" s="5">
        <f t="shared" si="9"/>
        <v>382903.2115882659</v>
      </c>
      <c r="U39" s="5">
        <f t="shared" si="10"/>
        <v>765806.4231765318</v>
      </c>
      <c r="V39" s="5">
        <f t="shared" si="11"/>
        <v>0</v>
      </c>
      <c r="AA39"/>
    </row>
    <row r="40" spans="1:27" ht="12.75" customHeight="1" x14ac:dyDescent="0.25">
      <c r="A40" s="4"/>
      <c r="C40" s="81"/>
      <c r="D40" s="82"/>
      <c r="E40" s="82"/>
      <c r="F40" s="82"/>
      <c r="G40" s="80"/>
      <c r="H40" s="2"/>
      <c r="I40" s="147"/>
      <c r="J40" s="9" t="s">
        <v>114</v>
      </c>
      <c r="K40" s="2"/>
      <c r="L40" s="83"/>
      <c r="M40" s="83"/>
      <c r="N40" s="83"/>
      <c r="O40" s="83"/>
      <c r="P40" s="83"/>
      <c r="Q40" s="2"/>
      <c r="R40" s="5">
        <f t="shared" si="7"/>
        <v>0</v>
      </c>
      <c r="S40" s="5">
        <f t="shared" si="8"/>
        <v>0</v>
      </c>
      <c r="T40" s="5">
        <f t="shared" si="9"/>
        <v>0</v>
      </c>
      <c r="U40" s="5">
        <f t="shared" si="10"/>
        <v>0</v>
      </c>
      <c r="V40" s="5">
        <f t="shared" si="11"/>
        <v>0</v>
      </c>
      <c r="AA40"/>
    </row>
    <row r="41" spans="1:27" ht="12.75" customHeight="1" x14ac:dyDescent="0.25">
      <c r="A41" s="4"/>
      <c r="C41" s="81" t="s">
        <v>117</v>
      </c>
      <c r="D41" s="82" t="s">
        <v>109</v>
      </c>
      <c r="E41" s="82" t="s">
        <v>13</v>
      </c>
      <c r="F41" s="82" t="s">
        <v>122</v>
      </c>
      <c r="G41" s="80" t="s">
        <v>51</v>
      </c>
      <c r="H41" s="2"/>
      <c r="I41" s="147"/>
      <c r="J41" s="9" t="s">
        <v>114</v>
      </c>
      <c r="K41" s="2"/>
      <c r="L41" s="83">
        <v>2305.4079399812435</v>
      </c>
      <c r="M41" s="83">
        <v>2305.4079399812435</v>
      </c>
      <c r="N41" s="83">
        <v>2305.4079399812435</v>
      </c>
      <c r="O41" s="83">
        <v>2305.4079399812435</v>
      </c>
      <c r="P41" s="83">
        <v>2305.4079399812435</v>
      </c>
      <c r="Q41" s="2"/>
      <c r="R41" s="5">
        <f t="shared" si="7"/>
        <v>2305.4079399812435</v>
      </c>
      <c r="S41" s="5">
        <f t="shared" si="8"/>
        <v>2305.4079399812435</v>
      </c>
      <c r="T41" s="5">
        <f t="shared" si="9"/>
        <v>2305.4079399812435</v>
      </c>
      <c r="U41" s="5">
        <f t="shared" si="10"/>
        <v>2305.4079399812435</v>
      </c>
      <c r="V41" s="5">
        <f t="shared" si="11"/>
        <v>2305.4079399812435</v>
      </c>
      <c r="AA41"/>
    </row>
    <row r="42" spans="1:27" ht="12.75" customHeight="1" x14ac:dyDescent="0.25">
      <c r="A42" s="4"/>
      <c r="C42" s="81" t="s">
        <v>117</v>
      </c>
      <c r="D42" s="82" t="s">
        <v>109</v>
      </c>
      <c r="E42" s="82" t="s">
        <v>14</v>
      </c>
      <c r="F42" s="82" t="s">
        <v>122</v>
      </c>
      <c r="G42" s="80" t="s">
        <v>51</v>
      </c>
      <c r="H42" s="2"/>
      <c r="I42" s="147"/>
      <c r="J42" s="9" t="s">
        <v>114</v>
      </c>
      <c r="K42" s="2"/>
      <c r="L42" s="83">
        <v>20748.671459831199</v>
      </c>
      <c r="M42" s="83">
        <v>20748.671459831199</v>
      </c>
      <c r="N42" s="83">
        <v>20748.671459831199</v>
      </c>
      <c r="O42" s="83">
        <v>20748.671459831199</v>
      </c>
      <c r="P42" s="83">
        <v>20748.671459831199</v>
      </c>
      <c r="Q42" s="2"/>
      <c r="R42" s="5">
        <f t="shared" si="7"/>
        <v>20748.671459831199</v>
      </c>
      <c r="S42" s="5">
        <f t="shared" si="8"/>
        <v>20748.671459831199</v>
      </c>
      <c r="T42" s="5">
        <f t="shared" si="9"/>
        <v>20748.671459831199</v>
      </c>
      <c r="U42" s="5">
        <f t="shared" si="10"/>
        <v>20748.671459831199</v>
      </c>
      <c r="V42" s="5">
        <f t="shared" si="11"/>
        <v>20748.671459831199</v>
      </c>
      <c r="AA42"/>
    </row>
    <row r="43" spans="1:27" ht="12.75" customHeight="1" x14ac:dyDescent="0.25">
      <c r="A43" s="4"/>
      <c r="C43" s="81" t="s">
        <v>118</v>
      </c>
      <c r="D43" s="82" t="s">
        <v>109</v>
      </c>
      <c r="E43" s="82" t="s">
        <v>13</v>
      </c>
      <c r="F43" s="82" t="s">
        <v>122</v>
      </c>
      <c r="G43" s="80" t="s">
        <v>51</v>
      </c>
      <c r="H43" s="2"/>
      <c r="I43" s="147"/>
      <c r="J43" s="9" t="s">
        <v>114</v>
      </c>
      <c r="K43" s="2"/>
      <c r="L43" s="83">
        <v>70817.833698030634</v>
      </c>
      <c r="M43" s="83">
        <v>70817.833698030634</v>
      </c>
      <c r="N43" s="83">
        <v>70817.833698030634</v>
      </c>
      <c r="O43" s="83">
        <v>70817.833698030634</v>
      </c>
      <c r="P43" s="83">
        <v>70817.833698030634</v>
      </c>
      <c r="Q43" s="2"/>
      <c r="R43" s="5">
        <f t="shared" si="7"/>
        <v>70817.833698030634</v>
      </c>
      <c r="S43" s="5">
        <f t="shared" si="8"/>
        <v>70817.833698030634</v>
      </c>
      <c r="T43" s="5">
        <f t="shared" si="9"/>
        <v>70817.833698030634</v>
      </c>
      <c r="U43" s="5">
        <f t="shared" si="10"/>
        <v>70817.833698030634</v>
      </c>
      <c r="V43" s="5">
        <f t="shared" si="11"/>
        <v>70817.833698030634</v>
      </c>
      <c r="AA43"/>
    </row>
    <row r="44" spans="1:27" ht="12.75" customHeight="1" x14ac:dyDescent="0.25">
      <c r="A44" s="4"/>
      <c r="C44" s="81" t="s">
        <v>118</v>
      </c>
      <c r="D44" s="82" t="s">
        <v>109</v>
      </c>
      <c r="E44" s="82" t="s">
        <v>14</v>
      </c>
      <c r="F44" s="82" t="s">
        <v>122</v>
      </c>
      <c r="G44" s="80" t="s">
        <v>51</v>
      </c>
      <c r="H44" s="2"/>
      <c r="I44" s="147"/>
      <c r="J44" s="9" t="s">
        <v>114</v>
      </c>
      <c r="K44" s="2"/>
      <c r="L44" s="83">
        <v>30350.500156298844</v>
      </c>
      <c r="M44" s="83">
        <v>30350.500156298844</v>
      </c>
      <c r="N44" s="83">
        <v>30350.500156298844</v>
      </c>
      <c r="O44" s="83">
        <v>30350.500156298844</v>
      </c>
      <c r="P44" s="83">
        <v>30350.500156298844</v>
      </c>
      <c r="Q44" s="2"/>
      <c r="R44" s="5">
        <f t="shared" si="7"/>
        <v>30350.500156298844</v>
      </c>
      <c r="S44" s="5">
        <f t="shared" si="8"/>
        <v>30350.500156298844</v>
      </c>
      <c r="T44" s="5">
        <f t="shared" si="9"/>
        <v>30350.500156298844</v>
      </c>
      <c r="U44" s="5">
        <f t="shared" si="10"/>
        <v>30350.500156298844</v>
      </c>
      <c r="V44" s="5">
        <f t="shared" si="11"/>
        <v>30350.500156298844</v>
      </c>
      <c r="AA44"/>
    </row>
    <row r="45" spans="1:27" ht="12.75" customHeight="1" x14ac:dyDescent="0.25">
      <c r="A45" s="4"/>
      <c r="C45" s="81" t="s">
        <v>119</v>
      </c>
      <c r="D45" s="82" t="s">
        <v>109</v>
      </c>
      <c r="E45" s="82" t="s">
        <v>13</v>
      </c>
      <c r="F45" s="82" t="s">
        <v>122</v>
      </c>
      <c r="G45" s="80" t="s">
        <v>51</v>
      </c>
      <c r="H45" s="2"/>
      <c r="I45" s="147"/>
      <c r="J45" s="9" t="s">
        <v>114</v>
      </c>
      <c r="K45" s="2"/>
      <c r="L45" s="83">
        <v>5072.6789621756798</v>
      </c>
      <c r="M45" s="83">
        <v>5072.6789621756798</v>
      </c>
      <c r="N45" s="83">
        <v>5072.6789621756798</v>
      </c>
      <c r="O45" s="83">
        <v>5072.6789621756798</v>
      </c>
      <c r="P45" s="83">
        <v>5072.6789621756798</v>
      </c>
      <c r="Q45" s="2"/>
      <c r="R45" s="5">
        <f t="shared" si="7"/>
        <v>5072.6789621756798</v>
      </c>
      <c r="S45" s="5">
        <f t="shared" si="8"/>
        <v>5072.6789621756798</v>
      </c>
      <c r="T45" s="5">
        <f t="shared" si="9"/>
        <v>5072.6789621756798</v>
      </c>
      <c r="U45" s="5">
        <f t="shared" si="10"/>
        <v>5072.6789621756798</v>
      </c>
      <c r="V45" s="5">
        <f t="shared" si="11"/>
        <v>5072.6789621756798</v>
      </c>
      <c r="AA45"/>
    </row>
    <row r="46" spans="1:27" ht="12.75" customHeight="1" x14ac:dyDescent="0.25">
      <c r="A46" s="4"/>
      <c r="C46" s="81" t="s">
        <v>119</v>
      </c>
      <c r="D46" s="82" t="s">
        <v>109</v>
      </c>
      <c r="E46" s="82" t="s">
        <v>14</v>
      </c>
      <c r="F46" s="82" t="s">
        <v>122</v>
      </c>
      <c r="G46" s="80" t="s">
        <v>51</v>
      </c>
      <c r="H46" s="2"/>
      <c r="I46" s="147"/>
      <c r="J46" s="9" t="s">
        <v>114</v>
      </c>
      <c r="K46" s="2"/>
      <c r="L46" s="83">
        <v>20290.715848702723</v>
      </c>
      <c r="M46" s="83">
        <v>20290.715848702723</v>
      </c>
      <c r="N46" s="83">
        <v>20290.715848702723</v>
      </c>
      <c r="O46" s="83">
        <v>20290.715848702723</v>
      </c>
      <c r="P46" s="83">
        <v>20290.715848702723</v>
      </c>
      <c r="Q46" s="2"/>
      <c r="R46" s="5">
        <f t="shared" si="7"/>
        <v>20290.715848702723</v>
      </c>
      <c r="S46" s="5">
        <f t="shared" si="8"/>
        <v>20290.715848702723</v>
      </c>
      <c r="T46" s="5">
        <f t="shared" si="9"/>
        <v>20290.715848702723</v>
      </c>
      <c r="U46" s="5">
        <f t="shared" si="10"/>
        <v>20290.715848702723</v>
      </c>
      <c r="V46" s="5">
        <f t="shared" si="11"/>
        <v>20290.715848702723</v>
      </c>
      <c r="AA46"/>
    </row>
    <row r="47" spans="1:27" ht="12.75" customHeight="1" x14ac:dyDescent="0.25">
      <c r="A47" s="4"/>
      <c r="C47" s="81" t="s">
        <v>120</v>
      </c>
      <c r="D47" s="82" t="s">
        <v>109</v>
      </c>
      <c r="E47" s="82" t="s">
        <v>13</v>
      </c>
      <c r="F47" s="82" t="s">
        <v>122</v>
      </c>
      <c r="G47" s="80" t="s">
        <v>51</v>
      </c>
      <c r="H47" s="2"/>
      <c r="I47" s="147"/>
      <c r="J47" s="9" t="s">
        <v>114</v>
      </c>
      <c r="K47" s="2"/>
      <c r="L47" s="83">
        <v>1562.9884338855893</v>
      </c>
      <c r="M47" s="83">
        <v>1562.9884338855893</v>
      </c>
      <c r="N47" s="83">
        <v>1562.9884338855893</v>
      </c>
      <c r="O47" s="83">
        <v>1562.9884338855893</v>
      </c>
      <c r="P47" s="83">
        <v>1562.9884338855893</v>
      </c>
      <c r="Q47" s="2"/>
      <c r="R47" s="5">
        <f t="shared" si="7"/>
        <v>1562.9884338855893</v>
      </c>
      <c r="S47" s="5">
        <f t="shared" si="8"/>
        <v>1562.9884338855893</v>
      </c>
      <c r="T47" s="5">
        <f t="shared" si="9"/>
        <v>1562.9884338855893</v>
      </c>
      <c r="U47" s="5">
        <f t="shared" si="10"/>
        <v>1562.9884338855893</v>
      </c>
      <c r="V47" s="5">
        <f t="shared" si="11"/>
        <v>1562.9884338855893</v>
      </c>
      <c r="AA47"/>
    </row>
    <row r="48" spans="1:27" ht="12.75" customHeight="1" x14ac:dyDescent="0.25">
      <c r="A48" s="4"/>
      <c r="C48" s="81" t="s">
        <v>121</v>
      </c>
      <c r="D48" s="82" t="s">
        <v>109</v>
      </c>
      <c r="E48" s="82" t="s">
        <v>11</v>
      </c>
      <c r="F48" s="82" t="s">
        <v>122</v>
      </c>
      <c r="G48" s="80" t="s">
        <v>51</v>
      </c>
      <c r="H48" s="2"/>
      <c r="I48" s="147"/>
      <c r="J48" s="9" t="s">
        <v>114</v>
      </c>
      <c r="K48" s="2"/>
      <c r="L48" s="83">
        <v>14770.240700218814</v>
      </c>
      <c r="M48" s="83">
        <v>14770.240700218814</v>
      </c>
      <c r="N48" s="83">
        <v>14770.240700218814</v>
      </c>
      <c r="O48" s="83">
        <v>14770.240700218814</v>
      </c>
      <c r="P48" s="83">
        <v>14770.240700218814</v>
      </c>
      <c r="Q48" s="2"/>
      <c r="R48" s="5">
        <f t="shared" si="7"/>
        <v>14770.240700218814</v>
      </c>
      <c r="S48" s="5">
        <f t="shared" si="8"/>
        <v>14770.240700218814</v>
      </c>
      <c r="T48" s="5">
        <f t="shared" si="9"/>
        <v>14770.240700218814</v>
      </c>
      <c r="U48" s="5">
        <f t="shared" si="10"/>
        <v>14770.240700218814</v>
      </c>
      <c r="V48" s="5">
        <f t="shared" si="11"/>
        <v>14770.240700218814</v>
      </c>
      <c r="AA48"/>
    </row>
    <row r="49" spans="1:27" ht="12.75" customHeight="1" x14ac:dyDescent="0.25">
      <c r="A49" s="4"/>
      <c r="C49" s="81" t="s">
        <v>121</v>
      </c>
      <c r="D49" s="82" t="s">
        <v>109</v>
      </c>
      <c r="E49" s="82" t="s">
        <v>14</v>
      </c>
      <c r="F49" s="82" t="s">
        <v>122</v>
      </c>
      <c r="G49" s="80" t="s">
        <v>51</v>
      </c>
      <c r="H49" s="2"/>
      <c r="I49" s="147"/>
      <c r="J49" s="9" t="s">
        <v>114</v>
      </c>
      <c r="K49" s="2"/>
      <c r="L49" s="83">
        <v>59080.962800875277</v>
      </c>
      <c r="M49" s="83">
        <v>59080.962800875277</v>
      </c>
      <c r="N49" s="83">
        <v>59080.962800875277</v>
      </c>
      <c r="O49" s="83">
        <v>59080.962800875277</v>
      </c>
      <c r="P49" s="83">
        <v>59080.962800875277</v>
      </c>
      <c r="Q49" s="2"/>
      <c r="R49" s="5">
        <f t="shared" si="7"/>
        <v>59080.962800875277</v>
      </c>
      <c r="S49" s="5">
        <f t="shared" si="8"/>
        <v>59080.962800875277</v>
      </c>
      <c r="T49" s="5">
        <f t="shared" si="9"/>
        <v>59080.962800875277</v>
      </c>
      <c r="U49" s="5">
        <f t="shared" si="10"/>
        <v>59080.962800875277</v>
      </c>
      <c r="V49" s="5">
        <f t="shared" si="11"/>
        <v>59080.962800875277</v>
      </c>
      <c r="AA49"/>
    </row>
    <row r="50" spans="1:27" ht="12.75" customHeight="1" x14ac:dyDescent="0.25">
      <c r="A50" s="4"/>
      <c r="C50" s="81"/>
      <c r="D50" s="82"/>
      <c r="E50" s="82"/>
      <c r="F50" s="82"/>
      <c r="G50" s="80"/>
      <c r="H50" s="2"/>
      <c r="I50" s="147"/>
      <c r="J50" s="9" t="s">
        <v>114</v>
      </c>
      <c r="K50" s="2"/>
      <c r="L50" s="83"/>
      <c r="M50" s="83"/>
      <c r="N50" s="83"/>
      <c r="O50" s="83"/>
      <c r="P50" s="83"/>
      <c r="Q50" s="2"/>
      <c r="R50" s="5">
        <f t="shared" si="7"/>
        <v>0</v>
      </c>
      <c r="S50" s="5">
        <f t="shared" si="8"/>
        <v>0</v>
      </c>
      <c r="T50" s="5">
        <f t="shared" si="9"/>
        <v>0</v>
      </c>
      <c r="U50" s="5">
        <f t="shared" si="10"/>
        <v>0</v>
      </c>
      <c r="V50" s="5">
        <f t="shared" si="11"/>
        <v>0</v>
      </c>
      <c r="AA50"/>
    </row>
    <row r="51" spans="1:27" ht="12.75" customHeight="1" x14ac:dyDescent="0.25">
      <c r="A51" s="4"/>
      <c r="C51" s="81" t="s">
        <v>124</v>
      </c>
      <c r="D51" s="82" t="s">
        <v>109</v>
      </c>
      <c r="E51" s="82" t="s">
        <v>13</v>
      </c>
      <c r="F51" s="82" t="s">
        <v>123</v>
      </c>
      <c r="G51" s="80" t="s">
        <v>51</v>
      </c>
      <c r="H51" s="2"/>
      <c r="I51" s="147"/>
      <c r="J51" s="9" t="s">
        <v>114</v>
      </c>
      <c r="K51" s="2"/>
      <c r="L51" s="83">
        <v>1199760.7999999998</v>
      </c>
      <c r="M51" s="83">
        <v>1066505.3</v>
      </c>
      <c r="N51" s="83">
        <v>2168217.7999999998</v>
      </c>
      <c r="O51" s="83">
        <v>2133010.6</v>
      </c>
      <c r="P51" s="83">
        <v>2133010.6</v>
      </c>
      <c r="Q51" s="2"/>
      <c r="R51" s="5">
        <f t="shared" si="7"/>
        <v>1199760.7999999998</v>
      </c>
      <c r="S51" s="5">
        <f t="shared" si="8"/>
        <v>1066505.3</v>
      </c>
      <c r="T51" s="5">
        <f t="shared" si="9"/>
        <v>2168217.7999999998</v>
      </c>
      <c r="U51" s="5">
        <f t="shared" si="10"/>
        <v>2133010.6</v>
      </c>
      <c r="V51" s="5">
        <f t="shared" si="11"/>
        <v>2133010.6</v>
      </c>
      <c r="AA51"/>
    </row>
    <row r="52" spans="1:27" ht="12.75" customHeight="1" x14ac:dyDescent="0.25">
      <c r="A52" s="4"/>
      <c r="C52" s="81" t="s">
        <v>124</v>
      </c>
      <c r="D52" s="82" t="s">
        <v>109</v>
      </c>
      <c r="E52" s="82" t="s">
        <v>14</v>
      </c>
      <c r="F52" s="82" t="s">
        <v>123</v>
      </c>
      <c r="G52" s="80" t="s">
        <v>51</v>
      </c>
      <c r="H52" s="2"/>
      <c r="I52" s="147"/>
      <c r="J52" s="9" t="s">
        <v>114</v>
      </c>
      <c r="K52" s="2"/>
      <c r="L52" s="83">
        <v>514183.19999999995</v>
      </c>
      <c r="M52" s="83">
        <v>457073.7</v>
      </c>
      <c r="N52" s="83">
        <v>929236.2</v>
      </c>
      <c r="O52" s="83">
        <v>914147.4</v>
      </c>
      <c r="P52" s="83">
        <v>914147.4</v>
      </c>
      <c r="Q52" s="2"/>
      <c r="R52" s="5">
        <f t="shared" si="7"/>
        <v>514183.19999999995</v>
      </c>
      <c r="S52" s="5">
        <f t="shared" si="8"/>
        <v>457073.7</v>
      </c>
      <c r="T52" s="5">
        <f t="shared" si="9"/>
        <v>929236.2</v>
      </c>
      <c r="U52" s="5">
        <f t="shared" si="10"/>
        <v>914147.4</v>
      </c>
      <c r="V52" s="5">
        <f t="shared" si="11"/>
        <v>914147.4</v>
      </c>
      <c r="AA52"/>
    </row>
    <row r="53" spans="1:27" ht="12.75" customHeight="1" x14ac:dyDescent="0.25">
      <c r="A53" s="4"/>
      <c r="C53" s="81"/>
      <c r="D53" s="82"/>
      <c r="E53" s="82"/>
      <c r="F53" s="82"/>
      <c r="G53" s="80"/>
      <c r="H53" s="2"/>
      <c r="I53" s="147"/>
      <c r="J53" s="9" t="s">
        <v>114</v>
      </c>
      <c r="K53" s="2"/>
      <c r="L53" s="83"/>
      <c r="M53" s="83"/>
      <c r="N53" s="83"/>
      <c r="O53" s="83"/>
      <c r="P53" s="83"/>
      <c r="Q53" s="2"/>
      <c r="R53" s="5">
        <f t="shared" si="7"/>
        <v>0</v>
      </c>
      <c r="S53" s="5">
        <f t="shared" si="8"/>
        <v>0</v>
      </c>
      <c r="T53" s="5">
        <f t="shared" si="9"/>
        <v>0</v>
      </c>
      <c r="U53" s="5">
        <f t="shared" si="10"/>
        <v>0</v>
      </c>
      <c r="V53" s="5">
        <f t="shared" si="11"/>
        <v>0</v>
      </c>
      <c r="AA53"/>
    </row>
    <row r="54" spans="1:27" ht="12.75" customHeight="1" x14ac:dyDescent="0.25">
      <c r="A54" s="4"/>
      <c r="C54" s="81" t="s">
        <v>126</v>
      </c>
      <c r="D54" s="82" t="s">
        <v>109</v>
      </c>
      <c r="E54" s="82" t="s">
        <v>13</v>
      </c>
      <c r="F54" s="82" t="s">
        <v>125</v>
      </c>
      <c r="G54" s="80" t="s">
        <v>51</v>
      </c>
      <c r="H54" s="2"/>
      <c r="I54" s="147"/>
      <c r="J54" s="9" t="s">
        <v>114</v>
      </c>
      <c r="K54" s="2"/>
      <c r="L54" s="83">
        <v>572227.93586052046</v>
      </c>
      <c r="M54" s="83">
        <v>543171.18163492449</v>
      </c>
      <c r="N54" s="83">
        <v>384596.65574258496</v>
      </c>
      <c r="O54" s="83">
        <v>412046.76092352474</v>
      </c>
      <c r="P54" s="83">
        <v>89164.60608375186</v>
      </c>
      <c r="Q54" s="2"/>
      <c r="R54" s="5">
        <f t="shared" si="7"/>
        <v>572227.93586052046</v>
      </c>
      <c r="S54" s="5">
        <f t="shared" si="8"/>
        <v>543171.18163492449</v>
      </c>
      <c r="T54" s="5">
        <f t="shared" si="9"/>
        <v>384596.65574258496</v>
      </c>
      <c r="U54" s="5">
        <f t="shared" si="10"/>
        <v>412046.76092352474</v>
      </c>
      <c r="V54" s="5">
        <f t="shared" si="11"/>
        <v>89164.60608375186</v>
      </c>
      <c r="AA54"/>
    </row>
    <row r="55" spans="1:27" ht="12.75" customHeight="1" x14ac:dyDescent="0.25">
      <c r="A55" s="4"/>
      <c r="C55" s="81" t="s">
        <v>126</v>
      </c>
      <c r="D55" s="82" t="s">
        <v>109</v>
      </c>
      <c r="E55" s="82" t="s">
        <v>14</v>
      </c>
      <c r="F55" s="82" t="s">
        <v>125</v>
      </c>
      <c r="G55" s="80" t="s">
        <v>51</v>
      </c>
      <c r="H55" s="2"/>
      <c r="I55" s="147"/>
      <c r="J55" s="9" t="s">
        <v>114</v>
      </c>
      <c r="K55" s="2"/>
      <c r="L55" s="83">
        <v>245240.54394022305</v>
      </c>
      <c r="M55" s="83">
        <v>232787.64927211052</v>
      </c>
      <c r="N55" s="83">
        <v>164827.13817539354</v>
      </c>
      <c r="O55" s="83">
        <v>176591.46896722491</v>
      </c>
      <c r="P55" s="83">
        <v>38213.402607322227</v>
      </c>
      <c r="Q55" s="2"/>
      <c r="R55" s="5">
        <f t="shared" si="7"/>
        <v>245240.54394022305</v>
      </c>
      <c r="S55" s="5">
        <f t="shared" si="8"/>
        <v>232787.64927211052</v>
      </c>
      <c r="T55" s="5">
        <f t="shared" si="9"/>
        <v>164827.13817539354</v>
      </c>
      <c r="U55" s="5">
        <f t="shared" si="10"/>
        <v>176591.46896722491</v>
      </c>
      <c r="V55" s="5">
        <f t="shared" si="11"/>
        <v>38213.402607322227</v>
      </c>
      <c r="AA55"/>
    </row>
    <row r="56" spans="1:27" ht="12.75" customHeight="1" x14ac:dyDescent="0.25">
      <c r="A56" s="4"/>
      <c r="C56" s="81"/>
      <c r="D56" s="82"/>
      <c r="E56" s="82"/>
      <c r="F56" s="82"/>
      <c r="G56" s="80"/>
      <c r="H56" s="2"/>
      <c r="I56" s="147"/>
      <c r="J56" s="9" t="s">
        <v>114</v>
      </c>
      <c r="K56" s="2"/>
      <c r="L56" s="83"/>
      <c r="M56" s="83"/>
      <c r="N56" s="83"/>
      <c r="O56" s="83"/>
      <c r="P56" s="83"/>
      <c r="Q56" s="2"/>
      <c r="R56" s="5">
        <f t="shared" si="7"/>
        <v>0</v>
      </c>
      <c r="S56" s="5">
        <f t="shared" si="8"/>
        <v>0</v>
      </c>
      <c r="T56" s="5">
        <f t="shared" si="9"/>
        <v>0</v>
      </c>
      <c r="U56" s="5">
        <f t="shared" si="10"/>
        <v>0</v>
      </c>
      <c r="V56" s="5">
        <f t="shared" si="11"/>
        <v>0</v>
      </c>
      <c r="AA56"/>
    </row>
    <row r="57" spans="1:27" ht="12.75" customHeight="1" x14ac:dyDescent="0.25">
      <c r="A57" s="4"/>
      <c r="C57" s="81"/>
      <c r="D57" s="82"/>
      <c r="E57" s="82"/>
      <c r="F57" s="82"/>
      <c r="G57" s="80"/>
      <c r="H57" s="2"/>
      <c r="I57" s="147"/>
      <c r="J57" s="9" t="s">
        <v>114</v>
      </c>
      <c r="K57" s="2"/>
      <c r="L57" s="83"/>
      <c r="M57" s="83"/>
      <c r="N57" s="83"/>
      <c r="O57" s="83"/>
      <c r="P57" s="83"/>
      <c r="Q57" s="2"/>
      <c r="R57" s="5">
        <f t="shared" si="7"/>
        <v>0</v>
      </c>
      <c r="S57" s="5">
        <f t="shared" si="8"/>
        <v>0</v>
      </c>
      <c r="T57" s="5">
        <f t="shared" si="9"/>
        <v>0</v>
      </c>
      <c r="U57" s="5">
        <f t="shared" si="10"/>
        <v>0</v>
      </c>
      <c r="V57" s="5">
        <f t="shared" si="11"/>
        <v>0</v>
      </c>
      <c r="AA57"/>
    </row>
    <row r="58" spans="1:27" ht="12.75" customHeight="1" x14ac:dyDescent="0.25">
      <c r="A58" s="4"/>
      <c r="C58" s="81"/>
      <c r="D58" s="82"/>
      <c r="E58" s="82"/>
      <c r="F58" s="82"/>
      <c r="G58" s="80"/>
      <c r="H58" s="2"/>
      <c r="I58" s="147"/>
      <c r="J58" s="9" t="s">
        <v>114</v>
      </c>
      <c r="K58" s="2"/>
      <c r="L58" s="83"/>
      <c r="M58" s="83"/>
      <c r="N58" s="83"/>
      <c r="O58" s="83"/>
      <c r="P58" s="83"/>
      <c r="Q58" s="2"/>
      <c r="R58" s="5">
        <f t="shared" si="7"/>
        <v>0</v>
      </c>
      <c r="S58" s="5">
        <f t="shared" si="8"/>
        <v>0</v>
      </c>
      <c r="T58" s="5">
        <f t="shared" si="9"/>
        <v>0</v>
      </c>
      <c r="U58" s="5">
        <f t="shared" si="10"/>
        <v>0</v>
      </c>
      <c r="V58" s="5">
        <f t="shared" si="11"/>
        <v>0</v>
      </c>
      <c r="AA58"/>
    </row>
    <row r="59" spans="1:27" ht="12.75" customHeight="1" x14ac:dyDescent="0.25">
      <c r="A59" s="4"/>
      <c r="C59" s="81"/>
      <c r="D59" s="82"/>
      <c r="E59" s="82"/>
      <c r="F59" s="82"/>
      <c r="G59" s="80"/>
      <c r="H59" s="2"/>
      <c r="I59" s="147"/>
      <c r="J59" s="9" t="s">
        <v>114</v>
      </c>
      <c r="K59" s="2"/>
      <c r="L59" s="83"/>
      <c r="M59" s="83"/>
      <c r="N59" s="83"/>
      <c r="O59" s="83"/>
      <c r="P59" s="83"/>
      <c r="Q59" s="2"/>
      <c r="R59" s="5">
        <f t="shared" si="7"/>
        <v>0</v>
      </c>
      <c r="S59" s="5">
        <f t="shared" si="8"/>
        <v>0</v>
      </c>
      <c r="T59" s="5">
        <f t="shared" si="9"/>
        <v>0</v>
      </c>
      <c r="U59" s="5">
        <f t="shared" si="10"/>
        <v>0</v>
      </c>
      <c r="V59" s="5">
        <f t="shared" si="11"/>
        <v>0</v>
      </c>
      <c r="AA59"/>
    </row>
    <row r="60" spans="1:27" ht="12.75" customHeight="1" x14ac:dyDescent="0.25">
      <c r="A60" s="4"/>
      <c r="C60" s="81"/>
      <c r="D60" s="82"/>
      <c r="E60" s="82"/>
      <c r="F60" s="82"/>
      <c r="G60" s="80"/>
      <c r="H60" s="2"/>
      <c r="I60" s="147"/>
      <c r="J60" s="9" t="s">
        <v>114</v>
      </c>
      <c r="K60" s="2"/>
      <c r="L60" s="83"/>
      <c r="M60" s="83"/>
      <c r="N60" s="83"/>
      <c r="O60" s="83"/>
      <c r="P60" s="83"/>
      <c r="Q60" s="2"/>
      <c r="R60" s="5">
        <f t="shared" si="7"/>
        <v>0</v>
      </c>
      <c r="S60" s="5">
        <f t="shared" si="8"/>
        <v>0</v>
      </c>
      <c r="T60" s="5">
        <f t="shared" si="9"/>
        <v>0</v>
      </c>
      <c r="U60" s="5">
        <f t="shared" si="10"/>
        <v>0</v>
      </c>
      <c r="V60" s="5">
        <f t="shared" si="11"/>
        <v>0</v>
      </c>
      <c r="AA60"/>
    </row>
    <row r="61" spans="1:27" ht="12.75" customHeight="1" x14ac:dyDescent="0.25">
      <c r="A61" s="4"/>
      <c r="C61" s="81"/>
      <c r="D61" s="82"/>
      <c r="E61" s="82"/>
      <c r="F61" s="82"/>
      <c r="G61" s="80"/>
      <c r="H61" s="2"/>
      <c r="I61" s="147"/>
      <c r="J61" s="9" t="s">
        <v>114</v>
      </c>
      <c r="K61" s="2"/>
      <c r="L61" s="83"/>
      <c r="M61" s="83"/>
      <c r="N61" s="83"/>
      <c r="O61" s="83"/>
      <c r="P61" s="83"/>
      <c r="Q61" s="2"/>
      <c r="R61" s="5">
        <f t="shared" si="7"/>
        <v>0</v>
      </c>
      <c r="S61" s="5">
        <f t="shared" si="8"/>
        <v>0</v>
      </c>
      <c r="T61" s="5">
        <f t="shared" si="9"/>
        <v>0</v>
      </c>
      <c r="U61" s="5">
        <f t="shared" si="10"/>
        <v>0</v>
      </c>
      <c r="V61" s="5">
        <f t="shared" si="11"/>
        <v>0</v>
      </c>
      <c r="AA61"/>
    </row>
    <row r="62" spans="1:27" ht="12.75" customHeight="1" x14ac:dyDescent="0.25">
      <c r="A62" s="4"/>
      <c r="C62" s="81"/>
      <c r="D62" s="82"/>
      <c r="E62" s="82"/>
      <c r="F62" s="82"/>
      <c r="G62" s="80"/>
      <c r="H62" s="2"/>
      <c r="I62" s="147"/>
      <c r="J62" s="9" t="s">
        <v>114</v>
      </c>
      <c r="K62" s="2"/>
      <c r="L62" s="83"/>
      <c r="M62" s="83"/>
      <c r="N62" s="83"/>
      <c r="O62" s="83"/>
      <c r="P62" s="83"/>
      <c r="Q62" s="2"/>
      <c r="R62" s="5">
        <f t="shared" si="7"/>
        <v>0</v>
      </c>
      <c r="S62" s="5">
        <f t="shared" si="8"/>
        <v>0</v>
      </c>
      <c r="T62" s="5">
        <f t="shared" si="9"/>
        <v>0</v>
      </c>
      <c r="U62" s="5">
        <f t="shared" si="10"/>
        <v>0</v>
      </c>
      <c r="V62" s="5">
        <f t="shared" si="11"/>
        <v>0</v>
      </c>
      <c r="AA62"/>
    </row>
    <row r="63" spans="1:27" ht="12.75" customHeight="1" x14ac:dyDescent="0.25">
      <c r="A63" s="4"/>
      <c r="C63" s="81"/>
      <c r="D63" s="82"/>
      <c r="E63" s="82"/>
      <c r="F63" s="82"/>
      <c r="G63" s="80"/>
      <c r="H63" s="2"/>
      <c r="I63" s="147"/>
      <c r="J63" s="9" t="s">
        <v>114</v>
      </c>
      <c r="K63" s="2"/>
      <c r="L63" s="83"/>
      <c r="M63" s="83"/>
      <c r="N63" s="83"/>
      <c r="O63" s="83"/>
      <c r="P63" s="83"/>
      <c r="Q63" s="2"/>
      <c r="R63" s="5">
        <f t="shared" si="7"/>
        <v>0</v>
      </c>
      <c r="S63" s="5">
        <f t="shared" si="8"/>
        <v>0</v>
      </c>
      <c r="T63" s="5">
        <f t="shared" si="9"/>
        <v>0</v>
      </c>
      <c r="U63" s="5">
        <f t="shared" si="10"/>
        <v>0</v>
      </c>
      <c r="V63" s="5">
        <f t="shared" si="11"/>
        <v>0</v>
      </c>
      <c r="AA63"/>
    </row>
    <row r="64" spans="1:27" ht="12.75" customHeight="1" x14ac:dyDescent="0.2">
      <c r="A64" s="4"/>
      <c r="C64" s="81"/>
      <c r="D64" s="82"/>
      <c r="E64" s="82"/>
      <c r="F64" s="82"/>
      <c r="G64" s="80"/>
      <c r="I64" s="147"/>
      <c r="J64" s="9" t="s">
        <v>114</v>
      </c>
      <c r="L64" s="83"/>
      <c r="M64" s="83"/>
      <c r="N64" s="83"/>
      <c r="O64" s="83"/>
      <c r="P64" s="83"/>
      <c r="R64" s="5">
        <f t="shared" si="7"/>
        <v>0</v>
      </c>
      <c r="S64" s="5">
        <f t="shared" si="8"/>
        <v>0</v>
      </c>
      <c r="T64" s="5">
        <f t="shared" si="9"/>
        <v>0</v>
      </c>
      <c r="U64" s="5">
        <f t="shared" si="10"/>
        <v>0</v>
      </c>
      <c r="V64" s="5">
        <f t="shared" si="11"/>
        <v>0</v>
      </c>
    </row>
    <row r="65" spans="1:27" ht="12.75" customHeight="1" x14ac:dyDescent="0.2">
      <c r="A65" s="4"/>
      <c r="C65" s="81"/>
      <c r="D65" s="82"/>
      <c r="E65" s="82"/>
      <c r="F65" s="82"/>
      <c r="G65" s="80"/>
      <c r="I65" s="147"/>
      <c r="J65" s="9" t="s">
        <v>114</v>
      </c>
      <c r="L65" s="83"/>
      <c r="M65" s="83"/>
      <c r="N65" s="83"/>
      <c r="O65" s="83"/>
      <c r="P65" s="83"/>
      <c r="R65" s="5">
        <f t="shared" si="7"/>
        <v>0</v>
      </c>
      <c r="S65" s="5">
        <f t="shared" si="8"/>
        <v>0</v>
      </c>
      <c r="T65" s="5">
        <f t="shared" si="9"/>
        <v>0</v>
      </c>
      <c r="U65" s="5">
        <f t="shared" si="10"/>
        <v>0</v>
      </c>
      <c r="V65" s="5">
        <f t="shared" si="11"/>
        <v>0</v>
      </c>
    </row>
    <row r="66" spans="1:27" ht="12.75" customHeight="1" x14ac:dyDescent="0.2">
      <c r="A66" s="4"/>
      <c r="C66" s="81"/>
      <c r="D66" s="82"/>
      <c r="E66" s="82"/>
      <c r="F66" s="82"/>
      <c r="G66" s="80"/>
      <c r="I66" s="147"/>
      <c r="J66" s="9" t="s">
        <v>114</v>
      </c>
      <c r="L66" s="83"/>
      <c r="M66" s="83"/>
      <c r="N66" s="83"/>
      <c r="O66" s="83"/>
      <c r="P66" s="83"/>
      <c r="R66" s="5">
        <f t="shared" si="7"/>
        <v>0</v>
      </c>
      <c r="S66" s="5">
        <f t="shared" si="8"/>
        <v>0</v>
      </c>
      <c r="T66" s="5">
        <f t="shared" si="9"/>
        <v>0</v>
      </c>
      <c r="U66" s="5">
        <f t="shared" si="10"/>
        <v>0</v>
      </c>
      <c r="V66" s="5">
        <f t="shared" si="11"/>
        <v>0</v>
      </c>
    </row>
    <row r="67" spans="1:27" ht="12.75" customHeight="1" x14ac:dyDescent="0.2">
      <c r="A67" s="4"/>
      <c r="C67" s="81"/>
      <c r="D67" s="82"/>
      <c r="E67" s="82"/>
      <c r="F67" s="82"/>
      <c r="G67" s="80"/>
      <c r="I67" s="147"/>
      <c r="J67" s="9" t="s">
        <v>114</v>
      </c>
      <c r="L67" s="83"/>
      <c r="M67" s="83"/>
      <c r="N67" s="83"/>
      <c r="O67" s="83"/>
      <c r="P67" s="83"/>
      <c r="R67" s="5">
        <f t="shared" si="7"/>
        <v>0</v>
      </c>
      <c r="S67" s="5">
        <f t="shared" si="8"/>
        <v>0</v>
      </c>
      <c r="T67" s="5">
        <f t="shared" si="9"/>
        <v>0</v>
      </c>
      <c r="U67" s="5">
        <f t="shared" si="10"/>
        <v>0</v>
      </c>
      <c r="V67" s="5">
        <f t="shared" si="11"/>
        <v>0</v>
      </c>
    </row>
    <row r="68" spans="1:27" ht="12.75" customHeight="1" x14ac:dyDescent="0.2">
      <c r="A68" s="4"/>
      <c r="C68" s="81"/>
      <c r="D68" s="82"/>
      <c r="E68" s="82"/>
      <c r="F68" s="82"/>
      <c r="G68" s="80"/>
      <c r="I68" s="147"/>
      <c r="J68" s="9" t="s">
        <v>114</v>
      </c>
      <c r="L68" s="83"/>
      <c r="M68" s="83"/>
      <c r="N68" s="83"/>
      <c r="O68" s="83"/>
      <c r="P68" s="83"/>
      <c r="R68" s="5">
        <f t="shared" si="7"/>
        <v>0</v>
      </c>
      <c r="S68" s="5">
        <f t="shared" si="8"/>
        <v>0</v>
      </c>
      <c r="T68" s="5">
        <f t="shared" si="9"/>
        <v>0</v>
      </c>
      <c r="U68" s="5">
        <f t="shared" si="10"/>
        <v>0</v>
      </c>
      <c r="V68" s="5">
        <f t="shared" si="11"/>
        <v>0</v>
      </c>
    </row>
    <row r="69" spans="1:27" ht="12.75" customHeight="1" x14ac:dyDescent="0.2">
      <c r="A69" s="4"/>
      <c r="C69" s="81"/>
      <c r="D69" s="82"/>
      <c r="E69" s="82"/>
      <c r="F69" s="82"/>
      <c r="G69" s="80"/>
      <c r="I69" s="147"/>
      <c r="J69" s="9" t="s">
        <v>114</v>
      </c>
      <c r="L69" s="83"/>
      <c r="M69" s="83"/>
      <c r="N69" s="83"/>
      <c r="O69" s="83"/>
      <c r="P69" s="83"/>
      <c r="R69" s="5">
        <f t="shared" si="7"/>
        <v>0</v>
      </c>
      <c r="S69" s="5">
        <f t="shared" si="8"/>
        <v>0</v>
      </c>
      <c r="T69" s="5">
        <f t="shared" si="9"/>
        <v>0</v>
      </c>
      <c r="U69" s="5">
        <f t="shared" si="10"/>
        <v>0</v>
      </c>
      <c r="V69" s="5">
        <f t="shared" si="11"/>
        <v>0</v>
      </c>
    </row>
    <row r="70" spans="1:27" ht="12.75" customHeight="1" x14ac:dyDescent="0.25">
      <c r="H70" s="2"/>
      <c r="K70" s="2"/>
      <c r="Q70" s="2"/>
      <c r="AA70"/>
    </row>
    <row r="71" spans="1:27" ht="12.75" customHeight="1" x14ac:dyDescent="0.25">
      <c r="H71" s="2"/>
      <c r="K71" s="2"/>
      <c r="Q71" s="2"/>
      <c r="AA71"/>
    </row>
    <row r="72" spans="1:27" ht="12.75" customHeight="1" x14ac:dyDescent="0.25">
      <c r="C72" s="3" t="s">
        <v>67</v>
      </c>
      <c r="H72" s="2"/>
      <c r="K72" s="2"/>
      <c r="Q72" s="2"/>
      <c r="R72" s="69" t="s">
        <v>6</v>
      </c>
      <c r="S72" s="69" t="s">
        <v>7</v>
      </c>
      <c r="T72" s="69" t="s">
        <v>8</v>
      </c>
      <c r="U72" s="69" t="s">
        <v>9</v>
      </c>
      <c r="V72" s="69" t="s">
        <v>10</v>
      </c>
      <c r="W72" s="69" t="s">
        <v>0</v>
      </c>
      <c r="AA72"/>
    </row>
    <row r="73" spans="1:27" ht="12.75" customHeight="1" x14ac:dyDescent="0.2">
      <c r="C73" s="24" t="s">
        <v>11</v>
      </c>
      <c r="D73" s="24" t="s">
        <v>53</v>
      </c>
      <c r="E73" s="24"/>
      <c r="F73" s="24"/>
      <c r="G73" s="24" t="s">
        <v>51</v>
      </c>
      <c r="H73" s="2"/>
      <c r="I73" s="66"/>
      <c r="J73" s="67"/>
      <c r="K73" s="2"/>
      <c r="L73" s="24"/>
      <c r="M73" s="24"/>
      <c r="N73" s="24"/>
      <c r="O73" s="24"/>
      <c r="P73" s="24"/>
      <c r="Q73" s="2"/>
      <c r="R73" s="25">
        <f t="shared" ref="R73:V75" si="12">SUMIFS(R$10:R$69,$E$10:$E$69,$C73,$D$10:$D$69,$D73,$G$10:$G$69,$G73)</f>
        <v>441139.89202513383</v>
      </c>
      <c r="S73" s="25">
        <f t="shared" si="12"/>
        <v>578018.79291817744</v>
      </c>
      <c r="T73" s="25">
        <f t="shared" si="12"/>
        <v>711327.08855740936</v>
      </c>
      <c r="U73" s="25">
        <f t="shared" si="12"/>
        <v>782156.18489025906</v>
      </c>
      <c r="V73" s="25">
        <f t="shared" si="12"/>
        <v>465714.52937020239</v>
      </c>
      <c r="W73" s="71">
        <f>SUM(R73:V73)</f>
        <v>2978356.4877611818</v>
      </c>
    </row>
    <row r="74" spans="1:27" ht="12.75" customHeight="1" x14ac:dyDescent="0.2">
      <c r="C74" s="1" t="s">
        <v>13</v>
      </c>
      <c r="D74" s="1" t="s">
        <v>53</v>
      </c>
      <c r="G74" s="1" t="s">
        <v>51</v>
      </c>
      <c r="H74" s="2"/>
      <c r="I74" s="68"/>
      <c r="K74" s="2"/>
      <c r="Q74" s="2"/>
      <c r="R74" s="6">
        <f t="shared" si="12"/>
        <v>2379057.6839286266</v>
      </c>
      <c r="S74" s="6">
        <f t="shared" si="12"/>
        <v>2946634.5973906955</v>
      </c>
      <c r="T74" s="6">
        <f t="shared" si="12"/>
        <v>4093860.4448284674</v>
      </c>
      <c r="U74" s="6">
        <f t="shared" si="12"/>
        <v>4996962.5684400406</v>
      </c>
      <c r="V74" s="6">
        <f t="shared" si="12"/>
        <v>2927542.7035321323</v>
      </c>
      <c r="W74" s="72">
        <f t="shared" ref="W74:W82" si="13">SUM(R74:V74)</f>
        <v>17344057.998119961</v>
      </c>
    </row>
    <row r="75" spans="1:27" ht="12.75" customHeight="1" x14ac:dyDescent="0.2">
      <c r="C75" s="1" t="s">
        <v>14</v>
      </c>
      <c r="D75" s="1" t="s">
        <v>53</v>
      </c>
      <c r="G75" s="1" t="s">
        <v>51</v>
      </c>
      <c r="H75" s="2"/>
      <c r="I75" s="68"/>
      <c r="K75" s="2"/>
      <c r="Q75" s="2"/>
      <c r="R75" s="6">
        <f t="shared" si="12"/>
        <v>1682215.8911194133</v>
      </c>
      <c r="S75" s="6">
        <f t="shared" si="12"/>
        <v>1918976.0657219135</v>
      </c>
      <c r="T75" s="6">
        <f t="shared" si="12"/>
        <v>3192079.9938563313</v>
      </c>
      <c r="U75" s="6">
        <f t="shared" si="12"/>
        <v>3571658.7362364293</v>
      </c>
      <c r="V75" s="6">
        <f t="shared" si="12"/>
        <v>1875152.9497865124</v>
      </c>
      <c r="W75" s="72">
        <f t="shared" si="13"/>
        <v>12240083.6367206</v>
      </c>
    </row>
    <row r="76" spans="1:27" ht="12.75" customHeight="1" x14ac:dyDescent="0.2">
      <c r="C76" s="21" t="s">
        <v>15</v>
      </c>
      <c r="D76" s="21" t="s">
        <v>53</v>
      </c>
      <c r="E76" s="102"/>
      <c r="F76" s="102"/>
      <c r="G76" s="103"/>
      <c r="H76" s="2"/>
      <c r="I76" s="103"/>
      <c r="J76" s="105"/>
      <c r="K76" s="104"/>
      <c r="L76" s="102"/>
      <c r="M76" s="102"/>
      <c r="N76" s="102"/>
      <c r="O76" s="102"/>
      <c r="P76" s="102"/>
      <c r="Q76" s="2"/>
      <c r="R76" s="22">
        <f t="shared" ref="R76:W76" si="14">SUM(R73:R75)</f>
        <v>4502413.4670731733</v>
      </c>
      <c r="S76" s="22">
        <f t="shared" si="14"/>
        <v>5443629.456030786</v>
      </c>
      <c r="T76" s="22">
        <f t="shared" si="14"/>
        <v>7997267.5272422079</v>
      </c>
      <c r="U76" s="22">
        <f t="shared" si="14"/>
        <v>9350777.4895667285</v>
      </c>
      <c r="V76" s="22">
        <f t="shared" si="14"/>
        <v>5268410.1826888472</v>
      </c>
      <c r="W76" s="22">
        <f t="shared" si="14"/>
        <v>32562498.12260174</v>
      </c>
    </row>
    <row r="77" spans="1:27" ht="12.75" customHeight="1" x14ac:dyDescent="0.2">
      <c r="C77" s="1" t="s">
        <v>11</v>
      </c>
      <c r="D77" s="1" t="s">
        <v>40</v>
      </c>
      <c r="G77" s="1" t="s">
        <v>51</v>
      </c>
      <c r="H77" s="2"/>
      <c r="I77" s="68"/>
      <c r="K77" s="2"/>
      <c r="Q77" s="2"/>
      <c r="R77" s="6">
        <f t="shared" ref="R77:V79" si="15">SUMIFS(R$10:R$69,$E$10:$E$69,$C77,$D$10:$D$69,$D77,$G$10:$G$69,$G77)</f>
        <v>225161.41600000003</v>
      </c>
      <c r="S77" s="6">
        <f t="shared" si="15"/>
        <v>225161.41600000003</v>
      </c>
      <c r="T77" s="6">
        <f t="shared" si="15"/>
        <v>225161.41600000003</v>
      </c>
      <c r="U77" s="6">
        <f t="shared" si="15"/>
        <v>225161.41600000003</v>
      </c>
      <c r="V77" s="6">
        <f t="shared" si="15"/>
        <v>225161.41600000003</v>
      </c>
      <c r="W77" s="72">
        <f t="shared" si="13"/>
        <v>1125807.08</v>
      </c>
    </row>
    <row r="78" spans="1:27" ht="12.75" customHeight="1" x14ac:dyDescent="0.2">
      <c r="C78" s="1" t="s">
        <v>13</v>
      </c>
      <c r="D78" s="1" t="s">
        <v>40</v>
      </c>
      <c r="G78" s="1" t="s">
        <v>51</v>
      </c>
      <c r="H78" s="2"/>
      <c r="I78" s="68"/>
      <c r="K78" s="2"/>
      <c r="Q78" s="2"/>
      <c r="R78" s="6">
        <f t="shared" si="15"/>
        <v>0</v>
      </c>
      <c r="S78" s="6">
        <f t="shared" si="15"/>
        <v>0</v>
      </c>
      <c r="T78" s="6">
        <f t="shared" si="15"/>
        <v>0</v>
      </c>
      <c r="U78" s="6">
        <f t="shared" si="15"/>
        <v>0</v>
      </c>
      <c r="V78" s="6">
        <f t="shared" si="15"/>
        <v>0</v>
      </c>
      <c r="W78" s="72">
        <f t="shared" si="13"/>
        <v>0</v>
      </c>
    </row>
    <row r="79" spans="1:27" ht="12.75" customHeight="1" x14ac:dyDescent="0.2">
      <c r="C79" s="1" t="s">
        <v>14</v>
      </c>
      <c r="D79" s="1" t="s">
        <v>40</v>
      </c>
      <c r="G79" s="1" t="s">
        <v>51</v>
      </c>
      <c r="H79" s="2"/>
      <c r="I79" s="68"/>
      <c r="K79" s="2"/>
      <c r="Q79" s="2"/>
      <c r="R79" s="6">
        <f t="shared" si="15"/>
        <v>113835.1</v>
      </c>
      <c r="S79" s="6">
        <f t="shared" si="15"/>
        <v>113835.1</v>
      </c>
      <c r="T79" s="6">
        <f t="shared" si="15"/>
        <v>113835.1</v>
      </c>
      <c r="U79" s="6">
        <f t="shared" si="15"/>
        <v>113835.1</v>
      </c>
      <c r="V79" s="6">
        <f t="shared" si="15"/>
        <v>113835.1</v>
      </c>
      <c r="W79" s="72">
        <f t="shared" si="13"/>
        <v>569175.5</v>
      </c>
    </row>
    <row r="80" spans="1:27" ht="12.75" customHeight="1" x14ac:dyDescent="0.2">
      <c r="C80" s="21" t="s">
        <v>17</v>
      </c>
      <c r="D80" s="21" t="s">
        <v>40</v>
      </c>
      <c r="E80" s="102"/>
      <c r="F80" s="102"/>
      <c r="G80" s="103"/>
      <c r="H80" s="2"/>
      <c r="I80" s="103"/>
      <c r="J80" s="105"/>
      <c r="K80" s="104"/>
      <c r="L80" s="102"/>
      <c r="M80" s="102"/>
      <c r="N80" s="102"/>
      <c r="O80" s="102"/>
      <c r="P80" s="102"/>
      <c r="Q80" s="2"/>
      <c r="R80" s="22">
        <f t="shared" ref="R80:W80" si="16">SUM(R77:R79)</f>
        <v>338996.51600000006</v>
      </c>
      <c r="S80" s="22">
        <f t="shared" si="16"/>
        <v>338996.51600000006</v>
      </c>
      <c r="T80" s="22">
        <f t="shared" si="16"/>
        <v>338996.51600000006</v>
      </c>
      <c r="U80" s="22">
        <f t="shared" si="16"/>
        <v>338996.51600000006</v>
      </c>
      <c r="V80" s="22">
        <f t="shared" si="16"/>
        <v>338996.51600000006</v>
      </c>
      <c r="W80" s="22">
        <f t="shared" si="16"/>
        <v>1694982.58</v>
      </c>
    </row>
    <row r="81" spans="3:24" ht="12.75" customHeight="1" x14ac:dyDescent="0.2">
      <c r="G81" s="68"/>
      <c r="H81" s="2"/>
      <c r="I81" s="68"/>
      <c r="K81" s="2"/>
      <c r="Q81" s="2"/>
      <c r="R81" s="6"/>
      <c r="S81" s="6"/>
      <c r="T81" s="6"/>
      <c r="U81" s="6"/>
      <c r="V81" s="6"/>
      <c r="W81" s="72"/>
    </row>
    <row r="82" spans="3:24" ht="12.75" customHeight="1" x14ac:dyDescent="0.2">
      <c r="C82" s="7" t="str">
        <f>"Total Expenditure ($ "&amp;Assumptions!$B$12&amp;")"</f>
        <v>Total Expenditure ($ June 2024)</v>
      </c>
      <c r="D82" s="7"/>
      <c r="E82" s="7"/>
      <c r="F82" s="7"/>
      <c r="G82" s="7"/>
      <c r="H82" s="2"/>
      <c r="I82" s="7"/>
      <c r="J82" s="10"/>
      <c r="K82" s="2"/>
      <c r="L82" s="7"/>
      <c r="M82" s="7"/>
      <c r="N82" s="7"/>
      <c r="O82" s="7"/>
      <c r="P82" s="7"/>
      <c r="Q82" s="2"/>
      <c r="R82" s="8">
        <f>R76+R80</f>
        <v>4841409.9830731731</v>
      </c>
      <c r="S82" s="8">
        <f>S76+S80</f>
        <v>5782625.9720307859</v>
      </c>
      <c r="T82" s="8">
        <f>T76+T80</f>
        <v>8336264.0432422077</v>
      </c>
      <c r="U82" s="8">
        <f>U76+U80</f>
        <v>9689774.0055667292</v>
      </c>
      <c r="V82" s="8">
        <f>V76+V80</f>
        <v>5607406.698688847</v>
      </c>
      <c r="W82" s="73">
        <f t="shared" si="13"/>
        <v>34257480.702601746</v>
      </c>
    </row>
    <row r="83" spans="3:24" ht="12.75" customHeight="1" x14ac:dyDescent="0.2">
      <c r="C83" s="45" t="s">
        <v>68</v>
      </c>
      <c r="D83" s="45"/>
      <c r="E83" s="45"/>
      <c r="F83" s="45"/>
      <c r="G83" s="45"/>
      <c r="H83" s="2"/>
      <c r="I83" s="45"/>
      <c r="J83" s="45"/>
      <c r="K83" s="2"/>
      <c r="L83" s="45"/>
      <c r="M83" s="45"/>
      <c r="N83" s="45"/>
      <c r="O83" s="45"/>
      <c r="P83" s="45"/>
      <c r="Q83" s="2"/>
      <c r="R83" s="46">
        <f>R82-SUM(R$10:R$69)</f>
        <v>0</v>
      </c>
      <c r="S83" s="46">
        <f>S82-SUM(S$10:S$69)</f>
        <v>0</v>
      </c>
      <c r="T83" s="46">
        <f>T82-SUM(T$10:T$69)</f>
        <v>0</v>
      </c>
      <c r="U83" s="46">
        <f>U82-SUM(U$10:U$69)</f>
        <v>0</v>
      </c>
      <c r="V83" s="46">
        <f>V82-SUM(V$10:V$69)</f>
        <v>0</v>
      </c>
      <c r="W83" s="46">
        <f>W82-SUM(R$10:V$69)</f>
        <v>0</v>
      </c>
      <c r="X83" s="46">
        <f>SUM(R83:W83)</f>
        <v>0</v>
      </c>
    </row>
    <row r="84" spans="3:24" ht="12.75" customHeight="1" x14ac:dyDescent="0.2">
      <c r="H84" s="2"/>
      <c r="K84" s="2"/>
      <c r="Q84" s="2"/>
    </row>
    <row r="85" spans="3:24" ht="12.75" customHeight="1" x14ac:dyDescent="0.2">
      <c r="C85" s="55" t="str">
        <f>"NPV ($ "&amp;Assumptions!$B$12&amp;")"</f>
        <v>NPV ($ June 2024)</v>
      </c>
      <c r="D85" s="56">
        <f>NPV(Real_Discount_rate,R82:V82)</f>
        <v>30760030.79359949</v>
      </c>
      <c r="H85" s="2"/>
      <c r="K85" s="2"/>
      <c r="Q85" s="2"/>
    </row>
    <row r="86" spans="3:24" ht="12.75" customHeight="1" x14ac:dyDescent="0.2">
      <c r="H86" s="2"/>
      <c r="K86" s="2"/>
      <c r="Q86" s="2"/>
    </row>
    <row r="87" spans="3:24" ht="12.75" customHeight="1" x14ac:dyDescent="0.2">
      <c r="H87" s="2"/>
      <c r="K87" s="2"/>
      <c r="Q87" s="2"/>
    </row>
    <row r="88" spans="3:24" ht="12.75" customHeight="1" x14ac:dyDescent="0.2">
      <c r="C88" s="4" t="s">
        <v>67</v>
      </c>
      <c r="G88" s="3"/>
      <c r="H88" s="2"/>
      <c r="K88" s="2"/>
      <c r="Q88" s="2"/>
      <c r="R88" s="69" t="s">
        <v>6</v>
      </c>
      <c r="S88" s="69" t="s">
        <v>7</v>
      </c>
      <c r="T88" s="69" t="s">
        <v>8</v>
      </c>
      <c r="U88" s="69" t="s">
        <v>9</v>
      </c>
      <c r="V88" s="69" t="s">
        <v>10</v>
      </c>
      <c r="W88" s="113" t="s">
        <v>0</v>
      </c>
    </row>
    <row r="89" spans="3:24" ht="12.75" customHeight="1" x14ac:dyDescent="0.2">
      <c r="C89" s="24" t="s">
        <v>95</v>
      </c>
      <c r="D89" s="24" t="s">
        <v>53</v>
      </c>
      <c r="E89" s="24"/>
      <c r="F89" s="24"/>
      <c r="G89" s="24" t="s">
        <v>51</v>
      </c>
      <c r="H89" s="2"/>
      <c r="I89" s="66"/>
      <c r="J89" s="67"/>
      <c r="K89" s="2"/>
      <c r="L89" s="24"/>
      <c r="M89" s="24"/>
      <c r="N89" s="24"/>
      <c r="O89" s="24"/>
      <c r="P89" s="24"/>
      <c r="Q89" s="2"/>
      <c r="R89" s="25">
        <f>SUMIFS(R$10:R$69,$D$10:$D$69,$D89,$G$10:$G$69,$G89,$F$10:$F$69,$C89)</f>
        <v>423071.27352875366</v>
      </c>
      <c r="S89" s="25">
        <f t="shared" ref="S89:V96" si="17">SUMIFS(S$10:S$69,$D$10:$D$69,$D89,$G$10:$G$69,$G89,$F$10:$F$69,$C89)</f>
        <v>556166.04790773836</v>
      </c>
      <c r="T89" s="25">
        <f t="shared" si="17"/>
        <v>423071.27352875366</v>
      </c>
      <c r="U89" s="25">
        <f t="shared" si="17"/>
        <v>489545.77201376681</v>
      </c>
      <c r="V89" s="149">
        <f t="shared" si="17"/>
        <v>423071.27352875366</v>
      </c>
      <c r="W89" s="72">
        <f t="shared" ref="W89:W96" si="18">SUM(R89:V89)</f>
        <v>2314925.640507766</v>
      </c>
    </row>
    <row r="90" spans="3:24" ht="12.75" customHeight="1" x14ac:dyDescent="0.2">
      <c r="C90" s="1" t="s">
        <v>95</v>
      </c>
      <c r="D90" s="1" t="s">
        <v>40</v>
      </c>
      <c r="G90" s="1" t="s">
        <v>51</v>
      </c>
      <c r="H90" s="2"/>
      <c r="I90" s="68"/>
      <c r="K90" s="2"/>
      <c r="Q90" s="2"/>
      <c r="R90" s="6">
        <f>SUMIFS(R$10:R$69,$D$10:$D$69,$D90,$G$10:$G$69,$G90,$F$10:$F$69,$C90)</f>
        <v>338996.516</v>
      </c>
      <c r="S90" s="6">
        <f t="shared" si="17"/>
        <v>338996.516</v>
      </c>
      <c r="T90" s="6">
        <f t="shared" si="17"/>
        <v>338996.516</v>
      </c>
      <c r="U90" s="6">
        <f t="shared" si="17"/>
        <v>338996.516</v>
      </c>
      <c r="V90" s="150">
        <f t="shared" si="17"/>
        <v>338996.516</v>
      </c>
      <c r="W90" s="72">
        <f t="shared" ref="W90" si="19">SUM(R90:V90)</f>
        <v>1694982.58</v>
      </c>
    </row>
    <row r="91" spans="3:24" ht="12.75" customHeight="1" x14ac:dyDescent="0.2">
      <c r="C91" s="1" t="s">
        <v>110</v>
      </c>
      <c r="D91" s="1" t="s">
        <v>53</v>
      </c>
      <c r="G91" s="1" t="s">
        <v>51</v>
      </c>
      <c r="H91" s="2"/>
      <c r="I91" s="68"/>
      <c r="K91" s="2"/>
      <c r="Q91" s="2"/>
      <c r="R91" s="6">
        <f t="shared" ref="R91:R96" si="20">SUMIFS(R$10:R$69,$D$10:$D$69,$D91,$G$10:$G$69,$G91,$F$10:$F$69,$C91)</f>
        <v>1063840.6496529682</v>
      </c>
      <c r="S91" s="6">
        <f t="shared" si="17"/>
        <v>1063840.6496529682</v>
      </c>
      <c r="T91" s="6">
        <f t="shared" si="17"/>
        <v>2127681.2993059363</v>
      </c>
      <c r="U91" s="6">
        <f t="shared" si="17"/>
        <v>2127681.2993059363</v>
      </c>
      <c r="V91" s="6">
        <f t="shared" si="17"/>
        <v>1063840.6496529682</v>
      </c>
      <c r="W91" s="72">
        <f t="shared" si="18"/>
        <v>7446884.5475707771</v>
      </c>
    </row>
    <row r="92" spans="3:24" ht="12.75" customHeight="1" x14ac:dyDescent="0.2">
      <c r="C92" s="1" t="s">
        <v>111</v>
      </c>
      <c r="D92" s="1" t="s">
        <v>53</v>
      </c>
      <c r="G92" s="1" t="s">
        <v>51</v>
      </c>
      <c r="H92" s="2"/>
      <c r="I92" s="68"/>
      <c r="K92" s="2"/>
      <c r="Q92" s="2"/>
      <c r="R92" s="6">
        <f t="shared" si="20"/>
        <v>259089.06409070868</v>
      </c>
      <c r="S92" s="6">
        <f t="shared" si="17"/>
        <v>278009.69666100258</v>
      </c>
      <c r="T92" s="6">
        <f t="shared" si="17"/>
        <v>298293.12186198775</v>
      </c>
      <c r="U92" s="6">
        <f t="shared" si="17"/>
        <v>320066.11110117025</v>
      </c>
      <c r="V92" s="6">
        <f t="shared" si="17"/>
        <v>381962.25081605144</v>
      </c>
      <c r="W92" s="72">
        <f t="shared" si="18"/>
        <v>1537420.2445309206</v>
      </c>
    </row>
    <row r="93" spans="3:24" ht="12.75" customHeight="1" x14ac:dyDescent="0.2">
      <c r="C93" s="1" t="s">
        <v>116</v>
      </c>
      <c r="D93" s="1" t="s">
        <v>53</v>
      </c>
      <c r="G93" s="1" t="s">
        <v>51</v>
      </c>
      <c r="H93" s="2"/>
      <c r="K93" s="2"/>
      <c r="Q93" s="2"/>
      <c r="R93" s="6">
        <f t="shared" si="20"/>
        <v>0</v>
      </c>
      <c r="S93" s="6">
        <f t="shared" si="17"/>
        <v>1021075.2309020425</v>
      </c>
      <c r="T93" s="6">
        <f t="shared" si="17"/>
        <v>1276344.038627553</v>
      </c>
      <c r="U93" s="6">
        <f t="shared" si="17"/>
        <v>2552688.0772551061</v>
      </c>
      <c r="V93" s="6">
        <f t="shared" si="17"/>
        <v>0</v>
      </c>
      <c r="W93" s="72">
        <f t="shared" si="18"/>
        <v>4850107.3467847016</v>
      </c>
    </row>
    <row r="94" spans="3:24" ht="12.75" customHeight="1" x14ac:dyDescent="0.2">
      <c r="C94" s="1" t="s">
        <v>122</v>
      </c>
      <c r="D94" s="1" t="s">
        <v>53</v>
      </c>
      <c r="G94" s="1" t="s">
        <v>51</v>
      </c>
      <c r="H94" s="2"/>
      <c r="K94" s="2"/>
      <c r="Q94" s="2"/>
      <c r="R94" s="6">
        <f t="shared" si="20"/>
        <v>225000.00000000003</v>
      </c>
      <c r="S94" s="6">
        <f t="shared" si="17"/>
        <v>225000.00000000003</v>
      </c>
      <c r="T94" s="6">
        <f t="shared" si="17"/>
        <v>225000.00000000003</v>
      </c>
      <c r="U94" s="6">
        <f t="shared" si="17"/>
        <v>225000.00000000003</v>
      </c>
      <c r="V94" s="6">
        <f t="shared" si="17"/>
        <v>225000.00000000003</v>
      </c>
      <c r="W94" s="6">
        <f t="shared" si="18"/>
        <v>1125000.0000000002</v>
      </c>
    </row>
    <row r="95" spans="3:24" ht="12.75" customHeight="1" x14ac:dyDescent="0.2">
      <c r="C95" s="1" t="s">
        <v>123</v>
      </c>
      <c r="D95" s="1" t="s">
        <v>53</v>
      </c>
      <c r="G95" s="1" t="s">
        <v>51</v>
      </c>
      <c r="H95" s="2"/>
      <c r="K95" s="2"/>
      <c r="Q95" s="2"/>
      <c r="R95" s="6">
        <f t="shared" si="20"/>
        <v>1713943.9999999998</v>
      </c>
      <c r="S95" s="6">
        <f t="shared" si="17"/>
        <v>1523579</v>
      </c>
      <c r="T95" s="6">
        <f t="shared" si="17"/>
        <v>3097454</v>
      </c>
      <c r="U95" s="6">
        <f t="shared" si="17"/>
        <v>3047158</v>
      </c>
      <c r="V95" s="6">
        <f t="shared" si="17"/>
        <v>3047158</v>
      </c>
      <c r="W95" s="6">
        <f t="shared" si="18"/>
        <v>12429293</v>
      </c>
    </row>
    <row r="96" spans="3:24" ht="12.75" customHeight="1" x14ac:dyDescent="0.2">
      <c r="C96" s="1" t="s">
        <v>125</v>
      </c>
      <c r="D96" s="1" t="s">
        <v>53</v>
      </c>
      <c r="G96" s="1" t="s">
        <v>51</v>
      </c>
      <c r="H96" s="2"/>
      <c r="K96" s="2"/>
      <c r="Q96" s="2"/>
      <c r="R96" s="148">
        <f t="shared" si="20"/>
        <v>817468.47980074352</v>
      </c>
      <c r="S96" s="148">
        <f t="shared" si="17"/>
        <v>775958.83090703504</v>
      </c>
      <c r="T96" s="148">
        <f t="shared" si="17"/>
        <v>549423.79391797853</v>
      </c>
      <c r="U96" s="148">
        <f t="shared" si="17"/>
        <v>588638.22989074967</v>
      </c>
      <c r="V96" s="148">
        <f t="shared" si="17"/>
        <v>127378.00869107409</v>
      </c>
      <c r="W96" s="6">
        <f t="shared" si="18"/>
        <v>2858867.343207581</v>
      </c>
    </row>
    <row r="97" spans="3:24" ht="12.75" customHeight="1" x14ac:dyDescent="0.2">
      <c r="C97" s="7" t="str">
        <f>"Total Expenditure ($ "&amp;Assumptions!$B$12&amp;")"</f>
        <v>Total Expenditure ($ June 2024)</v>
      </c>
      <c r="D97" s="7"/>
      <c r="E97" s="7"/>
      <c r="F97" s="7"/>
      <c r="G97" s="7"/>
      <c r="H97" s="2"/>
      <c r="I97" s="7"/>
      <c r="J97" s="10"/>
      <c r="K97" s="2"/>
      <c r="L97" s="7"/>
      <c r="M97" s="7"/>
      <c r="N97" s="7"/>
      <c r="O97" s="7"/>
      <c r="P97" s="7"/>
      <c r="Q97" s="2"/>
      <c r="R97" s="8">
        <f>SUM(R89:R96)</f>
        <v>4841409.9830731731</v>
      </c>
      <c r="S97" s="8">
        <f t="shared" ref="S97:V97" si="21">SUM(S89:S96)</f>
        <v>5782625.9720307859</v>
      </c>
      <c r="T97" s="8">
        <f t="shared" si="21"/>
        <v>8336264.0432422087</v>
      </c>
      <c r="U97" s="8">
        <f t="shared" si="21"/>
        <v>9689774.0055667274</v>
      </c>
      <c r="V97" s="8">
        <f t="shared" si="21"/>
        <v>5607406.6986888479</v>
      </c>
      <c r="W97" s="73">
        <f t="shared" ref="W97" si="22">SUM(R97:V97)</f>
        <v>34257480.702601746</v>
      </c>
    </row>
    <row r="98" spans="3:24" ht="12.75" customHeight="1" x14ac:dyDescent="0.2">
      <c r="C98" s="45" t="s">
        <v>68</v>
      </c>
      <c r="D98" s="45"/>
      <c r="E98" s="45"/>
      <c r="F98" s="45"/>
      <c r="G98" s="45"/>
      <c r="H98" s="2"/>
      <c r="I98" s="45"/>
      <c r="J98" s="45"/>
      <c r="K98" s="2"/>
      <c r="L98" s="45"/>
      <c r="M98" s="45"/>
      <c r="N98" s="45"/>
      <c r="O98" s="45"/>
      <c r="P98" s="45"/>
      <c r="Q98" s="2"/>
      <c r="R98" s="46">
        <f>R97-SUM(R$10:R$69)</f>
        <v>0</v>
      </c>
      <c r="S98" s="46">
        <f>S97-SUM(S$10:S$69)</f>
        <v>0</v>
      </c>
      <c r="T98" s="46">
        <f>T97-SUM(T$10:T$69)</f>
        <v>0</v>
      </c>
      <c r="U98" s="46">
        <f>U97-SUM(U$10:U$69)</f>
        <v>0</v>
      </c>
      <c r="V98" s="46">
        <f>V97-SUM(V$10:V$69)</f>
        <v>0</v>
      </c>
      <c r="W98" s="46">
        <f>W97-SUM(R$10:V$69)</f>
        <v>0</v>
      </c>
      <c r="X98" s="46">
        <f>SUM(R98:W98)</f>
        <v>0</v>
      </c>
    </row>
    <row r="99" spans="3:24" ht="12.75" customHeight="1" x14ac:dyDescent="0.2">
      <c r="C99" s="115"/>
      <c r="D99" s="115"/>
      <c r="E99" s="115"/>
      <c r="F99" s="115"/>
      <c r="G99" s="115"/>
      <c r="H99" s="2"/>
      <c r="I99" s="115"/>
      <c r="J99" s="115"/>
      <c r="K99" s="2"/>
      <c r="L99" s="115"/>
      <c r="M99" s="115"/>
      <c r="N99" s="115"/>
      <c r="O99" s="115"/>
      <c r="P99" s="115"/>
      <c r="Q99" s="2"/>
      <c r="R99" s="116"/>
      <c r="S99" s="116"/>
      <c r="T99" s="116"/>
      <c r="U99" s="116"/>
      <c r="V99" s="116"/>
      <c r="W99" s="116"/>
      <c r="X99" s="116"/>
    </row>
    <row r="100" spans="3:24" ht="12.75" customHeight="1" x14ac:dyDescent="0.2">
      <c r="C100" s="115"/>
      <c r="D100" s="115"/>
      <c r="E100" s="115"/>
      <c r="F100" s="115"/>
      <c r="G100" s="115"/>
      <c r="H100" s="2"/>
      <c r="I100" s="115"/>
      <c r="J100" s="115"/>
      <c r="K100" s="2"/>
      <c r="L100" s="115"/>
      <c r="M100" s="115"/>
      <c r="N100" s="115"/>
      <c r="O100" s="115"/>
      <c r="P100" s="115"/>
      <c r="Q100" s="2"/>
      <c r="R100" s="116"/>
      <c r="S100" s="116"/>
      <c r="T100" s="116"/>
      <c r="U100" s="116"/>
      <c r="V100" s="116"/>
      <c r="W100" s="116"/>
      <c r="X100" s="116"/>
    </row>
    <row r="101" spans="3:24" ht="12.75" customHeight="1" x14ac:dyDescent="0.2">
      <c r="C101" s="115"/>
      <c r="D101" s="115"/>
      <c r="E101" s="115"/>
      <c r="F101" s="115"/>
      <c r="G101" s="115"/>
      <c r="H101" s="2"/>
      <c r="I101" s="115"/>
      <c r="J101" s="115"/>
      <c r="K101" s="2"/>
      <c r="L101" s="115"/>
      <c r="M101" s="115"/>
      <c r="N101" s="115"/>
      <c r="O101" s="115"/>
      <c r="P101" s="115"/>
      <c r="Q101" s="2"/>
      <c r="R101" s="116"/>
      <c r="S101" s="116"/>
      <c r="T101" s="116"/>
      <c r="U101" s="116"/>
      <c r="V101" s="116"/>
      <c r="W101" s="116"/>
      <c r="X101" s="116"/>
    </row>
    <row r="102" spans="3:24" ht="12.75" customHeight="1" x14ac:dyDescent="0.2">
      <c r="C102" s="76" t="s">
        <v>69</v>
      </c>
      <c r="H102" s="2"/>
      <c r="K102" s="2"/>
      <c r="Q102" s="2"/>
      <c r="R102" s="69" t="s">
        <v>6</v>
      </c>
      <c r="S102" s="69" t="s">
        <v>7</v>
      </c>
      <c r="T102" s="69" t="s">
        <v>8</v>
      </c>
      <c r="U102" s="69" t="s">
        <v>9</v>
      </c>
      <c r="V102" s="69" t="s">
        <v>10</v>
      </c>
      <c r="W102" s="69" t="s">
        <v>0</v>
      </c>
    </row>
    <row r="103" spans="3:24" ht="12.75" customHeight="1" x14ac:dyDescent="0.2">
      <c r="C103" s="24" t="s">
        <v>11</v>
      </c>
      <c r="D103" s="24" t="s">
        <v>53</v>
      </c>
      <c r="E103" s="24"/>
      <c r="F103" s="24"/>
      <c r="G103" s="24" t="s">
        <v>51</v>
      </c>
      <c r="H103" s="2"/>
      <c r="I103" s="66"/>
      <c r="J103" s="67"/>
      <c r="K103" s="2"/>
      <c r="L103" s="24"/>
      <c r="M103" s="24"/>
      <c r="N103" s="24"/>
      <c r="O103" s="24"/>
      <c r="P103" s="24"/>
      <c r="Q103" s="2"/>
      <c r="R103" s="34">
        <f t="shared" ref="R103:V105" si="23">R73*business_case_dollars</f>
        <v>490950.16467362334</v>
      </c>
      <c r="S103" s="34">
        <f t="shared" si="23"/>
        <v>643284.42450509558</v>
      </c>
      <c r="T103" s="34">
        <f t="shared" si="23"/>
        <v>791644.91259423923</v>
      </c>
      <c r="U103" s="34">
        <f t="shared" si="23"/>
        <v>870471.50963732705</v>
      </c>
      <c r="V103" s="34">
        <f t="shared" si="23"/>
        <v>518299.58935605176</v>
      </c>
      <c r="W103" s="71">
        <f>SUM(R103:V103)</f>
        <v>3314650.600766337</v>
      </c>
    </row>
    <row r="104" spans="3:24" ht="12.75" customHeight="1" x14ac:dyDescent="0.2">
      <c r="C104" s="1" t="s">
        <v>13</v>
      </c>
      <c r="D104" s="1" t="s">
        <v>53</v>
      </c>
      <c r="G104" s="1" t="s">
        <v>51</v>
      </c>
      <c r="H104" s="2"/>
      <c r="I104" s="68"/>
      <c r="K104" s="2"/>
      <c r="Q104" s="2"/>
      <c r="R104" s="6">
        <f t="shared" si="23"/>
        <v>2647683.3829987468</v>
      </c>
      <c r="S104" s="6">
        <f t="shared" si="23"/>
        <v>3279346.9078047816</v>
      </c>
      <c r="T104" s="6">
        <f t="shared" si="23"/>
        <v>4556109.0617142748</v>
      </c>
      <c r="U104" s="6">
        <f t="shared" si="23"/>
        <v>5561182.836087279</v>
      </c>
      <c r="V104" s="6">
        <f t="shared" si="23"/>
        <v>3258099.2976855431</v>
      </c>
      <c r="W104" s="72">
        <f t="shared" ref="W104:W112" si="24">SUM(R104:V104)</f>
        <v>19302421.486290626</v>
      </c>
    </row>
    <row r="105" spans="3:24" ht="12.75" customHeight="1" x14ac:dyDescent="0.2">
      <c r="C105" s="1" t="s">
        <v>14</v>
      </c>
      <c r="D105" s="1" t="s">
        <v>53</v>
      </c>
      <c r="G105" s="1" t="s">
        <v>51</v>
      </c>
      <c r="H105" s="2"/>
      <c r="I105" s="68"/>
      <c r="K105" s="2"/>
      <c r="Q105" s="2"/>
      <c r="R105" s="6">
        <f t="shared" si="23"/>
        <v>1872159.3392297595</v>
      </c>
      <c r="S105" s="6">
        <f t="shared" si="23"/>
        <v>2135652.7317126836</v>
      </c>
      <c r="T105" s="6">
        <f t="shared" si="23"/>
        <v>3552506.1935361233</v>
      </c>
      <c r="U105" s="6">
        <f t="shared" si="23"/>
        <v>3974944.1762418416</v>
      </c>
      <c r="V105" s="6">
        <f t="shared" si="23"/>
        <v>2086881.4317827951</v>
      </c>
      <c r="W105" s="72">
        <f t="shared" si="24"/>
        <v>13622143.872503202</v>
      </c>
    </row>
    <row r="106" spans="3:24" ht="12.75" customHeight="1" x14ac:dyDescent="0.2">
      <c r="C106" s="21" t="s">
        <v>15</v>
      </c>
      <c r="D106" s="21" t="s">
        <v>53</v>
      </c>
      <c r="E106" s="102"/>
      <c r="F106" s="102"/>
      <c r="G106" s="103"/>
      <c r="H106" s="104"/>
      <c r="I106" s="103"/>
      <c r="J106" s="105"/>
      <c r="K106" s="104"/>
      <c r="L106" s="102"/>
      <c r="M106" s="102"/>
      <c r="N106" s="102"/>
      <c r="O106" s="102"/>
      <c r="P106" s="102"/>
      <c r="Q106" s="104"/>
      <c r="R106" s="22">
        <f t="shared" ref="R106:W106" si="25">SUM(R103:R105)</f>
        <v>5010792.8869021293</v>
      </c>
      <c r="S106" s="22">
        <f t="shared" si="25"/>
        <v>6058284.0640225606</v>
      </c>
      <c r="T106" s="22">
        <f t="shared" si="25"/>
        <v>8900260.1678446382</v>
      </c>
      <c r="U106" s="22">
        <f t="shared" si="25"/>
        <v>10406598.521966448</v>
      </c>
      <c r="V106" s="22">
        <f t="shared" si="25"/>
        <v>5863280.3188243899</v>
      </c>
      <c r="W106" s="22">
        <f t="shared" si="25"/>
        <v>36239215.959560171</v>
      </c>
    </row>
    <row r="107" spans="3:24" ht="12.75" customHeight="1" x14ac:dyDescent="0.2">
      <c r="C107" s="1" t="s">
        <v>11</v>
      </c>
      <c r="D107" s="1" t="s">
        <v>40</v>
      </c>
      <c r="G107" s="1" t="s">
        <v>51</v>
      </c>
      <c r="H107" s="2"/>
      <c r="I107" s="68"/>
      <c r="K107" s="2"/>
      <c r="Q107" s="2"/>
      <c r="R107" s="117">
        <f t="shared" ref="R107:V109" si="26">R77*business_case_dollars</f>
        <v>250584.98735146824</v>
      </c>
      <c r="S107" s="117">
        <f t="shared" si="26"/>
        <v>250584.98735146824</v>
      </c>
      <c r="T107" s="117">
        <f t="shared" si="26"/>
        <v>250584.98735146824</v>
      </c>
      <c r="U107" s="117">
        <f t="shared" si="26"/>
        <v>250584.98735146824</v>
      </c>
      <c r="V107" s="117">
        <f t="shared" si="26"/>
        <v>250584.98735146824</v>
      </c>
      <c r="W107" s="72">
        <f>SUM(R107:V107)</f>
        <v>1252924.9367573413</v>
      </c>
    </row>
    <row r="108" spans="3:24" ht="12.75" customHeight="1" x14ac:dyDescent="0.2">
      <c r="C108" s="1" t="s">
        <v>13</v>
      </c>
      <c r="D108" s="1" t="s">
        <v>40</v>
      </c>
      <c r="G108" s="1" t="s">
        <v>51</v>
      </c>
      <c r="H108" s="2"/>
      <c r="I108" s="68"/>
      <c r="K108" s="2"/>
      <c r="Q108" s="2"/>
      <c r="R108" s="6">
        <f t="shared" si="26"/>
        <v>0</v>
      </c>
      <c r="S108" s="6">
        <f t="shared" si="26"/>
        <v>0</v>
      </c>
      <c r="T108" s="6">
        <f t="shared" si="26"/>
        <v>0</v>
      </c>
      <c r="U108" s="6">
        <f t="shared" si="26"/>
        <v>0</v>
      </c>
      <c r="V108" s="6">
        <f t="shared" si="26"/>
        <v>0</v>
      </c>
      <c r="W108" s="72">
        <f t="shared" ref="W108:W109" si="27">SUM(R108:V108)</f>
        <v>0</v>
      </c>
    </row>
    <row r="109" spans="3:24" ht="12.75" customHeight="1" x14ac:dyDescent="0.2">
      <c r="C109" s="1" t="s">
        <v>14</v>
      </c>
      <c r="D109" s="1" t="s">
        <v>40</v>
      </c>
      <c r="G109" s="1" t="s">
        <v>51</v>
      </c>
      <c r="H109" s="2"/>
      <c r="I109" s="68"/>
      <c r="K109" s="2"/>
      <c r="Q109" s="2"/>
      <c r="R109" s="6">
        <f t="shared" si="26"/>
        <v>126688.52239609792</v>
      </c>
      <c r="S109" s="6">
        <f t="shared" si="26"/>
        <v>126688.52239609792</v>
      </c>
      <c r="T109" s="6">
        <f t="shared" si="26"/>
        <v>126688.52239609792</v>
      </c>
      <c r="U109" s="6">
        <f t="shared" si="26"/>
        <v>126688.52239609792</v>
      </c>
      <c r="V109" s="6">
        <f t="shared" si="26"/>
        <v>126688.52239609792</v>
      </c>
      <c r="W109" s="72">
        <f t="shared" si="27"/>
        <v>633442.61198048957</v>
      </c>
    </row>
    <row r="110" spans="3:24" ht="12.75" customHeight="1" x14ac:dyDescent="0.2">
      <c r="C110" s="21" t="s">
        <v>17</v>
      </c>
      <c r="D110" s="21" t="s">
        <v>40</v>
      </c>
      <c r="E110" s="102"/>
      <c r="F110" s="102"/>
      <c r="G110" s="103"/>
      <c r="H110" s="104"/>
      <c r="I110" s="103"/>
      <c r="J110" s="105"/>
      <c r="K110" s="104"/>
      <c r="L110" s="102"/>
      <c r="M110" s="102"/>
      <c r="N110" s="102"/>
      <c r="O110" s="102"/>
      <c r="P110" s="102"/>
      <c r="Q110" s="104"/>
      <c r="R110" s="22">
        <f t="shared" ref="R110:W110" si="28">SUM(R107:R109)</f>
        <v>377273.50974756619</v>
      </c>
      <c r="S110" s="22">
        <f t="shared" si="28"/>
        <v>377273.50974756619</v>
      </c>
      <c r="T110" s="22">
        <f t="shared" si="28"/>
        <v>377273.50974756619</v>
      </c>
      <c r="U110" s="22">
        <f t="shared" si="28"/>
        <v>377273.50974756619</v>
      </c>
      <c r="V110" s="22">
        <f t="shared" si="28"/>
        <v>377273.50974756619</v>
      </c>
      <c r="W110" s="22">
        <f t="shared" si="28"/>
        <v>1886367.5487378309</v>
      </c>
    </row>
    <row r="111" spans="3:24" ht="12.75" customHeight="1" x14ac:dyDescent="0.2">
      <c r="H111" s="2"/>
      <c r="I111" s="68"/>
      <c r="K111" s="2"/>
      <c r="Q111" s="2"/>
      <c r="R111" s="6"/>
      <c r="S111" s="6"/>
      <c r="T111" s="6"/>
      <c r="U111" s="6"/>
      <c r="V111" s="6"/>
      <c r="W111" s="72"/>
    </row>
    <row r="112" spans="3:24" x14ac:dyDescent="0.2">
      <c r="C112" s="7" t="str">
        <f>"Total Expenditure ($ "&amp;Assumptions!$C$35&amp;")"</f>
        <v>Total Expenditure ($ June 2026)</v>
      </c>
      <c r="D112" s="7" t="s">
        <v>70</v>
      </c>
      <c r="E112" s="7"/>
      <c r="F112" s="7"/>
      <c r="G112" s="7"/>
      <c r="H112" s="2"/>
      <c r="I112" s="7"/>
      <c r="J112" s="10"/>
      <c r="K112" s="2"/>
      <c r="L112" s="7"/>
      <c r="M112" s="7"/>
      <c r="N112" s="7"/>
      <c r="O112" s="7"/>
      <c r="P112" s="7"/>
      <c r="Q112" s="2"/>
      <c r="R112" s="8">
        <f>R106+R110</f>
        <v>5388066.3966496959</v>
      </c>
      <c r="S112" s="8">
        <f>S106+S110</f>
        <v>6435557.5737701263</v>
      </c>
      <c r="T112" s="8">
        <f>T106+T110</f>
        <v>9277533.6775922049</v>
      </c>
      <c r="U112" s="8">
        <f>U106+U110</f>
        <v>10783872.031714015</v>
      </c>
      <c r="V112" s="8">
        <f>V106+V110</f>
        <v>6240553.8285719566</v>
      </c>
      <c r="W112" s="73">
        <f t="shared" si="24"/>
        <v>38125583.508297995</v>
      </c>
    </row>
    <row r="113" spans="3:24" x14ac:dyDescent="0.2">
      <c r="H113" s="2"/>
      <c r="K113" s="2"/>
      <c r="Q113" s="2"/>
      <c r="R113" s="46">
        <f>SUM(R10:R69)*business_case_dollars-R112</f>
        <v>0</v>
      </c>
      <c r="S113" s="46">
        <f>SUM(S10:S69)*business_case_dollars-S112</f>
        <v>0</v>
      </c>
      <c r="T113" s="46">
        <f>SUM(T10:T69)*business_case_dollars-T112</f>
        <v>0</v>
      </c>
      <c r="U113" s="46">
        <f>SUM(U10:U69)*business_case_dollars-U112</f>
        <v>0</v>
      </c>
      <c r="V113" s="46">
        <f>SUM(V10:V69)*business_case_dollars-V112</f>
        <v>0</v>
      </c>
      <c r="W113" s="46">
        <f>SUM(R10:V69)*business_case_dollars-W112</f>
        <v>0</v>
      </c>
      <c r="X113" s="46">
        <f>SUM(R113:W113)</f>
        <v>0</v>
      </c>
    </row>
    <row r="114" spans="3:24" x14ac:dyDescent="0.2">
      <c r="C114" s="55" t="str">
        <f>"NPV ($ "&amp;Assumptions!$C$35&amp;")"</f>
        <v>NPV ($ June 2026)</v>
      </c>
      <c r="D114" s="56">
        <f>NPV(Real_Discount_rate,R112:V112)</f>
        <v>34233227.274360821</v>
      </c>
      <c r="H114" s="2"/>
      <c r="K114" s="2"/>
      <c r="Q114" s="2"/>
      <c r="R114" s="52"/>
      <c r="S114" s="52"/>
      <c r="T114" s="52"/>
      <c r="U114" s="52"/>
      <c r="V114" s="52"/>
    </row>
    <row r="117" spans="3:24" x14ac:dyDescent="0.2">
      <c r="C117" s="4" t="s">
        <v>67</v>
      </c>
      <c r="G117" s="3"/>
      <c r="H117" s="2"/>
      <c r="K117" s="2"/>
      <c r="Q117" s="2"/>
      <c r="R117" s="69" t="s">
        <v>6</v>
      </c>
      <c r="S117" s="69" t="s">
        <v>7</v>
      </c>
      <c r="T117" s="69" t="s">
        <v>8</v>
      </c>
      <c r="U117" s="69" t="s">
        <v>9</v>
      </c>
      <c r="V117" s="69" t="s">
        <v>10</v>
      </c>
      <c r="W117" s="113" t="s">
        <v>0</v>
      </c>
    </row>
    <row r="118" spans="3:24" x14ac:dyDescent="0.2">
      <c r="C118" s="24" t="s">
        <v>95</v>
      </c>
      <c r="D118" s="24" t="s">
        <v>53</v>
      </c>
      <c r="E118" s="24"/>
      <c r="F118" s="24"/>
      <c r="G118" s="24" t="s">
        <v>51</v>
      </c>
      <c r="H118" s="2"/>
      <c r="I118" s="66"/>
      <c r="J118" s="67"/>
      <c r="K118" s="2"/>
      <c r="L118" s="24"/>
      <c r="M118" s="24"/>
      <c r="N118" s="24"/>
      <c r="O118" s="24"/>
      <c r="P118" s="24"/>
      <c r="Q118" s="2"/>
      <c r="R118" s="25">
        <f t="shared" ref="R118:V125" si="29">R89*business_case_dollars</f>
        <v>470841.37064572505</v>
      </c>
      <c r="S118" s="25">
        <f t="shared" si="29"/>
        <v>618964.22822406073</v>
      </c>
      <c r="T118" s="25">
        <f t="shared" si="29"/>
        <v>470841.37064572505</v>
      </c>
      <c r="U118" s="25">
        <f t="shared" si="29"/>
        <v>544821.68067389703</v>
      </c>
      <c r="V118" s="25">
        <f t="shared" si="29"/>
        <v>470841.37064572505</v>
      </c>
      <c r="W118" s="25">
        <f t="shared" ref="W118:W125" si="30">SUM(R118:V118)</f>
        <v>2576310.0208351333</v>
      </c>
    </row>
    <row r="119" spans="3:24" x14ac:dyDescent="0.2">
      <c r="C119" s="1" t="s">
        <v>95</v>
      </c>
      <c r="D119" s="1" t="s">
        <v>40</v>
      </c>
      <c r="G119" s="1" t="s">
        <v>51</v>
      </c>
      <c r="H119" s="2"/>
      <c r="I119" s="68"/>
      <c r="K119" s="2"/>
      <c r="Q119" s="2"/>
      <c r="R119" s="6">
        <f t="shared" si="29"/>
        <v>377273.50974756613</v>
      </c>
      <c r="S119" s="6">
        <f t="shared" si="29"/>
        <v>377273.50974756613</v>
      </c>
      <c r="T119" s="6">
        <f t="shared" si="29"/>
        <v>377273.50974756613</v>
      </c>
      <c r="U119" s="6">
        <f t="shared" si="29"/>
        <v>377273.50974756613</v>
      </c>
      <c r="V119" s="6">
        <f t="shared" si="29"/>
        <v>377273.50974756613</v>
      </c>
      <c r="W119" s="6">
        <f t="shared" si="30"/>
        <v>1886367.5487378307</v>
      </c>
    </row>
    <row r="120" spans="3:24" x14ac:dyDescent="0.2">
      <c r="C120" s="1" t="s">
        <v>110</v>
      </c>
      <c r="D120" s="1" t="s">
        <v>53</v>
      </c>
      <c r="G120" s="1" t="s">
        <v>51</v>
      </c>
      <c r="H120" s="2"/>
      <c r="I120" s="68"/>
      <c r="K120" s="2"/>
      <c r="Q120" s="2"/>
      <c r="R120" s="6">
        <f t="shared" si="29"/>
        <v>1183961.7127708362</v>
      </c>
      <c r="S120" s="6">
        <f t="shared" si="29"/>
        <v>1183961.7127708362</v>
      </c>
      <c r="T120" s="6">
        <f t="shared" si="29"/>
        <v>2367923.4255416724</v>
      </c>
      <c r="U120" s="6">
        <f t="shared" si="29"/>
        <v>2367923.4255416724</v>
      </c>
      <c r="V120" s="6">
        <f t="shared" si="29"/>
        <v>1183961.7127708362</v>
      </c>
      <c r="W120" s="6">
        <f t="shared" si="30"/>
        <v>8287731.9893958531</v>
      </c>
    </row>
    <row r="121" spans="3:24" x14ac:dyDescent="0.2">
      <c r="C121" s="1" t="s">
        <v>111</v>
      </c>
      <c r="D121" s="1" t="s">
        <v>53</v>
      </c>
      <c r="G121" s="1" t="s">
        <v>51</v>
      </c>
      <c r="H121" s="2"/>
      <c r="I121" s="68"/>
      <c r="K121" s="2"/>
      <c r="Q121" s="2"/>
      <c r="R121" s="6">
        <f t="shared" si="29"/>
        <v>288343.49597478978</v>
      </c>
      <c r="S121" s="6">
        <f t="shared" si="29"/>
        <v>309400.50724047166</v>
      </c>
      <c r="T121" s="6">
        <f t="shared" si="29"/>
        <v>331974.18765929312</v>
      </c>
      <c r="U121" s="6">
        <f t="shared" si="29"/>
        <v>356205.6227338718</v>
      </c>
      <c r="V121" s="6">
        <f t="shared" si="29"/>
        <v>425090.61938693165</v>
      </c>
      <c r="W121" s="6">
        <f t="shared" si="30"/>
        <v>1711014.4329953582</v>
      </c>
    </row>
    <row r="122" spans="3:24" x14ac:dyDescent="0.2">
      <c r="C122" s="1" t="s">
        <v>116</v>
      </c>
      <c r="D122" s="1" t="s">
        <v>53</v>
      </c>
      <c r="G122" s="1" t="s">
        <v>51</v>
      </c>
      <c r="H122" s="2"/>
      <c r="K122" s="2"/>
      <c r="Q122" s="2"/>
      <c r="R122" s="6">
        <f t="shared" si="29"/>
        <v>0</v>
      </c>
      <c r="S122" s="6">
        <f t="shared" si="29"/>
        <v>1136367.5374136295</v>
      </c>
      <c r="T122" s="6">
        <f t="shared" si="29"/>
        <v>1420459.4217670369</v>
      </c>
      <c r="U122" s="6">
        <f t="shared" si="29"/>
        <v>2840918.8435340738</v>
      </c>
      <c r="V122" s="6">
        <f t="shared" si="29"/>
        <v>0</v>
      </c>
      <c r="W122" s="6">
        <f t="shared" si="30"/>
        <v>5397745.8027147399</v>
      </c>
    </row>
    <row r="123" spans="3:24" x14ac:dyDescent="0.2">
      <c r="C123" s="1" t="s">
        <v>122</v>
      </c>
      <c r="D123" s="1" t="s">
        <v>53</v>
      </c>
      <c r="G123" s="1" t="s">
        <v>51</v>
      </c>
      <c r="H123" s="2"/>
      <c r="K123" s="2"/>
      <c r="Q123" s="2"/>
      <c r="R123" s="6">
        <f t="shared" si="29"/>
        <v>250405.34544373426</v>
      </c>
      <c r="S123" s="6">
        <f t="shared" si="29"/>
        <v>250405.34544373426</v>
      </c>
      <c r="T123" s="6">
        <f t="shared" si="29"/>
        <v>250405.34544373426</v>
      </c>
      <c r="U123" s="6">
        <f t="shared" si="29"/>
        <v>250405.34544373426</v>
      </c>
      <c r="V123" s="6">
        <f t="shared" si="29"/>
        <v>250405.34544373426</v>
      </c>
      <c r="W123" s="6">
        <f t="shared" si="30"/>
        <v>1252026.7272186712</v>
      </c>
    </row>
    <row r="124" spans="3:24" x14ac:dyDescent="0.2">
      <c r="C124" s="1" t="s">
        <v>123</v>
      </c>
      <c r="D124" s="1" t="s">
        <v>53</v>
      </c>
      <c r="G124" s="1" t="s">
        <v>51</v>
      </c>
      <c r="H124" s="2"/>
      <c r="K124" s="2"/>
      <c r="Q124" s="2"/>
      <c r="R124" s="6">
        <f t="shared" si="29"/>
        <v>1907469.952849847</v>
      </c>
      <c r="S124" s="6">
        <f t="shared" si="29"/>
        <v>1695610.3369147519</v>
      </c>
      <c r="T124" s="6">
        <f t="shared" si="29"/>
        <v>3447195.7282936727</v>
      </c>
      <c r="U124" s="6">
        <f t="shared" si="29"/>
        <v>3391220.6738295038</v>
      </c>
      <c r="V124" s="6">
        <f t="shared" si="29"/>
        <v>3391220.6738295038</v>
      </c>
      <c r="W124" s="6">
        <f t="shared" si="30"/>
        <v>13832717.365717279</v>
      </c>
    </row>
    <row r="125" spans="3:24" x14ac:dyDescent="0.2">
      <c r="C125" s="1" t="s">
        <v>125</v>
      </c>
      <c r="D125" s="1" t="s">
        <v>53</v>
      </c>
      <c r="G125" s="1" t="s">
        <v>51</v>
      </c>
      <c r="H125" s="2"/>
      <c r="K125" s="2"/>
      <c r="Q125" s="2"/>
      <c r="R125" s="6">
        <f t="shared" si="29"/>
        <v>909771.00921719766</v>
      </c>
      <c r="S125" s="6">
        <f t="shared" si="29"/>
        <v>863574.39601507678</v>
      </c>
      <c r="T125" s="6">
        <f t="shared" si="29"/>
        <v>611460.68849350431</v>
      </c>
      <c r="U125" s="6">
        <f t="shared" si="29"/>
        <v>655102.93020969525</v>
      </c>
      <c r="V125" s="6">
        <f t="shared" si="29"/>
        <v>141760.59674765953</v>
      </c>
      <c r="W125" s="6">
        <f t="shared" si="30"/>
        <v>3181669.6206831336</v>
      </c>
    </row>
    <row r="126" spans="3:24" x14ac:dyDescent="0.2">
      <c r="C126" s="7" t="str">
        <f>"Total Expenditure ($ "&amp;Assumptions!$C$35&amp;")"</f>
        <v>Total Expenditure ($ June 2026)</v>
      </c>
      <c r="D126" s="7"/>
      <c r="E126" s="7"/>
      <c r="F126" s="7"/>
      <c r="G126" s="7"/>
      <c r="H126" s="2"/>
      <c r="I126" s="7"/>
      <c r="J126" s="10"/>
      <c r="K126" s="2"/>
      <c r="L126" s="7"/>
      <c r="M126" s="7"/>
      <c r="N126" s="7"/>
      <c r="O126" s="7"/>
      <c r="P126" s="7"/>
      <c r="Q126" s="2"/>
      <c r="R126" s="8">
        <f>SUM(R118:R125)</f>
        <v>5388066.3966496969</v>
      </c>
      <c r="S126" s="8">
        <f t="shared" ref="S126:V126" si="31">SUM(S118:S125)</f>
        <v>6435557.5737701282</v>
      </c>
      <c r="T126" s="8">
        <f t="shared" si="31"/>
        <v>9277533.6775922049</v>
      </c>
      <c r="U126" s="8">
        <f t="shared" si="31"/>
        <v>10783872.031714015</v>
      </c>
      <c r="V126" s="8">
        <f t="shared" si="31"/>
        <v>6240553.8285719566</v>
      </c>
      <c r="W126" s="73">
        <f t="shared" ref="W126" si="32">SUM(R126:V126)</f>
        <v>38125583.508297995</v>
      </c>
    </row>
    <row r="127" spans="3:24" x14ac:dyDescent="0.2">
      <c r="C127" s="45" t="s">
        <v>68</v>
      </c>
      <c r="D127" s="45"/>
      <c r="E127" s="45"/>
      <c r="F127" s="45"/>
      <c r="G127" s="45"/>
      <c r="H127" s="2"/>
      <c r="I127" s="45"/>
      <c r="J127" s="45"/>
      <c r="K127" s="2"/>
      <c r="L127" s="45"/>
      <c r="M127" s="45"/>
      <c r="N127" s="45"/>
      <c r="O127" s="45"/>
      <c r="P127" s="45"/>
      <c r="Q127" s="2"/>
      <c r="R127" s="46">
        <f>R126-SUM(R$10:R$69)*business_case_dollars</f>
        <v>0</v>
      </c>
      <c r="S127" s="46">
        <f>S126-SUM(S$10:S$69)*business_case_dollars</f>
        <v>0</v>
      </c>
      <c r="T127" s="46">
        <f>T126-SUM(T$10:T$69)*business_case_dollars</f>
        <v>0</v>
      </c>
      <c r="U127" s="46">
        <f>U126-SUM(U$10:U$69)*business_case_dollars</f>
        <v>0</v>
      </c>
      <c r="V127" s="46">
        <f>V126-SUM(V$10:V$69)*business_case_dollars</f>
        <v>0</v>
      </c>
      <c r="W127" s="46">
        <f>W126-SUM(R$10:V$69)*business_case_dollars</f>
        <v>0</v>
      </c>
      <c r="X127" s="46">
        <f>SUM(R127:W127)</f>
        <v>0</v>
      </c>
    </row>
  </sheetData>
  <conditionalFormatting sqref="I10:I34">
    <cfRule type="expression" dxfId="21" priority="11">
      <formula>$E10="Contracts"</formula>
    </cfRule>
    <cfRule type="expression" dxfId="20" priority="12">
      <formula>$E10="Materials"</formula>
    </cfRule>
    <cfRule type="expression" dxfId="19" priority="13">
      <formula>$E10="Labour"</formula>
    </cfRule>
  </conditionalFormatting>
  <conditionalFormatting sqref="R83:W83">
    <cfRule type="expression" dxfId="18" priority="7">
      <formula>ABS(R83)&gt;0.001</formula>
    </cfRule>
  </conditionalFormatting>
  <conditionalFormatting sqref="R98:W101">
    <cfRule type="expression" dxfId="17" priority="4">
      <formula>ABS(R98)&gt;0.001</formula>
    </cfRule>
  </conditionalFormatting>
  <conditionalFormatting sqref="R113:W113">
    <cfRule type="expression" dxfId="16" priority="8">
      <formula>ABS(R113)&gt;0.001</formula>
    </cfRule>
  </conditionalFormatting>
  <conditionalFormatting sqref="R127:W127">
    <cfRule type="expression" dxfId="15" priority="1">
      <formula>ABS(R127)&gt;0.001</formula>
    </cfRule>
  </conditionalFormatting>
  <conditionalFormatting sqref="X83">
    <cfRule type="expression" dxfId="14" priority="17">
      <formula>ABS(X83)&gt;0.001</formula>
    </cfRule>
  </conditionalFormatting>
  <conditionalFormatting sqref="X98:X101">
    <cfRule type="expression" dxfId="13" priority="5">
      <formula>ABS(X98)&gt;0.001</formula>
    </cfRule>
  </conditionalFormatting>
  <conditionalFormatting sqref="X113">
    <cfRule type="expression" dxfId="12" priority="9">
      <formula>ABS(X113)&gt;0.001</formula>
    </cfRule>
  </conditionalFormatting>
  <conditionalFormatting sqref="X127">
    <cfRule type="expression" dxfId="11" priority="2">
      <formula>ABS(X127)&gt;0.001</formula>
    </cfRule>
  </conditionalFormatting>
  <dataValidations disablePrompts="1" count="3">
    <dataValidation type="list" allowBlank="1" showInputMessage="1" showErrorMessage="1" sqref="G10:G69" xr:uid="{62F3F087-87F3-4E5A-B0D6-C76D92ABBAEF}">
      <formula1>"Recurrent, Non recurrent"</formula1>
    </dataValidation>
    <dataValidation type="list" allowBlank="1" showInputMessage="1" showErrorMessage="1" sqref="D10:D30 D34 D37 D40 D50 D53 D56:D69" xr:uid="{2827424A-175C-47A9-8376-819542451550}">
      <formula1>"Capex, Opex"</formula1>
    </dataValidation>
    <dataValidation type="list" allowBlank="1" showInputMessage="1" showErrorMessage="1" sqref="E10:E69" xr:uid="{B6D77B07-EFAE-4B85-BB1E-63380949B0D0}">
      <formula1>"Labour, Materials, Contracts"</formula1>
    </dataValidation>
  </dataValidation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0A95B1-4B3C-46F4-9203-34B6BE8E696F}">
  <dimension ref="A1:AC127"/>
  <sheetViews>
    <sheetView showGridLines="0" zoomScale="85" zoomScaleNormal="85" workbookViewId="0">
      <pane ySplit="9" topLeftCell="A10" activePane="bottomLeft" state="frozen"/>
      <selection activeCell="H17" sqref="H17"/>
      <selection pane="bottomLeft" activeCell="X136" sqref="X136"/>
    </sheetView>
  </sheetViews>
  <sheetFormatPr defaultColWidth="9.140625" defaultRowHeight="12.75" x14ac:dyDescent="0.2"/>
  <cols>
    <col min="1" max="1" width="2.28515625" style="1" customWidth="1"/>
    <col min="2" max="2" width="1.5703125" style="1" customWidth="1"/>
    <col min="3" max="3" width="74.5703125" style="1" customWidth="1"/>
    <col min="4" max="4" width="12.7109375" style="1" customWidth="1"/>
    <col min="5" max="5" width="9.42578125" style="1" bestFit="1" customWidth="1"/>
    <col min="6" max="6" width="8.5703125" style="9" bestFit="1" customWidth="1"/>
    <col min="7" max="7" width="5.85546875" style="9" bestFit="1" customWidth="1"/>
    <col min="8" max="8" width="16.28515625" style="1" bestFit="1" customWidth="1"/>
    <col min="9" max="9" width="14.140625" style="1" customWidth="1"/>
    <col min="10" max="10" width="2.85546875" style="1" customWidth="1"/>
    <col min="11" max="11" width="8.42578125" style="1" bestFit="1" customWidth="1"/>
    <col min="12" max="12" width="6.28515625" style="9" bestFit="1" customWidth="1"/>
    <col min="13" max="13" width="2.85546875" style="1" customWidth="1"/>
    <col min="14" max="18" width="12.140625" style="1" customWidth="1"/>
    <col min="19" max="19" width="2.85546875" style="1" customWidth="1"/>
    <col min="20" max="24" width="12.140625" style="1" customWidth="1"/>
    <col min="25" max="25" width="13" style="1" customWidth="1"/>
    <col min="26" max="16384" width="9.140625" style="1"/>
  </cols>
  <sheetData>
    <row r="1" spans="1:29" ht="21" x14ac:dyDescent="0.35">
      <c r="A1" s="63" t="str">
        <f>Project_name</f>
        <v>Property recurrent</v>
      </c>
      <c r="B1" s="14"/>
      <c r="C1" s="11"/>
      <c r="D1" s="11"/>
      <c r="E1" s="11"/>
      <c r="F1" s="12"/>
      <c r="G1" s="12"/>
      <c r="H1" s="11"/>
      <c r="I1" s="11"/>
      <c r="J1" s="11"/>
      <c r="K1" s="11"/>
      <c r="L1" s="12"/>
      <c r="M1" s="11"/>
      <c r="N1" s="11"/>
      <c r="O1" s="11"/>
      <c r="P1" s="11"/>
      <c r="Q1" s="11"/>
      <c r="R1" s="11"/>
      <c r="S1" s="11"/>
      <c r="T1" s="11"/>
      <c r="U1" s="11"/>
      <c r="V1" s="11"/>
      <c r="W1" s="11"/>
      <c r="X1" s="11"/>
    </row>
    <row r="2" spans="1:29" ht="15.75" x14ac:dyDescent="0.25">
      <c r="A2" s="60" t="str">
        <f>Business</f>
        <v>Powercor</v>
      </c>
      <c r="B2" s="13"/>
      <c r="C2" s="11"/>
      <c r="D2" s="11"/>
      <c r="E2" s="11"/>
      <c r="F2" s="12"/>
      <c r="G2" s="12"/>
      <c r="H2" s="11"/>
      <c r="I2" s="11"/>
      <c r="J2" s="11"/>
      <c r="K2" s="11"/>
      <c r="L2" s="12"/>
      <c r="M2" s="11"/>
      <c r="N2" s="11"/>
      <c r="O2" s="11"/>
      <c r="P2" s="11"/>
      <c r="Q2" s="11"/>
      <c r="R2" s="11"/>
      <c r="S2" s="11"/>
      <c r="T2" s="11"/>
      <c r="U2" s="11"/>
      <c r="V2" s="11"/>
      <c r="W2" s="11"/>
      <c r="X2" s="11"/>
    </row>
    <row r="3" spans="1:29" s="32" customFormat="1" ht="15.75" x14ac:dyDescent="0.25">
      <c r="A3" s="30" t="s">
        <v>3</v>
      </c>
      <c r="B3" s="30"/>
      <c r="C3" s="30"/>
      <c r="D3" s="30"/>
      <c r="E3" s="30"/>
      <c r="F3" s="31"/>
      <c r="G3" s="31"/>
      <c r="H3" s="30"/>
      <c r="I3" s="30"/>
      <c r="J3" s="30"/>
      <c r="K3" s="30"/>
      <c r="L3" s="31"/>
      <c r="M3" s="30"/>
      <c r="N3" s="30"/>
      <c r="O3" s="30"/>
      <c r="P3" s="30"/>
      <c r="Q3" s="30"/>
      <c r="R3" s="30"/>
      <c r="S3" s="30"/>
      <c r="T3" s="13"/>
      <c r="U3" s="11"/>
      <c r="V3" s="11"/>
      <c r="W3" s="11"/>
      <c r="X3" s="11"/>
      <c r="Z3" s="48" t="b">
        <f>SUM(Z7:Z70)=0</f>
        <v>1</v>
      </c>
    </row>
    <row r="4" spans="1:29" ht="12.75" customHeight="1" x14ac:dyDescent="0.25">
      <c r="B4" s="15"/>
      <c r="C4" s="16"/>
      <c r="D4" s="16"/>
      <c r="E4" s="16"/>
      <c r="F4" s="17"/>
      <c r="G4" s="17"/>
      <c r="H4" s="16"/>
      <c r="I4" s="16"/>
      <c r="J4" s="16"/>
      <c r="K4" s="16"/>
      <c r="L4" s="17"/>
      <c r="M4" s="16"/>
      <c r="N4" s="16"/>
      <c r="O4" s="16"/>
      <c r="P4" s="16"/>
      <c r="Q4" s="16"/>
      <c r="R4" s="16"/>
      <c r="S4" s="16"/>
      <c r="T4" s="16"/>
      <c r="U4" s="16"/>
      <c r="V4" s="16"/>
      <c r="W4" s="16"/>
      <c r="X4" s="16"/>
    </row>
    <row r="5" spans="1:29" ht="12.75" customHeight="1" x14ac:dyDescent="0.2">
      <c r="A5" s="1" t="str">
        <f>"Inputs are in $"&amp;Assumptions!$B$12&amp; " unless otherwise stated"</f>
        <v>Inputs are in $June 2024 unless otherwise stated</v>
      </c>
      <c r="B5" s="18"/>
      <c r="C5" s="16"/>
      <c r="D5" s="16"/>
      <c r="E5" s="16"/>
      <c r="F5" s="17"/>
      <c r="G5" s="17"/>
      <c r="H5" s="16"/>
      <c r="I5" s="16"/>
      <c r="J5" s="16"/>
      <c r="K5" s="16"/>
      <c r="L5" s="17"/>
      <c r="M5" s="16"/>
      <c r="N5" s="16"/>
      <c r="O5" s="16"/>
      <c r="P5" s="16"/>
      <c r="Q5" s="16"/>
      <c r="R5" s="16"/>
      <c r="S5" s="16"/>
      <c r="T5" s="16"/>
      <c r="U5" s="16"/>
      <c r="V5" s="16"/>
      <c r="W5" s="16"/>
      <c r="X5" s="16"/>
    </row>
    <row r="6" spans="1:29" ht="12.75" customHeight="1" x14ac:dyDescent="0.2">
      <c r="A6" s="4"/>
      <c r="J6" s="16"/>
    </row>
    <row r="7" spans="1:29" ht="12.75" customHeight="1" x14ac:dyDescent="0.2">
      <c r="A7" s="4"/>
      <c r="C7" s="50" t="s">
        <v>41</v>
      </c>
      <c r="D7" s="65" t="s">
        <v>42</v>
      </c>
      <c r="E7" s="65" t="s">
        <v>43</v>
      </c>
      <c r="F7" s="124" t="s">
        <v>89</v>
      </c>
      <c r="G7" s="124" t="s">
        <v>91</v>
      </c>
      <c r="H7" s="65" t="s">
        <v>108</v>
      </c>
      <c r="I7" s="111" t="s">
        <v>44</v>
      </c>
      <c r="J7" s="16"/>
      <c r="K7" s="19" t="s">
        <v>11</v>
      </c>
      <c r="L7" s="19" t="s">
        <v>45</v>
      </c>
      <c r="N7" s="19" t="s">
        <v>46</v>
      </c>
      <c r="O7" s="20"/>
      <c r="P7" s="20"/>
      <c r="Q7" s="20"/>
      <c r="R7" s="20"/>
      <c r="T7" s="19" t="s">
        <v>47</v>
      </c>
      <c r="U7" s="20"/>
      <c r="V7" s="20"/>
      <c r="W7" s="20"/>
      <c r="X7" s="20"/>
    </row>
    <row r="8" spans="1:29" ht="12.75" customHeight="1" x14ac:dyDescent="0.2">
      <c r="A8" s="4"/>
      <c r="B8" s="4"/>
      <c r="C8" s="100"/>
      <c r="D8" s="100" t="s">
        <v>40</v>
      </c>
      <c r="E8" s="100"/>
      <c r="F8" s="110" t="s">
        <v>90</v>
      </c>
      <c r="G8" s="110" t="s">
        <v>90</v>
      </c>
      <c r="H8" s="100"/>
      <c r="I8" s="100" t="s">
        <v>48</v>
      </c>
      <c r="J8" s="16"/>
      <c r="K8" s="110" t="s">
        <v>49</v>
      </c>
      <c r="L8" s="100"/>
      <c r="N8" s="51" t="s">
        <v>6</v>
      </c>
      <c r="O8" s="51" t="s">
        <v>7</v>
      </c>
      <c r="P8" s="51" t="s">
        <v>8</v>
      </c>
      <c r="Q8" s="51" t="s">
        <v>9</v>
      </c>
      <c r="R8" s="51" t="s">
        <v>10</v>
      </c>
      <c r="T8" s="51" t="s">
        <v>6</v>
      </c>
      <c r="U8" s="51" t="s">
        <v>7</v>
      </c>
      <c r="V8" s="51" t="s">
        <v>8</v>
      </c>
      <c r="W8" s="51" t="s">
        <v>9</v>
      </c>
      <c r="X8" s="51" t="s">
        <v>10</v>
      </c>
    </row>
    <row r="9" spans="1:29" ht="12.75" customHeight="1" x14ac:dyDescent="0.2">
      <c r="J9" s="16"/>
    </row>
    <row r="10" spans="1:29" ht="12.75" customHeight="1" x14ac:dyDescent="0.2">
      <c r="A10" s="4"/>
      <c r="C10" s="81"/>
      <c r="D10" s="118"/>
      <c r="E10" s="82"/>
      <c r="F10" s="120"/>
      <c r="G10" s="120"/>
      <c r="H10" s="82"/>
      <c r="I10" s="80"/>
      <c r="J10" s="2"/>
      <c r="K10" s="64">
        <f>IF($E10="Labour",Assumptions!$B$14,)</f>
        <v>0</v>
      </c>
      <c r="L10" s="9" t="str">
        <f>IF($E10="Labour","Hours","$")</f>
        <v>$</v>
      </c>
      <c r="M10" s="2"/>
      <c r="N10" s="83"/>
      <c r="O10" s="83"/>
      <c r="P10" s="83"/>
      <c r="Q10" s="83"/>
      <c r="R10" s="83"/>
      <c r="S10" s="2"/>
      <c r="T10" s="5">
        <f>IF($E10="Labour",$K10*N10,N10)*$F10</f>
        <v>0</v>
      </c>
      <c r="U10" s="5">
        <f t="shared" ref="U10:X10" si="0">IF($E10="Labour",$K10*O10,O10)*$F10</f>
        <v>0</v>
      </c>
      <c r="V10" s="5">
        <f t="shared" si="0"/>
        <v>0</v>
      </c>
      <c r="W10" s="5">
        <f t="shared" si="0"/>
        <v>0</v>
      </c>
      <c r="X10" s="5">
        <f t="shared" si="0"/>
        <v>0</v>
      </c>
      <c r="Y10" s="119"/>
    </row>
    <row r="11" spans="1:29" ht="12.75" customHeight="1" x14ac:dyDescent="0.2">
      <c r="A11" s="4"/>
      <c r="C11" s="81" t="s">
        <v>52</v>
      </c>
      <c r="D11" s="118" t="s">
        <v>53</v>
      </c>
      <c r="E11" s="82" t="s">
        <v>11</v>
      </c>
      <c r="F11" s="121">
        <v>0</v>
      </c>
      <c r="G11" s="121">
        <v>1</v>
      </c>
      <c r="H11" s="82" t="s">
        <v>95</v>
      </c>
      <c r="I11" s="80" t="s">
        <v>51</v>
      </c>
      <c r="J11" s="2"/>
      <c r="K11" s="64">
        <f>IF($E11="Labour",Assumptions!$B$14,)</f>
        <v>145.77740895836223</v>
      </c>
      <c r="L11" s="9" t="str">
        <f t="shared" ref="L11:L40" si="1">IF($E11="Labour","Hours","$")</f>
        <v>Hours</v>
      </c>
      <c r="M11" s="2"/>
      <c r="N11" s="83">
        <f>93837.5/K11</f>
        <v>643.70399138320806</v>
      </c>
      <c r="O11" s="83">
        <f>93837.5/K11</f>
        <v>643.70399138320806</v>
      </c>
      <c r="P11" s="83">
        <f>93837.5/K11</f>
        <v>643.70399138320806</v>
      </c>
      <c r="Q11" s="83">
        <f>93837.5/K11</f>
        <v>643.70399138320806</v>
      </c>
      <c r="R11" s="83">
        <f>93837.5/K11</f>
        <v>643.70399138320806</v>
      </c>
      <c r="S11" s="2"/>
      <c r="T11" s="5">
        <f t="shared" ref="T11:T40" si="2">IF($E11="Labour",$K11*N11,N11)*$F11</f>
        <v>0</v>
      </c>
      <c r="U11" s="5">
        <f t="shared" ref="U11:U40" si="3">IF($E11="Labour",$K11*O11,O11)*$F11</f>
        <v>0</v>
      </c>
      <c r="V11" s="5">
        <f t="shared" ref="V11:V40" si="4">IF($E11="Labour",$K11*P11,P11)*$F11</f>
        <v>0</v>
      </c>
      <c r="W11" s="5">
        <f t="shared" ref="W11:W40" si="5">IF($E11="Labour",$K11*Q11,Q11)*$F11</f>
        <v>0</v>
      </c>
      <c r="X11" s="5">
        <f t="shared" ref="X11:X40" si="6">IF($E11="Labour",$K11*R11,R11)*$F11</f>
        <v>0</v>
      </c>
      <c r="Y11" s="119"/>
    </row>
    <row r="12" spans="1:29" ht="12.75" customHeight="1" x14ac:dyDescent="0.2">
      <c r="A12" s="4"/>
      <c r="C12" s="81" t="s">
        <v>72</v>
      </c>
      <c r="D12" s="118" t="s">
        <v>53</v>
      </c>
      <c r="E12" s="82" t="s">
        <v>13</v>
      </c>
      <c r="F12" s="121">
        <v>0.6</v>
      </c>
      <c r="G12" s="121">
        <v>0.4</v>
      </c>
      <c r="H12" s="82" t="s">
        <v>95</v>
      </c>
      <c r="I12" s="80" t="s">
        <v>51</v>
      </c>
      <c r="J12" s="2"/>
      <c r="K12" s="64">
        <f>IF($E12="Labour",Assumptions!$B$14,)</f>
        <v>0</v>
      </c>
      <c r="L12" s="9" t="str">
        <f t="shared" si="1"/>
        <v>$</v>
      </c>
      <c r="M12" s="2"/>
      <c r="N12" s="83">
        <v>64213</v>
      </c>
      <c r="O12" s="83">
        <v>64213</v>
      </c>
      <c r="P12" s="83">
        <v>64213</v>
      </c>
      <c r="Q12" s="83">
        <v>64213</v>
      </c>
      <c r="R12" s="83">
        <v>64213</v>
      </c>
      <c r="S12" s="2"/>
      <c r="T12" s="5">
        <f t="shared" si="2"/>
        <v>38527.799999999996</v>
      </c>
      <c r="U12" s="5">
        <f t="shared" si="3"/>
        <v>38527.799999999996</v>
      </c>
      <c r="V12" s="5">
        <f t="shared" si="4"/>
        <v>38527.799999999996</v>
      </c>
      <c r="W12" s="5">
        <f t="shared" si="5"/>
        <v>38527.799999999996</v>
      </c>
      <c r="X12" s="5">
        <f t="shared" si="6"/>
        <v>38527.799999999996</v>
      </c>
      <c r="Y12" s="119"/>
    </row>
    <row r="13" spans="1:29" ht="12.75" customHeight="1" x14ac:dyDescent="0.25">
      <c r="A13" s="4"/>
      <c r="C13" s="81" t="s">
        <v>73</v>
      </c>
      <c r="D13" s="118" t="s">
        <v>53</v>
      </c>
      <c r="E13" s="82" t="s">
        <v>11</v>
      </c>
      <c r="F13" s="121">
        <v>0.6</v>
      </c>
      <c r="G13" s="121">
        <v>0.4</v>
      </c>
      <c r="H13" s="82" t="s">
        <v>95</v>
      </c>
      <c r="I13" s="80" t="s">
        <v>51</v>
      </c>
      <c r="J13" s="2"/>
      <c r="K13" s="64">
        <f>IF($E13="Labour",Assumptions!$B$14,)</f>
        <v>145.77740895836223</v>
      </c>
      <c r="L13" s="9" t="str">
        <f t="shared" si="1"/>
        <v>Hours</v>
      </c>
      <c r="M13" s="2"/>
      <c r="N13" s="83">
        <f>105430/K13</f>
        <v>723.22591513554414</v>
      </c>
      <c r="O13" s="83">
        <f>105430/K13</f>
        <v>723.22591513554414</v>
      </c>
      <c r="P13" s="83">
        <f>105430/K13</f>
        <v>723.22591513554414</v>
      </c>
      <c r="Q13" s="83">
        <f>105430/K13</f>
        <v>723.22591513554414</v>
      </c>
      <c r="R13" s="83">
        <f>105430/K13</f>
        <v>723.22591513554414</v>
      </c>
      <c r="S13" s="2"/>
      <c r="T13" s="5">
        <f t="shared" si="2"/>
        <v>63258</v>
      </c>
      <c r="U13" s="5">
        <f t="shared" si="3"/>
        <v>63258</v>
      </c>
      <c r="V13" s="5">
        <f t="shared" si="4"/>
        <v>63258</v>
      </c>
      <c r="W13" s="5">
        <f t="shared" si="5"/>
        <v>63258</v>
      </c>
      <c r="X13" s="5">
        <f t="shared" si="6"/>
        <v>63258</v>
      </c>
      <c r="Y13" s="119"/>
      <c r="AC13"/>
    </row>
    <row r="14" spans="1:29" ht="12.75" customHeight="1" x14ac:dyDescent="0.25">
      <c r="A14" s="4"/>
      <c r="C14" s="81" t="s">
        <v>71</v>
      </c>
      <c r="D14" s="118" t="s">
        <v>53</v>
      </c>
      <c r="E14" s="82" t="s">
        <v>13</v>
      </c>
      <c r="F14" s="121">
        <v>0.7</v>
      </c>
      <c r="G14" s="121">
        <v>0.3</v>
      </c>
      <c r="H14" s="82" t="s">
        <v>95</v>
      </c>
      <c r="I14" s="80" t="s">
        <v>51</v>
      </c>
      <c r="J14" s="2"/>
      <c r="K14" s="64">
        <f>IF($E14="Labour",Assumptions!$B$14,)</f>
        <v>0</v>
      </c>
      <c r="L14" s="9" t="str">
        <f t="shared" si="1"/>
        <v>$</v>
      </c>
      <c r="M14" s="2"/>
      <c r="N14" s="83">
        <v>200000</v>
      </c>
      <c r="O14" s="83">
        <v>200000</v>
      </c>
      <c r="P14" s="83">
        <v>200000</v>
      </c>
      <c r="Q14" s="83">
        <v>200000</v>
      </c>
      <c r="R14" s="83">
        <v>200000</v>
      </c>
      <c r="S14" s="2"/>
      <c r="T14" s="5">
        <f t="shared" si="2"/>
        <v>140000</v>
      </c>
      <c r="U14" s="5">
        <f t="shared" si="3"/>
        <v>140000</v>
      </c>
      <c r="V14" s="5">
        <f t="shared" si="4"/>
        <v>140000</v>
      </c>
      <c r="W14" s="5">
        <f t="shared" si="5"/>
        <v>140000</v>
      </c>
      <c r="X14" s="5">
        <f t="shared" si="6"/>
        <v>140000</v>
      </c>
      <c r="Y14" s="119"/>
      <c r="AC14"/>
    </row>
    <row r="15" spans="1:29" ht="12.75" customHeight="1" x14ac:dyDescent="0.25">
      <c r="A15" s="4"/>
      <c r="C15" s="81" t="s">
        <v>74</v>
      </c>
      <c r="D15" s="118" t="s">
        <v>53</v>
      </c>
      <c r="E15" s="82" t="s">
        <v>13</v>
      </c>
      <c r="F15" s="121">
        <v>0.6</v>
      </c>
      <c r="G15" s="121">
        <v>0.4</v>
      </c>
      <c r="H15" s="82" t="s">
        <v>95</v>
      </c>
      <c r="I15" s="80" t="s">
        <v>51</v>
      </c>
      <c r="J15" s="2"/>
      <c r="K15" s="64">
        <f>IF($E15="Labour",Assumptions!$B$14,)</f>
        <v>0</v>
      </c>
      <c r="L15" s="9" t="str">
        <f t="shared" si="1"/>
        <v>$</v>
      </c>
      <c r="M15" s="2"/>
      <c r="N15" s="83">
        <v>234000</v>
      </c>
      <c r="O15" s="83">
        <v>234000</v>
      </c>
      <c r="P15" s="83">
        <v>234000</v>
      </c>
      <c r="Q15" s="83">
        <v>234000</v>
      </c>
      <c r="R15" s="83">
        <v>234000</v>
      </c>
      <c r="S15" s="2"/>
      <c r="T15" s="5">
        <f t="shared" si="2"/>
        <v>140400</v>
      </c>
      <c r="U15" s="5">
        <f t="shared" si="3"/>
        <v>140400</v>
      </c>
      <c r="V15" s="5">
        <f t="shared" si="4"/>
        <v>140400</v>
      </c>
      <c r="W15" s="5">
        <f t="shared" si="5"/>
        <v>140400</v>
      </c>
      <c r="X15" s="5">
        <f t="shared" si="6"/>
        <v>140400</v>
      </c>
      <c r="Y15" s="119"/>
      <c r="AC15"/>
    </row>
    <row r="16" spans="1:29" ht="12.75" customHeight="1" x14ac:dyDescent="0.25">
      <c r="A16" s="4"/>
      <c r="C16" s="81" t="s">
        <v>75</v>
      </c>
      <c r="D16" s="118" t="s">
        <v>53</v>
      </c>
      <c r="E16" s="82" t="s">
        <v>11</v>
      </c>
      <c r="F16" s="121">
        <v>0.6</v>
      </c>
      <c r="G16" s="121">
        <v>0.4</v>
      </c>
      <c r="H16" s="82" t="s">
        <v>95</v>
      </c>
      <c r="I16" s="80" t="s">
        <v>51</v>
      </c>
      <c r="J16" s="2"/>
      <c r="K16" s="64">
        <f>IF($E16="Labour",Assumptions!$B$14,)</f>
        <v>145.77740895836223</v>
      </c>
      <c r="L16" s="9" t="str">
        <f t="shared" si="1"/>
        <v>Hours</v>
      </c>
      <c r="M16" s="2"/>
      <c r="N16" s="83">
        <f>144000/K16</f>
        <v>987.80737721254252</v>
      </c>
      <c r="O16" s="83">
        <f>144000/K16</f>
        <v>987.80737721254252</v>
      </c>
      <c r="P16" s="83">
        <f>144000/K16</f>
        <v>987.80737721254252</v>
      </c>
      <c r="Q16" s="83">
        <f>144000/K16</f>
        <v>987.80737721254252</v>
      </c>
      <c r="R16" s="83">
        <f>144000/K16</f>
        <v>987.80737721254252</v>
      </c>
      <c r="S16" s="2"/>
      <c r="T16" s="5">
        <f t="shared" si="2"/>
        <v>86400</v>
      </c>
      <c r="U16" s="5">
        <f t="shared" si="3"/>
        <v>86400</v>
      </c>
      <c r="V16" s="5">
        <f t="shared" si="4"/>
        <v>86400</v>
      </c>
      <c r="W16" s="5">
        <f t="shared" si="5"/>
        <v>86400</v>
      </c>
      <c r="X16" s="5">
        <f t="shared" si="6"/>
        <v>86400</v>
      </c>
      <c r="Y16" s="119"/>
      <c r="AC16"/>
    </row>
    <row r="17" spans="1:29" ht="12.75" customHeight="1" x14ac:dyDescent="0.25">
      <c r="A17" s="4"/>
      <c r="C17" s="81" t="s">
        <v>103</v>
      </c>
      <c r="D17" s="118" t="s">
        <v>53</v>
      </c>
      <c r="E17" s="82" t="s">
        <v>13</v>
      </c>
      <c r="F17" s="121">
        <v>0.6</v>
      </c>
      <c r="G17" s="121">
        <v>0.4</v>
      </c>
      <c r="H17" s="82" t="s">
        <v>95</v>
      </c>
      <c r="I17" s="80" t="s">
        <v>51</v>
      </c>
      <c r="J17" s="2"/>
      <c r="K17" s="64">
        <f>IF($E17="Labour",Assumptions!$B$14,)</f>
        <v>0</v>
      </c>
      <c r="L17" s="9" t="str">
        <f t="shared" si="1"/>
        <v>$</v>
      </c>
      <c r="M17" s="2"/>
      <c r="N17" s="83">
        <v>134400</v>
      </c>
      <c r="O17" s="83">
        <v>134400</v>
      </c>
      <c r="P17" s="83">
        <v>134400</v>
      </c>
      <c r="Q17" s="83">
        <v>134400</v>
      </c>
      <c r="R17" s="83">
        <v>134400</v>
      </c>
      <c r="S17" s="2"/>
      <c r="T17" s="5">
        <f t="shared" si="2"/>
        <v>80640</v>
      </c>
      <c r="U17" s="5">
        <f t="shared" si="3"/>
        <v>80640</v>
      </c>
      <c r="V17" s="5">
        <f t="shared" si="4"/>
        <v>80640</v>
      </c>
      <c r="W17" s="5">
        <f t="shared" si="5"/>
        <v>80640</v>
      </c>
      <c r="X17" s="5">
        <f t="shared" si="6"/>
        <v>80640</v>
      </c>
      <c r="Y17" s="119"/>
      <c r="AC17"/>
    </row>
    <row r="18" spans="1:29" ht="12.75" customHeight="1" x14ac:dyDescent="0.25">
      <c r="A18" s="4"/>
      <c r="C18" s="81" t="s">
        <v>76</v>
      </c>
      <c r="D18" s="118" t="s">
        <v>53</v>
      </c>
      <c r="E18" s="82" t="s">
        <v>13</v>
      </c>
      <c r="F18" s="121">
        <v>0.6</v>
      </c>
      <c r="G18" s="121">
        <v>0.4</v>
      </c>
      <c r="H18" s="82" t="s">
        <v>95</v>
      </c>
      <c r="I18" s="80" t="s">
        <v>51</v>
      </c>
      <c r="J18" s="2"/>
      <c r="K18" s="64">
        <f>IF($E18="Labour",Assumptions!$B$14,)</f>
        <v>0</v>
      </c>
      <c r="L18" s="9" t="str">
        <f t="shared" si="1"/>
        <v>$</v>
      </c>
      <c r="M18" s="2"/>
      <c r="N18" s="83">
        <v>108000</v>
      </c>
      <c r="O18" s="83">
        <v>108000</v>
      </c>
      <c r="P18" s="83">
        <v>108000</v>
      </c>
      <c r="Q18" s="83">
        <v>108000</v>
      </c>
      <c r="R18" s="83">
        <v>108000</v>
      </c>
      <c r="S18" s="2"/>
      <c r="T18" s="5">
        <f t="shared" si="2"/>
        <v>64800</v>
      </c>
      <c r="U18" s="5">
        <f t="shared" si="3"/>
        <v>64800</v>
      </c>
      <c r="V18" s="5">
        <f t="shared" si="4"/>
        <v>64800</v>
      </c>
      <c r="W18" s="5">
        <f t="shared" si="5"/>
        <v>64800</v>
      </c>
      <c r="X18" s="5">
        <f t="shared" si="6"/>
        <v>64800</v>
      </c>
      <c r="Y18" s="119"/>
      <c r="AC18"/>
    </row>
    <row r="19" spans="1:29" ht="12.75" customHeight="1" x14ac:dyDescent="0.25">
      <c r="A19" s="4"/>
      <c r="C19" s="81" t="s">
        <v>77</v>
      </c>
      <c r="D19" s="118" t="s">
        <v>53</v>
      </c>
      <c r="E19" s="82" t="s">
        <v>13</v>
      </c>
      <c r="F19" s="121">
        <v>0.6</v>
      </c>
      <c r="G19" s="121">
        <v>0.4</v>
      </c>
      <c r="H19" s="82" t="s">
        <v>95</v>
      </c>
      <c r="I19" s="80" t="s">
        <v>51</v>
      </c>
      <c r="J19" s="2"/>
      <c r="K19" s="64">
        <f>IF($E19="Labour",Assumptions!$B$14,)</f>
        <v>0</v>
      </c>
      <c r="L19" s="9" t="str">
        <f t="shared" si="1"/>
        <v>$</v>
      </c>
      <c r="M19" s="2"/>
      <c r="N19" s="83">
        <v>120000</v>
      </c>
      <c r="O19" s="83">
        <v>120000</v>
      </c>
      <c r="P19" s="83">
        <v>120000</v>
      </c>
      <c r="Q19" s="83">
        <v>120000</v>
      </c>
      <c r="R19" s="83">
        <v>120000</v>
      </c>
      <c r="S19" s="2"/>
      <c r="T19" s="5">
        <f t="shared" si="2"/>
        <v>72000</v>
      </c>
      <c r="U19" s="5">
        <f t="shared" si="3"/>
        <v>72000</v>
      </c>
      <c r="V19" s="5">
        <f t="shared" si="4"/>
        <v>72000</v>
      </c>
      <c r="W19" s="5">
        <f t="shared" si="5"/>
        <v>72000</v>
      </c>
      <c r="X19" s="5">
        <f t="shared" si="6"/>
        <v>72000</v>
      </c>
      <c r="Y19" s="119"/>
      <c r="AC19"/>
    </row>
    <row r="20" spans="1:29" ht="12.75" customHeight="1" x14ac:dyDescent="0.25">
      <c r="A20" s="4"/>
      <c r="C20" s="81" t="s">
        <v>78</v>
      </c>
      <c r="D20" s="118" t="s">
        <v>53</v>
      </c>
      <c r="E20" s="82" t="s">
        <v>13</v>
      </c>
      <c r="F20" s="121">
        <v>0.6</v>
      </c>
      <c r="G20" s="121">
        <v>0.4</v>
      </c>
      <c r="H20" s="82" t="s">
        <v>95</v>
      </c>
      <c r="I20" s="80" t="s">
        <v>51</v>
      </c>
      <c r="J20" s="2"/>
      <c r="K20" s="64">
        <f>IF($E20="Labour",Assumptions!$B$14,)</f>
        <v>0</v>
      </c>
      <c r="L20" s="9" t="str">
        <f t="shared" si="1"/>
        <v>$</v>
      </c>
      <c r="M20" s="2"/>
      <c r="N20" s="83">
        <v>301749</v>
      </c>
      <c r="O20" s="83">
        <v>301749</v>
      </c>
      <c r="P20" s="83">
        <v>301749</v>
      </c>
      <c r="Q20" s="83">
        <v>301749</v>
      </c>
      <c r="R20" s="83">
        <v>301749</v>
      </c>
      <c r="S20" s="2"/>
      <c r="T20" s="5">
        <f t="shared" si="2"/>
        <v>181049.4</v>
      </c>
      <c r="U20" s="5">
        <f t="shared" si="3"/>
        <v>181049.4</v>
      </c>
      <c r="V20" s="5">
        <f t="shared" si="4"/>
        <v>181049.4</v>
      </c>
      <c r="W20" s="5">
        <f t="shared" si="5"/>
        <v>181049.4</v>
      </c>
      <c r="X20" s="5">
        <f t="shared" si="6"/>
        <v>181049.4</v>
      </c>
      <c r="Y20" s="119"/>
      <c r="AC20"/>
    </row>
    <row r="21" spans="1:29" ht="12.75" customHeight="1" x14ac:dyDescent="0.25">
      <c r="A21" s="4"/>
      <c r="C21" s="81" t="s">
        <v>79</v>
      </c>
      <c r="D21" s="118" t="s">
        <v>53</v>
      </c>
      <c r="E21" s="82" t="s">
        <v>13</v>
      </c>
      <c r="F21" s="121">
        <v>0.7</v>
      </c>
      <c r="G21" s="121">
        <v>0.3</v>
      </c>
      <c r="H21" s="82" t="s">
        <v>95</v>
      </c>
      <c r="I21" s="80" t="s">
        <v>51</v>
      </c>
      <c r="J21" s="2"/>
      <c r="K21" s="64">
        <f>IF($E21="Labour",Assumptions!$B$14,)</f>
        <v>0</v>
      </c>
      <c r="L21" s="9" t="str">
        <f t="shared" si="1"/>
        <v>$</v>
      </c>
      <c r="M21" s="2"/>
      <c r="N21" s="83">
        <v>370760</v>
      </c>
      <c r="O21" s="83">
        <v>370760</v>
      </c>
      <c r="P21" s="83">
        <v>370760</v>
      </c>
      <c r="Q21" s="83">
        <v>370760</v>
      </c>
      <c r="R21" s="83">
        <v>370760</v>
      </c>
      <c r="S21" s="2"/>
      <c r="T21" s="5">
        <f t="shared" si="2"/>
        <v>259531.99999999997</v>
      </c>
      <c r="U21" s="5">
        <f t="shared" si="3"/>
        <v>259531.99999999997</v>
      </c>
      <c r="V21" s="5">
        <f t="shared" si="4"/>
        <v>259531.99999999997</v>
      </c>
      <c r="W21" s="5">
        <f t="shared" si="5"/>
        <v>259531.99999999997</v>
      </c>
      <c r="X21" s="5">
        <f t="shared" si="6"/>
        <v>259531.99999999997</v>
      </c>
      <c r="Y21" s="119"/>
      <c r="AC21"/>
    </row>
    <row r="22" spans="1:29" ht="12.75" customHeight="1" x14ac:dyDescent="0.25">
      <c r="A22" s="4"/>
      <c r="C22" s="81" t="s">
        <v>104</v>
      </c>
      <c r="D22" s="118" t="s">
        <v>53</v>
      </c>
      <c r="E22" s="82" t="s">
        <v>11</v>
      </c>
      <c r="F22" s="121">
        <v>0.7</v>
      </c>
      <c r="G22" s="121">
        <v>0.3</v>
      </c>
      <c r="H22" s="82" t="s">
        <v>95</v>
      </c>
      <c r="I22" s="80" t="s">
        <v>51</v>
      </c>
      <c r="J22" s="2"/>
      <c r="K22" s="64">
        <f>IF($E22="Labour",Assumptions!$B$14,)</f>
        <v>145.77740895836223</v>
      </c>
      <c r="L22" s="9" t="str">
        <f t="shared" si="1"/>
        <v>Hours</v>
      </c>
      <c r="M22" s="2"/>
      <c r="N22" s="83">
        <f>66799/K22</f>
        <v>458.22600687792107</v>
      </c>
      <c r="O22" s="83">
        <f>66799/K22</f>
        <v>458.22600687792107</v>
      </c>
      <c r="P22" s="83">
        <f>66799/K22</f>
        <v>458.22600687792107</v>
      </c>
      <c r="Q22" s="83">
        <f>66799/K22</f>
        <v>458.22600687792107</v>
      </c>
      <c r="R22" s="83">
        <f>66799/K22</f>
        <v>458.22600687792107</v>
      </c>
      <c r="S22" s="2"/>
      <c r="T22" s="5">
        <f t="shared" si="2"/>
        <v>46759.299999999996</v>
      </c>
      <c r="U22" s="5">
        <f t="shared" si="3"/>
        <v>46759.299999999996</v>
      </c>
      <c r="V22" s="5">
        <f t="shared" si="4"/>
        <v>46759.299999999996</v>
      </c>
      <c r="W22" s="5">
        <f t="shared" si="5"/>
        <v>46759.299999999996</v>
      </c>
      <c r="X22" s="5">
        <f t="shared" si="6"/>
        <v>46759.299999999996</v>
      </c>
      <c r="Y22" s="119"/>
      <c r="AC22"/>
    </row>
    <row r="23" spans="1:29" ht="12.75" customHeight="1" x14ac:dyDescent="0.25">
      <c r="A23" s="4"/>
      <c r="C23" s="81"/>
      <c r="D23" s="118"/>
      <c r="E23" s="82"/>
      <c r="F23" s="120"/>
      <c r="G23" s="120"/>
      <c r="H23" s="82"/>
      <c r="I23" s="80"/>
      <c r="J23" s="2"/>
      <c r="K23" s="64">
        <f>IF($E23="Labour",Assumptions!$B$14,)</f>
        <v>0</v>
      </c>
      <c r="L23" s="9" t="str">
        <f t="shared" si="1"/>
        <v>$</v>
      </c>
      <c r="M23" s="2"/>
      <c r="N23" s="83"/>
      <c r="O23" s="83"/>
      <c r="P23" s="83"/>
      <c r="Q23" s="83"/>
      <c r="R23" s="83"/>
      <c r="S23" s="2"/>
      <c r="T23" s="5">
        <f t="shared" si="2"/>
        <v>0</v>
      </c>
      <c r="U23" s="5">
        <f t="shared" si="3"/>
        <v>0</v>
      </c>
      <c r="V23" s="5">
        <f t="shared" si="4"/>
        <v>0</v>
      </c>
      <c r="W23" s="5">
        <f t="shared" si="5"/>
        <v>0</v>
      </c>
      <c r="X23" s="5">
        <f t="shared" si="6"/>
        <v>0</v>
      </c>
      <c r="Y23" s="119"/>
      <c r="AC23"/>
    </row>
    <row r="24" spans="1:29" ht="12.75" customHeight="1" x14ac:dyDescent="0.25">
      <c r="A24" s="4"/>
      <c r="C24" s="81" t="s">
        <v>80</v>
      </c>
      <c r="D24" s="118" t="s">
        <v>53</v>
      </c>
      <c r="E24" s="82" t="s">
        <v>13</v>
      </c>
      <c r="F24" s="121">
        <v>0.7</v>
      </c>
      <c r="G24" s="121">
        <v>0.3</v>
      </c>
      <c r="H24" s="82" t="s">
        <v>95</v>
      </c>
      <c r="I24" s="80" t="s">
        <v>51</v>
      </c>
      <c r="J24" s="2"/>
      <c r="K24" s="64">
        <f>IF($E24="Labour",Assumptions!$B$14,)</f>
        <v>0</v>
      </c>
      <c r="L24" s="9" t="str">
        <f t="shared" si="1"/>
        <v>$</v>
      </c>
      <c r="M24" s="2"/>
      <c r="N24" s="83">
        <v>46000</v>
      </c>
      <c r="O24" s="83">
        <v>46000</v>
      </c>
      <c r="P24" s="83">
        <v>46000</v>
      </c>
      <c r="Q24" s="83">
        <v>46000</v>
      </c>
      <c r="R24" s="83">
        <v>46000</v>
      </c>
      <c r="S24" s="2"/>
      <c r="T24" s="5">
        <f t="shared" si="2"/>
        <v>32199.999999999996</v>
      </c>
      <c r="U24" s="5">
        <f t="shared" si="3"/>
        <v>32199.999999999996</v>
      </c>
      <c r="V24" s="5">
        <f t="shared" si="4"/>
        <v>32199.999999999996</v>
      </c>
      <c r="W24" s="5">
        <f t="shared" si="5"/>
        <v>32199.999999999996</v>
      </c>
      <c r="X24" s="5">
        <f t="shared" si="6"/>
        <v>32199.999999999996</v>
      </c>
      <c r="Y24" s="119"/>
      <c r="AC24"/>
    </row>
    <row r="25" spans="1:29" ht="12.75" customHeight="1" x14ac:dyDescent="0.25">
      <c r="A25" s="4"/>
      <c r="C25" s="81"/>
      <c r="D25" s="118"/>
      <c r="E25" s="82"/>
      <c r="F25" s="120"/>
      <c r="G25" s="120"/>
      <c r="H25" s="82"/>
      <c r="I25" s="80"/>
      <c r="J25" s="2"/>
      <c r="K25" s="64">
        <f>IF($E25="Labour",Assumptions!$B$14,)</f>
        <v>0</v>
      </c>
      <c r="L25" s="9" t="str">
        <f t="shared" si="1"/>
        <v>$</v>
      </c>
      <c r="M25" s="2"/>
      <c r="N25" s="83"/>
      <c r="O25" s="83"/>
      <c r="P25" s="83"/>
      <c r="Q25" s="83"/>
      <c r="R25" s="83"/>
      <c r="S25" s="2"/>
      <c r="T25" s="5">
        <f t="shared" si="2"/>
        <v>0</v>
      </c>
      <c r="U25" s="5">
        <f t="shared" si="3"/>
        <v>0</v>
      </c>
      <c r="V25" s="5">
        <f t="shared" si="4"/>
        <v>0</v>
      </c>
      <c r="W25" s="5">
        <f t="shared" si="5"/>
        <v>0</v>
      </c>
      <c r="X25" s="5">
        <f t="shared" si="6"/>
        <v>0</v>
      </c>
      <c r="Y25" s="119"/>
      <c r="AC25"/>
    </row>
    <row r="26" spans="1:29" ht="12.75" customHeight="1" x14ac:dyDescent="0.25">
      <c r="A26" s="4"/>
      <c r="C26" s="81"/>
      <c r="D26" s="118"/>
      <c r="E26" s="82"/>
      <c r="F26" s="120"/>
      <c r="G26" s="120"/>
      <c r="H26" s="82"/>
      <c r="I26" s="80"/>
      <c r="J26" s="2"/>
      <c r="K26" s="64">
        <f>IF($E26="Labour",Assumptions!$B$14,)</f>
        <v>0</v>
      </c>
      <c r="L26" s="9" t="str">
        <f t="shared" si="1"/>
        <v>$</v>
      </c>
      <c r="M26" s="2"/>
      <c r="N26" s="83"/>
      <c r="O26" s="83"/>
      <c r="P26" s="83"/>
      <c r="Q26" s="83"/>
      <c r="R26" s="83"/>
      <c r="S26" s="2"/>
      <c r="T26" s="5">
        <f t="shared" si="2"/>
        <v>0</v>
      </c>
      <c r="U26" s="5">
        <f t="shared" si="3"/>
        <v>0</v>
      </c>
      <c r="V26" s="5">
        <f t="shared" si="4"/>
        <v>0</v>
      </c>
      <c r="W26" s="5">
        <f t="shared" si="5"/>
        <v>0</v>
      </c>
      <c r="X26" s="5">
        <f t="shared" si="6"/>
        <v>0</v>
      </c>
      <c r="Y26" s="119"/>
      <c r="AC26"/>
    </row>
    <row r="27" spans="1:29" ht="12.75" customHeight="1" x14ac:dyDescent="0.25">
      <c r="A27" s="4"/>
      <c r="C27" s="81"/>
      <c r="D27" s="118"/>
      <c r="E27" s="82"/>
      <c r="F27" s="120"/>
      <c r="G27" s="120"/>
      <c r="H27" s="82"/>
      <c r="I27" s="80"/>
      <c r="J27" s="2"/>
      <c r="K27" s="64">
        <f>IF($E27="Labour",Assumptions!$B$14,)</f>
        <v>0</v>
      </c>
      <c r="L27" s="9" t="str">
        <f t="shared" si="1"/>
        <v>$</v>
      </c>
      <c r="M27" s="2"/>
      <c r="N27" s="83"/>
      <c r="O27" s="83"/>
      <c r="P27" s="83"/>
      <c r="Q27" s="83"/>
      <c r="R27" s="83"/>
      <c r="S27" s="2"/>
      <c r="T27" s="5">
        <f t="shared" si="2"/>
        <v>0</v>
      </c>
      <c r="U27" s="5">
        <f t="shared" si="3"/>
        <v>0</v>
      </c>
      <c r="V27" s="5">
        <f t="shared" si="4"/>
        <v>0</v>
      </c>
      <c r="W27" s="5">
        <f t="shared" si="5"/>
        <v>0</v>
      </c>
      <c r="X27" s="5">
        <f t="shared" si="6"/>
        <v>0</v>
      </c>
      <c r="Y27" s="119"/>
      <c r="AC27"/>
    </row>
    <row r="28" spans="1:29" ht="12.75" customHeight="1" x14ac:dyDescent="0.25">
      <c r="A28" s="4"/>
      <c r="C28" s="81" t="s">
        <v>81</v>
      </c>
      <c r="D28" s="118" t="s">
        <v>53</v>
      </c>
      <c r="E28" s="82" t="s">
        <v>11</v>
      </c>
      <c r="F28" s="121">
        <v>0</v>
      </c>
      <c r="G28" s="121">
        <v>1</v>
      </c>
      <c r="H28" s="82" t="s">
        <v>95</v>
      </c>
      <c r="I28" s="80" t="s">
        <v>51</v>
      </c>
      <c r="J28" s="2"/>
      <c r="K28" s="64">
        <f>IF($E28="Labour",Assumptions!$B$14,)</f>
        <v>145.77740895836223</v>
      </c>
      <c r="L28" s="9" t="str">
        <f t="shared" si="1"/>
        <v>Hours</v>
      </c>
      <c r="M28" s="2"/>
      <c r="N28" s="83">
        <v>168</v>
      </c>
      <c r="O28" s="83">
        <v>168</v>
      </c>
      <c r="P28" s="83">
        <v>168</v>
      </c>
      <c r="Q28" s="83">
        <v>168</v>
      </c>
      <c r="R28" s="83">
        <v>168</v>
      </c>
      <c r="S28" s="2"/>
      <c r="T28" s="5">
        <f t="shared" si="2"/>
        <v>0</v>
      </c>
      <c r="U28" s="5">
        <f t="shared" si="3"/>
        <v>0</v>
      </c>
      <c r="V28" s="5">
        <f t="shared" si="4"/>
        <v>0</v>
      </c>
      <c r="W28" s="5">
        <f t="shared" si="5"/>
        <v>0</v>
      </c>
      <c r="X28" s="5">
        <f t="shared" si="6"/>
        <v>0</v>
      </c>
      <c r="Y28" s="119"/>
      <c r="AC28"/>
    </row>
    <row r="29" spans="1:29" ht="12.75" customHeight="1" x14ac:dyDescent="0.25">
      <c r="A29" s="4"/>
      <c r="C29" s="81" t="s">
        <v>82</v>
      </c>
      <c r="D29" s="118" t="s">
        <v>53</v>
      </c>
      <c r="E29" s="82" t="s">
        <v>11</v>
      </c>
      <c r="F29" s="121">
        <v>0</v>
      </c>
      <c r="G29" s="121">
        <v>1</v>
      </c>
      <c r="H29" s="82" t="s">
        <v>95</v>
      </c>
      <c r="I29" s="80" t="s">
        <v>51</v>
      </c>
      <c r="J29" s="2"/>
      <c r="K29" s="64">
        <f>IF($E29="Labour",Assumptions!$B$14,)</f>
        <v>145.77740895836223</v>
      </c>
      <c r="L29" s="9" t="str">
        <f t="shared" si="1"/>
        <v>Hours</v>
      </c>
      <c r="M29" s="2"/>
      <c r="N29" s="83">
        <v>56</v>
      </c>
      <c r="O29" s="83">
        <v>56</v>
      </c>
      <c r="P29" s="83">
        <v>56</v>
      </c>
      <c r="Q29" s="83">
        <v>56</v>
      </c>
      <c r="R29" s="83">
        <v>56</v>
      </c>
      <c r="S29" s="2"/>
      <c r="T29" s="5">
        <f t="shared" si="2"/>
        <v>0</v>
      </c>
      <c r="U29" s="5">
        <f t="shared" si="3"/>
        <v>0</v>
      </c>
      <c r="V29" s="5">
        <f t="shared" si="4"/>
        <v>0</v>
      </c>
      <c r="W29" s="5">
        <f t="shared" si="5"/>
        <v>0</v>
      </c>
      <c r="X29" s="5">
        <f t="shared" si="6"/>
        <v>0</v>
      </c>
      <c r="Y29" s="119"/>
      <c r="AC29"/>
    </row>
    <row r="30" spans="1:29" ht="12.75" customHeight="1" x14ac:dyDescent="0.25">
      <c r="A30" s="4"/>
      <c r="C30" s="81" t="s">
        <v>83</v>
      </c>
      <c r="D30" s="118" t="s">
        <v>53</v>
      </c>
      <c r="E30" s="82" t="s">
        <v>11</v>
      </c>
      <c r="F30" s="121">
        <v>0</v>
      </c>
      <c r="G30" s="121">
        <v>1</v>
      </c>
      <c r="H30" s="82" t="s">
        <v>95</v>
      </c>
      <c r="I30" s="80" t="s">
        <v>51</v>
      </c>
      <c r="J30" s="2"/>
      <c r="K30" s="64">
        <f>IF($E30="Labour",Assumptions!$B$14,)</f>
        <v>145.77740895836223</v>
      </c>
      <c r="L30" s="9" t="str">
        <f t="shared" si="1"/>
        <v>Hours</v>
      </c>
      <c r="M30" s="2"/>
      <c r="N30" s="83">
        <v>28</v>
      </c>
      <c r="O30" s="83">
        <v>28</v>
      </c>
      <c r="P30" s="83">
        <v>28</v>
      </c>
      <c r="Q30" s="83">
        <v>28</v>
      </c>
      <c r="R30" s="83">
        <v>28</v>
      </c>
      <c r="S30" s="2"/>
      <c r="T30" s="5">
        <f t="shared" si="2"/>
        <v>0</v>
      </c>
      <c r="U30" s="5">
        <f t="shared" si="3"/>
        <v>0</v>
      </c>
      <c r="V30" s="5">
        <f t="shared" si="4"/>
        <v>0</v>
      </c>
      <c r="W30" s="5">
        <f t="shared" si="5"/>
        <v>0</v>
      </c>
      <c r="X30" s="5">
        <f t="shared" si="6"/>
        <v>0</v>
      </c>
      <c r="Y30" s="119"/>
      <c r="AC30"/>
    </row>
    <row r="31" spans="1:29" ht="12.75" customHeight="1" x14ac:dyDescent="0.25">
      <c r="A31" s="4"/>
      <c r="C31" s="81" t="s">
        <v>84</v>
      </c>
      <c r="D31" s="118" t="s">
        <v>53</v>
      </c>
      <c r="E31" s="82" t="s">
        <v>11</v>
      </c>
      <c r="F31" s="121">
        <v>0</v>
      </c>
      <c r="G31" s="121">
        <v>1</v>
      </c>
      <c r="H31" s="82" t="s">
        <v>95</v>
      </c>
      <c r="I31" s="80" t="s">
        <v>51</v>
      </c>
      <c r="J31" s="2"/>
      <c r="K31" s="64">
        <f>IF($E31="Labour",Assumptions!$B$14,)</f>
        <v>145.77740895836223</v>
      </c>
      <c r="L31" s="9" t="str">
        <f t="shared" si="1"/>
        <v>Hours</v>
      </c>
      <c r="M31" s="2"/>
      <c r="N31" s="83">
        <v>28</v>
      </c>
      <c r="O31" s="83">
        <v>28</v>
      </c>
      <c r="P31" s="83">
        <v>28</v>
      </c>
      <c r="Q31" s="83">
        <v>28</v>
      </c>
      <c r="R31" s="83">
        <v>28</v>
      </c>
      <c r="S31" s="2"/>
      <c r="T31" s="5">
        <f t="shared" si="2"/>
        <v>0</v>
      </c>
      <c r="U31" s="5">
        <f t="shared" si="3"/>
        <v>0</v>
      </c>
      <c r="V31" s="5">
        <f t="shared" si="4"/>
        <v>0</v>
      </c>
      <c r="W31" s="5">
        <f t="shared" si="5"/>
        <v>0</v>
      </c>
      <c r="X31" s="5">
        <f t="shared" si="6"/>
        <v>0</v>
      </c>
      <c r="Y31" s="119"/>
      <c r="AC31"/>
    </row>
    <row r="32" spans="1:29" ht="12.75" customHeight="1" x14ac:dyDescent="0.25">
      <c r="A32" s="4"/>
      <c r="C32" s="81" t="s">
        <v>85</v>
      </c>
      <c r="D32" s="118" t="s">
        <v>53</v>
      </c>
      <c r="E32" s="82" t="s">
        <v>11</v>
      </c>
      <c r="F32" s="121">
        <v>0</v>
      </c>
      <c r="G32" s="121">
        <v>1</v>
      </c>
      <c r="H32" s="82" t="s">
        <v>95</v>
      </c>
      <c r="I32" s="80" t="s">
        <v>51</v>
      </c>
      <c r="J32" s="2"/>
      <c r="K32" s="64">
        <f>IF($E32="Labour",Assumptions!$B$14,)</f>
        <v>145.77740895836223</v>
      </c>
      <c r="L32" s="9" t="str">
        <f t="shared" si="1"/>
        <v>Hours</v>
      </c>
      <c r="M32" s="2"/>
      <c r="N32" s="83">
        <v>28</v>
      </c>
      <c r="O32" s="83">
        <v>28</v>
      </c>
      <c r="P32" s="83">
        <v>28</v>
      </c>
      <c r="Q32" s="83">
        <v>28</v>
      </c>
      <c r="R32" s="83">
        <v>28</v>
      </c>
      <c r="S32" s="2"/>
      <c r="T32" s="5">
        <f t="shared" si="2"/>
        <v>0</v>
      </c>
      <c r="U32" s="5">
        <f t="shared" si="3"/>
        <v>0</v>
      </c>
      <c r="V32" s="5">
        <f t="shared" si="4"/>
        <v>0</v>
      </c>
      <c r="W32" s="5">
        <f t="shared" si="5"/>
        <v>0</v>
      </c>
      <c r="X32" s="5">
        <f t="shared" si="6"/>
        <v>0</v>
      </c>
      <c r="Y32" s="119"/>
      <c r="AC32"/>
    </row>
    <row r="33" spans="1:29" ht="12.75" customHeight="1" x14ac:dyDescent="0.25">
      <c r="A33" s="4"/>
      <c r="C33" s="81" t="s">
        <v>86</v>
      </c>
      <c r="D33" s="118" t="s">
        <v>53</v>
      </c>
      <c r="E33" s="82" t="s">
        <v>13</v>
      </c>
      <c r="F33" s="121">
        <v>0</v>
      </c>
      <c r="G33" s="121">
        <v>1</v>
      </c>
      <c r="H33" s="82" t="s">
        <v>95</v>
      </c>
      <c r="I33" s="80" t="s">
        <v>51</v>
      </c>
      <c r="J33" s="2"/>
      <c r="K33" s="64">
        <f>IF($E33="Labour",Assumptions!$B$14,)</f>
        <v>0</v>
      </c>
      <c r="L33" s="9" t="str">
        <f t="shared" si="1"/>
        <v>$</v>
      </c>
      <c r="M33" s="2"/>
      <c r="N33" s="83">
        <v>35000</v>
      </c>
      <c r="O33" s="83">
        <v>35000</v>
      </c>
      <c r="P33" s="83">
        <v>35000</v>
      </c>
      <c r="Q33" s="83">
        <v>35000</v>
      </c>
      <c r="R33" s="83">
        <v>35000</v>
      </c>
      <c r="S33" s="2"/>
      <c r="T33" s="5">
        <f t="shared" si="2"/>
        <v>0</v>
      </c>
      <c r="U33" s="5">
        <f t="shared" si="3"/>
        <v>0</v>
      </c>
      <c r="V33" s="5">
        <f t="shared" si="4"/>
        <v>0</v>
      </c>
      <c r="W33" s="5">
        <f t="shared" si="5"/>
        <v>0</v>
      </c>
      <c r="X33" s="5">
        <f t="shared" si="6"/>
        <v>0</v>
      </c>
      <c r="Y33" s="119"/>
      <c r="AC33"/>
    </row>
    <row r="34" spans="1:29" ht="12.75" customHeight="1" x14ac:dyDescent="0.25">
      <c r="A34" s="4"/>
      <c r="C34" s="81" t="s">
        <v>87</v>
      </c>
      <c r="D34" s="118" t="s">
        <v>53</v>
      </c>
      <c r="E34" s="82" t="s">
        <v>13</v>
      </c>
      <c r="F34" s="121">
        <v>0</v>
      </c>
      <c r="G34" s="121">
        <v>1</v>
      </c>
      <c r="H34" s="82" t="s">
        <v>95</v>
      </c>
      <c r="I34" s="80" t="s">
        <v>51</v>
      </c>
      <c r="J34" s="2"/>
      <c r="K34" s="64">
        <f>IF($E34="Labour",Assumptions!$B$14,)</f>
        <v>0</v>
      </c>
      <c r="L34" s="9" t="str">
        <f t="shared" si="1"/>
        <v>$</v>
      </c>
      <c r="M34" s="2"/>
      <c r="N34" s="83">
        <v>140000</v>
      </c>
      <c r="O34" s="83">
        <v>140000</v>
      </c>
      <c r="P34" s="83">
        <v>140000</v>
      </c>
      <c r="Q34" s="83">
        <v>140000</v>
      </c>
      <c r="R34" s="83">
        <v>140000</v>
      </c>
      <c r="S34" s="2"/>
      <c r="T34" s="5">
        <f t="shared" si="2"/>
        <v>0</v>
      </c>
      <c r="U34" s="5">
        <f t="shared" si="3"/>
        <v>0</v>
      </c>
      <c r="V34" s="5">
        <f t="shared" si="4"/>
        <v>0</v>
      </c>
      <c r="W34" s="5">
        <f t="shared" si="5"/>
        <v>0</v>
      </c>
      <c r="X34" s="5">
        <f t="shared" si="6"/>
        <v>0</v>
      </c>
      <c r="Y34" s="119"/>
      <c r="AC34"/>
    </row>
    <row r="35" spans="1:29" ht="12.75" customHeight="1" x14ac:dyDescent="0.25">
      <c r="A35" s="4"/>
      <c r="C35" s="81" t="s">
        <v>88</v>
      </c>
      <c r="D35" s="118" t="s">
        <v>53</v>
      </c>
      <c r="E35" s="82" t="s">
        <v>13</v>
      </c>
      <c r="F35" s="121">
        <v>0</v>
      </c>
      <c r="G35" s="121">
        <v>1</v>
      </c>
      <c r="H35" s="82" t="s">
        <v>95</v>
      </c>
      <c r="I35" s="80" t="s">
        <v>51</v>
      </c>
      <c r="J35" s="2"/>
      <c r="K35" s="64">
        <f>IF($E35="Labour",Assumptions!$B$14,)</f>
        <v>0</v>
      </c>
      <c r="L35" s="9" t="str">
        <f t="shared" si="1"/>
        <v>$</v>
      </c>
      <c r="M35" s="2"/>
      <c r="N35" s="83">
        <v>4200</v>
      </c>
      <c r="O35" s="83">
        <v>4200</v>
      </c>
      <c r="P35" s="83">
        <v>4200</v>
      </c>
      <c r="Q35" s="83">
        <v>4200</v>
      </c>
      <c r="R35" s="83">
        <v>4200</v>
      </c>
      <c r="S35" s="2"/>
      <c r="T35" s="5">
        <f t="shared" si="2"/>
        <v>0</v>
      </c>
      <c r="U35" s="5">
        <f t="shared" si="3"/>
        <v>0</v>
      </c>
      <c r="V35" s="5">
        <f t="shared" si="4"/>
        <v>0</v>
      </c>
      <c r="W35" s="5">
        <f t="shared" si="5"/>
        <v>0</v>
      </c>
      <c r="X35" s="5">
        <f t="shared" si="6"/>
        <v>0</v>
      </c>
      <c r="Y35" s="119"/>
      <c r="AC35"/>
    </row>
    <row r="36" spans="1:29" ht="12.75" customHeight="1" x14ac:dyDescent="0.25">
      <c r="A36" s="4"/>
      <c r="C36" s="81"/>
      <c r="D36" s="118"/>
      <c r="E36" s="82"/>
      <c r="F36" s="120"/>
      <c r="G36" s="120"/>
      <c r="H36" s="82"/>
      <c r="I36" s="80"/>
      <c r="J36" s="2"/>
      <c r="K36" s="64">
        <f>IF($E36="Labour",Assumptions!$B$14,)</f>
        <v>0</v>
      </c>
      <c r="L36" s="9" t="str">
        <f t="shared" si="1"/>
        <v>$</v>
      </c>
      <c r="M36" s="2"/>
      <c r="N36" s="83"/>
      <c r="O36" s="83"/>
      <c r="P36" s="83"/>
      <c r="Q36" s="83"/>
      <c r="R36" s="83"/>
      <c r="S36" s="2"/>
      <c r="T36" s="5">
        <f t="shared" si="2"/>
        <v>0</v>
      </c>
      <c r="U36" s="5">
        <f t="shared" si="3"/>
        <v>0</v>
      </c>
      <c r="V36" s="5">
        <f t="shared" si="4"/>
        <v>0</v>
      </c>
      <c r="W36" s="5">
        <f t="shared" si="5"/>
        <v>0</v>
      </c>
      <c r="X36" s="5">
        <f t="shared" si="6"/>
        <v>0</v>
      </c>
      <c r="Y36" s="119"/>
      <c r="AC36"/>
    </row>
    <row r="37" spans="1:29" ht="12.75" customHeight="1" x14ac:dyDescent="0.25">
      <c r="A37" s="4"/>
      <c r="C37" s="81"/>
      <c r="D37" s="118"/>
      <c r="E37" s="82"/>
      <c r="F37" s="120"/>
      <c r="G37" s="120"/>
      <c r="H37" s="82"/>
      <c r="I37" s="80"/>
      <c r="J37" s="2"/>
      <c r="K37" s="64">
        <f>IF($E37="Labour",Assumptions!$B$14,)</f>
        <v>0</v>
      </c>
      <c r="L37" s="9" t="str">
        <f t="shared" si="1"/>
        <v>$</v>
      </c>
      <c r="M37" s="2"/>
      <c r="N37" s="83"/>
      <c r="O37" s="83"/>
      <c r="P37" s="83"/>
      <c r="Q37" s="83"/>
      <c r="R37" s="83"/>
      <c r="S37" s="2"/>
      <c r="T37" s="5">
        <f t="shared" si="2"/>
        <v>0</v>
      </c>
      <c r="U37" s="5">
        <f t="shared" si="3"/>
        <v>0</v>
      </c>
      <c r="V37" s="5">
        <f t="shared" si="4"/>
        <v>0</v>
      </c>
      <c r="W37" s="5">
        <f t="shared" si="5"/>
        <v>0</v>
      </c>
      <c r="X37" s="5">
        <f t="shared" si="6"/>
        <v>0</v>
      </c>
      <c r="Y37" s="119"/>
      <c r="AC37"/>
    </row>
    <row r="38" spans="1:29" ht="12.75" customHeight="1" x14ac:dyDescent="0.25">
      <c r="A38" s="4"/>
      <c r="C38" s="81"/>
      <c r="D38" s="118"/>
      <c r="E38" s="82"/>
      <c r="F38" s="120"/>
      <c r="G38" s="120"/>
      <c r="H38" s="82"/>
      <c r="I38" s="80"/>
      <c r="J38" s="2"/>
      <c r="K38" s="64">
        <f>IF($E38="Labour",Assumptions!$B$14,)</f>
        <v>0</v>
      </c>
      <c r="L38" s="9" t="str">
        <f t="shared" si="1"/>
        <v>$</v>
      </c>
      <c r="M38" s="2"/>
      <c r="N38" s="83"/>
      <c r="O38" s="83"/>
      <c r="P38" s="83"/>
      <c r="Q38" s="83"/>
      <c r="R38" s="83"/>
      <c r="S38" s="2"/>
      <c r="T38" s="5">
        <f t="shared" si="2"/>
        <v>0</v>
      </c>
      <c r="U38" s="5">
        <f t="shared" si="3"/>
        <v>0</v>
      </c>
      <c r="V38" s="5">
        <f t="shared" si="4"/>
        <v>0</v>
      </c>
      <c r="W38" s="5">
        <f t="shared" si="5"/>
        <v>0</v>
      </c>
      <c r="X38" s="5">
        <f t="shared" si="6"/>
        <v>0</v>
      </c>
      <c r="Y38" s="119"/>
      <c r="AC38"/>
    </row>
    <row r="39" spans="1:29" ht="12.75" customHeight="1" x14ac:dyDescent="0.25">
      <c r="A39" s="4"/>
      <c r="C39" s="81" t="s">
        <v>66</v>
      </c>
      <c r="D39" s="118" t="s">
        <v>53</v>
      </c>
      <c r="E39" s="82" t="s">
        <v>11</v>
      </c>
      <c r="F39" s="121">
        <v>0</v>
      </c>
      <c r="G39" s="121">
        <v>1</v>
      </c>
      <c r="H39" s="82" t="s">
        <v>95</v>
      </c>
      <c r="I39" s="80" t="s">
        <v>51</v>
      </c>
      <c r="J39" s="2"/>
      <c r="K39" s="64">
        <f>IF($E39="Labour",Assumptions!$B$14,)</f>
        <v>145.77740895836223</v>
      </c>
      <c r="L39" s="9" t="str">
        <f t="shared" si="1"/>
        <v>Hours</v>
      </c>
      <c r="M39" s="2"/>
      <c r="N39" s="83"/>
      <c r="O39" s="83">
        <v>913</v>
      </c>
      <c r="P39" s="83"/>
      <c r="Q39" s="83">
        <v>456</v>
      </c>
      <c r="R39" s="83"/>
      <c r="S39" s="2"/>
      <c r="T39" s="5">
        <f t="shared" si="2"/>
        <v>0</v>
      </c>
      <c r="U39" s="5">
        <f t="shared" si="3"/>
        <v>0</v>
      </c>
      <c r="V39" s="5">
        <f t="shared" si="4"/>
        <v>0</v>
      </c>
      <c r="W39" s="5">
        <f t="shared" si="5"/>
        <v>0</v>
      </c>
      <c r="X39" s="5">
        <f t="shared" si="6"/>
        <v>0</v>
      </c>
      <c r="Y39" s="119"/>
      <c r="AC39"/>
    </row>
    <row r="40" spans="1:29" ht="12.75" customHeight="1" x14ac:dyDescent="0.25">
      <c r="A40" s="4"/>
      <c r="C40" s="81"/>
      <c r="D40" s="82"/>
      <c r="E40" s="82"/>
      <c r="F40" s="120"/>
      <c r="G40" s="120"/>
      <c r="H40" s="82"/>
      <c r="I40" s="80"/>
      <c r="J40" s="2"/>
      <c r="K40" s="64">
        <f>IF($E40="Labour",Assumptions!$B$14,)</f>
        <v>0</v>
      </c>
      <c r="L40" s="9" t="str">
        <f t="shared" si="1"/>
        <v>$</v>
      </c>
      <c r="M40" s="2"/>
      <c r="N40" s="83"/>
      <c r="O40" s="83"/>
      <c r="P40" s="83"/>
      <c r="Q40" s="83"/>
      <c r="R40" s="83"/>
      <c r="S40" s="2"/>
      <c r="T40" s="5">
        <f t="shared" si="2"/>
        <v>0</v>
      </c>
      <c r="U40" s="5">
        <f t="shared" si="3"/>
        <v>0</v>
      </c>
      <c r="V40" s="5">
        <f t="shared" si="4"/>
        <v>0</v>
      </c>
      <c r="W40" s="5">
        <f t="shared" si="5"/>
        <v>0</v>
      </c>
      <c r="X40" s="5">
        <f t="shared" si="6"/>
        <v>0</v>
      </c>
      <c r="AC40"/>
    </row>
    <row r="41" spans="1:29" ht="12.75" customHeight="1" x14ac:dyDescent="0.25">
      <c r="A41" s="4"/>
      <c r="C41" s="81" t="s">
        <v>113</v>
      </c>
      <c r="D41" s="82" t="s">
        <v>109</v>
      </c>
      <c r="E41" s="82" t="s">
        <v>11</v>
      </c>
      <c r="F41" s="121">
        <v>1</v>
      </c>
      <c r="G41" s="121">
        <v>0</v>
      </c>
      <c r="H41" s="82" t="s">
        <v>110</v>
      </c>
      <c r="I41" s="80" t="s">
        <v>51</v>
      </c>
      <c r="J41" s="2"/>
      <c r="K41" s="147"/>
      <c r="L41" s="9" t="s">
        <v>114</v>
      </c>
      <c r="M41" s="2"/>
      <c r="N41" s="83">
        <v>262346.38497801963</v>
      </c>
      <c r="O41" s="83">
        <v>262346.38497801963</v>
      </c>
      <c r="P41" s="83">
        <v>524692.76995603926</v>
      </c>
      <c r="Q41" s="83">
        <v>524692.76995603926</v>
      </c>
      <c r="R41" s="83">
        <v>262346.38497801963</v>
      </c>
      <c r="S41" s="2"/>
      <c r="T41" s="5">
        <f>$F41*N41</f>
        <v>262346.38497801963</v>
      </c>
      <c r="U41" s="5">
        <f t="shared" ref="U41:X41" si="7">$F41*O41</f>
        <v>262346.38497801963</v>
      </c>
      <c r="V41" s="5">
        <f t="shared" si="7"/>
        <v>524692.76995603926</v>
      </c>
      <c r="W41" s="5">
        <f t="shared" si="7"/>
        <v>524692.76995603926</v>
      </c>
      <c r="X41" s="5">
        <f t="shared" si="7"/>
        <v>262346.38497801963</v>
      </c>
      <c r="Y41" s="107"/>
      <c r="AC41"/>
    </row>
    <row r="42" spans="1:29" ht="12.75" customHeight="1" x14ac:dyDescent="0.25">
      <c r="A42" s="4"/>
      <c r="C42" s="81" t="s">
        <v>113</v>
      </c>
      <c r="D42" s="82" t="s">
        <v>109</v>
      </c>
      <c r="E42" s="82" t="s">
        <v>13</v>
      </c>
      <c r="F42" s="121">
        <v>1</v>
      </c>
      <c r="G42" s="121">
        <v>0</v>
      </c>
      <c r="H42" s="82" t="s">
        <v>110</v>
      </c>
      <c r="I42" s="80" t="s">
        <v>51</v>
      </c>
      <c r="J42" s="2"/>
      <c r="K42" s="147"/>
      <c r="L42" s="9" t="s">
        <v>114</v>
      </c>
      <c r="M42" s="2"/>
      <c r="N42" s="83">
        <v>9172.9677614663524</v>
      </c>
      <c r="O42" s="83">
        <v>9172.9677614663524</v>
      </c>
      <c r="P42" s="83">
        <v>18345.935522932705</v>
      </c>
      <c r="Q42" s="83">
        <v>18345.935522932705</v>
      </c>
      <c r="R42" s="83">
        <v>9172.9677614663524</v>
      </c>
      <c r="S42" s="2"/>
      <c r="T42" s="5">
        <f t="shared" ref="T42:T69" si="8">$F42*N42</f>
        <v>9172.9677614663524</v>
      </c>
      <c r="U42" s="5">
        <f t="shared" ref="U42:U69" si="9">$F42*O42</f>
        <v>9172.9677614663524</v>
      </c>
      <c r="V42" s="5">
        <f t="shared" ref="V42:V69" si="10">$F42*P42</f>
        <v>18345.935522932705</v>
      </c>
      <c r="W42" s="5">
        <f t="shared" ref="W42:W69" si="11">$F42*Q42</f>
        <v>18345.935522932705</v>
      </c>
      <c r="X42" s="5">
        <f t="shared" ref="X42:X69" si="12">$F42*R42</f>
        <v>9172.9677614663524</v>
      </c>
      <c r="AC42"/>
    </row>
    <row r="43" spans="1:29" ht="12.75" customHeight="1" x14ac:dyDescent="0.25">
      <c r="A43" s="4"/>
      <c r="C43" s="81" t="s">
        <v>113</v>
      </c>
      <c r="D43" s="82" t="s">
        <v>109</v>
      </c>
      <c r="E43" s="82" t="s">
        <v>14</v>
      </c>
      <c r="F43" s="121">
        <v>1</v>
      </c>
      <c r="G43" s="121">
        <v>0</v>
      </c>
      <c r="H43" s="82" t="s">
        <v>110</v>
      </c>
      <c r="I43" s="80" t="s">
        <v>51</v>
      </c>
      <c r="J43" s="2"/>
      <c r="K43" s="147"/>
      <c r="L43" s="9" t="s">
        <v>114</v>
      </c>
      <c r="M43" s="2"/>
      <c r="N43" s="83">
        <v>792321.29691348213</v>
      </c>
      <c r="O43" s="83">
        <v>792321.29691348213</v>
      </c>
      <c r="P43" s="83">
        <v>1584642.5938269643</v>
      </c>
      <c r="Q43" s="83">
        <v>1584642.5938269643</v>
      </c>
      <c r="R43" s="83">
        <v>792321.29691348213</v>
      </c>
      <c r="S43" s="2"/>
      <c r="T43" s="5">
        <f t="shared" si="8"/>
        <v>792321.29691348213</v>
      </c>
      <c r="U43" s="5">
        <f t="shared" si="9"/>
        <v>792321.29691348213</v>
      </c>
      <c r="V43" s="5">
        <f t="shared" si="10"/>
        <v>1584642.5938269643</v>
      </c>
      <c r="W43" s="5">
        <f t="shared" si="11"/>
        <v>1584642.5938269643</v>
      </c>
      <c r="X43" s="5">
        <f t="shared" si="12"/>
        <v>792321.29691348213</v>
      </c>
      <c r="AC43"/>
    </row>
    <row r="44" spans="1:29" ht="12.75" customHeight="1" x14ac:dyDescent="0.25">
      <c r="A44" s="4"/>
      <c r="C44" s="81"/>
      <c r="D44" s="82"/>
      <c r="E44" s="82"/>
      <c r="F44" s="120"/>
      <c r="G44" s="120"/>
      <c r="H44" s="82"/>
      <c r="I44" s="80"/>
      <c r="J44" s="2"/>
      <c r="K44" s="147"/>
      <c r="L44" s="9" t="s">
        <v>114</v>
      </c>
      <c r="M44" s="2"/>
      <c r="N44" s="83"/>
      <c r="O44" s="83"/>
      <c r="P44" s="83"/>
      <c r="Q44" s="83"/>
      <c r="R44" s="83"/>
      <c r="S44" s="2"/>
      <c r="T44" s="5">
        <f t="shared" si="8"/>
        <v>0</v>
      </c>
      <c r="U44" s="5">
        <f t="shared" si="9"/>
        <v>0</v>
      </c>
      <c r="V44" s="5">
        <f t="shared" si="10"/>
        <v>0</v>
      </c>
      <c r="W44" s="5">
        <f t="shared" si="11"/>
        <v>0</v>
      </c>
      <c r="X44" s="5">
        <f t="shared" si="12"/>
        <v>0</v>
      </c>
      <c r="AC44"/>
    </row>
    <row r="45" spans="1:29" ht="12.75" customHeight="1" x14ac:dyDescent="0.25">
      <c r="A45" s="4"/>
      <c r="C45" s="81" t="s">
        <v>112</v>
      </c>
      <c r="D45" s="82" t="s">
        <v>109</v>
      </c>
      <c r="E45" s="82" t="s">
        <v>11</v>
      </c>
      <c r="F45" s="121">
        <v>1</v>
      </c>
      <c r="G45" s="121">
        <v>0</v>
      </c>
      <c r="H45" s="82" t="s">
        <v>111</v>
      </c>
      <c r="I45" s="80" t="s">
        <v>51</v>
      </c>
      <c r="J45" s="2"/>
      <c r="K45" s="147"/>
      <c r="L45" s="9" t="s">
        <v>114</v>
      </c>
      <c r="M45" s="2"/>
      <c r="N45" s="146">
        <v>51817.812818141734</v>
      </c>
      <c r="O45" s="146">
        <v>55601.93933220052</v>
      </c>
      <c r="P45" s="146">
        <v>59658.624372397549</v>
      </c>
      <c r="Q45" s="146">
        <v>64013.222220234049</v>
      </c>
      <c r="R45" s="146">
        <v>76392.450163210291</v>
      </c>
      <c r="S45" s="2"/>
      <c r="T45" s="5">
        <f t="shared" si="8"/>
        <v>51817.812818141734</v>
      </c>
      <c r="U45" s="5">
        <f t="shared" si="9"/>
        <v>55601.93933220052</v>
      </c>
      <c r="V45" s="5">
        <f t="shared" si="10"/>
        <v>59658.624372397549</v>
      </c>
      <c r="W45" s="5">
        <f t="shared" si="11"/>
        <v>64013.222220234049</v>
      </c>
      <c r="X45" s="5">
        <f t="shared" si="12"/>
        <v>76392.450163210291</v>
      </c>
      <c r="AC45"/>
    </row>
    <row r="46" spans="1:29" ht="12.75" customHeight="1" x14ac:dyDescent="0.25">
      <c r="A46" s="4"/>
      <c r="C46" s="81" t="s">
        <v>112</v>
      </c>
      <c r="D46" s="82" t="s">
        <v>109</v>
      </c>
      <c r="E46" s="82" t="s">
        <v>13</v>
      </c>
      <c r="F46" s="121">
        <v>1</v>
      </c>
      <c r="G46" s="121">
        <v>0</v>
      </c>
      <c r="H46" s="82" t="s">
        <v>111</v>
      </c>
      <c r="I46" s="80" t="s">
        <v>51</v>
      </c>
      <c r="J46" s="2"/>
      <c r="K46" s="147"/>
      <c r="L46" s="9" t="s">
        <v>114</v>
      </c>
      <c r="M46" s="2"/>
      <c r="N46" s="146">
        <v>207271.25127256694</v>
      </c>
      <c r="O46" s="146">
        <v>222407.75732880208</v>
      </c>
      <c r="P46" s="146">
        <v>238634.4974895902</v>
      </c>
      <c r="Q46" s="146">
        <v>256052.8888809362</v>
      </c>
      <c r="R46" s="146">
        <v>305569.80065284116</v>
      </c>
      <c r="S46" s="2"/>
      <c r="T46" s="5">
        <f t="shared" si="8"/>
        <v>207271.25127256694</v>
      </c>
      <c r="U46" s="5">
        <f t="shared" si="9"/>
        <v>222407.75732880208</v>
      </c>
      <c r="V46" s="5">
        <f t="shared" si="10"/>
        <v>238634.4974895902</v>
      </c>
      <c r="W46" s="5">
        <f t="shared" si="11"/>
        <v>256052.8888809362</v>
      </c>
      <c r="X46" s="5">
        <f t="shared" si="12"/>
        <v>305569.80065284116</v>
      </c>
      <c r="AC46"/>
    </row>
    <row r="47" spans="1:29" ht="12.75" customHeight="1" x14ac:dyDescent="0.25">
      <c r="A47" s="4"/>
      <c r="C47" s="81"/>
      <c r="D47" s="82"/>
      <c r="E47" s="82"/>
      <c r="F47" s="120"/>
      <c r="G47" s="120"/>
      <c r="H47" s="82"/>
      <c r="I47" s="80"/>
      <c r="J47" s="2"/>
      <c r="K47" s="147"/>
      <c r="L47" s="9" t="s">
        <v>114</v>
      </c>
      <c r="M47" s="2"/>
      <c r="N47" s="83"/>
      <c r="O47" s="83"/>
      <c r="P47" s="83"/>
      <c r="Q47" s="83"/>
      <c r="R47" s="83"/>
      <c r="S47" s="2"/>
      <c r="T47" s="5">
        <f t="shared" si="8"/>
        <v>0</v>
      </c>
      <c r="U47" s="5">
        <f t="shared" si="9"/>
        <v>0</v>
      </c>
      <c r="V47" s="5">
        <f t="shared" si="10"/>
        <v>0</v>
      </c>
      <c r="W47" s="5">
        <f t="shared" si="11"/>
        <v>0</v>
      </c>
      <c r="X47" s="5">
        <f t="shared" si="12"/>
        <v>0</v>
      </c>
      <c r="AC47"/>
    </row>
    <row r="48" spans="1:29" ht="12.75" customHeight="1" x14ac:dyDescent="0.25">
      <c r="A48" s="4"/>
      <c r="C48" s="81" t="s">
        <v>115</v>
      </c>
      <c r="D48" s="82" t="s">
        <v>109</v>
      </c>
      <c r="E48" s="82" t="s">
        <v>13</v>
      </c>
      <c r="F48" s="121">
        <v>1</v>
      </c>
      <c r="G48" s="121">
        <v>0</v>
      </c>
      <c r="H48" s="82" t="s">
        <v>116</v>
      </c>
      <c r="I48" s="80" t="s">
        <v>51</v>
      </c>
      <c r="J48" s="2"/>
      <c r="K48" s="147"/>
      <c r="L48" s="9" t="s">
        <v>114</v>
      </c>
      <c r="M48" s="2"/>
      <c r="N48" s="83">
        <v>714752.66163142968</v>
      </c>
      <c r="O48" s="83">
        <v>2144257.9848942887</v>
      </c>
      <c r="P48" s="83">
        <v>3395075.1427492909</v>
      </c>
      <c r="Q48" s="83">
        <v>536064.49622357218</v>
      </c>
      <c r="R48" s="83">
        <v>0</v>
      </c>
      <c r="S48" s="2"/>
      <c r="T48" s="5">
        <f t="shared" si="8"/>
        <v>714752.66163142968</v>
      </c>
      <c r="U48" s="5">
        <f t="shared" si="9"/>
        <v>2144257.9848942887</v>
      </c>
      <c r="V48" s="5">
        <f t="shared" si="10"/>
        <v>3395075.1427492909</v>
      </c>
      <c r="W48" s="5">
        <f t="shared" si="11"/>
        <v>536064.49622357218</v>
      </c>
      <c r="X48" s="5">
        <f t="shared" si="12"/>
        <v>0</v>
      </c>
      <c r="AC48"/>
    </row>
    <row r="49" spans="1:29" ht="12.75" customHeight="1" x14ac:dyDescent="0.25">
      <c r="A49" s="4"/>
      <c r="C49" s="81" t="s">
        <v>115</v>
      </c>
      <c r="D49" s="82" t="s">
        <v>109</v>
      </c>
      <c r="E49" s="82" t="s">
        <v>14</v>
      </c>
      <c r="F49" s="121">
        <v>1</v>
      </c>
      <c r="G49" s="121">
        <v>0</v>
      </c>
      <c r="H49" s="82" t="s">
        <v>116</v>
      </c>
      <c r="I49" s="80" t="s">
        <v>51</v>
      </c>
      <c r="J49" s="2"/>
      <c r="K49" s="147"/>
      <c r="L49" s="9" t="s">
        <v>114</v>
      </c>
      <c r="M49" s="2"/>
      <c r="N49" s="83">
        <v>306322.56927061273</v>
      </c>
      <c r="O49" s="83">
        <v>918967.70781183813</v>
      </c>
      <c r="P49" s="83">
        <v>1455032.2040354104</v>
      </c>
      <c r="Q49" s="83">
        <v>229741.92695295953</v>
      </c>
      <c r="R49" s="83">
        <v>0</v>
      </c>
      <c r="S49" s="2"/>
      <c r="T49" s="5">
        <f t="shared" si="8"/>
        <v>306322.56927061273</v>
      </c>
      <c r="U49" s="5">
        <f t="shared" si="9"/>
        <v>918967.70781183813</v>
      </c>
      <c r="V49" s="5">
        <f t="shared" si="10"/>
        <v>1455032.2040354104</v>
      </c>
      <c r="W49" s="5">
        <f t="shared" si="11"/>
        <v>229741.92695295953</v>
      </c>
      <c r="X49" s="5">
        <f t="shared" si="12"/>
        <v>0</v>
      </c>
      <c r="AC49"/>
    </row>
    <row r="50" spans="1:29" ht="12.75" customHeight="1" x14ac:dyDescent="0.25">
      <c r="A50" s="4"/>
      <c r="C50" s="81"/>
      <c r="D50" s="82"/>
      <c r="E50" s="82"/>
      <c r="F50" s="120"/>
      <c r="G50" s="120"/>
      <c r="H50" s="82"/>
      <c r="I50" s="80"/>
      <c r="J50" s="2"/>
      <c r="K50" s="147"/>
      <c r="L50" s="9" t="s">
        <v>114</v>
      </c>
      <c r="M50" s="2"/>
      <c r="N50" s="83"/>
      <c r="O50" s="83"/>
      <c r="P50" s="83"/>
      <c r="Q50" s="83"/>
      <c r="R50" s="83"/>
      <c r="S50" s="2"/>
      <c r="T50" s="5">
        <f t="shared" si="8"/>
        <v>0</v>
      </c>
      <c r="U50" s="5">
        <f t="shared" si="9"/>
        <v>0</v>
      </c>
      <c r="V50" s="5">
        <f t="shared" si="10"/>
        <v>0</v>
      </c>
      <c r="W50" s="5">
        <f t="shared" si="11"/>
        <v>0</v>
      </c>
      <c r="X50" s="5">
        <f t="shared" si="12"/>
        <v>0</v>
      </c>
      <c r="AC50"/>
    </row>
    <row r="51" spans="1:29" ht="12.75" customHeight="1" x14ac:dyDescent="0.25">
      <c r="A51" s="4"/>
      <c r="C51" s="81" t="s">
        <v>117</v>
      </c>
      <c r="D51" s="82" t="s">
        <v>109</v>
      </c>
      <c r="E51" s="82" t="s">
        <v>13</v>
      </c>
      <c r="F51" s="121">
        <v>1</v>
      </c>
      <c r="G51" s="121">
        <v>0</v>
      </c>
      <c r="H51" s="82" t="s">
        <v>122</v>
      </c>
      <c r="I51" s="80" t="s">
        <v>51</v>
      </c>
      <c r="J51" s="2"/>
      <c r="K51" s="147"/>
      <c r="L51" s="9" t="s">
        <v>114</v>
      </c>
      <c r="M51" s="2"/>
      <c r="N51" s="83">
        <v>2305.4079399812435</v>
      </c>
      <c r="O51" s="83">
        <v>2305.4079399812435</v>
      </c>
      <c r="P51" s="83">
        <v>2305.4079399812435</v>
      </c>
      <c r="Q51" s="83">
        <v>2305.4079399812435</v>
      </c>
      <c r="R51" s="83">
        <v>2305.4079399812435</v>
      </c>
      <c r="S51" s="2"/>
      <c r="T51" s="5">
        <f t="shared" si="8"/>
        <v>2305.4079399812435</v>
      </c>
      <c r="U51" s="5">
        <f t="shared" si="9"/>
        <v>2305.4079399812435</v>
      </c>
      <c r="V51" s="5">
        <f t="shared" si="10"/>
        <v>2305.4079399812435</v>
      </c>
      <c r="W51" s="5">
        <f t="shared" si="11"/>
        <v>2305.4079399812435</v>
      </c>
      <c r="X51" s="5">
        <f t="shared" si="12"/>
        <v>2305.4079399812435</v>
      </c>
      <c r="AC51"/>
    </row>
    <row r="52" spans="1:29" ht="12.75" customHeight="1" x14ac:dyDescent="0.25">
      <c r="A52" s="4"/>
      <c r="C52" s="81" t="s">
        <v>117</v>
      </c>
      <c r="D52" s="82" t="s">
        <v>109</v>
      </c>
      <c r="E52" s="82" t="s">
        <v>14</v>
      </c>
      <c r="F52" s="121">
        <v>1</v>
      </c>
      <c r="G52" s="121">
        <v>0</v>
      </c>
      <c r="H52" s="82" t="s">
        <v>122</v>
      </c>
      <c r="I52" s="80" t="s">
        <v>51</v>
      </c>
      <c r="J52" s="2"/>
      <c r="K52" s="147"/>
      <c r="L52" s="9" t="s">
        <v>114</v>
      </c>
      <c r="M52" s="2"/>
      <c r="N52" s="83">
        <v>20748.671459831199</v>
      </c>
      <c r="O52" s="83">
        <v>20748.671459831199</v>
      </c>
      <c r="P52" s="83">
        <v>20748.671459831199</v>
      </c>
      <c r="Q52" s="83">
        <v>20748.671459831199</v>
      </c>
      <c r="R52" s="83">
        <v>20748.671459831199</v>
      </c>
      <c r="S52" s="2"/>
      <c r="T52" s="5">
        <f t="shared" si="8"/>
        <v>20748.671459831199</v>
      </c>
      <c r="U52" s="5">
        <f t="shared" si="9"/>
        <v>20748.671459831199</v>
      </c>
      <c r="V52" s="5">
        <f t="shared" si="10"/>
        <v>20748.671459831199</v>
      </c>
      <c r="W52" s="5">
        <f t="shared" si="11"/>
        <v>20748.671459831199</v>
      </c>
      <c r="X52" s="5">
        <f t="shared" si="12"/>
        <v>20748.671459831199</v>
      </c>
      <c r="AC52"/>
    </row>
    <row r="53" spans="1:29" ht="12.75" customHeight="1" x14ac:dyDescent="0.25">
      <c r="A53" s="4"/>
      <c r="C53" s="81" t="s">
        <v>118</v>
      </c>
      <c r="D53" s="82" t="s">
        <v>109</v>
      </c>
      <c r="E53" s="82" t="s">
        <v>13</v>
      </c>
      <c r="F53" s="121">
        <v>1</v>
      </c>
      <c r="G53" s="121">
        <v>0</v>
      </c>
      <c r="H53" s="82" t="s">
        <v>122</v>
      </c>
      <c r="I53" s="80" t="s">
        <v>51</v>
      </c>
      <c r="J53" s="2"/>
      <c r="K53" s="147"/>
      <c r="L53" s="9" t="s">
        <v>114</v>
      </c>
      <c r="M53" s="2"/>
      <c r="N53" s="83">
        <v>70817.833698030634</v>
      </c>
      <c r="O53" s="83">
        <v>70817.833698030634</v>
      </c>
      <c r="P53" s="83">
        <v>70817.833698030634</v>
      </c>
      <c r="Q53" s="83">
        <v>70817.833698030634</v>
      </c>
      <c r="R53" s="83">
        <v>70817.833698030634</v>
      </c>
      <c r="S53" s="2"/>
      <c r="T53" s="5">
        <f t="shared" si="8"/>
        <v>70817.833698030634</v>
      </c>
      <c r="U53" s="5">
        <f t="shared" si="9"/>
        <v>70817.833698030634</v>
      </c>
      <c r="V53" s="5">
        <f t="shared" si="10"/>
        <v>70817.833698030634</v>
      </c>
      <c r="W53" s="5">
        <f t="shared" si="11"/>
        <v>70817.833698030634</v>
      </c>
      <c r="X53" s="5">
        <f t="shared" si="12"/>
        <v>70817.833698030634</v>
      </c>
      <c r="AC53"/>
    </row>
    <row r="54" spans="1:29" ht="12.75" customHeight="1" x14ac:dyDescent="0.25">
      <c r="A54" s="4"/>
      <c r="C54" s="81" t="s">
        <v>118</v>
      </c>
      <c r="D54" s="82" t="s">
        <v>109</v>
      </c>
      <c r="E54" s="82" t="s">
        <v>14</v>
      </c>
      <c r="F54" s="121">
        <v>1</v>
      </c>
      <c r="G54" s="121">
        <v>0</v>
      </c>
      <c r="H54" s="82" t="s">
        <v>122</v>
      </c>
      <c r="I54" s="80" t="s">
        <v>51</v>
      </c>
      <c r="J54" s="2"/>
      <c r="K54" s="147"/>
      <c r="L54" s="9" t="s">
        <v>114</v>
      </c>
      <c r="M54" s="2"/>
      <c r="N54" s="83">
        <v>30350.500156298844</v>
      </c>
      <c r="O54" s="83">
        <v>30350.500156298844</v>
      </c>
      <c r="P54" s="83">
        <v>30350.500156298844</v>
      </c>
      <c r="Q54" s="83">
        <v>30350.500156298844</v>
      </c>
      <c r="R54" s="83">
        <v>30350.500156298844</v>
      </c>
      <c r="S54" s="2"/>
      <c r="T54" s="5">
        <f t="shared" si="8"/>
        <v>30350.500156298844</v>
      </c>
      <c r="U54" s="5">
        <f t="shared" si="9"/>
        <v>30350.500156298844</v>
      </c>
      <c r="V54" s="5">
        <f t="shared" si="10"/>
        <v>30350.500156298844</v>
      </c>
      <c r="W54" s="5">
        <f t="shared" si="11"/>
        <v>30350.500156298844</v>
      </c>
      <c r="X54" s="5">
        <f t="shared" si="12"/>
        <v>30350.500156298844</v>
      </c>
      <c r="AC54"/>
    </row>
    <row r="55" spans="1:29" ht="12.75" customHeight="1" x14ac:dyDescent="0.25">
      <c r="A55" s="4"/>
      <c r="C55" s="81" t="s">
        <v>119</v>
      </c>
      <c r="D55" s="82" t="s">
        <v>109</v>
      </c>
      <c r="E55" s="82" t="s">
        <v>13</v>
      </c>
      <c r="F55" s="121">
        <v>1</v>
      </c>
      <c r="G55" s="121">
        <v>0</v>
      </c>
      <c r="H55" s="82" t="s">
        <v>122</v>
      </c>
      <c r="I55" s="80" t="s">
        <v>51</v>
      </c>
      <c r="J55" s="2"/>
      <c r="K55" s="147"/>
      <c r="L55" s="9" t="s">
        <v>114</v>
      </c>
      <c r="M55" s="2"/>
      <c r="N55" s="83">
        <v>5072.6789621756798</v>
      </c>
      <c r="O55" s="83">
        <v>5072.6789621756798</v>
      </c>
      <c r="P55" s="83">
        <v>5072.6789621756798</v>
      </c>
      <c r="Q55" s="83">
        <v>5072.6789621756798</v>
      </c>
      <c r="R55" s="83">
        <v>5072.6789621756798</v>
      </c>
      <c r="S55" s="2"/>
      <c r="T55" s="5">
        <f t="shared" si="8"/>
        <v>5072.6789621756798</v>
      </c>
      <c r="U55" s="5">
        <f t="shared" si="9"/>
        <v>5072.6789621756798</v>
      </c>
      <c r="V55" s="5">
        <f t="shared" si="10"/>
        <v>5072.6789621756798</v>
      </c>
      <c r="W55" s="5">
        <f t="shared" si="11"/>
        <v>5072.6789621756798</v>
      </c>
      <c r="X55" s="5">
        <f t="shared" si="12"/>
        <v>5072.6789621756798</v>
      </c>
      <c r="AC55"/>
    </row>
    <row r="56" spans="1:29" ht="12.75" customHeight="1" x14ac:dyDescent="0.25">
      <c r="A56" s="4"/>
      <c r="C56" s="81" t="s">
        <v>119</v>
      </c>
      <c r="D56" s="82" t="s">
        <v>109</v>
      </c>
      <c r="E56" s="82" t="s">
        <v>14</v>
      </c>
      <c r="F56" s="121">
        <v>1</v>
      </c>
      <c r="G56" s="121">
        <v>0</v>
      </c>
      <c r="H56" s="82" t="s">
        <v>122</v>
      </c>
      <c r="I56" s="80" t="s">
        <v>51</v>
      </c>
      <c r="J56" s="2"/>
      <c r="K56" s="147"/>
      <c r="L56" s="9" t="s">
        <v>114</v>
      </c>
      <c r="M56" s="2"/>
      <c r="N56" s="83">
        <v>20290.715848702723</v>
      </c>
      <c r="O56" s="83">
        <v>20290.715848702723</v>
      </c>
      <c r="P56" s="83">
        <v>20290.715848702723</v>
      </c>
      <c r="Q56" s="83">
        <v>20290.715848702723</v>
      </c>
      <c r="R56" s="83">
        <v>20290.715848702723</v>
      </c>
      <c r="S56" s="2"/>
      <c r="T56" s="5">
        <f t="shared" si="8"/>
        <v>20290.715848702723</v>
      </c>
      <c r="U56" s="5">
        <f t="shared" si="9"/>
        <v>20290.715848702723</v>
      </c>
      <c r="V56" s="5">
        <f t="shared" si="10"/>
        <v>20290.715848702723</v>
      </c>
      <c r="W56" s="5">
        <f t="shared" si="11"/>
        <v>20290.715848702723</v>
      </c>
      <c r="X56" s="5">
        <f t="shared" si="12"/>
        <v>20290.715848702723</v>
      </c>
      <c r="AC56"/>
    </row>
    <row r="57" spans="1:29" ht="12.75" customHeight="1" x14ac:dyDescent="0.25">
      <c r="A57" s="4"/>
      <c r="C57" s="81" t="s">
        <v>120</v>
      </c>
      <c r="D57" s="82" t="s">
        <v>109</v>
      </c>
      <c r="E57" s="82" t="s">
        <v>13</v>
      </c>
      <c r="F57" s="121">
        <v>1</v>
      </c>
      <c r="G57" s="121">
        <v>0</v>
      </c>
      <c r="H57" s="82" t="s">
        <v>122</v>
      </c>
      <c r="I57" s="80" t="s">
        <v>51</v>
      </c>
      <c r="J57" s="2"/>
      <c r="K57" s="147"/>
      <c r="L57" s="9" t="s">
        <v>114</v>
      </c>
      <c r="M57" s="2"/>
      <c r="N57" s="83">
        <v>1562.9884338855893</v>
      </c>
      <c r="O57" s="83">
        <v>1562.9884338855893</v>
      </c>
      <c r="P57" s="83">
        <v>1562.9884338855893</v>
      </c>
      <c r="Q57" s="83">
        <v>1562.9884338855893</v>
      </c>
      <c r="R57" s="83">
        <v>1562.9884338855893</v>
      </c>
      <c r="S57" s="2"/>
      <c r="T57" s="5">
        <f t="shared" si="8"/>
        <v>1562.9884338855893</v>
      </c>
      <c r="U57" s="5">
        <f t="shared" si="9"/>
        <v>1562.9884338855893</v>
      </c>
      <c r="V57" s="5">
        <f t="shared" si="10"/>
        <v>1562.9884338855893</v>
      </c>
      <c r="W57" s="5">
        <f t="shared" si="11"/>
        <v>1562.9884338855893</v>
      </c>
      <c r="X57" s="5">
        <f t="shared" si="12"/>
        <v>1562.9884338855893</v>
      </c>
      <c r="AC57"/>
    </row>
    <row r="58" spans="1:29" ht="12.75" customHeight="1" x14ac:dyDescent="0.25">
      <c r="A58" s="4"/>
      <c r="C58" s="81" t="s">
        <v>121</v>
      </c>
      <c r="D58" s="82" t="s">
        <v>109</v>
      </c>
      <c r="E58" s="82" t="s">
        <v>11</v>
      </c>
      <c r="F58" s="121">
        <v>1</v>
      </c>
      <c r="G58" s="121">
        <v>0</v>
      </c>
      <c r="H58" s="82" t="s">
        <v>122</v>
      </c>
      <c r="I58" s="80" t="s">
        <v>51</v>
      </c>
      <c r="J58" s="2"/>
      <c r="K58" s="147"/>
      <c r="L58" s="9" t="s">
        <v>114</v>
      </c>
      <c r="M58" s="2"/>
      <c r="N58" s="83">
        <v>14770.240700218814</v>
      </c>
      <c r="O58" s="83">
        <v>14770.240700218814</v>
      </c>
      <c r="P58" s="83">
        <v>14770.240700218814</v>
      </c>
      <c r="Q58" s="83">
        <v>14770.240700218814</v>
      </c>
      <c r="R58" s="83">
        <v>14770.240700218814</v>
      </c>
      <c r="S58" s="2"/>
      <c r="T58" s="5">
        <f t="shared" si="8"/>
        <v>14770.240700218814</v>
      </c>
      <c r="U58" s="5">
        <f t="shared" si="9"/>
        <v>14770.240700218814</v>
      </c>
      <c r="V58" s="5">
        <f t="shared" si="10"/>
        <v>14770.240700218814</v>
      </c>
      <c r="W58" s="5">
        <f t="shared" si="11"/>
        <v>14770.240700218814</v>
      </c>
      <c r="X58" s="5">
        <f t="shared" si="12"/>
        <v>14770.240700218814</v>
      </c>
      <c r="AC58"/>
    </row>
    <row r="59" spans="1:29" ht="12.75" customHeight="1" x14ac:dyDescent="0.25">
      <c r="A59" s="4"/>
      <c r="C59" s="81" t="s">
        <v>121</v>
      </c>
      <c r="D59" s="82" t="s">
        <v>109</v>
      </c>
      <c r="E59" s="82" t="s">
        <v>14</v>
      </c>
      <c r="F59" s="121">
        <v>1</v>
      </c>
      <c r="G59" s="121">
        <v>0</v>
      </c>
      <c r="H59" s="82" t="s">
        <v>122</v>
      </c>
      <c r="I59" s="80" t="s">
        <v>51</v>
      </c>
      <c r="J59" s="2"/>
      <c r="K59" s="147"/>
      <c r="L59" s="9" t="s">
        <v>114</v>
      </c>
      <c r="M59" s="2"/>
      <c r="N59" s="83">
        <v>59080.962800875277</v>
      </c>
      <c r="O59" s="83">
        <v>59080.962800875277</v>
      </c>
      <c r="P59" s="83">
        <v>59080.962800875277</v>
      </c>
      <c r="Q59" s="83">
        <v>59080.962800875277</v>
      </c>
      <c r="R59" s="83">
        <v>59080.962800875277</v>
      </c>
      <c r="S59" s="2"/>
      <c r="T59" s="5">
        <f t="shared" si="8"/>
        <v>59080.962800875277</v>
      </c>
      <c r="U59" s="5">
        <f t="shared" si="9"/>
        <v>59080.962800875277</v>
      </c>
      <c r="V59" s="5">
        <f t="shared" si="10"/>
        <v>59080.962800875277</v>
      </c>
      <c r="W59" s="5">
        <f t="shared" si="11"/>
        <v>59080.962800875277</v>
      </c>
      <c r="X59" s="5">
        <f t="shared" si="12"/>
        <v>59080.962800875277</v>
      </c>
      <c r="AC59"/>
    </row>
    <row r="60" spans="1:29" ht="12.75" customHeight="1" x14ac:dyDescent="0.25">
      <c r="A60" s="4"/>
      <c r="C60" s="81"/>
      <c r="D60" s="82"/>
      <c r="E60" s="82"/>
      <c r="F60" s="120"/>
      <c r="G60" s="120"/>
      <c r="H60" s="82"/>
      <c r="I60" s="80"/>
      <c r="J60" s="2"/>
      <c r="K60" s="147"/>
      <c r="L60" s="9" t="s">
        <v>114</v>
      </c>
      <c r="M60" s="2"/>
      <c r="N60" s="83"/>
      <c r="O60" s="83"/>
      <c r="P60" s="83"/>
      <c r="Q60" s="83"/>
      <c r="R60" s="83"/>
      <c r="S60" s="2"/>
      <c r="T60" s="5">
        <f t="shared" si="8"/>
        <v>0</v>
      </c>
      <c r="U60" s="5">
        <f t="shared" si="9"/>
        <v>0</v>
      </c>
      <c r="V60" s="5">
        <f t="shared" si="10"/>
        <v>0</v>
      </c>
      <c r="W60" s="5">
        <f t="shared" si="11"/>
        <v>0</v>
      </c>
      <c r="X60" s="5">
        <f t="shared" si="12"/>
        <v>0</v>
      </c>
      <c r="AC60"/>
    </row>
    <row r="61" spans="1:29" ht="12.75" customHeight="1" x14ac:dyDescent="0.25">
      <c r="A61" s="4"/>
      <c r="C61" s="81" t="s">
        <v>124</v>
      </c>
      <c r="D61" s="82" t="s">
        <v>109</v>
      </c>
      <c r="E61" s="82" t="s">
        <v>13</v>
      </c>
      <c r="F61" s="121">
        <v>1</v>
      </c>
      <c r="G61" s="121">
        <v>0</v>
      </c>
      <c r="H61" s="82" t="s">
        <v>123</v>
      </c>
      <c r="I61" s="80" t="s">
        <v>51</v>
      </c>
      <c r="J61" s="2"/>
      <c r="K61" s="147"/>
      <c r="L61" s="9" t="s">
        <v>114</v>
      </c>
      <c r="M61" s="2"/>
      <c r="N61" s="83">
        <v>1199760.7999999998</v>
      </c>
      <c r="O61" s="83">
        <v>1066505.3</v>
      </c>
      <c r="P61" s="83">
        <v>2168217.7999999998</v>
      </c>
      <c r="Q61" s="83">
        <v>2133010.6</v>
      </c>
      <c r="R61" s="83">
        <v>2133010.6</v>
      </c>
      <c r="S61" s="2"/>
      <c r="T61" s="5">
        <f t="shared" si="8"/>
        <v>1199760.7999999998</v>
      </c>
      <c r="U61" s="5">
        <f t="shared" si="9"/>
        <v>1066505.3</v>
      </c>
      <c r="V61" s="5">
        <f t="shared" si="10"/>
        <v>2168217.7999999998</v>
      </c>
      <c r="W61" s="5">
        <f t="shared" si="11"/>
        <v>2133010.6</v>
      </c>
      <c r="X61" s="5">
        <f t="shared" si="12"/>
        <v>2133010.6</v>
      </c>
      <c r="AC61"/>
    </row>
    <row r="62" spans="1:29" ht="12.75" customHeight="1" x14ac:dyDescent="0.25">
      <c r="A62" s="4"/>
      <c r="C62" s="81" t="s">
        <v>124</v>
      </c>
      <c r="D62" s="82" t="s">
        <v>109</v>
      </c>
      <c r="E62" s="82" t="s">
        <v>14</v>
      </c>
      <c r="F62" s="121">
        <v>1</v>
      </c>
      <c r="G62" s="121">
        <v>0</v>
      </c>
      <c r="H62" s="82" t="s">
        <v>123</v>
      </c>
      <c r="I62" s="80" t="s">
        <v>51</v>
      </c>
      <c r="J62" s="2"/>
      <c r="K62" s="147"/>
      <c r="L62" s="9" t="s">
        <v>114</v>
      </c>
      <c r="M62" s="2"/>
      <c r="N62" s="83">
        <v>514183.19999999995</v>
      </c>
      <c r="O62" s="83">
        <v>457073.7</v>
      </c>
      <c r="P62" s="83">
        <v>929236.2</v>
      </c>
      <c r="Q62" s="83">
        <v>914147.4</v>
      </c>
      <c r="R62" s="83">
        <v>914147.4</v>
      </c>
      <c r="S62" s="2"/>
      <c r="T62" s="5">
        <f t="shared" si="8"/>
        <v>514183.19999999995</v>
      </c>
      <c r="U62" s="5">
        <f t="shared" si="9"/>
        <v>457073.7</v>
      </c>
      <c r="V62" s="5">
        <f t="shared" si="10"/>
        <v>929236.2</v>
      </c>
      <c r="W62" s="5">
        <f t="shared" si="11"/>
        <v>914147.4</v>
      </c>
      <c r="X62" s="5">
        <f t="shared" si="12"/>
        <v>914147.4</v>
      </c>
      <c r="AC62"/>
    </row>
    <row r="63" spans="1:29" ht="12.75" customHeight="1" x14ac:dyDescent="0.25">
      <c r="A63" s="4"/>
      <c r="C63" s="81"/>
      <c r="D63" s="82"/>
      <c r="E63" s="82"/>
      <c r="F63" s="120"/>
      <c r="G63" s="120"/>
      <c r="H63" s="82"/>
      <c r="I63" s="80"/>
      <c r="J63" s="2"/>
      <c r="K63" s="147"/>
      <c r="L63" s="9" t="s">
        <v>114</v>
      </c>
      <c r="M63" s="2"/>
      <c r="N63" s="83"/>
      <c r="O63" s="83"/>
      <c r="P63" s="83"/>
      <c r="Q63" s="83"/>
      <c r="R63" s="83"/>
      <c r="S63" s="2"/>
      <c r="T63" s="5">
        <f t="shared" si="8"/>
        <v>0</v>
      </c>
      <c r="U63" s="5">
        <f t="shared" si="9"/>
        <v>0</v>
      </c>
      <c r="V63" s="5">
        <f t="shared" si="10"/>
        <v>0</v>
      </c>
      <c r="W63" s="5">
        <f t="shared" si="11"/>
        <v>0</v>
      </c>
      <c r="X63" s="5">
        <f t="shared" si="12"/>
        <v>0</v>
      </c>
      <c r="AC63"/>
    </row>
    <row r="64" spans="1:29" ht="12.75" customHeight="1" x14ac:dyDescent="0.2">
      <c r="A64" s="4"/>
      <c r="C64" s="81" t="s">
        <v>126</v>
      </c>
      <c r="D64" s="82" t="s">
        <v>109</v>
      </c>
      <c r="E64" s="82" t="s">
        <v>13</v>
      </c>
      <c r="F64" s="121">
        <v>1</v>
      </c>
      <c r="G64" s="121">
        <v>0</v>
      </c>
      <c r="H64" s="82" t="s">
        <v>125</v>
      </c>
      <c r="I64" s="80" t="s">
        <v>51</v>
      </c>
      <c r="K64" s="147"/>
      <c r="L64" s="9" t="s">
        <v>114</v>
      </c>
      <c r="N64" s="83">
        <v>1726122.8381208386</v>
      </c>
      <c r="O64" s="83">
        <v>1277467.9376187634</v>
      </c>
      <c r="P64" s="83">
        <v>909094.33858818421</v>
      </c>
      <c r="Q64" s="83">
        <v>1093893.7486228037</v>
      </c>
      <c r="R64" s="83">
        <v>89164.60608375186</v>
      </c>
      <c r="T64" s="5">
        <f t="shared" si="8"/>
        <v>1726122.8381208386</v>
      </c>
      <c r="U64" s="5">
        <f t="shared" si="9"/>
        <v>1277467.9376187634</v>
      </c>
      <c r="V64" s="5">
        <f t="shared" si="10"/>
        <v>909094.33858818421</v>
      </c>
      <c r="W64" s="5">
        <f t="shared" si="11"/>
        <v>1093893.7486228037</v>
      </c>
      <c r="X64" s="5">
        <f t="shared" si="12"/>
        <v>89164.60608375186</v>
      </c>
    </row>
    <row r="65" spans="1:29" ht="12.75" customHeight="1" x14ac:dyDescent="0.2">
      <c r="A65" s="4"/>
      <c r="C65" s="81" t="s">
        <v>126</v>
      </c>
      <c r="D65" s="82" t="s">
        <v>109</v>
      </c>
      <c r="E65" s="82" t="s">
        <v>14</v>
      </c>
      <c r="F65" s="121">
        <v>1</v>
      </c>
      <c r="G65" s="121">
        <v>0</v>
      </c>
      <c r="H65" s="82" t="s">
        <v>125</v>
      </c>
      <c r="I65" s="80" t="s">
        <v>51</v>
      </c>
      <c r="K65" s="147"/>
      <c r="L65" s="9" t="s">
        <v>114</v>
      </c>
      <c r="N65" s="83">
        <v>739766.93062321655</v>
      </c>
      <c r="O65" s="83">
        <v>547486.25897947</v>
      </c>
      <c r="P65" s="83">
        <v>389611.85939493607</v>
      </c>
      <c r="Q65" s="83">
        <v>468811.60655263014</v>
      </c>
      <c r="R65" s="83">
        <v>38213.402607322227</v>
      </c>
      <c r="T65" s="5">
        <f t="shared" si="8"/>
        <v>739766.93062321655</v>
      </c>
      <c r="U65" s="5">
        <f t="shared" si="9"/>
        <v>547486.25897947</v>
      </c>
      <c r="V65" s="5">
        <f t="shared" si="10"/>
        <v>389611.85939493607</v>
      </c>
      <c r="W65" s="5">
        <f t="shared" si="11"/>
        <v>468811.60655263014</v>
      </c>
      <c r="X65" s="5">
        <f t="shared" si="12"/>
        <v>38213.402607322227</v>
      </c>
    </row>
    <row r="66" spans="1:29" ht="12.75" customHeight="1" x14ac:dyDescent="0.2">
      <c r="A66" s="4"/>
      <c r="C66" s="81"/>
      <c r="D66" s="82"/>
      <c r="E66" s="82"/>
      <c r="F66" s="120"/>
      <c r="G66" s="120"/>
      <c r="H66" s="82"/>
      <c r="I66" s="80"/>
      <c r="K66" s="147"/>
      <c r="L66" s="9" t="s">
        <v>114</v>
      </c>
      <c r="N66" s="83"/>
      <c r="O66" s="83"/>
      <c r="P66" s="83"/>
      <c r="Q66" s="83"/>
      <c r="R66" s="83"/>
      <c r="T66" s="5">
        <f t="shared" si="8"/>
        <v>0</v>
      </c>
      <c r="U66" s="5">
        <f t="shared" si="9"/>
        <v>0</v>
      </c>
      <c r="V66" s="5">
        <f t="shared" si="10"/>
        <v>0</v>
      </c>
      <c r="W66" s="5">
        <f t="shared" si="11"/>
        <v>0</v>
      </c>
      <c r="X66" s="5">
        <f t="shared" si="12"/>
        <v>0</v>
      </c>
    </row>
    <row r="67" spans="1:29" ht="12.75" customHeight="1" x14ac:dyDescent="0.2">
      <c r="A67" s="4"/>
      <c r="C67" s="81"/>
      <c r="D67" s="82"/>
      <c r="E67" s="82"/>
      <c r="F67" s="120"/>
      <c r="G67" s="120"/>
      <c r="H67" s="82"/>
      <c r="I67" s="80"/>
      <c r="K67" s="147"/>
      <c r="L67" s="9" t="s">
        <v>114</v>
      </c>
      <c r="N67" s="83"/>
      <c r="O67" s="83"/>
      <c r="P67" s="83"/>
      <c r="Q67" s="83"/>
      <c r="R67" s="83"/>
      <c r="T67" s="5">
        <f t="shared" si="8"/>
        <v>0</v>
      </c>
      <c r="U67" s="5">
        <f t="shared" si="9"/>
        <v>0</v>
      </c>
      <c r="V67" s="5">
        <f t="shared" si="10"/>
        <v>0</v>
      </c>
      <c r="W67" s="5">
        <f t="shared" si="11"/>
        <v>0</v>
      </c>
      <c r="X67" s="5">
        <f t="shared" si="12"/>
        <v>0</v>
      </c>
    </row>
    <row r="68" spans="1:29" ht="12.75" customHeight="1" x14ac:dyDescent="0.2">
      <c r="A68" s="4"/>
      <c r="C68" s="81"/>
      <c r="D68" s="82"/>
      <c r="E68" s="82"/>
      <c r="F68" s="120"/>
      <c r="G68" s="120"/>
      <c r="H68" s="82"/>
      <c r="I68" s="80"/>
      <c r="K68" s="147"/>
      <c r="L68" s="9" t="s">
        <v>114</v>
      </c>
      <c r="N68" s="83"/>
      <c r="O68" s="83"/>
      <c r="P68" s="83"/>
      <c r="Q68" s="83"/>
      <c r="R68" s="83"/>
      <c r="T68" s="5">
        <f t="shared" si="8"/>
        <v>0</v>
      </c>
      <c r="U68" s="5">
        <f t="shared" si="9"/>
        <v>0</v>
      </c>
      <c r="V68" s="5">
        <f t="shared" si="10"/>
        <v>0</v>
      </c>
      <c r="W68" s="5">
        <f t="shared" si="11"/>
        <v>0</v>
      </c>
      <c r="X68" s="5">
        <f t="shared" si="12"/>
        <v>0</v>
      </c>
    </row>
    <row r="69" spans="1:29" ht="12.75" customHeight="1" x14ac:dyDescent="0.2">
      <c r="A69" s="4"/>
      <c r="C69" s="81"/>
      <c r="D69" s="82"/>
      <c r="E69" s="82"/>
      <c r="F69" s="120"/>
      <c r="G69" s="120"/>
      <c r="H69" s="82"/>
      <c r="I69" s="80"/>
      <c r="K69" s="147"/>
      <c r="L69" s="9" t="s">
        <v>114</v>
      </c>
      <c r="N69" s="83"/>
      <c r="O69" s="83"/>
      <c r="P69" s="83"/>
      <c r="Q69" s="83"/>
      <c r="R69" s="83"/>
      <c r="T69" s="5">
        <f t="shared" si="8"/>
        <v>0</v>
      </c>
      <c r="U69" s="5">
        <f t="shared" si="9"/>
        <v>0</v>
      </c>
      <c r="V69" s="5">
        <f t="shared" si="10"/>
        <v>0</v>
      </c>
      <c r="W69" s="5">
        <f t="shared" si="11"/>
        <v>0</v>
      </c>
      <c r="X69" s="5">
        <f t="shared" si="12"/>
        <v>0</v>
      </c>
    </row>
    <row r="70" spans="1:29" ht="12.75" customHeight="1" x14ac:dyDescent="0.25">
      <c r="J70" s="2"/>
      <c r="M70" s="2"/>
      <c r="S70" s="2"/>
      <c r="AC70"/>
    </row>
    <row r="71" spans="1:29" ht="12.75" customHeight="1" x14ac:dyDescent="0.25">
      <c r="J71" s="2"/>
      <c r="M71" s="2"/>
      <c r="S71" s="2"/>
      <c r="AC71"/>
    </row>
    <row r="72" spans="1:29" ht="12.75" customHeight="1" x14ac:dyDescent="0.25">
      <c r="C72" s="3" t="s">
        <v>67</v>
      </c>
      <c r="J72" s="2"/>
      <c r="M72" s="2"/>
      <c r="S72" s="2"/>
      <c r="T72" s="69" t="s">
        <v>6</v>
      </c>
      <c r="U72" s="69" t="s">
        <v>7</v>
      </c>
      <c r="V72" s="69" t="s">
        <v>8</v>
      </c>
      <c r="W72" s="69" t="s">
        <v>9</v>
      </c>
      <c r="X72" s="69" t="s">
        <v>10</v>
      </c>
      <c r="Y72" s="69" t="s">
        <v>0</v>
      </c>
      <c r="AC72"/>
    </row>
    <row r="73" spans="1:29" ht="12.75" customHeight="1" x14ac:dyDescent="0.2">
      <c r="C73" s="24" t="s">
        <v>11</v>
      </c>
      <c r="D73" s="24" t="s">
        <v>53</v>
      </c>
      <c r="E73" s="24"/>
      <c r="F73" s="67"/>
      <c r="G73" s="67"/>
      <c r="H73" s="24"/>
      <c r="I73" s="24" t="s">
        <v>51</v>
      </c>
      <c r="J73" s="2"/>
      <c r="K73" s="66"/>
      <c r="L73" s="67"/>
      <c r="M73" s="2"/>
      <c r="N73" s="24"/>
      <c r="O73" s="24"/>
      <c r="P73" s="24"/>
      <c r="Q73" s="24"/>
      <c r="R73" s="24"/>
      <c r="S73" s="2"/>
      <c r="T73" s="25">
        <f t="shared" ref="T73:X75" si="13">SUMIFS(T$10:T$69,$E$10:$E$69,$C73,$D$10:$D$69,$D73,$I$10:$I$69,$I73)</f>
        <v>525351.73849638016</v>
      </c>
      <c r="U73" s="25">
        <f t="shared" si="13"/>
        <v>529135.86501043895</v>
      </c>
      <c r="V73" s="25">
        <f t="shared" si="13"/>
        <v>795538.93502865569</v>
      </c>
      <c r="W73" s="25">
        <f t="shared" si="13"/>
        <v>799893.53287649225</v>
      </c>
      <c r="X73" s="25">
        <f t="shared" si="13"/>
        <v>549926.37584144878</v>
      </c>
      <c r="Y73" s="71">
        <f>SUM(T73:X73)</f>
        <v>3199846.4472534163</v>
      </c>
    </row>
    <row r="74" spans="1:29" ht="12.75" customHeight="1" x14ac:dyDescent="0.2">
      <c r="C74" s="1" t="s">
        <v>13</v>
      </c>
      <c r="D74" s="1" t="s">
        <v>53</v>
      </c>
      <c r="I74" s="1" t="s">
        <v>51</v>
      </c>
      <c r="J74" s="2"/>
      <c r="K74" s="68"/>
      <c r="M74" s="2"/>
      <c r="S74" s="2"/>
      <c r="T74" s="6">
        <f t="shared" si="13"/>
        <v>4945988.6278203744</v>
      </c>
      <c r="U74" s="6">
        <f t="shared" si="13"/>
        <v>5808720.0566373933</v>
      </c>
      <c r="V74" s="6">
        <f t="shared" si="13"/>
        <v>7818275.8233840708</v>
      </c>
      <c r="W74" s="6">
        <f t="shared" si="13"/>
        <v>5126275.7782843178</v>
      </c>
      <c r="X74" s="6">
        <f t="shared" si="13"/>
        <v>3625826.0835321322</v>
      </c>
      <c r="Y74" s="72">
        <f t="shared" ref="Y74:Y82" si="14">SUM(T74:X74)</f>
        <v>27325086.369658291</v>
      </c>
    </row>
    <row r="75" spans="1:29" ht="12.75" customHeight="1" x14ac:dyDescent="0.2">
      <c r="C75" s="1" t="s">
        <v>14</v>
      </c>
      <c r="D75" s="1" t="s">
        <v>53</v>
      </c>
      <c r="I75" s="1" t="s">
        <v>51</v>
      </c>
      <c r="J75" s="2"/>
      <c r="K75" s="68"/>
      <c r="M75" s="2"/>
      <c r="S75" s="2"/>
      <c r="T75" s="6">
        <f t="shared" si="13"/>
        <v>2483064.8470730195</v>
      </c>
      <c r="U75" s="6">
        <f t="shared" si="13"/>
        <v>2846319.8139704983</v>
      </c>
      <c r="V75" s="6">
        <f t="shared" si="13"/>
        <v>4488993.7075230191</v>
      </c>
      <c r="W75" s="6">
        <f t="shared" si="13"/>
        <v>3327814.3775982619</v>
      </c>
      <c r="X75" s="6">
        <f t="shared" si="13"/>
        <v>1875152.9497865124</v>
      </c>
      <c r="Y75" s="72">
        <f t="shared" si="14"/>
        <v>15021345.695951309</v>
      </c>
    </row>
    <row r="76" spans="1:29" ht="12.75" customHeight="1" x14ac:dyDescent="0.2">
      <c r="C76" s="21" t="s">
        <v>15</v>
      </c>
      <c r="D76" s="21" t="s">
        <v>53</v>
      </c>
      <c r="E76" s="102"/>
      <c r="F76" s="105"/>
      <c r="G76" s="105"/>
      <c r="H76" s="102"/>
      <c r="I76" s="103"/>
      <c r="J76" s="2"/>
      <c r="K76" s="103"/>
      <c r="L76" s="105"/>
      <c r="M76" s="104"/>
      <c r="N76" s="102"/>
      <c r="O76" s="102"/>
      <c r="P76" s="102"/>
      <c r="Q76" s="102"/>
      <c r="R76" s="102"/>
      <c r="S76" s="2"/>
      <c r="T76" s="22">
        <f t="shared" ref="T76:Y76" si="15">SUM(T73:T75)</f>
        <v>7954405.2133897739</v>
      </c>
      <c r="U76" s="22">
        <f t="shared" si="15"/>
        <v>9184175.7356183305</v>
      </c>
      <c r="V76" s="22">
        <f t="shared" si="15"/>
        <v>13102808.465935744</v>
      </c>
      <c r="W76" s="22">
        <f t="shared" si="15"/>
        <v>9253983.6887590718</v>
      </c>
      <c r="X76" s="22">
        <f t="shared" si="15"/>
        <v>6050905.4091600934</v>
      </c>
      <c r="Y76" s="22">
        <f t="shared" si="15"/>
        <v>45546278.512863018</v>
      </c>
    </row>
    <row r="77" spans="1:29" ht="12.75" customHeight="1" x14ac:dyDescent="0.2">
      <c r="C77" s="1" t="s">
        <v>11</v>
      </c>
      <c r="D77" s="1" t="s">
        <v>40</v>
      </c>
      <c r="I77" s="1" t="s">
        <v>51</v>
      </c>
      <c r="J77" s="2"/>
      <c r="K77" s="68"/>
      <c r="M77" s="2"/>
      <c r="S77" s="2"/>
      <c r="T77" s="6">
        <f t="shared" ref="T77:X79" si="16">SUMIFS(T$10:T$69,$E$10:$E$69,$C77,$D$10:$D$69,$D77,$I$10:$I$69,$I77)</f>
        <v>0</v>
      </c>
      <c r="U77" s="6">
        <f t="shared" si="16"/>
        <v>0</v>
      </c>
      <c r="V77" s="6">
        <f t="shared" si="16"/>
        <v>0</v>
      </c>
      <c r="W77" s="6">
        <f t="shared" si="16"/>
        <v>0</v>
      </c>
      <c r="X77" s="6">
        <f t="shared" si="16"/>
        <v>0</v>
      </c>
      <c r="Y77" s="72">
        <f t="shared" si="14"/>
        <v>0</v>
      </c>
    </row>
    <row r="78" spans="1:29" ht="12.75" customHeight="1" x14ac:dyDescent="0.2">
      <c r="C78" s="1" t="s">
        <v>13</v>
      </c>
      <c r="D78" s="1" t="s">
        <v>40</v>
      </c>
      <c r="I78" s="1" t="s">
        <v>51</v>
      </c>
      <c r="J78" s="2"/>
      <c r="K78" s="68"/>
      <c r="M78" s="2"/>
      <c r="S78" s="2"/>
      <c r="T78" s="6">
        <f t="shared" si="16"/>
        <v>0</v>
      </c>
      <c r="U78" s="6">
        <f t="shared" si="16"/>
        <v>0</v>
      </c>
      <c r="V78" s="6">
        <f t="shared" si="16"/>
        <v>0</v>
      </c>
      <c r="W78" s="6">
        <f t="shared" si="16"/>
        <v>0</v>
      </c>
      <c r="X78" s="6">
        <f t="shared" si="16"/>
        <v>0</v>
      </c>
      <c r="Y78" s="72">
        <f t="shared" si="14"/>
        <v>0</v>
      </c>
    </row>
    <row r="79" spans="1:29" ht="12.75" customHeight="1" x14ac:dyDescent="0.2">
      <c r="C79" s="1" t="s">
        <v>14</v>
      </c>
      <c r="D79" s="1" t="s">
        <v>40</v>
      </c>
      <c r="I79" s="1" t="s">
        <v>51</v>
      </c>
      <c r="J79" s="2"/>
      <c r="K79" s="68"/>
      <c r="M79" s="2"/>
      <c r="S79" s="2"/>
      <c r="T79" s="6">
        <f t="shared" si="16"/>
        <v>0</v>
      </c>
      <c r="U79" s="6">
        <f t="shared" si="16"/>
        <v>0</v>
      </c>
      <c r="V79" s="6">
        <f t="shared" si="16"/>
        <v>0</v>
      </c>
      <c r="W79" s="6">
        <f t="shared" si="16"/>
        <v>0</v>
      </c>
      <c r="X79" s="6">
        <f t="shared" si="16"/>
        <v>0</v>
      </c>
      <c r="Y79" s="72">
        <f t="shared" si="14"/>
        <v>0</v>
      </c>
    </row>
    <row r="80" spans="1:29" ht="12.75" customHeight="1" x14ac:dyDescent="0.2">
      <c r="C80" s="21" t="s">
        <v>17</v>
      </c>
      <c r="D80" s="21" t="s">
        <v>40</v>
      </c>
      <c r="E80" s="102"/>
      <c r="F80" s="105"/>
      <c r="G80" s="105"/>
      <c r="H80" s="102"/>
      <c r="I80" s="103"/>
      <c r="J80" s="2"/>
      <c r="K80" s="103"/>
      <c r="L80" s="105"/>
      <c r="M80" s="104"/>
      <c r="N80" s="102"/>
      <c r="O80" s="102"/>
      <c r="P80" s="102"/>
      <c r="Q80" s="102"/>
      <c r="R80" s="102"/>
      <c r="S80" s="2"/>
      <c r="T80" s="22">
        <f t="shared" ref="T80:Y80" si="17">SUM(T77:T79)</f>
        <v>0</v>
      </c>
      <c r="U80" s="22">
        <f t="shared" si="17"/>
        <v>0</v>
      </c>
      <c r="V80" s="22">
        <f t="shared" si="17"/>
        <v>0</v>
      </c>
      <c r="W80" s="22">
        <f t="shared" si="17"/>
        <v>0</v>
      </c>
      <c r="X80" s="22">
        <f t="shared" si="17"/>
        <v>0</v>
      </c>
      <c r="Y80" s="22">
        <f t="shared" si="17"/>
        <v>0</v>
      </c>
    </row>
    <row r="81" spans="3:26" ht="12.75" customHeight="1" x14ac:dyDescent="0.2">
      <c r="I81" s="68"/>
      <c r="J81" s="2"/>
      <c r="K81" s="68"/>
      <c r="M81" s="2"/>
      <c r="S81" s="2"/>
      <c r="T81" s="6"/>
      <c r="U81" s="6"/>
      <c r="V81" s="6"/>
      <c r="W81" s="6"/>
      <c r="X81" s="6"/>
      <c r="Y81" s="72"/>
    </row>
    <row r="82" spans="3:26" ht="12.75" customHeight="1" x14ac:dyDescent="0.2">
      <c r="C82" s="7" t="str">
        <f>"Total Expenditure ($ "&amp;Assumptions!$B$12&amp;")"</f>
        <v>Total Expenditure ($ June 2024)</v>
      </c>
      <c r="D82" s="7"/>
      <c r="E82" s="7"/>
      <c r="F82" s="10"/>
      <c r="G82" s="10"/>
      <c r="H82" s="7"/>
      <c r="I82" s="7"/>
      <c r="J82" s="2"/>
      <c r="K82" s="7"/>
      <c r="L82" s="10"/>
      <c r="M82" s="2"/>
      <c r="N82" s="7"/>
      <c r="O82" s="7"/>
      <c r="P82" s="7"/>
      <c r="Q82" s="7"/>
      <c r="R82" s="7"/>
      <c r="S82" s="2"/>
      <c r="T82" s="8">
        <f>T76+T80</f>
        <v>7954405.2133897739</v>
      </c>
      <c r="U82" s="8">
        <f>U76+U80</f>
        <v>9184175.7356183305</v>
      </c>
      <c r="V82" s="8">
        <f>V76+V80</f>
        <v>13102808.465935744</v>
      </c>
      <c r="W82" s="8">
        <f>W76+W80</f>
        <v>9253983.6887590718</v>
      </c>
      <c r="X82" s="8">
        <f>X76+X80</f>
        <v>6050905.4091600934</v>
      </c>
      <c r="Y82" s="73">
        <f t="shared" si="14"/>
        <v>45546278.51286301</v>
      </c>
    </row>
    <row r="83" spans="3:26" ht="12.75" customHeight="1" x14ac:dyDescent="0.2">
      <c r="C83" s="45" t="s">
        <v>68</v>
      </c>
      <c r="D83" s="45"/>
      <c r="E83" s="45"/>
      <c r="F83" s="123"/>
      <c r="G83" s="123"/>
      <c r="H83" s="45"/>
      <c r="I83" s="45"/>
      <c r="J83" s="2"/>
      <c r="K83" s="45"/>
      <c r="L83" s="45"/>
      <c r="M83" s="2"/>
      <c r="N83" s="45"/>
      <c r="O83" s="45"/>
      <c r="P83" s="45"/>
      <c r="Q83" s="45"/>
      <c r="R83" s="45"/>
      <c r="S83" s="2"/>
      <c r="T83" s="46">
        <f>T82-SUM(T$10:T$69)</f>
        <v>0</v>
      </c>
      <c r="U83" s="46">
        <f>U82-SUM(U$10:U$69)</f>
        <v>0</v>
      </c>
      <c r="V83" s="46">
        <f>V82-SUM(V$10:V$69)</f>
        <v>0</v>
      </c>
      <c r="W83" s="46">
        <f>W82-SUM(W$10:W$69)</f>
        <v>0</v>
      </c>
      <c r="X83" s="46">
        <f>X82-SUM(X$10:X$69)</f>
        <v>0</v>
      </c>
      <c r="Y83" s="46">
        <f>Y82-SUM(T$10:X$69)</f>
        <v>0</v>
      </c>
      <c r="Z83" s="46">
        <f>SUM(T83:Y83)</f>
        <v>0</v>
      </c>
    </row>
    <row r="84" spans="3:26" ht="12.75" customHeight="1" x14ac:dyDescent="0.2">
      <c r="J84" s="2"/>
      <c r="M84" s="2"/>
      <c r="S84" s="2"/>
    </row>
    <row r="85" spans="3:26" ht="12.75" customHeight="1" x14ac:dyDescent="0.2">
      <c r="C85" s="55" t="str">
        <f>"NPV ($ "&amp;Assumptions!$B$12&amp;")"</f>
        <v>NPV ($ June 2024)</v>
      </c>
      <c r="D85" s="56">
        <f>NPV(Real_Discount_rate,T82:X82)</f>
        <v>41235936.6585024</v>
      </c>
      <c r="J85" s="2"/>
      <c r="M85" s="2"/>
      <c r="S85" s="2"/>
    </row>
    <row r="86" spans="3:26" ht="12.75" customHeight="1" x14ac:dyDescent="0.2">
      <c r="J86" s="2"/>
      <c r="M86" s="2"/>
      <c r="S86" s="2"/>
    </row>
    <row r="87" spans="3:26" ht="12.75" customHeight="1" x14ac:dyDescent="0.2">
      <c r="J87" s="2"/>
      <c r="M87" s="2"/>
      <c r="S87" s="2"/>
    </row>
    <row r="88" spans="3:26" ht="12.75" customHeight="1" x14ac:dyDescent="0.2">
      <c r="C88" s="4" t="s">
        <v>67</v>
      </c>
      <c r="I88" s="3"/>
      <c r="J88" s="2"/>
      <c r="M88" s="2"/>
      <c r="S88" s="2"/>
      <c r="T88" s="69" t="s">
        <v>6</v>
      </c>
      <c r="U88" s="69" t="s">
        <v>7</v>
      </c>
      <c r="V88" s="69" t="s">
        <v>8</v>
      </c>
      <c r="W88" s="69" t="s">
        <v>9</v>
      </c>
      <c r="X88" s="69" t="s">
        <v>10</v>
      </c>
      <c r="Y88" s="113" t="s">
        <v>0</v>
      </c>
    </row>
    <row r="89" spans="3:26" ht="12.75" customHeight="1" x14ac:dyDescent="0.2">
      <c r="C89" s="24" t="s">
        <v>95</v>
      </c>
      <c r="D89" s="24" t="s">
        <v>53</v>
      </c>
      <c r="E89" s="24"/>
      <c r="F89" s="24"/>
      <c r="G89" s="24"/>
      <c r="H89" s="24"/>
      <c r="I89" s="24" t="s">
        <v>51</v>
      </c>
      <c r="J89" s="2"/>
      <c r="K89" s="66"/>
      <c r="L89" s="67"/>
      <c r="M89" s="2"/>
      <c r="N89" s="24"/>
      <c r="O89" s="24"/>
      <c r="P89" s="24"/>
      <c r="Q89" s="24"/>
      <c r="R89" s="24"/>
      <c r="S89" s="2"/>
      <c r="T89" s="25">
        <f>SUMIFS(T$10:T$69,$D$10:$D$69,$D89,$I$10:$I$69,$I89,$H$10:$H$69,$C89)</f>
        <v>1205566.5</v>
      </c>
      <c r="U89" s="25">
        <f t="shared" ref="U89:X89" si="18">SUMIFS(U$10:U$69,$D$10:$D$69,$D89,$I$10:$I$69,$I89,$H$10:$H$69,$C89)</f>
        <v>1205566.5</v>
      </c>
      <c r="V89" s="25">
        <f t="shared" si="18"/>
        <v>1205566.5</v>
      </c>
      <c r="W89" s="25">
        <f t="shared" si="18"/>
        <v>1205566.5</v>
      </c>
      <c r="X89" s="25">
        <f t="shared" si="18"/>
        <v>1205566.5</v>
      </c>
      <c r="Y89" s="25">
        <f t="shared" ref="Y89:Y96" si="19">SUM(T89:X89)</f>
        <v>6027832.5</v>
      </c>
    </row>
    <row r="90" spans="3:26" ht="12.75" customHeight="1" x14ac:dyDescent="0.2">
      <c r="C90" s="1" t="s">
        <v>95</v>
      </c>
      <c r="D90" s="1" t="s">
        <v>40</v>
      </c>
      <c r="F90" s="1"/>
      <c r="G90" s="1"/>
      <c r="I90" s="1" t="s">
        <v>51</v>
      </c>
      <c r="J90" s="2"/>
      <c r="M90" s="2"/>
      <c r="S90" s="2"/>
      <c r="T90" s="6">
        <f t="shared" ref="T90:X96" si="20">SUMIFS(T$10:T$69,$D$10:$D$69,$D90,$I$10:$I$69,$I90,$H$10:$H$69,$C90)</f>
        <v>0</v>
      </c>
      <c r="U90" s="6">
        <f t="shared" si="20"/>
        <v>0</v>
      </c>
      <c r="V90" s="6">
        <f t="shared" si="20"/>
        <v>0</v>
      </c>
      <c r="W90" s="6">
        <f t="shared" si="20"/>
        <v>0</v>
      </c>
      <c r="X90" s="6">
        <f t="shared" si="20"/>
        <v>0</v>
      </c>
      <c r="Y90" s="6">
        <f t="shared" si="19"/>
        <v>0</v>
      </c>
    </row>
    <row r="91" spans="3:26" ht="12.75" customHeight="1" x14ac:dyDescent="0.2">
      <c r="C91" s="1" t="s">
        <v>110</v>
      </c>
      <c r="D91" s="1" t="s">
        <v>53</v>
      </c>
      <c r="F91" s="1"/>
      <c r="G91" s="1"/>
      <c r="I91" s="1" t="s">
        <v>51</v>
      </c>
      <c r="J91" s="2"/>
      <c r="K91" s="68"/>
      <c r="M91" s="2"/>
      <c r="S91" s="2"/>
      <c r="T91" s="6">
        <f t="shared" si="20"/>
        <v>1063840.6496529682</v>
      </c>
      <c r="U91" s="6">
        <f t="shared" si="20"/>
        <v>1063840.6496529682</v>
      </c>
      <c r="V91" s="6">
        <f t="shared" si="20"/>
        <v>2127681.2993059363</v>
      </c>
      <c r="W91" s="6">
        <f t="shared" si="20"/>
        <v>2127681.2993059363</v>
      </c>
      <c r="X91" s="6">
        <f t="shared" si="20"/>
        <v>1063840.6496529682</v>
      </c>
      <c r="Y91" s="6">
        <f t="shared" si="19"/>
        <v>7446884.5475707771</v>
      </c>
    </row>
    <row r="92" spans="3:26" ht="12.75" customHeight="1" x14ac:dyDescent="0.2">
      <c r="C92" s="1" t="s">
        <v>111</v>
      </c>
      <c r="D92" s="1" t="s">
        <v>53</v>
      </c>
      <c r="F92" s="1"/>
      <c r="G92" s="1"/>
      <c r="I92" s="1" t="s">
        <v>51</v>
      </c>
      <c r="J92" s="2"/>
      <c r="K92" s="68"/>
      <c r="M92" s="2"/>
      <c r="S92" s="2"/>
      <c r="T92" s="6">
        <f t="shared" si="20"/>
        <v>259089.06409070868</v>
      </c>
      <c r="U92" s="6">
        <f t="shared" si="20"/>
        <v>278009.69666100258</v>
      </c>
      <c r="V92" s="6">
        <f t="shared" si="20"/>
        <v>298293.12186198775</v>
      </c>
      <c r="W92" s="6">
        <f t="shared" si="20"/>
        <v>320066.11110117025</v>
      </c>
      <c r="X92" s="6">
        <f t="shared" si="20"/>
        <v>381962.25081605144</v>
      </c>
      <c r="Y92" s="6">
        <f t="shared" si="19"/>
        <v>1537420.2445309206</v>
      </c>
    </row>
    <row r="93" spans="3:26" ht="12.75" customHeight="1" x14ac:dyDescent="0.2">
      <c r="C93" s="1" t="s">
        <v>116</v>
      </c>
      <c r="D93" s="1" t="s">
        <v>53</v>
      </c>
      <c r="F93" s="1"/>
      <c r="G93" s="1"/>
      <c r="I93" s="1" t="s">
        <v>51</v>
      </c>
      <c r="J93" s="2"/>
      <c r="K93" s="68"/>
      <c r="M93" s="2"/>
      <c r="S93" s="2"/>
      <c r="T93" s="6">
        <f t="shared" si="20"/>
        <v>1021075.2309020425</v>
      </c>
      <c r="U93" s="6">
        <f t="shared" si="20"/>
        <v>3063225.6927061267</v>
      </c>
      <c r="V93" s="6">
        <f t="shared" si="20"/>
        <v>4850107.3467847016</v>
      </c>
      <c r="W93" s="6">
        <f t="shared" si="20"/>
        <v>765806.42317653168</v>
      </c>
      <c r="X93" s="6">
        <f t="shared" si="20"/>
        <v>0</v>
      </c>
      <c r="Y93" s="6">
        <f t="shared" si="19"/>
        <v>9700214.6935694031</v>
      </c>
    </row>
    <row r="94" spans="3:26" ht="12.75" customHeight="1" x14ac:dyDescent="0.2">
      <c r="C94" s="1" t="s">
        <v>122</v>
      </c>
      <c r="D94" s="1" t="s">
        <v>53</v>
      </c>
      <c r="F94" s="1"/>
      <c r="G94" s="1"/>
      <c r="I94" s="1" t="s">
        <v>51</v>
      </c>
      <c r="J94" s="2"/>
      <c r="K94" s="68"/>
      <c r="M94" s="2"/>
      <c r="S94" s="2"/>
      <c r="T94" s="6">
        <f t="shared" si="20"/>
        <v>225000.00000000003</v>
      </c>
      <c r="U94" s="6">
        <f t="shared" si="20"/>
        <v>225000.00000000003</v>
      </c>
      <c r="V94" s="6">
        <f t="shared" si="20"/>
        <v>225000.00000000003</v>
      </c>
      <c r="W94" s="6">
        <f t="shared" si="20"/>
        <v>225000.00000000003</v>
      </c>
      <c r="X94" s="6">
        <f t="shared" si="20"/>
        <v>225000.00000000003</v>
      </c>
      <c r="Y94" s="6">
        <f t="shared" si="19"/>
        <v>1125000.0000000002</v>
      </c>
    </row>
    <row r="95" spans="3:26" ht="12.75" customHeight="1" x14ac:dyDescent="0.2">
      <c r="C95" s="1" t="s">
        <v>123</v>
      </c>
      <c r="D95" s="1" t="s">
        <v>53</v>
      </c>
      <c r="F95" s="1"/>
      <c r="G95" s="1"/>
      <c r="I95" s="1" t="s">
        <v>51</v>
      </c>
      <c r="J95" s="2"/>
      <c r="K95" s="68"/>
      <c r="M95" s="2"/>
      <c r="S95" s="2"/>
      <c r="T95" s="6">
        <f t="shared" si="20"/>
        <v>1713943.9999999998</v>
      </c>
      <c r="U95" s="6">
        <f t="shared" si="20"/>
        <v>1523579</v>
      </c>
      <c r="V95" s="6">
        <f t="shared" si="20"/>
        <v>3097454</v>
      </c>
      <c r="W95" s="6">
        <f t="shared" si="20"/>
        <v>3047158</v>
      </c>
      <c r="X95" s="6">
        <f t="shared" si="20"/>
        <v>3047158</v>
      </c>
      <c r="Y95" s="6">
        <f t="shared" si="19"/>
        <v>12429293</v>
      </c>
    </row>
    <row r="96" spans="3:26" ht="12.75" customHeight="1" x14ac:dyDescent="0.2">
      <c r="C96" s="1" t="s">
        <v>125</v>
      </c>
      <c r="D96" s="1" t="s">
        <v>53</v>
      </c>
      <c r="F96" s="1"/>
      <c r="G96" s="1"/>
      <c r="I96" s="1" t="s">
        <v>51</v>
      </c>
      <c r="J96" s="2"/>
      <c r="K96" s="68"/>
      <c r="M96" s="2"/>
      <c r="S96" s="2"/>
      <c r="T96" s="148">
        <f t="shared" si="20"/>
        <v>2465889.7687440552</v>
      </c>
      <c r="U96" s="148">
        <f t="shared" si="20"/>
        <v>1824954.1965982334</v>
      </c>
      <c r="V96" s="148">
        <f t="shared" si="20"/>
        <v>1298706.1979831203</v>
      </c>
      <c r="W96" s="148">
        <f t="shared" si="20"/>
        <v>1562705.3551754339</v>
      </c>
      <c r="X96" s="148">
        <f t="shared" si="20"/>
        <v>127378.00869107409</v>
      </c>
      <c r="Y96" s="6">
        <f t="shared" si="19"/>
        <v>7279633.5271919174</v>
      </c>
    </row>
    <row r="97" spans="3:26" ht="12.75" customHeight="1" x14ac:dyDescent="0.2">
      <c r="C97" s="7" t="str">
        <f>"Total Expenditure ($ "&amp;Assumptions!$B$12&amp;")"</f>
        <v>Total Expenditure ($ June 2024)</v>
      </c>
      <c r="D97" s="7"/>
      <c r="E97" s="7"/>
      <c r="F97" s="10"/>
      <c r="G97" s="10"/>
      <c r="H97" s="7"/>
      <c r="I97" s="7"/>
      <c r="J97" s="2"/>
      <c r="K97" s="7"/>
      <c r="L97" s="10"/>
      <c r="M97" s="2"/>
      <c r="N97" s="7"/>
      <c r="O97" s="7"/>
      <c r="P97" s="7"/>
      <c r="Q97" s="7"/>
      <c r="R97" s="7"/>
      <c r="S97" s="2"/>
      <c r="T97" s="8">
        <f>SUM(T89:T96)</f>
        <v>7954405.2133897748</v>
      </c>
      <c r="U97" s="8">
        <f t="shared" ref="U97:Y97" si="21">SUM(U89:U96)</f>
        <v>9184175.7356183305</v>
      </c>
      <c r="V97" s="8">
        <f t="shared" si="21"/>
        <v>13102808.465935744</v>
      </c>
      <c r="W97" s="8">
        <f t="shared" si="21"/>
        <v>9253983.6887590718</v>
      </c>
      <c r="X97" s="8">
        <f t="shared" si="21"/>
        <v>6050905.4091600943</v>
      </c>
      <c r="Y97" s="8">
        <f t="shared" si="21"/>
        <v>45546278.512863018</v>
      </c>
    </row>
    <row r="98" spans="3:26" ht="12.75" customHeight="1" x14ac:dyDescent="0.2">
      <c r="C98" s="45" t="s">
        <v>68</v>
      </c>
      <c r="D98" s="45"/>
      <c r="E98" s="45"/>
      <c r="F98" s="123"/>
      <c r="G98" s="123"/>
      <c r="H98" s="45"/>
      <c r="I98" s="45"/>
      <c r="J98" s="2"/>
      <c r="K98" s="45"/>
      <c r="L98" s="45"/>
      <c r="M98" s="2"/>
      <c r="N98" s="45"/>
      <c r="O98" s="45"/>
      <c r="P98" s="45"/>
      <c r="Q98" s="45"/>
      <c r="R98" s="45"/>
      <c r="S98" s="2"/>
      <c r="T98" s="46">
        <f>T97-SUM(T$10:T$69)</f>
        <v>0</v>
      </c>
      <c r="U98" s="46">
        <f>U97-SUM(U$10:U$69)</f>
        <v>0</v>
      </c>
      <c r="V98" s="46">
        <f>V97-SUM(V$10:V$69)</f>
        <v>0</v>
      </c>
      <c r="W98" s="46">
        <f>W97-SUM(W$10:W$69)</f>
        <v>0</v>
      </c>
      <c r="X98" s="46">
        <f>X97-SUM(X$10:X$69)</f>
        <v>0</v>
      </c>
      <c r="Y98" s="46">
        <f>Y97-SUM(T$10:X$69)</f>
        <v>0</v>
      </c>
      <c r="Z98" s="46">
        <f>SUM(T98:Y98)</f>
        <v>0</v>
      </c>
    </row>
    <row r="99" spans="3:26" ht="12.75" customHeight="1" x14ac:dyDescent="0.2">
      <c r="C99" s="115"/>
      <c r="D99" s="115"/>
      <c r="E99" s="115"/>
      <c r="F99" s="122"/>
      <c r="G99" s="122"/>
      <c r="H99" s="115"/>
      <c r="I99" s="115"/>
      <c r="J99" s="2"/>
      <c r="K99" s="115"/>
      <c r="L99" s="115"/>
      <c r="M99" s="2"/>
      <c r="N99" s="115"/>
      <c r="O99" s="115"/>
      <c r="P99" s="115"/>
      <c r="Q99" s="115"/>
      <c r="R99" s="115"/>
      <c r="S99" s="2"/>
      <c r="T99" s="116"/>
      <c r="U99" s="116"/>
      <c r="V99" s="116"/>
      <c r="W99" s="116"/>
      <c r="X99" s="116"/>
      <c r="Y99" s="116"/>
      <c r="Z99" s="116"/>
    </row>
    <row r="100" spans="3:26" ht="12.75" customHeight="1" x14ac:dyDescent="0.2">
      <c r="C100" s="115"/>
      <c r="D100" s="115"/>
      <c r="E100" s="115"/>
      <c r="F100" s="122"/>
      <c r="G100" s="122"/>
      <c r="H100" s="115"/>
      <c r="I100" s="115"/>
      <c r="J100" s="2"/>
      <c r="K100" s="115"/>
      <c r="L100" s="115"/>
      <c r="M100" s="2"/>
      <c r="N100" s="115"/>
      <c r="O100" s="115"/>
      <c r="P100" s="115"/>
      <c r="Q100" s="115"/>
      <c r="R100" s="115"/>
      <c r="S100" s="2"/>
      <c r="T100" s="116"/>
      <c r="U100" s="116"/>
      <c r="V100" s="116"/>
      <c r="W100" s="116"/>
      <c r="X100" s="116"/>
      <c r="Y100" s="116"/>
      <c r="Z100" s="116"/>
    </row>
    <row r="101" spans="3:26" ht="12.75" customHeight="1" x14ac:dyDescent="0.2">
      <c r="C101" s="115"/>
      <c r="D101" s="115"/>
      <c r="E101" s="115"/>
      <c r="F101" s="122"/>
      <c r="G101" s="122"/>
      <c r="H101" s="115"/>
      <c r="I101" s="115"/>
      <c r="J101" s="2"/>
      <c r="K101" s="115"/>
      <c r="L101" s="115"/>
      <c r="M101" s="2"/>
      <c r="N101" s="115"/>
      <c r="O101" s="115"/>
      <c r="P101" s="115"/>
      <c r="Q101" s="115"/>
      <c r="R101" s="115"/>
      <c r="S101" s="2"/>
      <c r="T101" s="116"/>
      <c r="U101" s="116"/>
      <c r="V101" s="116"/>
      <c r="W101" s="116"/>
      <c r="X101" s="116"/>
      <c r="Y101" s="116"/>
      <c r="Z101" s="116"/>
    </row>
    <row r="102" spans="3:26" ht="12.75" customHeight="1" x14ac:dyDescent="0.2">
      <c r="C102" s="76" t="s">
        <v>69</v>
      </c>
      <c r="J102" s="2"/>
      <c r="M102" s="2"/>
      <c r="S102" s="2"/>
      <c r="T102" s="69" t="s">
        <v>6</v>
      </c>
      <c r="U102" s="69" t="s">
        <v>7</v>
      </c>
      <c r="V102" s="69" t="s">
        <v>8</v>
      </c>
      <c r="W102" s="69" t="s">
        <v>9</v>
      </c>
      <c r="X102" s="69" t="s">
        <v>10</v>
      </c>
      <c r="Y102" s="69" t="s">
        <v>0</v>
      </c>
    </row>
    <row r="103" spans="3:26" ht="12.75" customHeight="1" x14ac:dyDescent="0.2">
      <c r="C103" s="24" t="s">
        <v>11</v>
      </c>
      <c r="D103" s="24" t="s">
        <v>53</v>
      </c>
      <c r="E103" s="24"/>
      <c r="F103" s="67"/>
      <c r="G103" s="67"/>
      <c r="H103" s="24"/>
      <c r="I103" s="24" t="s">
        <v>51</v>
      </c>
      <c r="J103" s="2"/>
      <c r="K103" s="66"/>
      <c r="L103" s="67"/>
      <c r="M103" s="2"/>
      <c r="N103" s="24"/>
      <c r="O103" s="24"/>
      <c r="P103" s="24"/>
      <c r="Q103" s="24"/>
      <c r="R103" s="24"/>
      <c r="S103" s="2"/>
      <c r="T103" s="34">
        <f t="shared" ref="T103:X105" si="22">T73*business_case_dollars</f>
        <v>584670.5935895663</v>
      </c>
      <c r="U103" s="34">
        <f t="shared" si="22"/>
        <v>588881.99584270269</v>
      </c>
      <c r="V103" s="34">
        <f t="shared" si="22"/>
        <v>885365.34151018213</v>
      </c>
      <c r="W103" s="34">
        <f t="shared" si="22"/>
        <v>890211.62852509785</v>
      </c>
      <c r="X103" s="34">
        <f t="shared" si="22"/>
        <v>612020.01827199466</v>
      </c>
      <c r="Y103" s="71">
        <f>SUM(T103:X103)</f>
        <v>3561149.5777395437</v>
      </c>
    </row>
    <row r="104" spans="3:26" ht="12.75" customHeight="1" x14ac:dyDescent="0.2">
      <c r="C104" s="1" t="s">
        <v>13</v>
      </c>
      <c r="D104" s="1" t="s">
        <v>53</v>
      </c>
      <c r="I104" s="1" t="s">
        <v>51</v>
      </c>
      <c r="J104" s="2"/>
      <c r="K104" s="68"/>
      <c r="M104" s="2"/>
      <c r="S104" s="2"/>
      <c r="T104" s="6">
        <f t="shared" si="22"/>
        <v>5504453.2929339642</v>
      </c>
      <c r="U104" s="6">
        <f t="shared" si="22"/>
        <v>6464598.0105254846</v>
      </c>
      <c r="V104" s="6">
        <f t="shared" si="22"/>
        <v>8701058.0370172616</v>
      </c>
      <c r="W104" s="6">
        <f t="shared" si="22"/>
        <v>5705097.1426716987</v>
      </c>
      <c r="X104" s="6">
        <f t="shared" si="22"/>
        <v>4035227.702070069</v>
      </c>
      <c r="Y104" s="72">
        <f t="shared" ref="Y104:Y112" si="23">SUM(T104:X104)</f>
        <v>30410434.185218479</v>
      </c>
    </row>
    <row r="105" spans="3:26" ht="12.75" customHeight="1" x14ac:dyDescent="0.2">
      <c r="C105" s="1" t="s">
        <v>14</v>
      </c>
      <c r="D105" s="1" t="s">
        <v>53</v>
      </c>
      <c r="I105" s="1" t="s">
        <v>51</v>
      </c>
      <c r="J105" s="2"/>
      <c r="K105" s="68"/>
      <c r="M105" s="2"/>
      <c r="S105" s="2"/>
      <c r="T105" s="6">
        <f t="shared" si="22"/>
        <v>2763434.2701800559</v>
      </c>
      <c r="U105" s="6">
        <f t="shared" si="22"/>
        <v>3167705.3167139022</v>
      </c>
      <c r="V105" s="6">
        <f t="shared" si="22"/>
        <v>4995857.8667868925</v>
      </c>
      <c r="W105" s="6">
        <f t="shared" si="22"/>
        <v>3703566.7057560808</v>
      </c>
      <c r="X105" s="6">
        <f t="shared" si="22"/>
        <v>2086881.4317827951</v>
      </c>
      <c r="Y105" s="72">
        <f t="shared" si="23"/>
        <v>16717445.591219727</v>
      </c>
    </row>
    <row r="106" spans="3:26" ht="12.75" customHeight="1" x14ac:dyDescent="0.2">
      <c r="C106" s="21" t="s">
        <v>15</v>
      </c>
      <c r="D106" s="21" t="s">
        <v>53</v>
      </c>
      <c r="E106" s="102"/>
      <c r="F106" s="105"/>
      <c r="G106" s="105"/>
      <c r="H106" s="102"/>
      <c r="I106" s="103"/>
      <c r="J106" s="104"/>
      <c r="K106" s="103"/>
      <c r="L106" s="105"/>
      <c r="M106" s="104"/>
      <c r="N106" s="102"/>
      <c r="O106" s="102"/>
      <c r="P106" s="102"/>
      <c r="Q106" s="102"/>
      <c r="R106" s="102"/>
      <c r="S106" s="104"/>
      <c r="T106" s="22">
        <f t="shared" ref="T106:Y106" si="24">SUM(T103:T105)</f>
        <v>8852558.1567035876</v>
      </c>
      <c r="U106" s="22">
        <f t="shared" si="24"/>
        <v>10221185.323082089</v>
      </c>
      <c r="V106" s="22">
        <f t="shared" si="24"/>
        <v>14582281.245314337</v>
      </c>
      <c r="W106" s="22">
        <f t="shared" si="24"/>
        <v>10298875.476952877</v>
      </c>
      <c r="X106" s="22">
        <f t="shared" si="24"/>
        <v>6734129.1521248585</v>
      </c>
      <c r="Y106" s="22">
        <f t="shared" si="24"/>
        <v>50689029.354177743</v>
      </c>
    </row>
    <row r="107" spans="3:26" ht="12.75" customHeight="1" x14ac:dyDescent="0.2">
      <c r="C107" s="1" t="s">
        <v>11</v>
      </c>
      <c r="D107" s="1" t="s">
        <v>40</v>
      </c>
      <c r="I107" s="1" t="s">
        <v>51</v>
      </c>
      <c r="J107" s="2"/>
      <c r="K107" s="68"/>
      <c r="M107" s="2"/>
      <c r="S107" s="2"/>
      <c r="T107" s="117">
        <f t="shared" ref="T107:X109" si="25">T77*business_case_dollars</f>
        <v>0</v>
      </c>
      <c r="U107" s="117">
        <f t="shared" si="25"/>
        <v>0</v>
      </c>
      <c r="V107" s="117">
        <f t="shared" si="25"/>
        <v>0</v>
      </c>
      <c r="W107" s="117">
        <f t="shared" si="25"/>
        <v>0</v>
      </c>
      <c r="X107" s="117">
        <f t="shared" si="25"/>
        <v>0</v>
      </c>
      <c r="Y107" s="72">
        <f>SUM(T107:X107)</f>
        <v>0</v>
      </c>
    </row>
    <row r="108" spans="3:26" ht="12.75" customHeight="1" x14ac:dyDescent="0.2">
      <c r="C108" s="1" t="s">
        <v>13</v>
      </c>
      <c r="D108" s="1" t="s">
        <v>40</v>
      </c>
      <c r="I108" s="1" t="s">
        <v>51</v>
      </c>
      <c r="J108" s="2"/>
      <c r="K108" s="68"/>
      <c r="M108" s="2"/>
      <c r="S108" s="2"/>
      <c r="T108" s="6">
        <f t="shared" si="25"/>
        <v>0</v>
      </c>
      <c r="U108" s="6">
        <f t="shared" si="25"/>
        <v>0</v>
      </c>
      <c r="V108" s="6">
        <f t="shared" si="25"/>
        <v>0</v>
      </c>
      <c r="W108" s="6">
        <f t="shared" si="25"/>
        <v>0</v>
      </c>
      <c r="X108" s="6">
        <f t="shared" si="25"/>
        <v>0</v>
      </c>
      <c r="Y108" s="72">
        <f t="shared" ref="Y108:Y109" si="26">SUM(T108:X108)</f>
        <v>0</v>
      </c>
    </row>
    <row r="109" spans="3:26" ht="12.75" customHeight="1" x14ac:dyDescent="0.2">
      <c r="C109" s="1" t="s">
        <v>14</v>
      </c>
      <c r="D109" s="1" t="s">
        <v>40</v>
      </c>
      <c r="I109" s="1" t="s">
        <v>51</v>
      </c>
      <c r="J109" s="2"/>
      <c r="K109" s="68"/>
      <c r="M109" s="2"/>
      <c r="S109" s="2"/>
      <c r="T109" s="6">
        <f t="shared" si="25"/>
        <v>0</v>
      </c>
      <c r="U109" s="6">
        <f t="shared" si="25"/>
        <v>0</v>
      </c>
      <c r="V109" s="6">
        <f t="shared" si="25"/>
        <v>0</v>
      </c>
      <c r="W109" s="6">
        <f t="shared" si="25"/>
        <v>0</v>
      </c>
      <c r="X109" s="6">
        <f t="shared" si="25"/>
        <v>0</v>
      </c>
      <c r="Y109" s="72">
        <f t="shared" si="26"/>
        <v>0</v>
      </c>
    </row>
    <row r="110" spans="3:26" ht="12.75" customHeight="1" x14ac:dyDescent="0.2">
      <c r="C110" s="21" t="s">
        <v>17</v>
      </c>
      <c r="D110" s="21" t="s">
        <v>40</v>
      </c>
      <c r="E110" s="102"/>
      <c r="F110" s="105"/>
      <c r="G110" s="105"/>
      <c r="H110" s="102"/>
      <c r="I110" s="103"/>
      <c r="J110" s="104"/>
      <c r="K110" s="103"/>
      <c r="L110" s="105"/>
      <c r="M110" s="104"/>
      <c r="N110" s="102"/>
      <c r="O110" s="102"/>
      <c r="P110" s="102"/>
      <c r="Q110" s="102"/>
      <c r="R110" s="102"/>
      <c r="S110" s="104"/>
      <c r="T110" s="22">
        <f t="shared" ref="T110:Y110" si="27">SUM(T107:T109)</f>
        <v>0</v>
      </c>
      <c r="U110" s="22">
        <f t="shared" si="27"/>
        <v>0</v>
      </c>
      <c r="V110" s="22">
        <f t="shared" si="27"/>
        <v>0</v>
      </c>
      <c r="W110" s="22">
        <f t="shared" si="27"/>
        <v>0</v>
      </c>
      <c r="X110" s="22">
        <f t="shared" si="27"/>
        <v>0</v>
      </c>
      <c r="Y110" s="22">
        <f t="shared" si="27"/>
        <v>0</v>
      </c>
    </row>
    <row r="111" spans="3:26" ht="12.75" customHeight="1" x14ac:dyDescent="0.2">
      <c r="J111" s="2"/>
      <c r="K111" s="68"/>
      <c r="M111" s="2"/>
      <c r="S111" s="2"/>
      <c r="T111" s="6"/>
      <c r="U111" s="6"/>
      <c r="V111" s="6"/>
      <c r="W111" s="6"/>
      <c r="X111" s="6"/>
      <c r="Y111" s="72"/>
    </row>
    <row r="112" spans="3:26" x14ac:dyDescent="0.2">
      <c r="C112" s="7" t="str">
        <f>"Total Expenditure ($ "&amp;Assumptions!$C$35&amp;")"</f>
        <v>Total Expenditure ($ June 2026)</v>
      </c>
      <c r="D112" s="7" t="s">
        <v>70</v>
      </c>
      <c r="E112" s="7"/>
      <c r="F112" s="10"/>
      <c r="G112" s="10"/>
      <c r="H112" s="7"/>
      <c r="I112" s="7"/>
      <c r="J112" s="2"/>
      <c r="K112" s="7"/>
      <c r="L112" s="10"/>
      <c r="M112" s="2"/>
      <c r="N112" s="7"/>
      <c r="O112" s="7"/>
      <c r="P112" s="7"/>
      <c r="Q112" s="7"/>
      <c r="R112" s="7"/>
      <c r="S112" s="2"/>
      <c r="T112" s="8">
        <f>T106+T110</f>
        <v>8852558.1567035876</v>
      </c>
      <c r="U112" s="8">
        <f>U106+U110</f>
        <v>10221185.323082089</v>
      </c>
      <c r="V112" s="8">
        <f>V106+V110</f>
        <v>14582281.245314337</v>
      </c>
      <c r="W112" s="8">
        <f>W106+W110</f>
        <v>10298875.476952877</v>
      </c>
      <c r="X112" s="8">
        <f>X106+X110</f>
        <v>6734129.1521248585</v>
      </c>
      <c r="Y112" s="73">
        <f t="shared" si="23"/>
        <v>50689029.354177751</v>
      </c>
    </row>
    <row r="113" spans="3:26" x14ac:dyDescent="0.2">
      <c r="J113" s="2"/>
      <c r="M113" s="2"/>
      <c r="S113" s="2"/>
      <c r="T113" s="46">
        <f>SUM(T10:T69)*business_case_dollars-T112</f>
        <v>0</v>
      </c>
      <c r="U113" s="46">
        <f>SUM(U10:U69)*business_case_dollars-U112</f>
        <v>0</v>
      </c>
      <c r="V113" s="46">
        <f>SUM(V10:V69)*business_case_dollars-V112</f>
        <v>0</v>
      </c>
      <c r="W113" s="46">
        <f>SUM(W10:W69)*business_case_dollars-W112</f>
        <v>0</v>
      </c>
      <c r="X113" s="46">
        <f>SUM(X10:X69)*business_case_dollars-X112</f>
        <v>0</v>
      </c>
      <c r="Y113" s="46">
        <f>SUM(T10:X69)*business_case_dollars-Y112</f>
        <v>0</v>
      </c>
      <c r="Z113" s="46">
        <f>SUM(T113:Y113)</f>
        <v>0</v>
      </c>
    </row>
    <row r="114" spans="3:26" x14ac:dyDescent="0.2">
      <c r="C114" s="55" t="str">
        <f>"NPV ($ "&amp;Assumptions!$C$35&amp;")"</f>
        <v>NPV ($ June 2026)</v>
      </c>
      <c r="D114" s="56">
        <f>NPV(Real_Discount_rate,T112:X112)</f>
        <v>45891995.394081056</v>
      </c>
      <c r="J114" s="2"/>
      <c r="M114" s="2"/>
      <c r="S114" s="2"/>
      <c r="T114" s="52"/>
      <c r="U114" s="52"/>
      <c r="V114" s="52"/>
      <c r="W114" s="52"/>
      <c r="X114" s="52"/>
    </row>
    <row r="117" spans="3:26" x14ac:dyDescent="0.2">
      <c r="C117" s="4" t="s">
        <v>67</v>
      </c>
      <c r="I117" s="3"/>
      <c r="J117" s="2"/>
      <c r="M117" s="2"/>
      <c r="S117" s="2"/>
      <c r="T117" s="69" t="s">
        <v>6</v>
      </c>
      <c r="U117" s="69" t="s">
        <v>7</v>
      </c>
      <c r="V117" s="69" t="s">
        <v>8</v>
      </c>
      <c r="W117" s="69" t="s">
        <v>9</v>
      </c>
      <c r="X117" s="69" t="s">
        <v>10</v>
      </c>
      <c r="Y117" s="113" t="s">
        <v>0</v>
      </c>
    </row>
    <row r="118" spans="3:26" x14ac:dyDescent="0.2">
      <c r="C118" s="24" t="s">
        <v>95</v>
      </c>
      <c r="D118" s="24" t="s">
        <v>53</v>
      </c>
      <c r="E118" s="24"/>
      <c r="F118" s="24"/>
      <c r="G118" s="24"/>
      <c r="H118" s="24"/>
      <c r="I118" s="24" t="s">
        <v>51</v>
      </c>
      <c r="J118" s="2"/>
      <c r="K118" s="66"/>
      <c r="L118" s="67"/>
      <c r="M118" s="2"/>
      <c r="N118" s="24"/>
      <c r="O118" s="24"/>
      <c r="P118" s="24"/>
      <c r="Q118" s="24"/>
      <c r="R118" s="24"/>
      <c r="S118" s="2"/>
      <c r="T118" s="25">
        <f t="shared" ref="T118:X125" si="28">T89*business_case_dollars</f>
        <v>1341690.2039461939</v>
      </c>
      <c r="U118" s="25">
        <f t="shared" si="28"/>
        <v>1341690.2039461939</v>
      </c>
      <c r="V118" s="25">
        <f t="shared" si="28"/>
        <v>1341690.2039461939</v>
      </c>
      <c r="W118" s="25">
        <f t="shared" si="28"/>
        <v>1341690.2039461939</v>
      </c>
      <c r="X118" s="25">
        <f t="shared" si="28"/>
        <v>1341690.2039461939</v>
      </c>
      <c r="Y118" s="72">
        <f t="shared" ref="Y118" si="29">SUM(T118:X118)</f>
        <v>6708451.0197309693</v>
      </c>
    </row>
    <row r="119" spans="3:26" x14ac:dyDescent="0.2">
      <c r="C119" s="1" t="s">
        <v>95</v>
      </c>
      <c r="D119" s="1" t="s">
        <v>40</v>
      </c>
      <c r="F119" s="1"/>
      <c r="G119" s="1"/>
      <c r="I119" s="1" t="s">
        <v>51</v>
      </c>
      <c r="J119" s="2"/>
      <c r="M119" s="2"/>
      <c r="S119" s="2"/>
      <c r="T119" s="6">
        <f t="shared" si="28"/>
        <v>0</v>
      </c>
      <c r="U119" s="6">
        <f t="shared" si="28"/>
        <v>0</v>
      </c>
      <c r="V119" s="6">
        <f t="shared" si="28"/>
        <v>0</v>
      </c>
      <c r="W119" s="6">
        <f t="shared" si="28"/>
        <v>0</v>
      </c>
      <c r="X119" s="6">
        <f t="shared" si="28"/>
        <v>0</v>
      </c>
      <c r="Y119" s="72">
        <f t="shared" ref="Y119:Y125" si="30">SUM(T119:X119)</f>
        <v>0</v>
      </c>
    </row>
    <row r="120" spans="3:26" x14ac:dyDescent="0.2">
      <c r="C120" s="1" t="s">
        <v>110</v>
      </c>
      <c r="D120" s="1" t="s">
        <v>53</v>
      </c>
      <c r="F120" s="1"/>
      <c r="G120" s="1"/>
      <c r="I120" s="1" t="s">
        <v>51</v>
      </c>
      <c r="J120" s="2"/>
      <c r="K120" s="68"/>
      <c r="M120" s="2"/>
      <c r="S120" s="2"/>
      <c r="T120" s="6">
        <f t="shared" si="28"/>
        <v>1183961.7127708362</v>
      </c>
      <c r="U120" s="6">
        <f t="shared" si="28"/>
        <v>1183961.7127708362</v>
      </c>
      <c r="V120" s="6">
        <f t="shared" si="28"/>
        <v>2367923.4255416724</v>
      </c>
      <c r="W120" s="6">
        <f t="shared" si="28"/>
        <v>2367923.4255416724</v>
      </c>
      <c r="X120" s="6">
        <f t="shared" si="28"/>
        <v>1183961.7127708362</v>
      </c>
      <c r="Y120" s="23">
        <f t="shared" si="30"/>
        <v>8287731.9893958531</v>
      </c>
    </row>
    <row r="121" spans="3:26" x14ac:dyDescent="0.2">
      <c r="C121" s="1" t="s">
        <v>111</v>
      </c>
      <c r="D121" s="1" t="s">
        <v>53</v>
      </c>
      <c r="F121" s="1"/>
      <c r="G121" s="1"/>
      <c r="I121" s="1" t="s">
        <v>51</v>
      </c>
      <c r="J121" s="2"/>
      <c r="K121" s="68"/>
      <c r="M121" s="2"/>
      <c r="S121" s="2"/>
      <c r="T121" s="6">
        <f t="shared" si="28"/>
        <v>288343.49597478978</v>
      </c>
      <c r="U121" s="6">
        <f t="shared" si="28"/>
        <v>309400.50724047166</v>
      </c>
      <c r="V121" s="6">
        <f t="shared" si="28"/>
        <v>331974.18765929312</v>
      </c>
      <c r="W121" s="6">
        <f t="shared" si="28"/>
        <v>356205.6227338718</v>
      </c>
      <c r="X121" s="6">
        <f t="shared" si="28"/>
        <v>425090.61938693165</v>
      </c>
      <c r="Y121" s="72">
        <f t="shared" si="30"/>
        <v>1711014.4329953582</v>
      </c>
    </row>
    <row r="122" spans="3:26" x14ac:dyDescent="0.2">
      <c r="C122" s="1" t="s">
        <v>116</v>
      </c>
      <c r="D122" s="1" t="s">
        <v>53</v>
      </c>
      <c r="F122" s="1"/>
      <c r="G122" s="1"/>
      <c r="I122" s="1" t="s">
        <v>51</v>
      </c>
      <c r="J122" s="2"/>
      <c r="K122" s="68"/>
      <c r="M122" s="2"/>
      <c r="S122" s="2"/>
      <c r="T122" s="6">
        <f t="shared" si="28"/>
        <v>1136367.5374136295</v>
      </c>
      <c r="U122" s="6">
        <f t="shared" si="28"/>
        <v>3409102.6122408877</v>
      </c>
      <c r="V122" s="6">
        <f t="shared" si="28"/>
        <v>5397745.8027147399</v>
      </c>
      <c r="W122" s="6">
        <f t="shared" si="28"/>
        <v>852275.65306022193</v>
      </c>
      <c r="X122" s="6">
        <f t="shared" si="28"/>
        <v>0</v>
      </c>
      <c r="Y122" s="72">
        <f t="shared" si="30"/>
        <v>10795491.60542948</v>
      </c>
    </row>
    <row r="123" spans="3:26" x14ac:dyDescent="0.2">
      <c r="C123" s="1" t="s">
        <v>122</v>
      </c>
      <c r="D123" s="1" t="s">
        <v>53</v>
      </c>
      <c r="F123" s="1"/>
      <c r="G123" s="1"/>
      <c r="I123" s="1" t="s">
        <v>51</v>
      </c>
      <c r="J123" s="2"/>
      <c r="K123" s="68"/>
      <c r="M123" s="2"/>
      <c r="S123" s="2"/>
      <c r="T123" s="6">
        <f t="shared" si="28"/>
        <v>250405.34544373426</v>
      </c>
      <c r="U123" s="6">
        <f t="shared" si="28"/>
        <v>250405.34544373426</v>
      </c>
      <c r="V123" s="6">
        <f t="shared" si="28"/>
        <v>250405.34544373426</v>
      </c>
      <c r="W123" s="6">
        <f t="shared" si="28"/>
        <v>250405.34544373426</v>
      </c>
      <c r="X123" s="6">
        <f t="shared" si="28"/>
        <v>250405.34544373426</v>
      </c>
      <c r="Y123" s="23">
        <f t="shared" si="30"/>
        <v>1252026.7272186712</v>
      </c>
    </row>
    <row r="124" spans="3:26" x14ac:dyDescent="0.2">
      <c r="C124" s="1" t="s">
        <v>123</v>
      </c>
      <c r="D124" s="1" t="s">
        <v>53</v>
      </c>
      <c r="F124" s="1"/>
      <c r="G124" s="1"/>
      <c r="I124" s="1" t="s">
        <v>51</v>
      </c>
      <c r="J124" s="2"/>
      <c r="K124" s="68"/>
      <c r="M124" s="2"/>
      <c r="S124" s="2"/>
      <c r="T124" s="6">
        <f t="shared" si="28"/>
        <v>1907469.952849847</v>
      </c>
      <c r="U124" s="6">
        <f t="shared" si="28"/>
        <v>1695610.3369147519</v>
      </c>
      <c r="V124" s="6">
        <f t="shared" si="28"/>
        <v>3447195.7282936727</v>
      </c>
      <c r="W124" s="6">
        <f t="shared" si="28"/>
        <v>3391220.6738295038</v>
      </c>
      <c r="X124" s="6">
        <f t="shared" si="28"/>
        <v>3391220.6738295038</v>
      </c>
      <c r="Y124" s="23">
        <f t="shared" si="30"/>
        <v>13832717.365717279</v>
      </c>
    </row>
    <row r="125" spans="3:26" x14ac:dyDescent="0.2">
      <c r="C125" s="1" t="s">
        <v>125</v>
      </c>
      <c r="D125" s="1" t="s">
        <v>53</v>
      </c>
      <c r="F125" s="1"/>
      <c r="G125" s="1"/>
      <c r="I125" s="1" t="s">
        <v>51</v>
      </c>
      <c r="J125" s="2"/>
      <c r="K125" s="68"/>
      <c r="M125" s="2"/>
      <c r="S125" s="2"/>
      <c r="T125" s="148">
        <f t="shared" si="28"/>
        <v>2744319.9083045558</v>
      </c>
      <c r="U125" s="148">
        <f t="shared" si="28"/>
        <v>2031014.6045252138</v>
      </c>
      <c r="V125" s="148">
        <f t="shared" si="28"/>
        <v>1445346.5517150308</v>
      </c>
      <c r="W125" s="148">
        <f t="shared" si="28"/>
        <v>1739154.5523976798</v>
      </c>
      <c r="X125" s="148">
        <f t="shared" si="28"/>
        <v>141760.59674765953</v>
      </c>
      <c r="Y125" s="151">
        <f t="shared" si="30"/>
        <v>8101596.2136901394</v>
      </c>
    </row>
    <row r="126" spans="3:26" x14ac:dyDescent="0.2">
      <c r="C126" s="7" t="str">
        <f>"Total Expenditure ($ "&amp;Assumptions!$C$35&amp;")"</f>
        <v>Total Expenditure ($ June 2026)</v>
      </c>
      <c r="D126" s="7"/>
      <c r="E126" s="7"/>
      <c r="F126" s="10"/>
      <c r="G126" s="10"/>
      <c r="H126" s="7"/>
      <c r="I126" s="7"/>
      <c r="J126" s="2"/>
      <c r="K126" s="7"/>
      <c r="L126" s="10"/>
      <c r="M126" s="2"/>
      <c r="N126" s="7"/>
      <c r="O126" s="7"/>
      <c r="P126" s="7"/>
      <c r="Q126" s="7"/>
      <c r="R126" s="7"/>
      <c r="S126" s="2"/>
      <c r="T126" s="8">
        <f>SUM(T118:T125)</f>
        <v>8852558.1567035858</v>
      </c>
      <c r="U126" s="8">
        <f t="shared" ref="U126:Y126" si="31">SUM(U118:U125)</f>
        <v>10221185.323082088</v>
      </c>
      <c r="V126" s="8">
        <f t="shared" si="31"/>
        <v>14582281.245314337</v>
      </c>
      <c r="W126" s="8">
        <f t="shared" si="31"/>
        <v>10298875.476952877</v>
      </c>
      <c r="X126" s="8">
        <f t="shared" si="31"/>
        <v>6734129.1521248594</v>
      </c>
      <c r="Y126" s="8">
        <f t="shared" si="31"/>
        <v>50689029.354177751</v>
      </c>
    </row>
    <row r="127" spans="3:26" x14ac:dyDescent="0.2">
      <c r="C127" s="45" t="s">
        <v>68</v>
      </c>
      <c r="D127" s="45"/>
      <c r="E127" s="45"/>
      <c r="F127" s="123"/>
      <c r="G127" s="123"/>
      <c r="H127" s="45"/>
      <c r="I127" s="45"/>
      <c r="J127" s="2"/>
      <c r="K127" s="45"/>
      <c r="L127" s="45"/>
      <c r="M127" s="2"/>
      <c r="N127" s="45"/>
      <c r="O127" s="45"/>
      <c r="P127" s="45"/>
      <c r="Q127" s="45"/>
      <c r="R127" s="45"/>
      <c r="S127" s="2"/>
      <c r="T127" s="46">
        <f>T126-SUM(T$10:T$69)*business_case_dollars</f>
        <v>0</v>
      </c>
      <c r="U127" s="46">
        <f>U126-SUM(U$10:U$69)*business_case_dollars</f>
        <v>0</v>
      </c>
      <c r="V127" s="46">
        <f>V126-SUM(V$10:V$69)*business_case_dollars</f>
        <v>0</v>
      </c>
      <c r="W127" s="46">
        <f>W126-SUM(W$10:W$69)*business_case_dollars</f>
        <v>0</v>
      </c>
      <c r="X127" s="46">
        <f>X126-SUM(X$10:X$69)*business_case_dollars</f>
        <v>0</v>
      </c>
      <c r="Y127" s="46">
        <f>Y126-SUM(T$10:X$69)*business_case_dollars</f>
        <v>0</v>
      </c>
      <c r="Z127" s="46">
        <f>SUM(T127:Y127)</f>
        <v>0</v>
      </c>
    </row>
  </sheetData>
  <conditionalFormatting sqref="K10:K40">
    <cfRule type="expression" dxfId="10" priority="1">
      <formula>$E10="Contracts"</formula>
    </cfRule>
    <cfRule type="expression" dxfId="9" priority="13">
      <formula>$E10="Materials"</formula>
    </cfRule>
    <cfRule type="expression" dxfId="8" priority="14">
      <formula>$E10="Labour"</formula>
    </cfRule>
  </conditionalFormatting>
  <conditionalFormatting sqref="T83:Y83">
    <cfRule type="expression" dxfId="7" priority="8">
      <formula>ABS(T83)&gt;0.001</formula>
    </cfRule>
  </conditionalFormatting>
  <conditionalFormatting sqref="T98:Y101">
    <cfRule type="expression" dxfId="6" priority="5">
      <formula>ABS(T98)&gt;0.001</formula>
    </cfRule>
  </conditionalFormatting>
  <conditionalFormatting sqref="T113:Y113">
    <cfRule type="expression" dxfId="5" priority="9">
      <formula>ABS(T113)&gt;0.001</formula>
    </cfRule>
  </conditionalFormatting>
  <conditionalFormatting sqref="T127:Y127">
    <cfRule type="expression" dxfId="4" priority="2">
      <formula>ABS(T127)&gt;0.001</formula>
    </cfRule>
  </conditionalFormatting>
  <conditionalFormatting sqref="Z83">
    <cfRule type="expression" dxfId="3" priority="18">
      <formula>ABS(Z83)&gt;0.001</formula>
    </cfRule>
  </conditionalFormatting>
  <conditionalFormatting sqref="Z98:Z101">
    <cfRule type="expression" dxfId="2" priority="6">
      <formula>ABS(Z98)&gt;0.001</formula>
    </cfRule>
  </conditionalFormatting>
  <conditionalFormatting sqref="Z113">
    <cfRule type="expression" dxfId="1" priority="10">
      <formula>ABS(Z113)&gt;0.001</formula>
    </cfRule>
  </conditionalFormatting>
  <conditionalFormatting sqref="Z127">
    <cfRule type="expression" dxfId="0" priority="3">
      <formula>ABS(Z127)&gt;0.001</formula>
    </cfRule>
  </conditionalFormatting>
  <dataValidations count="3">
    <dataValidation type="list" allowBlank="1" showInputMessage="1" showErrorMessage="1" sqref="I10:I69" xr:uid="{0056677F-06F0-4171-A788-E9800796D01C}">
      <formula1>"Recurrent, Non recurrent"</formula1>
    </dataValidation>
    <dataValidation type="list" allowBlank="1" showInputMessage="1" showErrorMessage="1" sqref="D40 D44 D47 D50 D60 D63 D66:D69" xr:uid="{0BC2CCE9-8E5A-4443-BD56-40A8A3B5E164}">
      <formula1>"Capex, Opex"</formula1>
    </dataValidation>
    <dataValidation type="list" allowBlank="1" showInputMessage="1" showErrorMessage="1" sqref="E10:E69" xr:uid="{848BAEEB-C269-4A94-BE6C-51088AD2356E}">
      <formula1>"Labour, Materials, Contracts"</formula1>
    </dataValidation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8</vt:i4>
      </vt:variant>
    </vt:vector>
  </HeadingPairs>
  <TitlesOfParts>
    <vt:vector size="14" baseType="lpstr">
      <vt:lpstr>Cover</vt:lpstr>
      <vt:lpstr>PAL summary</vt:lpstr>
      <vt:lpstr>Assumptions</vt:lpstr>
      <vt:lpstr>Option 1</vt:lpstr>
      <vt:lpstr>Option 2</vt:lpstr>
      <vt:lpstr>Option 3</vt:lpstr>
      <vt:lpstr>Business</vt:lpstr>
      <vt:lpstr>business_case_dollars</vt:lpstr>
      <vt:lpstr>'PAL summary'!Print_Area</vt:lpstr>
      <vt:lpstr>Project_name</vt:lpstr>
      <vt:lpstr>Real_Discount_rate</vt:lpstr>
      <vt:lpstr>'Option 1'!years</vt:lpstr>
      <vt:lpstr>'Option 2'!years</vt:lpstr>
      <vt:lpstr>'Option 3'!years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>1</cp:revision>
  <dcterms:created xsi:type="dcterms:W3CDTF">2025-01-28T01:00:29Z</dcterms:created>
  <dcterms:modified xsi:type="dcterms:W3CDTF">2025-01-31T02:06:34Z</dcterms:modified>
  <cp:category/>
  <cp:contentStatus/>
</cp:coreProperties>
</file>