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/>
  <xr:revisionPtr revIDLastSave="0" documentId="13_ncr:1_{5162A4B6-A281-4A2E-A806-A2BA492DE2D1}" xr6:coauthVersionLast="47" xr6:coauthVersionMax="47" xr10:uidLastSave="{00000000-0000-0000-0000-000000000000}"/>
  <bookViews>
    <workbookView xWindow="28680" yWindow="-1755" windowWidth="29040" windowHeight="15720" activeTab="1" xr2:uid="{4C2CC011-6280-4C86-AECB-44743685954C}"/>
  </bookViews>
  <sheets>
    <sheet name="Cover" sheetId="10" r:id="rId1"/>
    <sheet name="Summary" sheetId="3" r:id="rId2"/>
    <sheet name="Assumptions" sheetId="1" r:id="rId3"/>
    <sheet name="IT projects" sheetId="2" r:id="rId4"/>
    <sheet name="Customer support officer" sheetId="6" r:id="rId5"/>
    <sheet name="CAP summary" sheetId="8" r:id="rId6"/>
    <sheet name="PAL CAP Summary" sheetId="9" r:id="rId7"/>
  </sheets>
  <definedNames>
    <definedName name="escalate_FY24_to_FY26">Assumptions!$D$8</definedName>
    <definedName name="escalate_FY25_to_FY26">Assumptions!$D$9</definedName>
    <definedName name="years" localSheetId="5">'CAP summary'!$R$8:$V$8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3" l="1"/>
  <c r="I13" i="3"/>
  <c r="H13" i="3"/>
  <c r="G13" i="3"/>
  <c r="F13" i="3"/>
  <c r="J11" i="3"/>
  <c r="I11" i="3"/>
  <c r="H11" i="3"/>
  <c r="G11" i="3"/>
  <c r="F11" i="3"/>
  <c r="J10" i="3"/>
  <c r="I10" i="3"/>
  <c r="H10" i="3"/>
  <c r="G10" i="3"/>
  <c r="F10" i="3"/>
  <c r="J9" i="3"/>
  <c r="I9" i="3"/>
  <c r="H9" i="3"/>
  <c r="G9" i="3"/>
  <c r="F9" i="3"/>
  <c r="D6" i="10" a="1"/>
  <c r="D6" i="10" s="1"/>
  <c r="C5" i="10" a="1"/>
  <c r="C5" i="10" s="1"/>
  <c r="P30" i="8"/>
  <c r="O30" i="8"/>
  <c r="N30" i="8"/>
  <c r="M30" i="8"/>
  <c r="L30" i="8"/>
  <c r="P27" i="8"/>
  <c r="O27" i="8"/>
  <c r="N27" i="8"/>
  <c r="M27" i="8"/>
  <c r="L27" i="8"/>
  <c r="P10" i="8"/>
  <c r="O10" i="8"/>
  <c r="N10" i="8"/>
  <c r="M10" i="8"/>
  <c r="L10" i="8"/>
  <c r="V34" i="8" l="1"/>
  <c r="U34" i="8"/>
  <c r="T34" i="8"/>
  <c r="S34" i="8"/>
  <c r="R34" i="8"/>
  <c r="P33" i="8"/>
  <c r="V33" i="8" s="1"/>
  <c r="V42" i="8" s="1"/>
  <c r="V53" i="8" s="1"/>
  <c r="O33" i="8"/>
  <c r="U33" i="8" s="1"/>
  <c r="U42" i="8" s="1"/>
  <c r="U53" i="8" s="1"/>
  <c r="N33" i="8"/>
  <c r="T33" i="8" s="1"/>
  <c r="T42" i="8" s="1"/>
  <c r="T53" i="8" s="1"/>
  <c r="M33" i="8"/>
  <c r="S33" i="8" s="1"/>
  <c r="S42" i="8" s="1"/>
  <c r="S53" i="8" s="1"/>
  <c r="L33" i="8"/>
  <c r="R33" i="8" s="1"/>
  <c r="R42" i="8" s="1"/>
  <c r="R53" i="8" s="1"/>
  <c r="V32" i="8"/>
  <c r="U32" i="8"/>
  <c r="T32" i="8"/>
  <c r="S32" i="8"/>
  <c r="R32" i="8"/>
  <c r="V31" i="8"/>
  <c r="U31" i="8"/>
  <c r="T31" i="8"/>
  <c r="S31" i="8"/>
  <c r="R31" i="8"/>
  <c r="V30" i="8"/>
  <c r="U30" i="8"/>
  <c r="T30" i="8"/>
  <c r="S30" i="8"/>
  <c r="R30" i="8"/>
  <c r="V29" i="8"/>
  <c r="U29" i="8"/>
  <c r="T29" i="8"/>
  <c r="S29" i="8"/>
  <c r="R29" i="8"/>
  <c r="V28" i="8"/>
  <c r="U28" i="8"/>
  <c r="T28" i="8"/>
  <c r="S28" i="8"/>
  <c r="R28" i="8"/>
  <c r="V27" i="8"/>
  <c r="U27" i="8"/>
  <c r="T27" i="8"/>
  <c r="S27" i="8"/>
  <c r="R27" i="8"/>
  <c r="V26" i="8"/>
  <c r="U26" i="8"/>
  <c r="T26" i="8"/>
  <c r="S26" i="8"/>
  <c r="R26" i="8"/>
  <c r="V25" i="8"/>
  <c r="U25" i="8"/>
  <c r="T25" i="8"/>
  <c r="S25" i="8"/>
  <c r="R25" i="8"/>
  <c r="V24" i="8"/>
  <c r="U24" i="8"/>
  <c r="T24" i="8"/>
  <c r="S24" i="8"/>
  <c r="R24" i="8"/>
  <c r="V23" i="8"/>
  <c r="U23" i="8"/>
  <c r="T23" i="8"/>
  <c r="S23" i="8"/>
  <c r="R23" i="8"/>
  <c r="V22" i="8"/>
  <c r="U22" i="8"/>
  <c r="T22" i="8"/>
  <c r="S22" i="8"/>
  <c r="R22" i="8"/>
  <c r="V21" i="8"/>
  <c r="U21" i="8"/>
  <c r="T21" i="8"/>
  <c r="S21" i="8"/>
  <c r="R21" i="8"/>
  <c r="V20" i="8"/>
  <c r="U20" i="8"/>
  <c r="T20" i="8"/>
  <c r="S20" i="8"/>
  <c r="R20" i="8"/>
  <c r="V19" i="8"/>
  <c r="U19" i="8"/>
  <c r="T19" i="8"/>
  <c r="S19" i="8"/>
  <c r="R19" i="8"/>
  <c r="I18" i="8"/>
  <c r="V18" i="8" s="1"/>
  <c r="V17" i="8"/>
  <c r="U17" i="8"/>
  <c r="T17" i="8"/>
  <c r="S17" i="8"/>
  <c r="R17" i="8"/>
  <c r="V16" i="8"/>
  <c r="U16" i="8"/>
  <c r="T16" i="8"/>
  <c r="S16" i="8"/>
  <c r="R16" i="8"/>
  <c r="V15" i="8"/>
  <c r="U15" i="8"/>
  <c r="T15" i="8"/>
  <c r="S15" i="8"/>
  <c r="R15" i="8"/>
  <c r="V14" i="8"/>
  <c r="U14" i="8"/>
  <c r="T14" i="8"/>
  <c r="S14" i="8"/>
  <c r="R14" i="8"/>
  <c r="V13" i="8"/>
  <c r="U13" i="8"/>
  <c r="T13" i="8"/>
  <c r="S13" i="8"/>
  <c r="R13" i="8"/>
  <c r="V12" i="8"/>
  <c r="U12" i="8"/>
  <c r="T12" i="8"/>
  <c r="S12" i="8"/>
  <c r="R12" i="8"/>
  <c r="V11" i="8"/>
  <c r="U11" i="8"/>
  <c r="T11" i="8"/>
  <c r="S11" i="8"/>
  <c r="R11" i="8"/>
  <c r="V10" i="8"/>
  <c r="U10" i="8"/>
  <c r="T10" i="8"/>
  <c r="S10" i="8"/>
  <c r="R10" i="8"/>
  <c r="R38" i="8" l="1"/>
  <c r="R49" i="8" s="1"/>
  <c r="S41" i="8"/>
  <c r="S52" i="8" s="1"/>
  <c r="S38" i="8"/>
  <c r="S49" i="8" s="1"/>
  <c r="U41" i="8"/>
  <c r="U52" i="8" s="1"/>
  <c r="V38" i="8"/>
  <c r="V49" i="8" s="1"/>
  <c r="V39" i="8"/>
  <c r="V50" i="8" s="1"/>
  <c r="S18" i="8"/>
  <c r="S39" i="8" s="1"/>
  <c r="S50" i="8" s="1"/>
  <c r="T18" i="8"/>
  <c r="T39" i="8" s="1"/>
  <c r="T50" i="8" s="1"/>
  <c r="R40" i="8"/>
  <c r="R51" i="8" s="1"/>
  <c r="V41" i="8"/>
  <c r="V52" i="8" s="1"/>
  <c r="T38" i="8"/>
  <c r="T49" i="8" s="1"/>
  <c r="T41" i="8"/>
  <c r="T52" i="8" s="1"/>
  <c r="U38" i="8"/>
  <c r="U49" i="8" s="1"/>
  <c r="S40" i="8"/>
  <c r="S51" i="8" s="1"/>
  <c r="T40" i="8"/>
  <c r="T51" i="8" s="1"/>
  <c r="U40" i="8"/>
  <c r="U51" i="8" s="1"/>
  <c r="R41" i="8"/>
  <c r="R52" i="8" s="1"/>
  <c r="V40" i="8"/>
  <c r="V51" i="8" s="1"/>
  <c r="W53" i="8"/>
  <c r="R18" i="8"/>
  <c r="R39" i="8" s="1"/>
  <c r="R50" i="8" s="1"/>
  <c r="W42" i="8"/>
  <c r="U18" i="8"/>
  <c r="U39" i="8" s="1"/>
  <c r="U50" i="8" s="1"/>
  <c r="R44" i="8" l="1"/>
  <c r="T55" i="8"/>
  <c r="W51" i="8"/>
  <c r="S44" i="8"/>
  <c r="S45" i="8" s="1"/>
  <c r="W52" i="8"/>
  <c r="W40" i="8"/>
  <c r="W38" i="8"/>
  <c r="T44" i="8"/>
  <c r="T45" i="8" s="1"/>
  <c r="W41" i="8"/>
  <c r="S55" i="8"/>
  <c r="V55" i="8"/>
  <c r="V44" i="8"/>
  <c r="V45" i="8" s="1"/>
  <c r="R45" i="8"/>
  <c r="U44" i="8"/>
  <c r="U45" i="8" s="1"/>
  <c r="W49" i="8"/>
  <c r="U55" i="8"/>
  <c r="W39" i="8"/>
  <c r="W50" i="8"/>
  <c r="W55" i="8" l="1"/>
  <c r="R55" i="8"/>
  <c r="W44" i="8"/>
  <c r="W45" i="8" s="1"/>
  <c r="X45" i="8" s="1"/>
  <c r="X56" i="8" l="1"/>
  <c r="X3" i="8" s="1"/>
  <c r="L18" i="2" l="1"/>
  <c r="L17" i="2" l="1"/>
  <c r="L16" i="2"/>
  <c r="H20" i="2" l="1"/>
  <c r="I20" i="2"/>
  <c r="J20" i="2"/>
  <c r="K20" i="2"/>
  <c r="G20" i="2"/>
  <c r="E17" i="1" l="1"/>
  <c r="E19" i="1" s="1"/>
  <c r="D17" i="1"/>
  <c r="D19" i="1" s="1"/>
  <c r="L15" i="2" l="1"/>
  <c r="J16" i="6"/>
  <c r="J19" i="6" s="1"/>
  <c r="I16" i="6"/>
  <c r="I19" i="6" s="1"/>
  <c r="H16" i="6"/>
  <c r="H19" i="6" s="1"/>
  <c r="G16" i="6"/>
  <c r="G19" i="6" s="1"/>
  <c r="F16" i="6"/>
  <c r="F19" i="6" s="1"/>
  <c r="L11" i="2"/>
  <c r="L8" i="2"/>
  <c r="L13" i="2"/>
  <c r="L14" i="2" l="1"/>
  <c r="L10" i="2"/>
  <c r="L12" i="2"/>
  <c r="L9" i="2"/>
  <c r="L20" i="2" s="1"/>
  <c r="K16" i="6"/>
  <c r="K19" i="6" l="1"/>
  <c r="E21" i="1" l="1"/>
  <c r="I17" i="1" l="1"/>
  <c r="I19" i="1" s="1"/>
  <c r="I23" i="1" s="1"/>
  <c r="G17" i="1"/>
  <c r="G19" i="1" s="1"/>
  <c r="G23" i="1" s="1"/>
  <c r="H17" i="1"/>
  <c r="H19" i="1" s="1"/>
  <c r="H23" i="1" s="1"/>
  <c r="F17" i="1"/>
  <c r="F19" i="1" s="1"/>
  <c r="F23" i="1" s="1"/>
  <c r="E23" i="1"/>
  <c r="D21" i="1"/>
  <c r="D23" i="1" s="1"/>
  <c r="J17" i="1"/>
  <c r="J19" i="1" s="1"/>
  <c r="J23" i="1" s="1"/>
  <c r="I24" i="1" l="1" a="1"/>
  <c r="I24" i="1" s="1"/>
  <c r="J24" i="1" a="1"/>
  <c r="J24" i="1" s="1"/>
  <c r="D24" i="1" a="1"/>
  <c r="D24" i="1" s="1"/>
  <c r="H24" i="1" a="1"/>
  <c r="H24" i="1" s="1"/>
  <c r="G24" i="1" a="1"/>
  <c r="G24" i="1" s="1"/>
  <c r="F24" i="1" a="1"/>
  <c r="F24" i="1" s="1"/>
  <c r="E24" i="1" a="1"/>
  <c r="E24" i="1" s="1"/>
  <c r="R63" i="8" l="1"/>
  <c r="R59" i="8"/>
  <c r="R62" i="8"/>
  <c r="D17" i="9" s="1"/>
  <c r="R61" i="8"/>
  <c r="R60" i="8"/>
  <c r="D15" i="9" s="1"/>
  <c r="O18" i="2"/>
  <c r="S63" i="8"/>
  <c r="S60" i="8"/>
  <c r="E15" i="9" s="1"/>
  <c r="S59" i="8"/>
  <c r="E14" i="9" s="1"/>
  <c r="S61" i="8"/>
  <c r="E16" i="9" s="1"/>
  <c r="S62" i="8"/>
  <c r="E17" i="9" s="1"/>
  <c r="P18" i="2"/>
  <c r="T63" i="8"/>
  <c r="T62" i="8"/>
  <c r="F17" i="9" s="1"/>
  <c r="T59" i="8"/>
  <c r="F14" i="9" s="1"/>
  <c r="T61" i="8"/>
  <c r="T60" i="8"/>
  <c r="F15" i="9" s="1"/>
  <c r="R18" i="2"/>
  <c r="V63" i="8"/>
  <c r="H18" i="9" s="1"/>
  <c r="V61" i="8"/>
  <c r="H16" i="9" s="1"/>
  <c r="V60" i="8"/>
  <c r="H15" i="9" s="1"/>
  <c r="V59" i="8"/>
  <c r="H14" i="9" s="1"/>
  <c r="V62" i="8"/>
  <c r="H17" i="9" s="1"/>
  <c r="Q18" i="2"/>
  <c r="U63" i="8"/>
  <c r="U60" i="8"/>
  <c r="U61" i="8"/>
  <c r="U62" i="8"/>
  <c r="U59" i="8"/>
  <c r="N18" i="2"/>
  <c r="D18" i="9"/>
  <c r="E18" i="9"/>
  <c r="F18" i="9"/>
  <c r="G18" i="9"/>
  <c r="G15" i="9"/>
  <c r="G16" i="9"/>
  <c r="G17" i="9"/>
  <c r="F16" i="9"/>
  <c r="D16" i="9"/>
  <c r="D14" i="9"/>
  <c r="G14" i="9"/>
  <c r="N10" i="2"/>
  <c r="N17" i="2"/>
  <c r="N13" i="2"/>
  <c r="N9" i="2"/>
  <c r="N16" i="2"/>
  <c r="N12" i="2"/>
  <c r="N15" i="2"/>
  <c r="N11" i="2"/>
  <c r="N14" i="2"/>
  <c r="O12" i="2"/>
  <c r="O17" i="2"/>
  <c r="O13" i="2"/>
  <c r="O14" i="2"/>
  <c r="O10" i="2"/>
  <c r="O15" i="2"/>
  <c r="O11" i="2"/>
  <c r="O9" i="2"/>
  <c r="O16" i="2"/>
  <c r="P14" i="2"/>
  <c r="P16" i="2"/>
  <c r="P12" i="2"/>
  <c r="P11" i="2"/>
  <c r="P15" i="2"/>
  <c r="P13" i="2"/>
  <c r="P9" i="2"/>
  <c r="P10" i="2"/>
  <c r="P17" i="2"/>
  <c r="R12" i="2"/>
  <c r="R10" i="2"/>
  <c r="R17" i="2"/>
  <c r="R13" i="2"/>
  <c r="R11" i="2"/>
  <c r="R14" i="2"/>
  <c r="R16" i="2"/>
  <c r="R15" i="2"/>
  <c r="R9" i="2"/>
  <c r="Q14" i="2"/>
  <c r="Q16" i="2"/>
  <c r="Q13" i="2"/>
  <c r="Q12" i="2"/>
  <c r="Q10" i="2"/>
  <c r="Q11" i="2"/>
  <c r="Q17" i="2"/>
  <c r="Q15" i="2"/>
  <c r="Q9" i="2"/>
  <c r="H21" i="6"/>
  <c r="H12" i="3" s="1"/>
  <c r="J21" i="6"/>
  <c r="J12" i="3" s="1"/>
  <c r="I21" i="6"/>
  <c r="I12" i="3" s="1"/>
  <c r="Q8" i="2"/>
  <c r="R8" i="2"/>
  <c r="G21" i="6"/>
  <c r="G12" i="3" s="1"/>
  <c r="N8" i="2"/>
  <c r="F21" i="6"/>
  <c r="F12" i="3" s="1"/>
  <c r="O8" i="2"/>
  <c r="P8" i="2"/>
  <c r="S18" i="2" l="1"/>
  <c r="K13" i="3"/>
  <c r="I14" i="9"/>
  <c r="D20" i="9"/>
  <c r="F7" i="3" s="1"/>
  <c r="I17" i="9"/>
  <c r="I15" i="9"/>
  <c r="I16" i="9"/>
  <c r="F20" i="9"/>
  <c r="H7" i="3" s="1"/>
  <c r="H20" i="9"/>
  <c r="J7" i="3" s="1"/>
  <c r="E20" i="9"/>
  <c r="G7" i="3" s="1"/>
  <c r="G20" i="9"/>
  <c r="I7" i="3" s="1"/>
  <c r="I18" i="9"/>
  <c r="T65" i="8"/>
  <c r="W62" i="8"/>
  <c r="V65" i="8"/>
  <c r="W59" i="8"/>
  <c r="R65" i="8"/>
  <c r="W60" i="8"/>
  <c r="S65" i="8"/>
  <c r="W61" i="8"/>
  <c r="W63" i="8"/>
  <c r="U65" i="8"/>
  <c r="Q20" i="2"/>
  <c r="N20" i="2"/>
  <c r="P20" i="2"/>
  <c r="O20" i="2"/>
  <c r="S13" i="2"/>
  <c r="R20" i="2"/>
  <c r="S14" i="2"/>
  <c r="S15" i="2"/>
  <c r="S12" i="2"/>
  <c r="S16" i="2"/>
  <c r="S9" i="2"/>
  <c r="S11" i="2"/>
  <c r="S17" i="2"/>
  <c r="S10" i="2"/>
  <c r="K21" i="6"/>
  <c r="S8" i="2"/>
  <c r="K8" i="3"/>
  <c r="K14" i="3"/>
  <c r="I20" i="9" l="1"/>
  <c r="W65" i="8"/>
  <c r="K9" i="3"/>
  <c r="K11" i="3"/>
  <c r="S20" i="2"/>
  <c r="K7" i="3"/>
  <c r="K12" i="3"/>
  <c r="K10" i="3"/>
  <c r="F15" i="3" l="1"/>
  <c r="K15" i="3" l="1"/>
  <c r="H15" i="3"/>
  <c r="I15" i="3"/>
  <c r="G15" i="3"/>
  <c r="J15" i="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<sst xmlns="http://schemas.openxmlformats.org/spreadsheetml/2006/main" count="399" uniqueCount="141">
  <si>
    <t>WPI - DAE (SAPN) placeholder</t>
  </si>
  <si>
    <t>WPI - BIS Oxford forecast</t>
  </si>
  <si>
    <t>WPI - average</t>
  </si>
  <si>
    <t>Superannuation guarantee increases</t>
  </si>
  <si>
    <t>WPI - average + super guarantee increases</t>
  </si>
  <si>
    <t>Forecast price change</t>
  </si>
  <si>
    <t>Forecast price change cumulative</t>
  </si>
  <si>
    <t xml:space="preserve">Labour weighting - AER preferred </t>
  </si>
  <si>
    <t>Total</t>
  </si>
  <si>
    <t>Assumptions</t>
  </si>
  <si>
    <t>Year of currency for inputs</t>
  </si>
  <si>
    <t>2026/27</t>
  </si>
  <si>
    <t>2027/28</t>
  </si>
  <si>
    <t>2028/29</t>
  </si>
  <si>
    <t>2029/30</t>
  </si>
  <si>
    <t>2030/31</t>
  </si>
  <si>
    <t>Calculations</t>
  </si>
  <si>
    <t>Community energy fund</t>
  </si>
  <si>
    <t>Vulnerable customers</t>
  </si>
  <si>
    <t>Energy advisory services</t>
  </si>
  <si>
    <t>$FY2026</t>
  </si>
  <si>
    <t>Convert from Dec 2025 to $ June 2026</t>
  </si>
  <si>
    <t>FY2025</t>
  </si>
  <si>
    <t>Inflation (unlagged)</t>
  </si>
  <si>
    <t>Powercor</t>
  </si>
  <si>
    <t>FY 2024</t>
  </si>
  <si>
    <t>$FY2024</t>
  </si>
  <si>
    <t>Annual salary</t>
  </si>
  <si>
    <t>Number of FTE</t>
  </si>
  <si>
    <t>Convert from Dec 2024 to $ June 2026</t>
  </si>
  <si>
    <t>FY2024</t>
  </si>
  <si>
    <t>2024/25</t>
  </si>
  <si>
    <t>2025/26</t>
  </si>
  <si>
    <t>Flexible services</t>
  </si>
  <si>
    <t>Non-network procurement platform</t>
  </si>
  <si>
    <t>Network data visibility</t>
  </si>
  <si>
    <t>PAL MOD 2.02</t>
  </si>
  <si>
    <t>PAL MOD 2.03</t>
  </si>
  <si>
    <t>PAL MOD 2.01</t>
  </si>
  <si>
    <t>PAL MOD 5.08</t>
  </si>
  <si>
    <t>PAL MOD 9.02</t>
  </si>
  <si>
    <t>Customer assistance package</t>
  </si>
  <si>
    <t>Project</t>
  </si>
  <si>
    <t>Recurrent</t>
  </si>
  <si>
    <t>Step change category</t>
  </si>
  <si>
    <t>Excluding real price escalation $m June 2026</t>
  </si>
  <si>
    <t>Including Real price escalation $m June 2026</t>
  </si>
  <si>
    <t>Project ($m June 2026)</t>
  </si>
  <si>
    <t>Model</t>
  </si>
  <si>
    <t>Recurrent / Non-recurrent</t>
  </si>
  <si>
    <t>Non-recurrent</t>
  </si>
  <si>
    <t>Non-recurrent cyber security</t>
  </si>
  <si>
    <t>Non-recurrent ERP and billing systems</t>
  </si>
  <si>
    <t>Non-recurrent Infrastructure refresh</t>
  </si>
  <si>
    <t>Recurrent cyber security</t>
  </si>
  <si>
    <t>Recurrent ERP and billing systems</t>
  </si>
  <si>
    <t>Recurrent Infrastructure refresh</t>
  </si>
  <si>
    <t>PAL MOD 7.03</t>
  </si>
  <si>
    <t>PAL MOD 7.01</t>
  </si>
  <si>
    <t>PAL MOD 9.01</t>
  </si>
  <si>
    <t>PAL MOD 7.05</t>
  </si>
  <si>
    <t>$m Jun 2026</t>
  </si>
  <si>
    <t>Refer IT projects tab</t>
  </si>
  <si>
    <t>Vegetation management</t>
  </si>
  <si>
    <t>CER integration</t>
  </si>
  <si>
    <t>Cloud services</t>
  </si>
  <si>
    <t>ICT modernisation and new capability</t>
  </si>
  <si>
    <t>Network and community resilience</t>
  </si>
  <si>
    <t>PAL MOD 8.05</t>
  </si>
  <si>
    <t>Model reference</t>
  </si>
  <si>
    <t>IT situational awareness</t>
  </si>
  <si>
    <t>Opex step change</t>
  </si>
  <si>
    <t>Real labour price escalation</t>
  </si>
  <si>
    <t>With real labour price escalation</t>
  </si>
  <si>
    <t>Description</t>
  </si>
  <si>
    <t>Capex /</t>
  </si>
  <si>
    <t>Package</t>
  </si>
  <si>
    <t xml:space="preserve">Recurrent / </t>
  </si>
  <si>
    <t>Unit rate</t>
  </si>
  <si>
    <t>Units</t>
  </si>
  <si>
    <t>Quantity of units</t>
  </si>
  <si>
    <t>Cost ($)</t>
  </si>
  <si>
    <t>Opex</t>
  </si>
  <si>
    <t>Non recurrent</t>
  </si>
  <si>
    <t>web hub set up</t>
  </si>
  <si>
    <t>Energy care</t>
  </si>
  <si>
    <t>$</t>
  </si>
  <si>
    <t>web hub maintenance</t>
  </si>
  <si>
    <t>2x employee</t>
  </si>
  <si>
    <t>$ pa</t>
  </si>
  <si>
    <t>energy literacy contractor</t>
  </si>
  <si>
    <t>energy literacy venues/catering, for each depot</t>
  </si>
  <si>
    <t>training social workers - 3x events per year</t>
  </si>
  <si>
    <t>marketing - service awareness, participant recruitment</t>
  </si>
  <si>
    <t>funding</t>
  </si>
  <si>
    <t xml:space="preserve">admin 0.5 FTE </t>
  </si>
  <si>
    <t>pit installs post storms/bushfires to meet SIRs</t>
  </si>
  <si>
    <t>replacement of damages POAs</t>
  </si>
  <si>
    <t>fuse upgrades</t>
  </si>
  <si>
    <t>truck rollouts</t>
  </si>
  <si>
    <t>pole to pit and POLR (private overhead line replacements in high bushfire risk areas</t>
  </si>
  <si>
    <t>rectification of unexpected faults/costs for vulnerable customers (minor customer repairs)</t>
  </si>
  <si>
    <t>training for field staff in identifying and assessing customers who may be at risk of vulnerability</t>
  </si>
  <si>
    <t>vulnerability strategy</t>
  </si>
  <si>
    <t>New Energy Services</t>
  </si>
  <si>
    <t>Network planning SME</t>
  </si>
  <si>
    <t>data service request</t>
  </si>
  <si>
    <t>First People program</t>
  </si>
  <si>
    <t>First Peoples program</t>
  </si>
  <si>
    <t>Summary</t>
  </si>
  <si>
    <t>Check</t>
  </si>
  <si>
    <t>Inputs are in $2024/25 unless otherwise stated</t>
  </si>
  <si>
    <t>CitiPower, Powercor, United Energy</t>
  </si>
  <si>
    <t>CitiPower</t>
  </si>
  <si>
    <t>United Energy</t>
  </si>
  <si>
    <t>Summary  ($2025/26)</t>
  </si>
  <si>
    <t>Summary  ($2024/25)</t>
  </si>
  <si>
    <t>Summary  ($2025/26) incl real labour price escalation</t>
  </si>
  <si>
    <t>Powercor summary</t>
  </si>
  <si>
    <t>Allocation</t>
  </si>
  <si>
    <t>Refer CAP&amp; PAL CAP tab</t>
  </si>
  <si>
    <t>Total Expenditure ($ 2025/26) incl real labour price escalation</t>
  </si>
  <si>
    <t>IT project summary</t>
  </si>
  <si>
    <t>Real labour price escalation taken from  MOD 1.05 - Opex - Jan2025 - Public</t>
  </si>
  <si>
    <t>Major external factor</t>
  </si>
  <si>
    <t>Major external factor and regulatory obligation</t>
  </si>
  <si>
    <t>Capex / opex trade off</t>
  </si>
  <si>
    <t>Step change</t>
  </si>
  <si>
    <t>Customer package</t>
  </si>
  <si>
    <t>Fleet electrification offset</t>
  </si>
  <si>
    <t>AER category</t>
  </si>
  <si>
    <t>Major external factor and capex / opex trade off</t>
  </si>
  <si>
    <t>MITE</t>
  </si>
  <si>
    <t>Regulatory proposal 2026-31</t>
  </si>
  <si>
    <t>Model number:</t>
  </si>
  <si>
    <t>Total Expenditure ($ 2024/25)</t>
  </si>
  <si>
    <t>Total Expenditure ($ 2025/26)</t>
  </si>
  <si>
    <t>New regulatory obligation</t>
  </si>
  <si>
    <t>Network and community resilience - Customer support officer</t>
  </si>
  <si>
    <t>Customer support officer</t>
  </si>
  <si>
    <t>Refer Customer support officer tab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</si>
</sst>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mmm\ yyyy"/>
    <numFmt numFmtId="165" formatCode="_-* #,##0.000_-;\-* #,##0.000_-;_-* &quot;-&quot;??_-;_-@_-"/>
    <numFmt numFmtId="166" formatCode="#,##0;\(#,##0\);&quot;-&quot;"/>
    <numFmt numFmtId="167" formatCode="&quot;$&quot;#"/>
    <numFmt numFmtId="168" formatCode="_-&quot;$&quot;* #,##0_-;\-&quot;$&quot;* #,##0_-;_-&quot;$&quot;* &quot;-&quot;??_-;_-@_-"/>
    <numFmt numFmtId="169" formatCode="_-* #,##0_-;\-* #,##0_-;_-* &quot;-&quot;??_-;_-@_-"/>
    <numFmt numFmtId="170" formatCode="0.000000"/>
    <numFmt numFmtId="171" formatCode="0.000%"/>
    <numFmt numFmtId="172" formatCode="&quot;$&quot;#,##0.00;[Red]\-&quot;$&quot;#,##0.00;\ "/>
    <numFmt numFmtId="173" formatCode="#,##0_ ;[Red]\-#,##0\ "/>
    <numFmt numFmtId="174" formatCode="&quot;$&quot;#,##0;[Red]\-&quot;$&quot;#,##0;\ &quot;-&quot;"/>
    <numFmt numFmtId="175" formatCode="&quot;$&quot;#,##0;[Red]\-&quot;$&quot;#,##0;\ "/>
    <numFmt numFmtId="176" formatCode="#,##0.0_ ;[Red]\-#,##0.0\ "/>
    <numFmt numFmtId="177" formatCode="#,##0_ ;[Red]\-#,##0;\ &quot;-&quot;"/>
    <numFmt numFmtId="178" formatCode="0.0000"/>
    <numFmt numFmtId="179" formatCode="dd\ mmmm\ yyyy"/>
  </numFmts>
  <fonts count="4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name val="Calibri"/>
      <family val="2"/>
    </font>
    <font>
      <i/>
      <sz val="11"/>
      <color theme="1"/>
      <name val="Calibri"/>
      <family val="2"/>
    </font>
    <font>
      <sz val="11"/>
      <name val="Calibri"/>
      <family val="2"/>
    </font>
    <font>
      <b/>
      <sz val="16"/>
      <color theme="0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i/>
      <sz val="11"/>
      <color theme="0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b/>
      <sz val="16"/>
      <color theme="0"/>
      <name val="Calibri"/>
      <family val="2"/>
    </font>
    <font>
      <b/>
      <sz val="10"/>
      <color theme="0"/>
      <name val="Calibri"/>
      <family val="2"/>
    </font>
    <font>
      <sz val="10"/>
      <color theme="1"/>
      <name val="Calibri"/>
      <family val="2"/>
    </font>
    <font>
      <b/>
      <sz val="12"/>
      <color theme="0"/>
      <name val="Calibri"/>
      <family val="2"/>
    </font>
    <font>
      <b/>
      <i/>
      <sz val="11"/>
      <color theme="0"/>
      <name val="Calibri"/>
      <family val="2"/>
    </font>
    <font>
      <b/>
      <i/>
      <sz val="12"/>
      <color theme="0"/>
      <name val="Calibri"/>
      <family val="2"/>
    </font>
    <font>
      <b/>
      <i/>
      <sz val="10"/>
      <color theme="0"/>
      <name val="Calibri"/>
      <family val="2"/>
    </font>
    <font>
      <i/>
      <sz val="10"/>
      <color theme="1"/>
      <name val="Calibri"/>
      <family val="2"/>
    </font>
    <font>
      <b/>
      <sz val="10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11"/>
      <color theme="1"/>
      <name val="Aptos Narrow"/>
      <family val="2"/>
      <scheme val="minor"/>
    </font>
    <font>
      <sz val="9"/>
      <color theme="0" tint="-0.249977111117893"/>
      <name val="Aptos Narrow"/>
      <family val="2"/>
      <scheme val="minor"/>
    </font>
    <font>
      <sz val="10"/>
      <color rgb="FF0000FF"/>
      <name val="Aptos Narrow"/>
      <family val="2"/>
      <scheme val="minor"/>
    </font>
    <font>
      <i/>
      <sz val="8"/>
      <color theme="0" tint="-0.34998626667073579"/>
      <name val="Aptos Narrow"/>
      <family val="2"/>
      <scheme val="minor"/>
    </font>
    <font>
      <i/>
      <sz val="8"/>
      <color theme="0" tint="-0.499984740745262"/>
      <name val="Aptos Narrow"/>
      <family val="2"/>
      <scheme val="minor"/>
    </font>
    <font>
      <i/>
      <sz val="9"/>
      <color theme="0" tint="-0.499984740745262"/>
      <name val="Aptos Narrow"/>
      <family val="2"/>
      <scheme val="minor"/>
    </font>
    <font>
      <b/>
      <sz val="18"/>
      <color rgb="FF00215B"/>
      <name val="Arial"/>
      <family val="2"/>
    </font>
    <font>
      <sz val="11"/>
      <color rgb="FF00215B"/>
      <name val="Aptos Narrow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D6E5F2"/>
        <bgColor indexed="64"/>
      </patternFill>
    </fill>
    <fill>
      <patternFill patternType="solid">
        <fgColor rgb="FFEBF2F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15B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n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7" fillId="0" borderId="0"/>
  </cellStyleXfs>
  <cellXfs count="150">
    <xf numFmtId="0" fontId="0" fillId="0" borderId="0" xfId="0"/>
    <xf numFmtId="0" fontId="2" fillId="0" borderId="0" xfId="0" applyFont="1"/>
    <xf numFmtId="10" fontId="2" fillId="0" borderId="0" xfId="0" applyNumberFormat="1" applyFont="1"/>
    <xf numFmtId="10" fontId="2" fillId="0" borderId="0" xfId="1" applyNumberFormat="1" applyFont="1"/>
    <xf numFmtId="164" fontId="3" fillId="0" borderId="0" xfId="0" applyNumberFormat="1" applyFont="1" applyAlignment="1">
      <alignment horizontal="center"/>
    </xf>
    <xf numFmtId="0" fontId="4" fillId="0" borderId="0" xfId="0" applyFont="1"/>
    <xf numFmtId="10" fontId="4" fillId="0" borderId="0" xfId="0" applyNumberFormat="1" applyFont="1"/>
    <xf numFmtId="165" fontId="2" fillId="0" borderId="0" xfId="2" applyNumberFormat="1" applyFont="1"/>
    <xf numFmtId="10" fontId="4" fillId="0" borderId="0" xfId="1" applyNumberFormat="1" applyFont="1"/>
    <xf numFmtId="0" fontId="5" fillId="0" borderId="0" xfId="0" applyFont="1"/>
    <xf numFmtId="0" fontId="6" fillId="0" borderId="0" xfId="0" applyFont="1"/>
    <xf numFmtId="170" fontId="7" fillId="0" borderId="3" xfId="0" applyNumberFormat="1" applyFont="1" applyBorder="1" applyAlignment="1">
      <alignment horizontal="right"/>
    </xf>
    <xf numFmtId="0" fontId="8" fillId="0" borderId="0" xfId="0" applyFont="1"/>
    <xf numFmtId="171" fontId="2" fillId="0" borderId="0" xfId="0" applyNumberFormat="1" applyFont="1"/>
    <xf numFmtId="10" fontId="2" fillId="4" borderId="0" xfId="0" applyNumberFormat="1" applyFont="1" applyFill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3" fontId="2" fillId="0" borderId="0" xfId="0" applyNumberFormat="1" applyFont="1"/>
    <xf numFmtId="43" fontId="4" fillId="0" borderId="2" xfId="0" applyNumberFormat="1" applyFont="1" applyBorder="1"/>
    <xf numFmtId="43" fontId="2" fillId="0" borderId="0" xfId="2" applyFont="1" applyAlignment="1">
      <alignment horizontal="right"/>
    </xf>
    <xf numFmtId="0" fontId="4" fillId="0" borderId="1" xfId="0" applyFont="1" applyBorder="1"/>
    <xf numFmtId="0" fontId="10" fillId="5" borderId="0" xfId="0" applyFont="1" applyFill="1"/>
    <xf numFmtId="0" fontId="11" fillId="5" borderId="0" xfId="0" applyFont="1" applyFill="1"/>
    <xf numFmtId="0" fontId="12" fillId="5" borderId="0" xfId="0" applyFont="1" applyFill="1"/>
    <xf numFmtId="0" fontId="13" fillId="5" borderId="0" xfId="0" applyFont="1" applyFill="1"/>
    <xf numFmtId="0" fontId="14" fillId="0" borderId="0" xfId="0" applyFont="1"/>
    <xf numFmtId="0" fontId="15" fillId="5" borderId="0" xfId="0" applyFont="1" applyFill="1"/>
    <xf numFmtId="0" fontId="16" fillId="5" borderId="0" xfId="0" applyFont="1" applyFill="1"/>
    <xf numFmtId="0" fontId="17" fillId="0" borderId="0" xfId="0" applyFont="1"/>
    <xf numFmtId="0" fontId="18" fillId="5" borderId="0" xfId="0" applyFont="1" applyFill="1"/>
    <xf numFmtId="0" fontId="19" fillId="5" borderId="0" xfId="0" applyFont="1" applyFill="1"/>
    <xf numFmtId="0" fontId="20" fillId="5" borderId="0" xfId="0" applyFont="1" applyFill="1"/>
    <xf numFmtId="0" fontId="21" fillId="5" borderId="0" xfId="0" applyFont="1" applyFill="1"/>
    <xf numFmtId="0" fontId="22" fillId="0" borderId="0" xfId="0" applyFont="1"/>
    <xf numFmtId="0" fontId="17" fillId="0" borderId="0" xfId="0" applyFont="1" applyAlignment="1">
      <alignment horizontal="left"/>
    </xf>
    <xf numFmtId="166" fontId="17" fillId="0" borderId="0" xfId="0" applyNumberFormat="1" applyFont="1"/>
    <xf numFmtId="0" fontId="23" fillId="3" borderId="1" xfId="0" applyFont="1" applyFill="1" applyBorder="1"/>
    <xf numFmtId="0" fontId="23" fillId="3" borderId="1" xfId="0" applyFont="1" applyFill="1" applyBorder="1" applyAlignment="1">
      <alignment horizontal="left"/>
    </xf>
    <xf numFmtId="0" fontId="23" fillId="3" borderId="1" xfId="0" applyFont="1" applyFill="1" applyBorder="1" applyAlignment="1">
      <alignment horizontal="right"/>
    </xf>
    <xf numFmtId="0" fontId="23" fillId="0" borderId="0" xfId="0" applyFont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0" fontId="2" fillId="2" borderId="0" xfId="3" applyNumberFormat="1" applyFont="1" applyFill="1"/>
    <xf numFmtId="168" fontId="2" fillId="2" borderId="0" xfId="3" applyNumberFormat="1" applyFont="1" applyFill="1"/>
    <xf numFmtId="0" fontId="24" fillId="0" borderId="0" xfId="0" applyFont="1" applyAlignment="1">
      <alignment vertical="center"/>
    </xf>
    <xf numFmtId="169" fontId="2" fillId="0" borderId="0" xfId="2" applyNumberFormat="1" applyFont="1" applyFill="1"/>
    <xf numFmtId="169" fontId="2" fillId="0" borderId="0" xfId="2" applyNumberFormat="1" applyFont="1"/>
    <xf numFmtId="0" fontId="24" fillId="0" borderId="2" xfId="0" applyFont="1" applyBorder="1" applyAlignment="1">
      <alignment vertical="center"/>
    </xf>
    <xf numFmtId="0" fontId="2" fillId="0" borderId="2" xfId="0" applyFont="1" applyBorder="1"/>
    <xf numFmtId="169" fontId="2" fillId="0" borderId="2" xfId="2" applyNumberFormat="1" applyFont="1" applyBorder="1"/>
    <xf numFmtId="0" fontId="25" fillId="0" borderId="2" xfId="0" applyFont="1" applyBorder="1" applyAlignment="1">
      <alignment vertical="center"/>
    </xf>
    <xf numFmtId="169" fontId="2" fillId="0" borderId="2" xfId="0" applyNumberFormat="1" applyFont="1" applyBorder="1"/>
    <xf numFmtId="167" fontId="9" fillId="2" borderId="0" xfId="0" applyNumberFormat="1" applyFont="1" applyFill="1" applyAlignment="1">
      <alignment horizontal="left"/>
    </xf>
    <xf numFmtId="0" fontId="23" fillId="3" borderId="1" xfId="0" applyFont="1" applyFill="1" applyBorder="1" applyAlignment="1">
      <alignment horizontal="center"/>
    </xf>
    <xf numFmtId="0" fontId="11" fillId="5" borderId="0" xfId="0" applyFont="1" applyFill="1" applyAlignment="1">
      <alignment horizontal="center"/>
    </xf>
    <xf numFmtId="0" fontId="13" fillId="5" borderId="0" xfId="0" applyFont="1" applyFill="1" applyAlignment="1">
      <alignment horizontal="center"/>
    </xf>
    <xf numFmtId="0" fontId="26" fillId="0" borderId="0" xfId="0" applyFont="1"/>
    <xf numFmtId="0" fontId="27" fillId="0" borderId="0" xfId="0" applyFont="1"/>
    <xf numFmtId="0" fontId="12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6" borderId="4" xfId="0" applyFont="1" applyFill="1" applyBorder="1" applyAlignment="1">
      <alignment horizontal="left"/>
    </xf>
    <xf numFmtId="0" fontId="6" fillId="6" borderId="4" xfId="0" applyFont="1" applyFill="1" applyBorder="1" applyAlignment="1">
      <alignment vertical="center"/>
    </xf>
    <xf numFmtId="0" fontId="6" fillId="6" borderId="4" xfId="0" applyFont="1" applyFill="1" applyBorder="1" applyAlignment="1">
      <alignment vertical="center" wrapText="1"/>
    </xf>
    <xf numFmtId="0" fontId="6" fillId="6" borderId="4" xfId="0" applyFont="1" applyFill="1" applyBorder="1" applyAlignment="1">
      <alignment horizontal="centerContinuous"/>
    </xf>
    <xf numFmtId="0" fontId="5" fillId="6" borderId="4" xfId="0" applyFont="1" applyFill="1" applyBorder="1" applyAlignment="1">
      <alignment horizontal="centerContinuous"/>
    </xf>
    <xf numFmtId="0" fontId="6" fillId="6" borderId="0" xfId="0" applyFont="1" applyFill="1" applyAlignment="1">
      <alignment vertical="center"/>
    </xf>
    <xf numFmtId="0" fontId="6" fillId="6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/>
    </xf>
    <xf numFmtId="0" fontId="28" fillId="2" borderId="5" xfId="0" applyFont="1" applyFill="1" applyBorder="1" applyAlignment="1" applyProtection="1">
      <alignment vertical="center"/>
      <protection locked="0"/>
    </xf>
    <xf numFmtId="0" fontId="28" fillId="2" borderId="6" xfId="0" applyFont="1" applyFill="1" applyBorder="1" applyAlignment="1" applyProtection="1">
      <alignment vertical="center"/>
      <protection locked="0"/>
    </xf>
    <xf numFmtId="0" fontId="28" fillId="2" borderId="7" xfId="0" applyFont="1" applyFill="1" applyBorder="1" applyAlignment="1" applyProtection="1">
      <alignment vertical="center"/>
      <protection locked="0"/>
    </xf>
    <xf numFmtId="3" fontId="5" fillId="0" borderId="0" xfId="0" applyNumberFormat="1" applyFont="1"/>
    <xf numFmtId="172" fontId="28" fillId="8" borderId="8" xfId="0" applyNumberFormat="1" applyFont="1" applyFill="1" applyBorder="1" applyAlignment="1">
      <alignment horizontal="right" vertical="top"/>
    </xf>
    <xf numFmtId="173" fontId="28" fillId="2" borderId="8" xfId="0" applyNumberFormat="1" applyFont="1" applyFill="1" applyBorder="1" applyAlignment="1" applyProtection="1">
      <alignment horizontal="right" vertical="top"/>
      <protection locked="0"/>
    </xf>
    <xf numFmtId="174" fontId="5" fillId="0" borderId="8" xfId="0" applyNumberFormat="1" applyFont="1" applyBorder="1" applyAlignment="1">
      <alignment horizontal="right" vertical="top"/>
    </xf>
    <xf numFmtId="175" fontId="28" fillId="0" borderId="8" xfId="0" applyNumberFormat="1" applyFont="1" applyBorder="1" applyAlignment="1">
      <alignment horizontal="right" vertical="top"/>
    </xf>
    <xf numFmtId="176" fontId="28" fillId="2" borderId="8" xfId="0" applyNumberFormat="1" applyFont="1" applyFill="1" applyBorder="1" applyAlignment="1" applyProtection="1">
      <alignment horizontal="right" vertical="top"/>
      <protection locked="0"/>
    </xf>
    <xf numFmtId="174" fontId="5" fillId="0" borderId="0" xfId="0" applyNumberFormat="1" applyFont="1"/>
    <xf numFmtId="172" fontId="28" fillId="0" borderId="8" xfId="0" applyNumberFormat="1" applyFont="1" applyBorder="1" applyAlignment="1">
      <alignment horizontal="right" vertical="top"/>
    </xf>
    <xf numFmtId="0" fontId="6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9" fillId="0" borderId="0" xfId="0" applyFont="1"/>
    <xf numFmtId="174" fontId="5" fillId="0" borderId="0" xfId="0" applyNumberFormat="1" applyFont="1" applyAlignment="1">
      <alignment horizontal="right" vertical="top"/>
    </xf>
    <xf numFmtId="174" fontId="5" fillId="0" borderId="9" xfId="0" applyNumberFormat="1" applyFont="1" applyBorder="1" applyAlignment="1">
      <alignment horizontal="right" vertical="top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174" fontId="6" fillId="0" borderId="2" xfId="0" applyNumberFormat="1" applyFont="1" applyBorder="1" applyAlignment="1">
      <alignment horizontal="right" vertical="top"/>
    </xf>
    <xf numFmtId="174" fontId="6" fillId="0" borderId="10" xfId="0" applyNumberFormat="1" applyFont="1" applyBorder="1" applyAlignment="1">
      <alignment horizontal="right" vertical="top"/>
    </xf>
    <xf numFmtId="0" fontId="30" fillId="9" borderId="0" xfId="0" applyFont="1" applyFill="1"/>
    <xf numFmtId="177" fontId="31" fillId="9" borderId="0" xfId="0" applyNumberFormat="1" applyFont="1" applyFill="1"/>
    <xf numFmtId="6" fontId="5" fillId="0" borderId="0" xfId="0" applyNumberFormat="1" applyFont="1" applyAlignment="1">
      <alignment horizontal="right" vertical="top"/>
    </xf>
    <xf numFmtId="0" fontId="2" fillId="0" borderId="1" xfId="0" applyFont="1" applyBorder="1"/>
    <xf numFmtId="9" fontId="2" fillId="2" borderId="8" xfId="1" applyFont="1" applyFill="1" applyBorder="1"/>
    <xf numFmtId="6" fontId="5" fillId="0" borderId="0" xfId="0" applyNumberFormat="1" applyFont="1"/>
    <xf numFmtId="6" fontId="2" fillId="0" borderId="0" xfId="0" applyNumberFormat="1" applyFont="1" applyAlignment="1">
      <alignment horizontal="right" vertical="top"/>
    </xf>
    <xf numFmtId="174" fontId="2" fillId="0" borderId="9" xfId="0" applyNumberFormat="1" applyFont="1" applyBorder="1" applyAlignment="1">
      <alignment horizontal="right" vertical="top"/>
    </xf>
    <xf numFmtId="174" fontId="2" fillId="0" borderId="0" xfId="0" applyNumberFormat="1" applyFont="1" applyAlignment="1">
      <alignment horizontal="right" vertical="top"/>
    </xf>
    <xf numFmtId="0" fontId="4" fillId="0" borderId="2" xfId="0" applyFont="1" applyBorder="1"/>
    <xf numFmtId="174" fontId="4" fillId="0" borderId="2" xfId="0" applyNumberFormat="1" applyFont="1" applyBorder="1" applyAlignment="1">
      <alignment horizontal="right" vertical="top"/>
    </xf>
    <xf numFmtId="0" fontId="2" fillId="3" borderId="0" xfId="0" applyFont="1" applyFill="1"/>
    <xf numFmtId="0" fontId="4" fillId="3" borderId="1" xfId="0" applyFont="1" applyFill="1" applyBorder="1"/>
    <xf numFmtId="0" fontId="2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2" fillId="3" borderId="11" xfId="0" applyFont="1" applyFill="1" applyBorder="1"/>
    <xf numFmtId="0" fontId="4" fillId="3" borderId="12" xfId="0" applyFont="1" applyFill="1" applyBorder="1"/>
    <xf numFmtId="164" fontId="3" fillId="3" borderId="12" xfId="0" applyNumberFormat="1" applyFont="1" applyFill="1" applyBorder="1" applyAlignment="1">
      <alignment horizontal="center"/>
    </xf>
    <xf numFmtId="0" fontId="2" fillId="0" borderId="0" xfId="0" applyFont="1" applyAlignment="1">
      <alignment vertical="top"/>
    </xf>
    <xf numFmtId="43" fontId="2" fillId="0" borderId="0" xfId="0" applyNumberFormat="1" applyFont="1" applyAlignment="1">
      <alignment vertical="top"/>
    </xf>
    <xf numFmtId="165" fontId="2" fillId="0" borderId="0" xfId="0" applyNumberFormat="1" applyFont="1" applyAlignment="1">
      <alignment vertical="top"/>
    </xf>
    <xf numFmtId="43" fontId="4" fillId="0" borderId="2" xfId="0" applyNumberFormat="1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8" xfId="0" applyFont="1" applyBorder="1" applyAlignment="1">
      <alignment vertical="top" wrapText="1"/>
    </xf>
    <xf numFmtId="0" fontId="2" fillId="0" borderId="8" xfId="0" applyFont="1" applyBorder="1" applyAlignment="1">
      <alignment vertical="top"/>
    </xf>
    <xf numFmtId="43" fontId="2" fillId="0" borderId="8" xfId="0" applyNumberFormat="1" applyFont="1" applyBorder="1" applyAlignment="1">
      <alignment vertical="top"/>
    </xf>
    <xf numFmtId="0" fontId="2" fillId="0" borderId="15" xfId="0" applyFont="1" applyBorder="1" applyAlignment="1">
      <alignment vertical="top"/>
    </xf>
    <xf numFmtId="0" fontId="2" fillId="0" borderId="15" xfId="0" applyFont="1" applyBorder="1" applyAlignment="1">
      <alignment vertical="top" wrapText="1"/>
    </xf>
    <xf numFmtId="43" fontId="2" fillId="0" borderId="15" xfId="0" applyNumberFormat="1" applyFont="1" applyBorder="1" applyAlignment="1">
      <alignment vertical="top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vertical="top"/>
    </xf>
    <xf numFmtId="2" fontId="2" fillId="0" borderId="14" xfId="0" applyNumberFormat="1" applyFont="1" applyBorder="1" applyAlignment="1">
      <alignment vertical="top"/>
    </xf>
    <xf numFmtId="0" fontId="4" fillId="3" borderId="16" xfId="0" applyFont="1" applyFill="1" applyBorder="1"/>
    <xf numFmtId="164" fontId="3" fillId="3" borderId="16" xfId="0" applyNumberFormat="1" applyFont="1" applyFill="1" applyBorder="1" applyAlignment="1">
      <alignment horizontal="center"/>
    </xf>
    <xf numFmtId="0" fontId="4" fillId="3" borderId="17" xfId="0" applyFont="1" applyFill="1" applyBorder="1"/>
    <xf numFmtId="164" fontId="3" fillId="3" borderId="18" xfId="0" applyNumberFormat="1" applyFont="1" applyFill="1" applyBorder="1" applyAlignment="1">
      <alignment horizontal="center"/>
    </xf>
    <xf numFmtId="0" fontId="2" fillId="0" borderId="19" xfId="0" applyFont="1" applyBorder="1" applyAlignment="1">
      <alignment vertical="top"/>
    </xf>
    <xf numFmtId="43" fontId="2" fillId="0" borderId="20" xfId="0" applyNumberFormat="1" applyFont="1" applyBorder="1" applyAlignment="1">
      <alignment vertical="top"/>
    </xf>
    <xf numFmtId="0" fontId="2" fillId="0" borderId="21" xfId="0" applyFont="1" applyBorder="1" applyAlignment="1">
      <alignment vertical="top"/>
    </xf>
    <xf numFmtId="43" fontId="2" fillId="0" borderId="22" xfId="0" applyNumberFormat="1" applyFont="1" applyBorder="1" applyAlignment="1">
      <alignment vertical="top"/>
    </xf>
    <xf numFmtId="0" fontId="2" fillId="0" borderId="23" xfId="0" applyFont="1" applyBorder="1" applyAlignment="1">
      <alignment vertical="top"/>
    </xf>
    <xf numFmtId="43" fontId="2" fillId="0" borderId="24" xfId="0" applyNumberFormat="1" applyFont="1" applyBorder="1" applyAlignment="1">
      <alignment vertical="top"/>
    </xf>
    <xf numFmtId="0" fontId="2" fillId="0" borderId="25" xfId="0" applyFont="1" applyBorder="1" applyAlignment="1">
      <alignment vertical="top"/>
    </xf>
    <xf numFmtId="43" fontId="4" fillId="0" borderId="26" xfId="0" applyNumberFormat="1" applyFont="1" applyBorder="1" applyAlignment="1">
      <alignment vertical="top"/>
    </xf>
    <xf numFmtId="0" fontId="8" fillId="0" borderId="1" xfId="0" applyFont="1" applyBorder="1"/>
    <xf numFmtId="0" fontId="1" fillId="10" borderId="0" xfId="4" applyFill="1"/>
    <xf numFmtId="0" fontId="1" fillId="0" borderId="0" xfId="4"/>
    <xf numFmtId="0" fontId="17" fillId="0" borderId="0" xfId="5"/>
    <xf numFmtId="0" fontId="32" fillId="0" borderId="0" xfId="4" applyFont="1"/>
    <xf numFmtId="0" fontId="33" fillId="0" borderId="0" xfId="4" applyFont="1"/>
    <xf numFmtId="0" fontId="34" fillId="0" borderId="0" xfId="4" applyFont="1"/>
    <xf numFmtId="0" fontId="35" fillId="0" borderId="0" xfId="4" applyFont="1"/>
    <xf numFmtId="0" fontId="36" fillId="0" borderId="0" xfId="4" applyFont="1"/>
    <xf numFmtId="178" fontId="36" fillId="0" borderId="0" xfId="4" applyNumberFormat="1" applyFont="1"/>
    <xf numFmtId="0" fontId="37" fillId="0" borderId="0" xfId="4" applyFont="1"/>
    <xf numFmtId="179" fontId="38" fillId="0" borderId="0" xfId="4" applyNumberFormat="1" applyFont="1" applyAlignment="1">
      <alignment horizontal="left"/>
    </xf>
    <xf numFmtId="0" fontId="39" fillId="0" borderId="0" xfId="4" applyFont="1"/>
    <xf numFmtId="0" fontId="4" fillId="3" borderId="13" xfId="0" applyFont="1" applyFill="1" applyBorder="1" applyAlignment="1">
      <alignment horizontal="center"/>
    </xf>
  </cellXfs>
  <cellStyles count="6">
    <cellStyle name="Comma" xfId="2" builtinId="3"/>
    <cellStyle name="Currency" xfId="3" builtinId="4"/>
    <cellStyle name="Normal" xfId="0" builtinId="0"/>
    <cellStyle name="Normal 2" xfId="5" xr:uid="{0D858A5D-5BF1-403F-BEA2-3F91F435DDDC}"/>
    <cellStyle name="Normal 3" xfId="4" xr:uid="{0E449568-F94C-4ADF-8D89-37463DF0CF3B}"/>
    <cellStyle name="Percent" xfId="1" builtinId="5"/>
  </cellStyles>
  <dxfs count="10"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95250</xdr:colOff>
      <xdr:row>0</xdr:row>
      <xdr:rowOff>171450</xdr:rowOff>
    </xdr:from>
    <xdr:ext cx="876300" cy="876300"/>
    <xdr:pic>
      <xdr:nvPicPr>
        <xdr:cNvPr id="2" name="Picture 1">
          <a:extLst>
            <a:ext uri="{FF2B5EF4-FFF2-40B4-BE49-F238E27FC236}">
              <a16:creationId xmlns:a16="http://schemas.microsoft.com/office/drawing/2014/main" id="{269466B9-A542-45C6-B677-22B493906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171450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56D68-AE0B-4CE0-AC26-237A892B146E}">
  <sheetPr>
    <tabColor theme="1" tint="0.34998626667073579"/>
  </sheetPr>
  <dimension ref="A1:K43"/>
  <sheetViews>
    <sheetView showGridLines="0" workbookViewId="0">
      <selection activeCell="I15" sqref="I15"/>
    </sheetView>
  </sheetViews>
  <sheetFormatPr defaultColWidth="0" defaultRowHeight="12.75" customHeight="1" zeroHeight="1" x14ac:dyDescent="0.2"/>
  <cols>
    <col min="1" max="1" width="12.42578125" style="139" customWidth="1"/>
    <col min="2" max="2" width="2.42578125" style="139" customWidth="1"/>
    <col min="3" max="3" width="16.28515625" style="139" customWidth="1"/>
    <col min="4" max="11" width="10.28515625" style="139" customWidth="1"/>
    <col min="12" max="16384" width="10.28515625" style="139" hidden="1"/>
  </cols>
  <sheetData>
    <row r="1" spans="1:11" ht="15" x14ac:dyDescent="0.25">
      <c r="A1" s="137"/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1" ht="23.25" x14ac:dyDescent="0.35">
      <c r="A2" s="137"/>
      <c r="B2" s="138"/>
      <c r="C2" s="140" t="s">
        <v>24</v>
      </c>
      <c r="D2" s="141"/>
      <c r="E2" s="141"/>
      <c r="F2" s="138"/>
      <c r="G2" s="138"/>
      <c r="H2" s="138"/>
      <c r="I2" s="138"/>
      <c r="J2" s="138"/>
      <c r="K2" s="138"/>
    </row>
    <row r="3" spans="1:11" ht="15.75" x14ac:dyDescent="0.25">
      <c r="A3" s="137"/>
      <c r="B3" s="138"/>
      <c r="C3" s="142" t="s">
        <v>133</v>
      </c>
      <c r="D3" s="141"/>
      <c r="E3" s="141"/>
      <c r="F3" s="138"/>
      <c r="G3" s="138"/>
      <c r="H3" s="138"/>
      <c r="I3" s="138"/>
      <c r="J3" s="138"/>
      <c r="K3" s="138"/>
    </row>
    <row r="4" spans="1:11" ht="15" x14ac:dyDescent="0.25">
      <c r="A4" s="137"/>
      <c r="B4" s="138"/>
      <c r="C4" s="138"/>
      <c r="D4" s="141"/>
      <c r="E4" s="141"/>
      <c r="F4" s="138"/>
      <c r="G4" s="138"/>
      <c r="H4" s="138"/>
      <c r="I4" s="138"/>
      <c r="J4" s="138"/>
      <c r="K4" s="138"/>
    </row>
    <row r="5" spans="1:11" ht="15" x14ac:dyDescent="0.25">
      <c r="A5" s="137"/>
      <c r="B5" s="138"/>
      <c r="C5" s="143" t="str" cm="1">
        <f t="array" aca="1" ref="C5" ca="1">REPLACE(LEFT(_xlfn.TEXTAFTER(CELL("filename")," - ",1),FIND("Jan2025",_xlfn.TEXTAFTER(CELL("filename")," - "),1)-4),1,1,UPPER(LEFT(LEFT(_xlfn.TEXTAFTER(CELL("filename")," - ",1),FIND("Jan2025",_xlfn.TEXTAFTER(CELL("filename")," - "),1)-4),1)))</f>
        <v>Opex step changes</v>
      </c>
      <c r="D5" s="138"/>
      <c r="E5" s="138"/>
      <c r="F5" s="138"/>
      <c r="G5" s="138"/>
      <c r="H5" s="138"/>
      <c r="I5" s="138"/>
      <c r="J5" s="138"/>
      <c r="K5" s="138"/>
    </row>
    <row r="6" spans="1:11" ht="15" x14ac:dyDescent="0.25">
      <c r="A6" s="137"/>
      <c r="B6" s="138"/>
      <c r="C6" s="144" t="s">
        <v>134</v>
      </c>
      <c r="D6" s="145" t="str" cm="1">
        <f t="array" aca="1" ref="D6" ca="1">LEFT(_xlfn.TEXTAFTER(CELL("filename")," MOD "),FIND(" - ",_xlfn.TEXTAFTER(CELL("filename")," MOD "),1)-1)</f>
        <v>9.03</v>
      </c>
      <c r="E6" s="144"/>
      <c r="F6" s="138"/>
      <c r="G6" s="138"/>
      <c r="H6" s="138"/>
      <c r="I6" s="138"/>
      <c r="J6" s="138"/>
      <c r="K6" s="138"/>
    </row>
    <row r="7" spans="1:11" ht="15" x14ac:dyDescent="0.25">
      <c r="A7" s="137"/>
      <c r="B7" s="138"/>
      <c r="C7" s="138"/>
      <c r="D7" s="138"/>
      <c r="E7" s="138"/>
      <c r="F7" s="146"/>
      <c r="G7" s="146"/>
      <c r="H7" s="146"/>
      <c r="I7" s="138"/>
      <c r="J7" s="146"/>
      <c r="K7" s="146"/>
    </row>
    <row r="8" spans="1:11" ht="15" x14ac:dyDescent="0.25">
      <c r="A8" s="137"/>
      <c r="B8" s="138"/>
      <c r="C8" s="147">
        <v>45688</v>
      </c>
      <c r="D8" s="138"/>
      <c r="E8" s="138"/>
      <c r="F8" s="146"/>
      <c r="G8" s="146"/>
      <c r="H8" s="146"/>
      <c r="I8" s="138"/>
      <c r="J8" s="146"/>
      <c r="K8" s="146"/>
    </row>
    <row r="9" spans="1:11" ht="15" x14ac:dyDescent="0.25">
      <c r="A9" s="137"/>
      <c r="B9" s="138"/>
      <c r="C9" s="148"/>
      <c r="D9" s="148"/>
      <c r="E9" s="138"/>
      <c r="F9" s="146"/>
      <c r="G9" s="146"/>
      <c r="H9" s="146"/>
      <c r="I9" s="146"/>
      <c r="J9" s="146"/>
      <c r="K9" s="146"/>
    </row>
    <row r="10" spans="1:11" ht="15" x14ac:dyDescent="0.25">
      <c r="A10" s="137"/>
      <c r="B10" s="138"/>
      <c r="C10" s="148"/>
      <c r="D10" s="148"/>
      <c r="E10" s="138"/>
      <c r="F10" s="146"/>
      <c r="G10" s="146"/>
      <c r="H10" s="146"/>
      <c r="I10" s="146"/>
      <c r="J10" s="146"/>
      <c r="K10" s="146"/>
    </row>
    <row r="11" spans="1:11" ht="15" x14ac:dyDescent="0.25">
      <c r="A11" s="137"/>
      <c r="B11" s="138"/>
      <c r="C11" s="148"/>
      <c r="D11" s="148"/>
      <c r="E11" s="138"/>
      <c r="F11" s="146"/>
      <c r="G11" s="146"/>
      <c r="H11" s="146"/>
      <c r="I11" s="146"/>
      <c r="J11" s="146"/>
      <c r="K11" s="146"/>
    </row>
    <row r="12" spans="1:11" ht="15" x14ac:dyDescent="0.25">
      <c r="A12" s="137"/>
      <c r="B12" s="138"/>
      <c r="C12" s="148"/>
      <c r="D12" s="148"/>
      <c r="E12" s="138"/>
      <c r="F12" s="146"/>
      <c r="G12" s="146"/>
      <c r="H12" s="146"/>
      <c r="I12" s="146"/>
      <c r="J12" s="146"/>
      <c r="K12" s="146"/>
    </row>
    <row r="13" spans="1:11" ht="15" x14ac:dyDescent="0.25">
      <c r="A13" s="137"/>
      <c r="B13" s="138"/>
      <c r="C13" s="148"/>
      <c r="D13" s="148"/>
      <c r="E13" s="138"/>
      <c r="F13" s="146"/>
      <c r="G13" s="146"/>
      <c r="H13" s="146"/>
      <c r="I13" s="146"/>
      <c r="J13" s="146"/>
      <c r="K13" s="146"/>
    </row>
    <row r="14" spans="1:11" ht="15" x14ac:dyDescent="0.25">
      <c r="A14" s="137"/>
      <c r="B14" s="138"/>
      <c r="C14" s="146"/>
      <c r="D14" s="146"/>
      <c r="E14" s="146"/>
      <c r="F14" s="146"/>
      <c r="G14" s="146"/>
      <c r="H14" s="146"/>
      <c r="I14" s="146"/>
      <c r="J14" s="146"/>
      <c r="K14" s="146"/>
    </row>
    <row r="15" spans="1:11" ht="15" x14ac:dyDescent="0.25">
      <c r="A15" s="137"/>
      <c r="B15" s="138"/>
      <c r="C15" s="143"/>
      <c r="D15" s="146"/>
      <c r="E15" s="146"/>
      <c r="F15" s="146"/>
      <c r="G15" s="146"/>
      <c r="H15" s="146"/>
      <c r="I15" s="146"/>
      <c r="J15" s="146"/>
      <c r="K15" s="146"/>
    </row>
    <row r="16" spans="1:11" ht="15" x14ac:dyDescent="0.25">
      <c r="A16" s="137"/>
      <c r="B16" s="138"/>
      <c r="C16" s="143"/>
      <c r="D16" s="146"/>
      <c r="E16" s="146"/>
      <c r="F16" s="146"/>
      <c r="G16" s="146"/>
      <c r="H16" s="146"/>
      <c r="I16" s="146"/>
      <c r="J16" s="146"/>
      <c r="K16" s="146"/>
    </row>
    <row r="17" spans="1:11" ht="15" x14ac:dyDescent="0.25">
      <c r="A17" s="137"/>
      <c r="B17" s="138"/>
      <c r="C17" s="146"/>
      <c r="D17" s="146"/>
      <c r="E17" s="146"/>
      <c r="F17" s="146"/>
      <c r="G17" s="146"/>
      <c r="H17" s="146"/>
      <c r="I17" s="146"/>
      <c r="J17" s="146"/>
      <c r="K17" s="146"/>
    </row>
    <row r="18" spans="1:11" ht="15" x14ac:dyDescent="0.25">
      <c r="A18" s="137"/>
      <c r="B18" s="138"/>
      <c r="C18" s="146"/>
      <c r="D18" s="146"/>
      <c r="E18" s="146"/>
      <c r="F18" s="146"/>
      <c r="G18" s="146"/>
      <c r="H18" s="146"/>
      <c r="I18" s="146"/>
      <c r="J18" s="146"/>
      <c r="K18" s="146"/>
    </row>
    <row r="19" spans="1:11" ht="15" x14ac:dyDescent="0.25">
      <c r="A19" s="137"/>
      <c r="B19" s="138"/>
      <c r="C19" s="146"/>
      <c r="D19" s="146"/>
      <c r="E19" s="146"/>
      <c r="F19" s="146"/>
      <c r="H19" s="146"/>
      <c r="I19" s="146"/>
      <c r="J19" s="146"/>
      <c r="K19" s="146"/>
    </row>
    <row r="20" spans="1:11" ht="15" x14ac:dyDescent="0.25">
      <c r="A20" s="137"/>
      <c r="B20" s="138"/>
      <c r="C20" s="146"/>
      <c r="D20" s="146"/>
      <c r="E20" s="146"/>
      <c r="F20" s="146"/>
      <c r="G20" s="146"/>
      <c r="H20" s="146"/>
      <c r="I20" s="146"/>
      <c r="J20" s="146"/>
      <c r="K20" s="146"/>
    </row>
    <row r="21" spans="1:11" ht="15" x14ac:dyDescent="0.25">
      <c r="A21" s="137"/>
      <c r="B21" s="138"/>
      <c r="C21" s="146"/>
      <c r="D21" s="146"/>
      <c r="E21" s="146"/>
      <c r="F21" s="146"/>
      <c r="G21" s="146"/>
      <c r="H21" s="146"/>
      <c r="I21" s="146"/>
      <c r="J21" s="146"/>
      <c r="K21" s="146"/>
    </row>
    <row r="22" spans="1:11" ht="15" x14ac:dyDescent="0.25">
      <c r="A22" s="137"/>
      <c r="B22" s="138"/>
      <c r="C22" s="146"/>
      <c r="D22" s="146"/>
      <c r="E22" s="146"/>
      <c r="F22" s="146"/>
      <c r="G22" s="146"/>
      <c r="H22" s="146"/>
      <c r="I22" s="146"/>
      <c r="J22" s="146"/>
      <c r="K22" s="146"/>
    </row>
    <row r="23" spans="1:11" ht="15" x14ac:dyDescent="0.25">
      <c r="A23" s="137"/>
      <c r="B23" s="138"/>
      <c r="C23" s="146"/>
      <c r="D23" s="146"/>
      <c r="E23" s="146"/>
      <c r="F23" s="146"/>
      <c r="G23" s="146"/>
      <c r="H23" s="146"/>
      <c r="I23" s="146"/>
      <c r="J23" s="146"/>
      <c r="K23" s="146"/>
    </row>
    <row r="24" spans="1:11" ht="15" x14ac:dyDescent="0.25">
      <c r="A24" s="137"/>
      <c r="B24" s="138"/>
      <c r="C24" s="146"/>
      <c r="D24" s="146"/>
      <c r="E24" s="146"/>
      <c r="F24" s="146"/>
      <c r="G24" s="146"/>
      <c r="H24" s="146"/>
      <c r="I24" s="146"/>
      <c r="J24" s="146"/>
      <c r="K24" s="146"/>
    </row>
    <row r="25" spans="1:11" ht="15" x14ac:dyDescent="0.25">
      <c r="A25" s="137"/>
      <c r="B25" s="138"/>
      <c r="C25" s="146"/>
      <c r="D25" s="146"/>
      <c r="E25" s="146"/>
      <c r="F25" s="146"/>
      <c r="G25" s="146"/>
      <c r="H25" s="146"/>
      <c r="I25" s="146"/>
      <c r="J25" s="146"/>
      <c r="K25" s="146"/>
    </row>
    <row r="26" spans="1:11" ht="15" x14ac:dyDescent="0.25">
      <c r="A26" s="137"/>
      <c r="B26" s="138"/>
      <c r="C26" s="146"/>
      <c r="D26" s="146"/>
      <c r="E26" s="146"/>
      <c r="F26" s="146"/>
      <c r="G26" s="146"/>
      <c r="H26" s="146"/>
      <c r="I26" s="146"/>
      <c r="J26" s="146"/>
      <c r="K26" s="146"/>
    </row>
    <row r="27" spans="1:11" ht="15" x14ac:dyDescent="0.25">
      <c r="A27" s="137"/>
      <c r="B27" s="138"/>
      <c r="C27" s="146"/>
      <c r="D27" s="146"/>
      <c r="E27" s="146"/>
      <c r="F27" s="146"/>
      <c r="G27" s="146"/>
      <c r="H27" s="146"/>
      <c r="I27" s="146"/>
      <c r="J27" s="146"/>
      <c r="K27" s="146"/>
    </row>
    <row r="28" spans="1:11" ht="15" x14ac:dyDescent="0.25">
      <c r="A28" s="137"/>
      <c r="B28" s="138"/>
      <c r="C28" s="146"/>
      <c r="D28" s="146"/>
      <c r="E28" s="146"/>
      <c r="F28" s="146"/>
      <c r="G28" s="146"/>
      <c r="H28" s="146"/>
      <c r="I28" s="146"/>
      <c r="J28" s="146"/>
      <c r="K28" s="146"/>
    </row>
    <row r="29" spans="1:11" ht="15" x14ac:dyDescent="0.25">
      <c r="A29" s="137"/>
      <c r="B29" s="138"/>
      <c r="C29" s="146"/>
      <c r="D29" s="146"/>
      <c r="E29" s="146"/>
      <c r="F29" s="146"/>
      <c r="G29" s="146"/>
      <c r="H29" s="146"/>
      <c r="I29" s="146"/>
      <c r="J29" s="146"/>
      <c r="K29" s="146"/>
    </row>
    <row r="30" spans="1:11" ht="15" x14ac:dyDescent="0.25">
      <c r="A30" s="137"/>
      <c r="B30" s="138"/>
      <c r="C30" s="146"/>
      <c r="D30" s="138"/>
      <c r="E30" s="146"/>
      <c r="F30" s="146"/>
      <c r="G30" s="146"/>
      <c r="H30" s="146"/>
      <c r="I30" s="146"/>
      <c r="J30" s="146"/>
      <c r="K30" s="146"/>
    </row>
    <row r="31" spans="1:11" ht="15" x14ac:dyDescent="0.25">
      <c r="A31" s="137"/>
      <c r="B31" s="138"/>
      <c r="C31" s="138"/>
      <c r="D31" s="138"/>
      <c r="E31" s="138"/>
      <c r="F31" s="138"/>
      <c r="G31" s="138"/>
      <c r="H31" s="138"/>
      <c r="I31" s="138"/>
      <c r="J31" s="138"/>
      <c r="K31" s="138"/>
    </row>
    <row r="32" spans="1:11" ht="15" x14ac:dyDescent="0.25">
      <c r="A32" s="137"/>
      <c r="B32" s="138"/>
      <c r="C32" s="138"/>
      <c r="D32" s="138"/>
      <c r="E32" s="138"/>
      <c r="F32" s="138"/>
      <c r="G32" s="138"/>
      <c r="H32" s="138"/>
      <c r="I32" s="138"/>
      <c r="J32" s="138"/>
      <c r="K32" s="138"/>
    </row>
    <row r="33" spans="1:11" ht="15" x14ac:dyDescent="0.25">
      <c r="A33" s="137"/>
      <c r="B33" s="138"/>
      <c r="C33" s="138"/>
      <c r="D33" s="138"/>
      <c r="E33" s="138"/>
      <c r="F33" s="138"/>
      <c r="G33" s="138"/>
      <c r="H33" s="138"/>
      <c r="I33" s="138"/>
      <c r="J33" s="138"/>
      <c r="K33" s="138"/>
    </row>
    <row r="34" spans="1:11" ht="15" x14ac:dyDescent="0.25">
      <c r="A34" s="137"/>
      <c r="B34" s="138"/>
      <c r="C34" s="138"/>
      <c r="D34" s="138"/>
      <c r="E34" s="138"/>
      <c r="F34" s="138"/>
      <c r="G34" s="138"/>
      <c r="H34" s="138"/>
      <c r="I34" s="138"/>
      <c r="J34" s="138"/>
      <c r="K34" s="138"/>
    </row>
    <row r="35" spans="1:11" ht="15" x14ac:dyDescent="0.25">
      <c r="A35" s="137"/>
      <c r="B35" s="138"/>
      <c r="C35" s="138"/>
      <c r="D35" s="138"/>
      <c r="E35" s="138"/>
      <c r="F35" s="138"/>
      <c r="G35" s="138"/>
      <c r="H35" s="138"/>
      <c r="I35" s="138"/>
      <c r="J35" s="138"/>
      <c r="K35" s="138"/>
    </row>
    <row r="36" spans="1:11" ht="15" x14ac:dyDescent="0.25">
      <c r="A36" s="137"/>
      <c r="B36" s="138"/>
      <c r="C36" s="138"/>
      <c r="D36" s="138"/>
      <c r="E36" s="138"/>
      <c r="F36" s="138"/>
      <c r="G36" s="138"/>
      <c r="H36" s="138"/>
      <c r="I36" s="138"/>
      <c r="J36" s="138"/>
      <c r="K36" s="138"/>
    </row>
    <row r="37" spans="1:11" ht="15" x14ac:dyDescent="0.25">
      <c r="A37" s="137"/>
      <c r="B37" s="138"/>
      <c r="C37" s="138"/>
      <c r="D37" s="138"/>
      <c r="E37" s="138"/>
      <c r="F37" s="138"/>
      <c r="G37" s="138"/>
      <c r="H37" s="138"/>
      <c r="I37" s="138"/>
      <c r="J37" s="138"/>
      <c r="K37" s="138"/>
    </row>
    <row r="38" spans="1:11" ht="15" x14ac:dyDescent="0.25">
      <c r="A38" s="137"/>
      <c r="B38" s="138"/>
      <c r="C38" s="138"/>
      <c r="D38" s="138"/>
      <c r="E38" s="138"/>
      <c r="F38" s="138"/>
      <c r="G38" s="138"/>
      <c r="H38" s="138"/>
      <c r="I38" s="138"/>
      <c r="J38" s="138"/>
      <c r="K38" s="138"/>
    </row>
    <row r="39" spans="1:11" ht="15" x14ac:dyDescent="0.25">
      <c r="A39" s="137"/>
      <c r="B39" s="138"/>
      <c r="C39" s="138"/>
      <c r="D39" s="138"/>
      <c r="E39" s="138"/>
      <c r="F39" s="138"/>
      <c r="G39" s="138"/>
      <c r="H39" s="138"/>
      <c r="I39" s="138"/>
      <c r="J39" s="138"/>
      <c r="K39" s="138"/>
    </row>
    <row r="40" spans="1:11" ht="15" x14ac:dyDescent="0.25">
      <c r="A40" s="137"/>
      <c r="B40" s="138"/>
      <c r="C40" s="138"/>
      <c r="D40" s="138"/>
      <c r="E40" s="138"/>
      <c r="F40" s="138"/>
      <c r="G40" s="138"/>
      <c r="H40" s="138"/>
      <c r="I40" s="138"/>
      <c r="J40" s="138"/>
      <c r="K40" s="138"/>
    </row>
    <row r="41" spans="1:11" ht="15" x14ac:dyDescent="0.25">
      <c r="A41" s="137"/>
      <c r="B41" s="138"/>
      <c r="C41" s="138"/>
      <c r="D41" s="138"/>
      <c r="E41" s="138"/>
      <c r="F41" s="138"/>
      <c r="G41" s="138"/>
      <c r="H41" s="138"/>
      <c r="I41" s="138"/>
      <c r="J41" s="138"/>
      <c r="K41" s="138"/>
    </row>
    <row r="42" spans="1:11" ht="15" x14ac:dyDescent="0.25">
      <c r="A42" s="137"/>
      <c r="B42" s="138"/>
      <c r="C42" s="138"/>
      <c r="D42" s="138"/>
      <c r="E42" s="138"/>
      <c r="F42" s="138"/>
      <c r="G42" s="138"/>
      <c r="H42" s="138"/>
      <c r="I42" s="138"/>
      <c r="J42" s="138"/>
      <c r="K42" s="138"/>
    </row>
    <row r="43" spans="1:11" ht="15" x14ac:dyDescent="0.25">
      <c r="A43" s="137"/>
      <c r="B43" s="138"/>
      <c r="C43" s="138"/>
      <c r="D43" s="138"/>
      <c r="E43" s="138"/>
      <c r="F43" s="138"/>
      <c r="G43" s="138"/>
      <c r="H43" s="138"/>
      <c r="I43" s="138"/>
      <c r="J43" s="138"/>
      <c r="K43" s="138"/>
    </row>
  </sheetData>
  <conditionalFormatting sqref="C5">
    <cfRule type="expression" dxfId="9" priority="1">
      <formula>LEFT(C5,1)="&lt;"</formula>
    </cfRule>
  </conditionalFormatting>
  <conditionalFormatting sqref="D6">
    <cfRule type="expression" dxfId="8" priority="2">
      <formula>LEFT(D6,1)="&lt;"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6C238-DAFC-4E6B-9685-F9E6F1D58666}">
  <dimension ref="A1:M16"/>
  <sheetViews>
    <sheetView showGridLines="0" tabSelected="1" workbookViewId="0">
      <selection activeCell="D22" sqref="D22"/>
    </sheetView>
  </sheetViews>
  <sheetFormatPr defaultColWidth="9.140625" defaultRowHeight="15" x14ac:dyDescent="0.25"/>
  <cols>
    <col min="1" max="1" width="35.42578125" style="1" customWidth="1"/>
    <col min="2" max="2" width="24.5703125" style="1" bestFit="1" customWidth="1"/>
    <col min="3" max="3" width="26.5703125" style="1" customWidth="1"/>
    <col min="4" max="4" width="32.42578125" style="1" bestFit="1" customWidth="1"/>
    <col min="5" max="5" width="12.7109375" style="1" bestFit="1" customWidth="1"/>
    <col min="6" max="6" width="10.5703125" style="1" bestFit="1" customWidth="1"/>
    <col min="7" max="16384" width="9.140625" style="1"/>
  </cols>
  <sheetData>
    <row r="1" spans="1:13" ht="21" x14ac:dyDescent="0.35">
      <c r="A1" s="26" t="s">
        <v>71</v>
      </c>
      <c r="B1" s="21"/>
      <c r="C1" s="22"/>
      <c r="D1" s="22"/>
      <c r="E1" s="22"/>
      <c r="F1" s="22"/>
      <c r="G1" s="22"/>
      <c r="H1" s="22"/>
      <c r="I1" s="22"/>
      <c r="J1" s="54"/>
      <c r="K1" s="54"/>
    </row>
    <row r="2" spans="1:13" ht="15.75" x14ac:dyDescent="0.25">
      <c r="A2" s="29" t="s">
        <v>24</v>
      </c>
      <c r="B2" s="23"/>
      <c r="C2" s="22"/>
      <c r="D2" s="22"/>
      <c r="E2" s="22"/>
      <c r="F2" s="22"/>
      <c r="G2" s="22"/>
      <c r="H2" s="22"/>
      <c r="I2" s="22"/>
      <c r="J2" s="54"/>
      <c r="K2" s="54"/>
    </row>
    <row r="3" spans="1:13" x14ac:dyDescent="0.25">
      <c r="A3" s="30"/>
      <c r="B3" s="24"/>
      <c r="C3" s="24"/>
      <c r="D3" s="24"/>
      <c r="E3" s="24"/>
      <c r="F3" s="24"/>
      <c r="G3" s="24"/>
      <c r="H3" s="24"/>
      <c r="I3" s="24"/>
      <c r="J3" s="55"/>
      <c r="K3" s="55"/>
    </row>
    <row r="6" spans="1:13" x14ac:dyDescent="0.25">
      <c r="A6" s="126" t="s">
        <v>42</v>
      </c>
      <c r="B6" s="124" t="s">
        <v>49</v>
      </c>
      <c r="C6" s="124" t="s">
        <v>130</v>
      </c>
      <c r="D6" s="124" t="s">
        <v>69</v>
      </c>
      <c r="E6" s="124"/>
      <c r="F6" s="125">
        <v>46539</v>
      </c>
      <c r="G6" s="125">
        <v>46905</v>
      </c>
      <c r="H6" s="125">
        <v>47270</v>
      </c>
      <c r="I6" s="125">
        <v>47635</v>
      </c>
      <c r="J6" s="125">
        <v>48000</v>
      </c>
      <c r="K6" s="127" t="s">
        <v>8</v>
      </c>
    </row>
    <row r="7" spans="1:13" s="110" customFormat="1" x14ac:dyDescent="0.25">
      <c r="A7" s="128" t="s">
        <v>128</v>
      </c>
      <c r="B7" s="122" t="s">
        <v>50</v>
      </c>
      <c r="C7" s="121" t="s">
        <v>124</v>
      </c>
      <c r="D7" s="122" t="s">
        <v>120</v>
      </c>
      <c r="E7" s="122" t="s">
        <v>61</v>
      </c>
      <c r="F7" s="123">
        <f>'PAL CAP Summary'!D20/10^6</f>
        <v>5.3074359021237196</v>
      </c>
      <c r="G7" s="123">
        <f>'PAL CAP Summary'!E20/10^6</f>
        <v>5.2774669944649393</v>
      </c>
      <c r="H7" s="123">
        <f>'PAL CAP Summary'!F20/10^6</f>
        <v>5.3258865985800456</v>
      </c>
      <c r="I7" s="123">
        <f>'PAL CAP Summary'!G20/10^6</f>
        <v>5.3798570651660587</v>
      </c>
      <c r="J7" s="123">
        <f>'PAL CAP Summary'!H20/10^6</f>
        <v>5.4319608373376447</v>
      </c>
      <c r="K7" s="129">
        <f t="shared" ref="K7:K14" si="0">SUM(F7:J7)</f>
        <v>26.722607397672409</v>
      </c>
      <c r="M7" s="112"/>
    </row>
    <row r="8" spans="1:13" s="110" customFormat="1" ht="30" x14ac:dyDescent="0.25">
      <c r="A8" s="130" t="s">
        <v>63</v>
      </c>
      <c r="B8" s="116" t="s">
        <v>50</v>
      </c>
      <c r="C8" s="115" t="s">
        <v>125</v>
      </c>
      <c r="D8" s="116" t="s">
        <v>40</v>
      </c>
      <c r="E8" s="116" t="s">
        <v>61</v>
      </c>
      <c r="F8" s="117">
        <v>16.685609632193191</v>
      </c>
      <c r="G8" s="117">
        <v>31.239577108465628</v>
      </c>
      <c r="H8" s="117">
        <v>60.099078799928051</v>
      </c>
      <c r="I8" s="117">
        <v>61.781127219971971</v>
      </c>
      <c r="J8" s="117">
        <v>63.117752423873888</v>
      </c>
      <c r="K8" s="131">
        <f t="shared" si="0"/>
        <v>232.92314518443274</v>
      </c>
      <c r="M8" s="111"/>
    </row>
    <row r="9" spans="1:13" s="110" customFormat="1" x14ac:dyDescent="0.25">
      <c r="A9" s="130" t="s">
        <v>64</v>
      </c>
      <c r="B9" s="116" t="s">
        <v>50</v>
      </c>
      <c r="C9" s="115" t="s">
        <v>124</v>
      </c>
      <c r="D9" s="116" t="s">
        <v>62</v>
      </c>
      <c r="E9" s="116" t="s">
        <v>61</v>
      </c>
      <c r="F9" s="117">
        <f>SUMIF('IT projects'!$B$8:$B$18,$A9,'IT projects'!N$8:N$19)</f>
        <v>1.8699015930762717</v>
      </c>
      <c r="G9" s="117">
        <f>SUMIF('IT projects'!$B$8:$B$18,$A9,'IT projects'!O$8:O$19)</f>
        <v>6.184074572960566</v>
      </c>
      <c r="H9" s="117">
        <f>SUMIF('IT projects'!$B$8:$B$18,$A9,'IT projects'!P$8:P$19)</f>
        <v>6.2673838233883394</v>
      </c>
      <c r="I9" s="117">
        <f>SUMIF('IT projects'!$B$8:$B$18,$A9,'IT projects'!Q$8:Q$19)</f>
        <v>7.0176544430130372</v>
      </c>
      <c r="J9" s="117">
        <f>SUMIF('IT projects'!$B$8:$B$18,$A9,'IT projects'!R$8:R$19)</f>
        <v>7.3797758130484512</v>
      </c>
      <c r="K9" s="131">
        <f t="shared" si="0"/>
        <v>28.718790245486666</v>
      </c>
      <c r="M9" s="111"/>
    </row>
    <row r="10" spans="1:13" s="110" customFormat="1" x14ac:dyDescent="0.25">
      <c r="A10" s="130" t="s">
        <v>65</v>
      </c>
      <c r="B10" s="116" t="s">
        <v>50</v>
      </c>
      <c r="C10" s="115" t="s">
        <v>126</v>
      </c>
      <c r="D10" s="116" t="s">
        <v>62</v>
      </c>
      <c r="E10" s="116" t="s">
        <v>61</v>
      </c>
      <c r="F10" s="117">
        <f>SUMIF('IT projects'!$B$8:$B$18,$A10,'IT projects'!N$8:N$19)</f>
        <v>3.4741126017678794</v>
      </c>
      <c r="G10" s="117">
        <f>SUMIF('IT projects'!$B$8:$B$18,$A10,'IT projects'!O$8:O$19)</f>
        <v>8.8389268356715878</v>
      </c>
      <c r="H10" s="117">
        <f>SUMIF('IT projects'!$B$8:$B$18,$A10,'IT projects'!P$8:P$19)</f>
        <v>5.3862628844166052</v>
      </c>
      <c r="I10" s="117">
        <f>SUMIF('IT projects'!$B$8:$B$18,$A10,'IT projects'!Q$8:Q$19)</f>
        <v>5.9796260516853668</v>
      </c>
      <c r="J10" s="117">
        <f>SUMIF('IT projects'!$B$8:$B$18,$A10,'IT projects'!R$8:R$19)</f>
        <v>2.3714765656160166</v>
      </c>
      <c r="K10" s="131">
        <f t="shared" si="0"/>
        <v>26.050404939157456</v>
      </c>
      <c r="M10" s="111"/>
    </row>
    <row r="11" spans="1:13" s="110" customFormat="1" x14ac:dyDescent="0.25">
      <c r="A11" s="130" t="s">
        <v>66</v>
      </c>
      <c r="B11" s="116" t="s">
        <v>62</v>
      </c>
      <c r="C11" s="116" t="s">
        <v>62</v>
      </c>
      <c r="D11" s="116" t="s">
        <v>62</v>
      </c>
      <c r="E11" s="116" t="s">
        <v>61</v>
      </c>
      <c r="F11" s="117">
        <f>SUMIF('IT projects'!$B$8:$B$18,$A11,'IT projects'!N$8:N$19)</f>
        <v>-0.41835433074748163</v>
      </c>
      <c r="G11" s="117">
        <f>SUMIF('IT projects'!$B$8:$B$18,$A11,'IT projects'!O$8:O$19)</f>
        <v>2.2676947494525663</v>
      </c>
      <c r="H11" s="117">
        <f>SUMIF('IT projects'!$B$8:$B$18,$A11,'IT projects'!P$8:P$19)</f>
        <v>5.4862019972123512</v>
      </c>
      <c r="I11" s="117">
        <f>SUMIF('IT projects'!$B$8:$B$18,$A11,'IT projects'!Q$8:Q$19)</f>
        <v>6.9983795943211344</v>
      </c>
      <c r="J11" s="117">
        <f>SUMIF('IT projects'!$B$8:$B$18,$A11,'IT projects'!R$8:R$19)</f>
        <v>7.6811185861458187</v>
      </c>
      <c r="K11" s="131">
        <f t="shared" si="0"/>
        <v>22.015040596384388</v>
      </c>
      <c r="M11" s="111"/>
    </row>
    <row r="12" spans="1:13" s="110" customFormat="1" x14ac:dyDescent="0.25">
      <c r="A12" s="130" t="s">
        <v>67</v>
      </c>
      <c r="B12" s="116" t="s">
        <v>50</v>
      </c>
      <c r="C12" s="115" t="s">
        <v>124</v>
      </c>
      <c r="D12" s="116" t="s">
        <v>140</v>
      </c>
      <c r="E12" s="116" t="s">
        <v>61</v>
      </c>
      <c r="F12" s="117">
        <f>'Customer support officer'!F21/10^6</f>
        <v>0.77988602875193169</v>
      </c>
      <c r="G12" s="117">
        <f>'Customer support officer'!G21/10^6</f>
        <v>0.78613628861291696</v>
      </c>
      <c r="H12" s="117">
        <f>'Customer support officer'!H21/10^6</f>
        <v>0.7933489169278034</v>
      </c>
      <c r="I12" s="117">
        <f>'Customer support officer'!I21/10^6</f>
        <v>0.80138840677039924</v>
      </c>
      <c r="J12" s="117">
        <f>'Customer support officer'!J21/10^6</f>
        <v>0.80914983211340241</v>
      </c>
      <c r="K12" s="131">
        <f t="shared" si="0"/>
        <v>3.9699094731764539</v>
      </c>
      <c r="M12" s="111"/>
    </row>
    <row r="13" spans="1:13" s="110" customFormat="1" x14ac:dyDescent="0.25">
      <c r="A13" s="130" t="s">
        <v>67</v>
      </c>
      <c r="B13" s="116" t="s">
        <v>50</v>
      </c>
      <c r="C13" s="115" t="s">
        <v>124</v>
      </c>
      <c r="D13" s="116" t="s">
        <v>62</v>
      </c>
      <c r="E13" s="116" t="s">
        <v>61</v>
      </c>
      <c r="F13" s="117">
        <f>SUMIF('IT projects'!$B$8:$B$18,$A13,'IT projects'!N$8:N$19)</f>
        <v>0.50143294842267871</v>
      </c>
      <c r="G13" s="117">
        <f>SUMIF('IT projects'!$B$8:$B$18,$A13,'IT projects'!O$8:O$19)</f>
        <v>0.57347057436979121</v>
      </c>
      <c r="H13" s="117">
        <f>SUMIF('IT projects'!$B$8:$B$18,$A13,'IT projects'!P$8:P$19)</f>
        <v>0.57873204132198064</v>
      </c>
      <c r="I13" s="117">
        <f>SUMIF('IT projects'!$B$8:$B$18,$A13,'IT projects'!Q$8:Q$19)</f>
        <v>0.58459668708945722</v>
      </c>
      <c r="J13" s="117">
        <f>SUMIF('IT projects'!$B$8:$B$18,$A13,'IT projects'!R$8:R$19)</f>
        <v>0.59025849041014311</v>
      </c>
      <c r="K13" s="131">
        <f t="shared" si="0"/>
        <v>2.828490741614051</v>
      </c>
      <c r="M13" s="111"/>
    </row>
    <row r="14" spans="1:13" s="110" customFormat="1" x14ac:dyDescent="0.25">
      <c r="A14" s="132" t="s">
        <v>129</v>
      </c>
      <c r="B14" s="118" t="s">
        <v>50</v>
      </c>
      <c r="C14" s="119" t="s">
        <v>124</v>
      </c>
      <c r="D14" s="118" t="s">
        <v>68</v>
      </c>
      <c r="E14" s="118" t="s">
        <v>61</v>
      </c>
      <c r="F14" s="120">
        <v>0</v>
      </c>
      <c r="G14" s="120">
        <v>-0.16251776761456393</v>
      </c>
      <c r="H14" s="120">
        <v>-0.25755003300089413</v>
      </c>
      <c r="I14" s="120">
        <v>-0.27720996350045496</v>
      </c>
      <c r="J14" s="120">
        <v>-0.29726153738451494</v>
      </c>
      <c r="K14" s="133">
        <f t="shared" si="0"/>
        <v>-0.99453930150042802</v>
      </c>
      <c r="M14" s="111"/>
    </row>
    <row r="15" spans="1:13" s="110" customFormat="1" x14ac:dyDescent="0.25">
      <c r="A15" s="134"/>
      <c r="B15" s="114"/>
      <c r="C15" s="114"/>
      <c r="D15" s="114"/>
      <c r="E15" s="114"/>
      <c r="F15" s="113">
        <f t="shared" ref="F15:K15" si="1">SUM(F7:F14)</f>
        <v>28.200024375588193</v>
      </c>
      <c r="G15" s="113">
        <f t="shared" si="1"/>
        <v>55.004829356383432</v>
      </c>
      <c r="H15" s="113">
        <f t="shared" si="1"/>
        <v>83.679345028774279</v>
      </c>
      <c r="I15" s="113">
        <f t="shared" si="1"/>
        <v>88.265419504516984</v>
      </c>
      <c r="J15" s="113">
        <f t="shared" si="1"/>
        <v>87.084231011160853</v>
      </c>
      <c r="K15" s="135">
        <f t="shared" si="1"/>
        <v>342.23384927642377</v>
      </c>
      <c r="M15" s="111"/>
    </row>
    <row r="16" spans="1:13" s="110" customFormat="1" x14ac:dyDescent="0.25"/>
  </sheetData>
  <conditionalFormatting sqref="F6:K6">
    <cfRule type="expression" dxfId="7" priority="1">
      <formula>#REF!=#REF!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85468-ECB6-4C23-9E78-FD257E2E5DB7}">
  <dimension ref="A1:XEQ26"/>
  <sheetViews>
    <sheetView showGridLines="0" workbookViewId="0">
      <selection activeCell="I15" sqref="I15"/>
    </sheetView>
  </sheetViews>
  <sheetFormatPr defaultColWidth="9.140625" defaultRowHeight="15" x14ac:dyDescent="0.25"/>
  <cols>
    <col min="1" max="1" width="4.85546875" style="1" customWidth="1"/>
    <col min="2" max="2" width="39" style="1" bestFit="1" customWidth="1"/>
    <col min="3" max="3" width="10.5703125" style="1" bestFit="1" customWidth="1"/>
    <col min="4" max="7" width="9.140625" style="1" customWidth="1"/>
    <col min="8" max="8" width="11.5703125" style="1" bestFit="1" customWidth="1"/>
    <col min="9" max="10" width="9.140625" style="1" customWidth="1"/>
    <col min="11" max="11" width="11.5703125" style="1" bestFit="1" customWidth="1"/>
    <col min="12" max="16384" width="9.140625" style="1"/>
  </cols>
  <sheetData>
    <row r="1" spans="1:16371" s="9" customFormat="1" ht="21" x14ac:dyDescent="0.35">
      <c r="A1" s="26" t="s">
        <v>9</v>
      </c>
      <c r="B1" s="21"/>
      <c r="C1" s="22"/>
      <c r="D1" s="22"/>
      <c r="E1" s="22"/>
      <c r="F1" s="22"/>
      <c r="G1" s="22"/>
      <c r="H1" s="22"/>
      <c r="I1" s="22"/>
      <c r="J1" s="54"/>
    </row>
    <row r="2" spans="1:16371" s="9" customFormat="1" ht="15.75" x14ac:dyDescent="0.25">
      <c r="A2" s="29" t="s">
        <v>24</v>
      </c>
      <c r="B2" s="23"/>
      <c r="C2" s="22"/>
      <c r="D2" s="22"/>
      <c r="E2" s="22"/>
      <c r="F2" s="22"/>
      <c r="G2" s="22"/>
      <c r="H2" s="22"/>
      <c r="I2" s="22"/>
      <c r="J2" s="54"/>
    </row>
    <row r="3" spans="1:16371" s="56" customFormat="1" x14ac:dyDescent="0.25">
      <c r="A3" s="30" t="s">
        <v>71</v>
      </c>
      <c r="B3" s="24"/>
      <c r="C3" s="24"/>
      <c r="D3" s="24"/>
      <c r="E3" s="24"/>
      <c r="F3" s="24"/>
      <c r="G3" s="24"/>
      <c r="H3" s="24"/>
      <c r="I3" s="24"/>
      <c r="J3" s="55"/>
    </row>
    <row r="4" spans="1:16371" s="56" customForma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pans="1:16371" s="56" customForma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</row>
    <row r="6" spans="1:16371" x14ac:dyDescent="0.25">
      <c r="A6" s="95"/>
      <c r="B6" s="20" t="s">
        <v>23</v>
      </c>
      <c r="C6" s="95"/>
      <c r="D6" s="95"/>
      <c r="E6" s="95"/>
      <c r="F6" s="95"/>
      <c r="G6" s="95"/>
      <c r="H6" s="95"/>
      <c r="I6" s="95"/>
      <c r="J6" s="95"/>
    </row>
    <row r="8" spans="1:16371" x14ac:dyDescent="0.25">
      <c r="B8" s="1" t="s">
        <v>29</v>
      </c>
      <c r="C8" s="12" t="s">
        <v>30</v>
      </c>
      <c r="D8" s="11">
        <v>1.0714723985099393</v>
      </c>
    </row>
    <row r="9" spans="1:16371" x14ac:dyDescent="0.25">
      <c r="B9" s="1" t="s">
        <v>21</v>
      </c>
      <c r="C9" s="12" t="s">
        <v>22</v>
      </c>
      <c r="D9" s="11">
        <v>1.0415299949916583</v>
      </c>
    </row>
    <row r="12" spans="1:16371" x14ac:dyDescent="0.25">
      <c r="A12" s="95"/>
      <c r="B12" s="20" t="s">
        <v>72</v>
      </c>
      <c r="C12" s="136" t="s">
        <v>123</v>
      </c>
      <c r="D12" s="95"/>
      <c r="E12" s="95"/>
      <c r="F12" s="95"/>
      <c r="G12" s="95"/>
      <c r="H12" s="95"/>
      <c r="I12" s="95"/>
      <c r="J12" s="95"/>
    </row>
    <row r="14" spans="1:16371" x14ac:dyDescent="0.25">
      <c r="D14" s="4" t="s">
        <v>31</v>
      </c>
      <c r="E14" s="4" t="s">
        <v>32</v>
      </c>
      <c r="F14" s="4" t="s">
        <v>11</v>
      </c>
      <c r="G14" s="4" t="s">
        <v>12</v>
      </c>
      <c r="H14" s="4" t="s">
        <v>13</v>
      </c>
      <c r="I14" s="4" t="s">
        <v>14</v>
      </c>
      <c r="J14" s="4" t="s">
        <v>15</v>
      </c>
    </row>
    <row r="15" spans="1:16371" x14ac:dyDescent="0.25">
      <c r="B15" s="1" t="s">
        <v>0</v>
      </c>
      <c r="D15" s="2">
        <v>2.3800000000000002E-2</v>
      </c>
      <c r="E15" s="2">
        <v>2.2599999999999999E-2</v>
      </c>
      <c r="F15" s="2">
        <v>8.3540705438707175E-3</v>
      </c>
      <c r="G15" s="2">
        <v>7.3587100156624619E-3</v>
      </c>
      <c r="H15" s="2">
        <v>8.4859008253557189E-3</v>
      </c>
      <c r="I15" s="2">
        <v>1.0754798391217291E-2</v>
      </c>
      <c r="J15" s="2">
        <v>1.0754798391217291E-2</v>
      </c>
    </row>
    <row r="16" spans="1:16371" x14ac:dyDescent="0.25">
      <c r="B16" s="1" t="s">
        <v>1</v>
      </c>
      <c r="D16" s="14"/>
      <c r="E16" s="14"/>
      <c r="F16" s="13">
        <v>1.1627048788004135E-2</v>
      </c>
      <c r="G16" s="2">
        <v>9.7167112576105781E-3</v>
      </c>
      <c r="H16" s="2">
        <v>1.2509981063376197E-2</v>
      </c>
      <c r="I16" s="2">
        <v>1.3480376168036013E-2</v>
      </c>
      <c r="J16" s="2">
        <v>1.1964706087105283E-2</v>
      </c>
    </row>
    <row r="17" spans="2:10" x14ac:dyDescent="0.25">
      <c r="B17" s="5" t="s">
        <v>2</v>
      </c>
      <c r="C17" s="5"/>
      <c r="D17" s="6">
        <f t="shared" ref="D17:E17" si="0">AVERAGE(D15:D16)</f>
        <v>2.3800000000000002E-2</v>
      </c>
      <c r="E17" s="6">
        <f t="shared" si="0"/>
        <v>2.2599999999999999E-2</v>
      </c>
      <c r="F17" s="6">
        <f>AVERAGE(F15:F16)</f>
        <v>9.9905596659374263E-3</v>
      </c>
      <c r="G17" s="6">
        <f t="shared" ref="G17:J17" si="1">AVERAGE(G15:G16)</f>
        <v>8.53771063663652E-3</v>
      </c>
      <c r="H17" s="6">
        <f t="shared" si="1"/>
        <v>1.0497940944365958E-2</v>
      </c>
      <c r="I17" s="6">
        <f t="shared" si="1"/>
        <v>1.2117587279626651E-2</v>
      </c>
      <c r="J17" s="6">
        <f t="shared" si="1"/>
        <v>1.1359752239161287E-2</v>
      </c>
    </row>
    <row r="18" spans="2:10" x14ac:dyDescent="0.25">
      <c r="B18" s="1" t="s">
        <v>3</v>
      </c>
      <c r="D18" s="2">
        <v>0</v>
      </c>
      <c r="E18" s="2">
        <v>5.0000000000000001E-3</v>
      </c>
      <c r="F18" s="2">
        <v>5.0000000000000001E-3</v>
      </c>
      <c r="G18" s="2">
        <v>5.0000000000000001E-3</v>
      </c>
      <c r="H18" s="2">
        <v>5.0000000000000001E-3</v>
      </c>
      <c r="I18" s="2">
        <v>5.0000000000000001E-3</v>
      </c>
      <c r="J18" s="2">
        <v>5.0000000000000001E-3</v>
      </c>
    </row>
    <row r="19" spans="2:10" x14ac:dyDescent="0.25">
      <c r="B19" s="5" t="s">
        <v>4</v>
      </c>
      <c r="C19" s="5"/>
      <c r="D19" s="6">
        <f>D17+D18</f>
        <v>2.3800000000000002E-2</v>
      </c>
      <c r="E19" s="6">
        <f>E17+E18</f>
        <v>2.76E-2</v>
      </c>
      <c r="F19" s="6">
        <f>F17+F18</f>
        <v>1.4990559665937427E-2</v>
      </c>
      <c r="G19" s="6">
        <f t="shared" ref="G19:J19" si="2">G17+G18</f>
        <v>1.3537710636636519E-2</v>
      </c>
      <c r="H19" s="6">
        <f t="shared" si="2"/>
        <v>1.5497940944365959E-2</v>
      </c>
      <c r="I19" s="6">
        <f t="shared" si="2"/>
        <v>1.7117587279626652E-2</v>
      </c>
      <c r="J19" s="6">
        <f t="shared" si="2"/>
        <v>1.6359752239161286E-2</v>
      </c>
    </row>
    <row r="21" spans="2:10" x14ac:dyDescent="0.25">
      <c r="B21" s="1" t="s">
        <v>7</v>
      </c>
      <c r="D21" s="2">
        <f>E21</f>
        <v>0.59199999999999997</v>
      </c>
      <c r="E21" s="2">
        <f>F21</f>
        <v>0.59199999999999997</v>
      </c>
      <c r="F21" s="2">
        <v>0.59199999999999997</v>
      </c>
      <c r="G21" s="2">
        <v>0.59199999999999997</v>
      </c>
      <c r="H21" s="2">
        <v>0.59199999999999997</v>
      </c>
      <c r="I21" s="2">
        <v>0.59199999999999997</v>
      </c>
      <c r="J21" s="2">
        <v>0.59199999999999997</v>
      </c>
    </row>
    <row r="23" spans="2:10" x14ac:dyDescent="0.25">
      <c r="B23" s="1" t="s">
        <v>5</v>
      </c>
      <c r="D23" s="3">
        <f t="shared" ref="D23:E23" si="3">D19*D21</f>
        <v>1.4089600000000001E-2</v>
      </c>
      <c r="E23" s="3">
        <f t="shared" si="3"/>
        <v>1.6339199999999998E-2</v>
      </c>
      <c r="F23" s="3">
        <f>F19*F21</f>
        <v>8.8744113222349562E-3</v>
      </c>
      <c r="G23" s="3">
        <f>G19*G21</f>
        <v>8.014324696888819E-3</v>
      </c>
      <c r="H23" s="3">
        <f>H19*H21</f>
        <v>9.1747810390646473E-3</v>
      </c>
      <c r="I23" s="3">
        <f>I19*I21</f>
        <v>1.0133611669538977E-2</v>
      </c>
      <c r="J23" s="3">
        <f>J19*J21</f>
        <v>9.6849733255834815E-3</v>
      </c>
    </row>
    <row r="24" spans="2:10" x14ac:dyDescent="0.25">
      <c r="B24" s="5" t="s">
        <v>6</v>
      </c>
      <c r="D24" s="8" cm="1">
        <f t="array" ref="D24">PRODUCT(1+D23:$D23)-1</f>
        <v>1.4089599999999924E-2</v>
      </c>
      <c r="E24" s="8" cm="1">
        <f t="array" ref="E24">PRODUCT(1+$D23:E23)-1</f>
        <v>3.0659012792319862E-2</v>
      </c>
      <c r="F24" s="8" cm="1">
        <f t="array" ref="F24">PRODUCT(1+$D23:F23)-1</f>
        <v>3.9805504804807601E-2</v>
      </c>
      <c r="G24" s="8" cm="1">
        <f t="array" ref="G24">PRODUCT(1+$D23:G23)-1</f>
        <v>4.8138843741925896E-2</v>
      </c>
      <c r="H24" s="8" cm="1">
        <f t="array" ref="H24">PRODUCT(1+$D23:H23)-1</f>
        <v>5.7755288131796423E-2</v>
      </c>
      <c r="I24" s="8" cm="1">
        <f t="array" ref="I24">PRODUCT(1+$D23:I23)-1</f>
        <v>6.8474169463125456E-2</v>
      </c>
      <c r="J24" s="8" cm="1">
        <f t="array" ref="J24">PRODUCT(1+$D23:J23)-1</f>
        <v>7.8822313293450907E-2</v>
      </c>
    </row>
    <row r="26" spans="2:10" x14ac:dyDescent="0.25">
      <c r="B26" s="12"/>
      <c r="F26" s="7"/>
      <c r="G26" s="7"/>
      <c r="H26" s="7"/>
      <c r="I26" s="7"/>
      <c r="J26" s="7"/>
    </row>
  </sheetData>
  <conditionalFormatting sqref="D14:J14">
    <cfRule type="expression" dxfId="6" priority="3">
      <formula>D$42=#REF!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A803B-77DA-410B-B824-F66E9B69B73A}">
  <dimension ref="A1:S37"/>
  <sheetViews>
    <sheetView showGridLines="0" workbookViewId="0">
      <selection activeCell="E18" sqref="E18"/>
    </sheetView>
  </sheetViews>
  <sheetFormatPr defaultRowHeight="15" x14ac:dyDescent="0.25"/>
  <cols>
    <col min="1" max="1" width="3.42578125" style="1" customWidth="1"/>
    <col min="2" max="2" width="35" style="1" bestFit="1" customWidth="1"/>
    <col min="3" max="3" width="35.5703125" style="1" bestFit="1" customWidth="1"/>
    <col min="4" max="4" width="24.5703125" style="1" bestFit="1" customWidth="1"/>
    <col min="5" max="5" width="44.28515625" style="1" bestFit="1" customWidth="1"/>
    <col min="6" max="6" width="13.28515625" style="1" bestFit="1" customWidth="1"/>
    <col min="7" max="7" width="9.5703125" style="1" bestFit="1" customWidth="1"/>
    <col min="8" max="12" width="9.140625" style="1"/>
    <col min="13" max="13" width="2.42578125" style="1" customWidth="1"/>
    <col min="14" max="16384" width="9.140625" style="1"/>
  </cols>
  <sheetData>
    <row r="1" spans="1:19" s="9" customFormat="1" ht="21" x14ac:dyDescent="0.35">
      <c r="A1" s="26" t="s">
        <v>122</v>
      </c>
      <c r="B1" s="21"/>
      <c r="C1" s="22"/>
      <c r="D1" s="22"/>
      <c r="E1" s="22"/>
      <c r="F1" s="22"/>
      <c r="G1" s="22"/>
      <c r="H1" s="22"/>
      <c r="I1" s="22"/>
      <c r="J1" s="22"/>
      <c r="K1" s="54"/>
      <c r="L1" s="54"/>
      <c r="M1" s="54"/>
      <c r="N1" s="54"/>
      <c r="O1" s="54"/>
      <c r="P1" s="54"/>
      <c r="Q1" s="54"/>
      <c r="R1" s="54"/>
      <c r="S1" s="54"/>
    </row>
    <row r="2" spans="1:19" s="9" customFormat="1" ht="15.75" x14ac:dyDescent="0.25">
      <c r="A2" s="29" t="s">
        <v>24</v>
      </c>
      <c r="B2" s="23"/>
      <c r="C2" s="22"/>
      <c r="D2" s="22"/>
      <c r="E2" s="22"/>
      <c r="F2" s="22"/>
      <c r="G2" s="22"/>
      <c r="H2" s="22"/>
      <c r="I2" s="22"/>
      <c r="J2" s="22"/>
      <c r="K2" s="54"/>
      <c r="L2" s="54"/>
      <c r="M2" s="54"/>
      <c r="N2" s="54"/>
      <c r="O2" s="54"/>
      <c r="P2" s="54"/>
      <c r="Q2" s="54"/>
      <c r="R2" s="54"/>
      <c r="S2" s="54"/>
    </row>
    <row r="3" spans="1:19" s="56" customFormat="1" x14ac:dyDescent="0.25">
      <c r="A3" s="30" t="s">
        <v>71</v>
      </c>
      <c r="B3" s="24"/>
      <c r="C3" s="24"/>
      <c r="D3" s="24"/>
      <c r="E3" s="24"/>
      <c r="F3" s="24"/>
      <c r="G3" s="24"/>
      <c r="H3" s="24"/>
      <c r="I3" s="24"/>
      <c r="J3" s="24"/>
      <c r="K3" s="55"/>
      <c r="L3" s="55"/>
      <c r="M3" s="55"/>
      <c r="N3" s="55"/>
      <c r="O3" s="55"/>
      <c r="P3" s="55"/>
      <c r="Q3" s="55"/>
      <c r="R3" s="55"/>
      <c r="S3" s="55"/>
    </row>
    <row r="6" spans="1:19" ht="15.75" thickBot="1" x14ac:dyDescent="0.3">
      <c r="B6" s="107"/>
      <c r="C6" s="107"/>
      <c r="D6" s="107"/>
      <c r="E6" s="107"/>
      <c r="F6" s="107"/>
      <c r="G6" s="149" t="s">
        <v>45</v>
      </c>
      <c r="H6" s="149"/>
      <c r="I6" s="149"/>
      <c r="J6" s="149"/>
      <c r="K6" s="149"/>
      <c r="L6" s="149"/>
      <c r="N6" s="149" t="s">
        <v>46</v>
      </c>
      <c r="O6" s="149"/>
      <c r="P6" s="149"/>
      <c r="Q6" s="149"/>
      <c r="R6" s="149"/>
      <c r="S6" s="149"/>
    </row>
    <row r="7" spans="1:19" ht="15.75" thickTop="1" x14ac:dyDescent="0.25">
      <c r="B7" s="108" t="s">
        <v>127</v>
      </c>
      <c r="C7" s="108" t="s">
        <v>47</v>
      </c>
      <c r="D7" s="108" t="s">
        <v>49</v>
      </c>
      <c r="E7" s="108" t="s">
        <v>44</v>
      </c>
      <c r="F7" s="108" t="s">
        <v>48</v>
      </c>
      <c r="G7" s="109">
        <v>46539</v>
      </c>
      <c r="H7" s="109">
        <v>46905</v>
      </c>
      <c r="I7" s="109">
        <v>47270</v>
      </c>
      <c r="J7" s="109">
        <v>47635</v>
      </c>
      <c r="K7" s="109">
        <v>48000</v>
      </c>
      <c r="L7" s="109" t="s">
        <v>8</v>
      </c>
      <c r="N7" s="109">
        <v>46539</v>
      </c>
      <c r="O7" s="109">
        <v>46905</v>
      </c>
      <c r="P7" s="109">
        <v>47270</v>
      </c>
      <c r="Q7" s="109">
        <v>47635</v>
      </c>
      <c r="R7" s="109">
        <v>48000</v>
      </c>
      <c r="S7" s="109" t="s">
        <v>8</v>
      </c>
    </row>
    <row r="8" spans="1:19" x14ac:dyDescent="0.25">
      <c r="B8" s="1" t="s">
        <v>64</v>
      </c>
      <c r="C8" s="15" t="s">
        <v>33</v>
      </c>
      <c r="D8" s="15" t="s">
        <v>50</v>
      </c>
      <c r="E8" s="15" t="s">
        <v>124</v>
      </c>
      <c r="F8" s="1" t="s">
        <v>38</v>
      </c>
      <c r="G8" s="19">
        <v>1.3579230434346403</v>
      </c>
      <c r="H8" s="19">
        <v>4.429093407855631</v>
      </c>
      <c r="I8" s="19">
        <v>4.4583480778211575</v>
      </c>
      <c r="J8" s="19">
        <v>5.1010958441238321</v>
      </c>
      <c r="K8" s="19">
        <v>5.3737594424958992</v>
      </c>
      <c r="L8" s="17">
        <f>SUM(G8:K8)</f>
        <v>20.720219815731159</v>
      </c>
      <c r="N8" s="17">
        <f>G8*(1+Assumptions!F$24)</f>
        <v>1.4119758556646369</v>
      </c>
      <c r="O8" s="17">
        <f>H8*(1+Assumptions!G$24)</f>
        <v>4.6423048433347871</v>
      </c>
      <c r="P8" s="17">
        <f>I8*(1+Assumptions!H$24)</f>
        <v>4.7158412556475593</v>
      </c>
      <c r="Q8" s="17">
        <f>J8*(1+Assumptions!I$24)</f>
        <v>5.4503891454020126</v>
      </c>
      <c r="R8" s="17">
        <f>K8*(1+Assumptions!J$24)</f>
        <v>5.7973315928359508</v>
      </c>
      <c r="S8" s="17">
        <f>SUM(N8:R8)</f>
        <v>22.017842692884948</v>
      </c>
    </row>
    <row r="9" spans="1:19" x14ac:dyDescent="0.25">
      <c r="B9" s="1" t="s">
        <v>64</v>
      </c>
      <c r="C9" s="15" t="s">
        <v>34</v>
      </c>
      <c r="D9" s="15" t="s">
        <v>50</v>
      </c>
      <c r="E9" s="15" t="s">
        <v>124</v>
      </c>
      <c r="F9" s="1" t="s">
        <v>36</v>
      </c>
      <c r="G9" s="19">
        <v>0</v>
      </c>
      <c r="H9" s="19">
        <v>0.86696571437655889</v>
      </c>
      <c r="I9" s="19">
        <v>0.86696571437655889</v>
      </c>
      <c r="J9" s="19">
        <v>0.86696571437655889</v>
      </c>
      <c r="K9" s="19">
        <v>0.86696571437655889</v>
      </c>
      <c r="L9" s="17">
        <f t="shared" ref="L9:L18" si="0">SUM(G9:K9)</f>
        <v>3.4678628575062356</v>
      </c>
      <c r="N9" s="17">
        <f>G9*(1+Assumptions!F$24)</f>
        <v>0</v>
      </c>
      <c r="O9" s="17">
        <f>H9*(1+Assumptions!G$24)</f>
        <v>0.90870044143053919</v>
      </c>
      <c r="P9" s="17">
        <f>I9*(1+Assumptions!H$24)</f>
        <v>0.91703756901076572</v>
      </c>
      <c r="Q9" s="17">
        <f>J9*(1+Assumptions!I$24)</f>
        <v>0.92633047162149906</v>
      </c>
      <c r="R9" s="17">
        <f>K9*(1+Assumptions!J$24)</f>
        <v>0.93530195752982848</v>
      </c>
      <c r="S9" s="17">
        <f t="shared" ref="S9:S17" si="1">SUM(N9:R9)</f>
        <v>3.687370439592633</v>
      </c>
    </row>
    <row r="10" spans="1:19" x14ac:dyDescent="0.25">
      <c r="B10" s="1" t="s">
        <v>64</v>
      </c>
      <c r="C10" s="15" t="s">
        <v>35</v>
      </c>
      <c r="D10" s="15" t="s">
        <v>50</v>
      </c>
      <c r="E10" s="15" t="s">
        <v>124</v>
      </c>
      <c r="F10" s="1" t="s">
        <v>37</v>
      </c>
      <c r="G10" s="19">
        <v>0.44039556945565195</v>
      </c>
      <c r="H10" s="19">
        <v>0.60399372847889155</v>
      </c>
      <c r="I10" s="19">
        <v>0.59985991641854552</v>
      </c>
      <c r="J10" s="19">
        <v>0.59985991641854552</v>
      </c>
      <c r="K10" s="19">
        <v>0.59985991641854552</v>
      </c>
      <c r="L10" s="17">
        <f t="shared" si="0"/>
        <v>2.8439690471901797</v>
      </c>
      <c r="N10" s="17">
        <f>G10*(1+Assumptions!F$24)</f>
        <v>0.45792573741163489</v>
      </c>
      <c r="O10" s="17">
        <f>H10*(1+Assumptions!G$24)</f>
        <v>0.63306928819524011</v>
      </c>
      <c r="P10" s="17">
        <f>I10*(1+Assumptions!H$24)</f>
        <v>0.63450499873001398</v>
      </c>
      <c r="Q10" s="17">
        <f>J10*(1+Assumptions!I$24)</f>
        <v>0.64093482598952534</v>
      </c>
      <c r="R10" s="17">
        <f>K10*(1+Assumptions!J$24)</f>
        <v>0.64714226268267139</v>
      </c>
      <c r="S10" s="17">
        <f t="shared" si="1"/>
        <v>3.0135771130090858</v>
      </c>
    </row>
    <row r="11" spans="1:19" x14ac:dyDescent="0.25">
      <c r="B11" s="1" t="s">
        <v>65</v>
      </c>
      <c r="C11" s="16" t="s">
        <v>51</v>
      </c>
      <c r="D11" s="15" t="s">
        <v>50</v>
      </c>
      <c r="E11" s="1" t="s">
        <v>126</v>
      </c>
      <c r="F11" s="1" t="s">
        <v>57</v>
      </c>
      <c r="G11" s="19">
        <v>0.55280616152977091</v>
      </c>
      <c r="H11" s="19">
        <v>0.27147958434258457</v>
      </c>
      <c r="I11" s="19">
        <v>0.38985917470390913</v>
      </c>
      <c r="J11" s="19">
        <v>0.8663350909967561</v>
      </c>
      <c r="K11" s="19">
        <v>0.49277344744731544</v>
      </c>
      <c r="L11" s="17">
        <f t="shared" si="0"/>
        <v>2.5732534590203362</v>
      </c>
      <c r="N11" s="17">
        <f>G11*(1+Assumptions!F$24)</f>
        <v>0.57481088984867146</v>
      </c>
      <c r="O11" s="17">
        <f>H11*(1+Assumptions!G$24)</f>
        <v>0.28454829763237521</v>
      </c>
      <c r="P11" s="17">
        <f>I11*(1+Assumptions!H$24)</f>
        <v>0.41237560366975778</v>
      </c>
      <c r="Q11" s="17">
        <f>J11*(1+Assumptions!I$24)</f>
        <v>0.92565666682952019</v>
      </c>
      <c r="R11" s="17">
        <f>K11*(1+Assumptions!J$24)</f>
        <v>0.53161499050470162</v>
      </c>
      <c r="S11" s="17">
        <f t="shared" si="1"/>
        <v>2.729006448485026</v>
      </c>
    </row>
    <row r="12" spans="1:19" x14ac:dyDescent="0.25">
      <c r="B12" s="1" t="s">
        <v>65</v>
      </c>
      <c r="C12" s="16" t="s">
        <v>52</v>
      </c>
      <c r="D12" s="15" t="s">
        <v>50</v>
      </c>
      <c r="E12" s="1" t="s">
        <v>126</v>
      </c>
      <c r="F12" s="1" t="s">
        <v>58</v>
      </c>
      <c r="G12" s="19">
        <v>2.7883115626161885</v>
      </c>
      <c r="H12" s="19">
        <v>8.1614936695786486</v>
      </c>
      <c r="I12" s="19">
        <v>4.7023043387773642</v>
      </c>
      <c r="J12" s="19">
        <v>4.7300810158052826</v>
      </c>
      <c r="K12" s="19">
        <v>1.7054352254678049</v>
      </c>
      <c r="L12" s="17">
        <f t="shared" si="0"/>
        <v>22.087625812245289</v>
      </c>
      <c r="N12" s="17">
        <f>G12*(1+Assumptions!F$24)</f>
        <v>2.8993017119192079</v>
      </c>
      <c r="O12" s="17">
        <f>H12*(1+Assumptions!G$24)</f>
        <v>8.554378538039213</v>
      </c>
      <c r="P12" s="17">
        <f>I12*(1+Assumptions!H$24)</f>
        <v>4.9738872807468475</v>
      </c>
      <c r="Q12" s="17">
        <f>J12*(1+Assumptions!I$24)</f>
        <v>5.0539693848558462</v>
      </c>
      <c r="R12" s="17">
        <f>K12*(1+Assumptions!J$24)</f>
        <v>1.8398615751113152</v>
      </c>
      <c r="S12" s="17">
        <f t="shared" si="1"/>
        <v>23.321398490672429</v>
      </c>
    </row>
    <row r="13" spans="1:19" x14ac:dyDescent="0.25">
      <c r="B13" s="1" t="s">
        <v>65</v>
      </c>
      <c r="C13" s="16" t="s">
        <v>53</v>
      </c>
      <c r="D13" s="15" t="s">
        <v>50</v>
      </c>
      <c r="E13" s="1" t="s">
        <v>126</v>
      </c>
      <c r="F13" s="1" t="s">
        <v>59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7">
        <f t="shared" si="0"/>
        <v>0</v>
      </c>
      <c r="N13" s="17">
        <f>G13*(1+Assumptions!F$24)</f>
        <v>0</v>
      </c>
      <c r="O13" s="17">
        <f>H13*(1+Assumptions!G$24)</f>
        <v>0</v>
      </c>
      <c r="P13" s="17">
        <f>I13*(1+Assumptions!H$24)</f>
        <v>0</v>
      </c>
      <c r="Q13" s="17">
        <f>J13*(1+Assumptions!I$24)</f>
        <v>0</v>
      </c>
      <c r="R13" s="17">
        <f>K13*(1+Assumptions!J$24)</f>
        <v>0</v>
      </c>
      <c r="S13" s="17">
        <f t="shared" si="1"/>
        <v>0</v>
      </c>
    </row>
    <row r="14" spans="1:19" x14ac:dyDescent="0.25">
      <c r="B14" s="1" t="s">
        <v>66</v>
      </c>
      <c r="C14" s="16" t="s">
        <v>54</v>
      </c>
      <c r="D14" s="16" t="s">
        <v>43</v>
      </c>
      <c r="E14" s="16" t="s">
        <v>131</v>
      </c>
      <c r="F14" s="1" t="s">
        <v>57</v>
      </c>
      <c r="G14" s="19">
        <v>0.27147958434258457</v>
      </c>
      <c r="H14" s="19">
        <v>1.5227876996064764</v>
      </c>
      <c r="I14" s="19">
        <v>2.1031718223069156</v>
      </c>
      <c r="J14" s="19">
        <v>2.6721039744229853</v>
      </c>
      <c r="K14" s="19">
        <v>3.2166521678334621</v>
      </c>
      <c r="L14" s="17">
        <f t="shared" si="0"/>
        <v>9.7861952485124242</v>
      </c>
      <c r="N14" s="17">
        <f>G14*(1+Assumptions!F$24)</f>
        <v>0.28228596624154051</v>
      </c>
      <c r="O14" s="17">
        <f>H14*(1+Assumptions!G$24)</f>
        <v>1.5960929387299594</v>
      </c>
      <c r="P14" s="17">
        <f>I14*(1+Assumptions!H$24)</f>
        <v>2.2246411168949267</v>
      </c>
      <c r="Q14" s="17">
        <f>J14*(1+Assumptions!I$24)</f>
        <v>2.855074074790716</v>
      </c>
      <c r="R14" s="17">
        <f>K14*(1+Assumptions!J$24)</f>
        <v>3.4701961327624891</v>
      </c>
      <c r="S14" s="17">
        <f t="shared" si="1"/>
        <v>10.428290229419632</v>
      </c>
    </row>
    <row r="15" spans="1:19" x14ac:dyDescent="0.25">
      <c r="B15" s="1" t="s">
        <v>66</v>
      </c>
      <c r="C15" s="16" t="s">
        <v>55</v>
      </c>
      <c r="D15" s="16" t="s">
        <v>43</v>
      </c>
      <c r="E15" s="16" t="s">
        <v>131</v>
      </c>
      <c r="F15" s="1" t="s">
        <v>58</v>
      </c>
      <c r="G15" s="19">
        <v>-0.88671814133272986</v>
      </c>
      <c r="H15" s="19">
        <v>-7.5404822095031035E-2</v>
      </c>
      <c r="I15" s="19">
        <v>0.90618413204440718</v>
      </c>
      <c r="J15" s="19">
        <v>0.90618413204440718</v>
      </c>
      <c r="K15" s="19">
        <v>0.90618413204440718</v>
      </c>
      <c r="L15" s="17">
        <f t="shared" si="0"/>
        <v>1.7564294327054606</v>
      </c>
      <c r="N15" s="17">
        <f>G15*(1+Assumptions!F$24)</f>
        <v>-0.92201440456805994</v>
      </c>
      <c r="O15" s="17">
        <f>H15*(1+Assumptions!G$24)</f>
        <v>-7.9034723043251459E-2</v>
      </c>
      <c r="P15" s="17">
        <f>I15*(1+Assumptions!H$24)</f>
        <v>0.95852105769109375</v>
      </c>
      <c r="Q15" s="17">
        <f>J15*(1+Assumptions!I$24)</f>
        <v>0.96823433786681112</v>
      </c>
      <c r="R15" s="17">
        <f>K15*(1+Assumptions!J$24)</f>
        <v>0.97761166160196533</v>
      </c>
      <c r="S15" s="17">
        <f t="shared" si="1"/>
        <v>1.9033179295485589</v>
      </c>
    </row>
    <row r="16" spans="1:19" x14ac:dyDescent="0.25">
      <c r="B16" s="1" t="s">
        <v>66</v>
      </c>
      <c r="C16" s="16" t="s">
        <v>56</v>
      </c>
      <c r="D16" s="16" t="s">
        <v>43</v>
      </c>
      <c r="E16" s="16" t="s">
        <v>131</v>
      </c>
      <c r="F16" s="1" t="s">
        <v>59</v>
      </c>
      <c r="G16" s="19">
        <v>0.21289953414950818</v>
      </c>
      <c r="H16" s="19">
        <v>0.71616135424008887</v>
      </c>
      <c r="I16" s="19">
        <v>1.5289846740388378</v>
      </c>
      <c r="J16" s="19">
        <v>2.2908733615470211</v>
      </c>
      <c r="K16" s="19">
        <v>2.2823186114317306</v>
      </c>
      <c r="L16" s="17">
        <f t="shared" si="0"/>
        <v>7.0312375354071861</v>
      </c>
      <c r="N16" s="17">
        <f>G16*(1+Assumptions!F$24)</f>
        <v>0.22137410757903772</v>
      </c>
      <c r="O16" s="17">
        <f>H16*(1+Assumptions!G$24)</f>
        <v>0.75063653376585859</v>
      </c>
      <c r="P16" s="17">
        <f>I16*(1+Assumptions!H$24)</f>
        <v>1.6172916244370517</v>
      </c>
      <c r="Q16" s="17">
        <f>J16*(1+Assumptions!I$24)</f>
        <v>2.4477390123241518</v>
      </c>
      <c r="R16" s="17">
        <f>K16*(1+Assumptions!J$24)</f>
        <v>2.4622162440574762</v>
      </c>
      <c r="S16" s="17">
        <f t="shared" si="1"/>
        <v>7.4992575221635764</v>
      </c>
    </row>
    <row r="17" spans="2:19" x14ac:dyDescent="0.25">
      <c r="B17" s="1" t="s">
        <v>66</v>
      </c>
      <c r="C17" s="16" t="s">
        <v>132</v>
      </c>
      <c r="D17" s="15" t="s">
        <v>50</v>
      </c>
      <c r="E17" s="16" t="s">
        <v>137</v>
      </c>
      <c r="F17" s="1" t="s">
        <v>60</v>
      </c>
      <c r="G17" s="19">
        <v>0</v>
      </c>
      <c r="H17" s="19">
        <v>0</v>
      </c>
      <c r="I17" s="19">
        <v>0.64830514759273306</v>
      </c>
      <c r="J17" s="19">
        <v>0.68072040497236963</v>
      </c>
      <c r="K17" s="19">
        <v>0.71475583904996853</v>
      </c>
      <c r="L17" s="17">
        <f t="shared" si="0"/>
        <v>2.0437813916150711</v>
      </c>
      <c r="N17" s="17">
        <f>G17*(1+Assumptions!F$24)</f>
        <v>0</v>
      </c>
      <c r="O17" s="17">
        <f>H17*(1+Assumptions!G$24)</f>
        <v>0</v>
      </c>
      <c r="P17" s="17">
        <f>I17*(1+Assumptions!H$24)</f>
        <v>0.68574819818927812</v>
      </c>
      <c r="Q17" s="17">
        <f>J17*(1+Assumptions!I$24)</f>
        <v>0.7273321693394551</v>
      </c>
      <c r="R17" s="17">
        <f>K17*(1+Assumptions!J$24)</f>
        <v>0.77109454772388852</v>
      </c>
      <c r="S17" s="17">
        <f t="shared" si="1"/>
        <v>2.1841749152526218</v>
      </c>
    </row>
    <row r="18" spans="2:19" x14ac:dyDescent="0.25">
      <c r="B18" s="1" t="s">
        <v>67</v>
      </c>
      <c r="C18" s="16" t="s">
        <v>70</v>
      </c>
      <c r="D18" s="15" t="s">
        <v>50</v>
      </c>
      <c r="E18" s="15" t="s">
        <v>124</v>
      </c>
      <c r="F18" s="1" t="s">
        <v>39</v>
      </c>
      <c r="G18" s="19">
        <v>0.48223725120286587</v>
      </c>
      <c r="H18" s="19">
        <v>0.5471322599995081</v>
      </c>
      <c r="I18" s="19">
        <v>0.5471322599995081</v>
      </c>
      <c r="J18" s="19">
        <v>0.5471322599995081</v>
      </c>
      <c r="K18" s="19">
        <v>0.5471322599995081</v>
      </c>
      <c r="L18" s="17">
        <f t="shared" si="0"/>
        <v>2.670766291200898</v>
      </c>
      <c r="N18" s="17">
        <f>G18*(1+Assumptions!F$24)</f>
        <v>0.50143294842267871</v>
      </c>
      <c r="O18" s="17">
        <f>H18*(1+Assumptions!G$24)</f>
        <v>0.57347057436979121</v>
      </c>
      <c r="P18" s="17">
        <f>I18*(1+Assumptions!H$24)</f>
        <v>0.57873204132198064</v>
      </c>
      <c r="Q18" s="17">
        <f>J18*(1+Assumptions!I$24)</f>
        <v>0.58459668708945722</v>
      </c>
      <c r="R18" s="17">
        <f>K18*(1+Assumptions!J$24)</f>
        <v>0.59025849041014311</v>
      </c>
      <c r="S18" s="17">
        <f t="shared" ref="S18" si="2">SUM(N18:R18)</f>
        <v>2.828490741614051</v>
      </c>
    </row>
    <row r="19" spans="2:19" x14ac:dyDescent="0.25">
      <c r="C19" s="16"/>
      <c r="D19" s="15"/>
      <c r="E19" s="15"/>
      <c r="G19" s="19"/>
      <c r="H19" s="19"/>
      <c r="I19" s="19"/>
      <c r="J19" s="19"/>
      <c r="K19" s="19"/>
      <c r="L19" s="17"/>
      <c r="N19" s="17"/>
      <c r="O19" s="17"/>
      <c r="P19" s="17"/>
      <c r="Q19" s="17"/>
      <c r="R19" s="17"/>
      <c r="S19" s="17"/>
    </row>
    <row r="20" spans="2:19" x14ac:dyDescent="0.25">
      <c r="B20" s="48"/>
      <c r="C20" s="48"/>
      <c r="D20" s="48"/>
      <c r="E20" s="48"/>
      <c r="F20" s="48"/>
      <c r="G20" s="18">
        <f>SUM(G8:G18)</f>
        <v>5.21933456539848</v>
      </c>
      <c r="H20" s="18">
        <f t="shared" ref="H20:L20" si="3">SUM(H8:H18)</f>
        <v>17.043702596383355</v>
      </c>
      <c r="I20" s="18">
        <f t="shared" si="3"/>
        <v>16.751115258079938</v>
      </c>
      <c r="J20" s="18">
        <f t="shared" si="3"/>
        <v>19.261351714707267</v>
      </c>
      <c r="K20" s="18">
        <f t="shared" si="3"/>
        <v>16.705836756565201</v>
      </c>
      <c r="L20" s="18">
        <f t="shared" si="3"/>
        <v>74.981340891134238</v>
      </c>
      <c r="N20" s="18">
        <f>SUM(N8:N18)</f>
        <v>5.4270928125193487</v>
      </c>
      <c r="O20" s="18">
        <f t="shared" ref="O20:S20" si="4">SUM(O8:O18)</f>
        <v>17.864166732454514</v>
      </c>
      <c r="P20" s="18">
        <f t="shared" si="4"/>
        <v>17.718580746339274</v>
      </c>
      <c r="Q20" s="18">
        <f t="shared" si="4"/>
        <v>20.580256776109</v>
      </c>
      <c r="R20" s="18">
        <f t="shared" si="4"/>
        <v>18.022629455220429</v>
      </c>
      <c r="S20" s="18">
        <f t="shared" si="4"/>
        <v>79.612726522642561</v>
      </c>
    </row>
    <row r="29" spans="2:19" x14ac:dyDescent="0.25">
      <c r="G29" s="17"/>
      <c r="H29" s="17"/>
      <c r="I29" s="17"/>
      <c r="J29" s="17"/>
      <c r="K29" s="17"/>
    </row>
    <row r="30" spans="2:19" x14ac:dyDescent="0.25">
      <c r="G30" s="17"/>
      <c r="H30" s="17"/>
      <c r="I30" s="17"/>
      <c r="J30" s="17"/>
      <c r="K30" s="17"/>
    </row>
    <row r="31" spans="2:19" x14ac:dyDescent="0.25">
      <c r="G31" s="17"/>
      <c r="H31" s="17"/>
      <c r="I31" s="17"/>
      <c r="J31" s="17"/>
      <c r="K31" s="17"/>
    </row>
    <row r="32" spans="2:19" x14ac:dyDescent="0.25">
      <c r="G32" s="17"/>
      <c r="H32" s="17"/>
      <c r="I32" s="17"/>
      <c r="J32" s="17"/>
      <c r="K32" s="17"/>
    </row>
    <row r="33" spans="7:11" x14ac:dyDescent="0.25">
      <c r="G33" s="17"/>
      <c r="H33" s="17"/>
      <c r="I33" s="17"/>
      <c r="J33" s="17"/>
      <c r="K33" s="17"/>
    </row>
    <row r="34" spans="7:11" x14ac:dyDescent="0.25">
      <c r="G34" s="17"/>
      <c r="H34" s="17"/>
      <c r="I34" s="17"/>
      <c r="J34" s="17"/>
      <c r="K34" s="17"/>
    </row>
    <row r="35" spans="7:11" x14ac:dyDescent="0.25">
      <c r="G35" s="17"/>
      <c r="H35" s="17"/>
      <c r="I35" s="17"/>
      <c r="J35" s="17"/>
      <c r="K35" s="17"/>
    </row>
    <row r="36" spans="7:11" x14ac:dyDescent="0.25">
      <c r="G36" s="17"/>
      <c r="H36" s="17"/>
      <c r="I36" s="17"/>
      <c r="J36" s="17"/>
      <c r="K36" s="17"/>
    </row>
    <row r="37" spans="7:11" x14ac:dyDescent="0.25">
      <c r="G37" s="17"/>
      <c r="H37" s="17"/>
      <c r="I37" s="17"/>
      <c r="J37" s="17"/>
      <c r="K37" s="17"/>
    </row>
  </sheetData>
  <mergeCells count="2">
    <mergeCell ref="G6:L6"/>
    <mergeCell ref="N6:S6"/>
  </mergeCells>
  <conditionalFormatting sqref="G7:L7">
    <cfRule type="expression" dxfId="5" priority="4">
      <formula>G$15=G$8</formula>
    </cfRule>
  </conditionalFormatting>
  <conditionalFormatting sqref="N7:S7">
    <cfRule type="expression" dxfId="4" priority="1">
      <formula>N$15=N$8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7169A-5185-4EDD-9D5B-01BF460ECDB4}">
  <dimension ref="A1:K21"/>
  <sheetViews>
    <sheetView showGridLines="0" zoomScale="90" zoomScaleNormal="90" workbookViewId="0">
      <selection activeCell="B19" sqref="B19"/>
    </sheetView>
  </sheetViews>
  <sheetFormatPr defaultRowHeight="15" x14ac:dyDescent="0.25"/>
  <cols>
    <col min="1" max="1" width="7.28515625" style="1" customWidth="1"/>
    <col min="2" max="2" width="21.85546875" style="1" customWidth="1"/>
    <col min="3" max="3" width="12.7109375" style="1" customWidth="1"/>
    <col min="4" max="4" width="9.140625" style="1"/>
    <col min="5" max="5" width="2.28515625" style="1" customWidth="1"/>
    <col min="6" max="10" width="10" style="1" customWidth="1"/>
    <col min="11" max="11" width="11.140625" style="1" bestFit="1" customWidth="1"/>
    <col min="12" max="16384" width="9.140625" style="1"/>
  </cols>
  <sheetData>
    <row r="1" spans="1:11" s="28" customFormat="1" ht="21" x14ac:dyDescent="0.35">
      <c r="A1" s="26" t="s">
        <v>138</v>
      </c>
      <c r="B1" s="26"/>
      <c r="C1" s="27"/>
      <c r="D1" s="27"/>
      <c r="E1" s="27"/>
      <c r="F1" s="27"/>
      <c r="G1" s="27"/>
      <c r="H1" s="27"/>
      <c r="I1" s="27"/>
      <c r="J1" s="27"/>
      <c r="K1" s="27"/>
    </row>
    <row r="2" spans="1:11" s="28" customFormat="1" ht="15.75" x14ac:dyDescent="0.25">
      <c r="A2" s="29" t="s">
        <v>24</v>
      </c>
      <c r="B2" s="29"/>
      <c r="C2" s="27"/>
      <c r="D2" s="27"/>
      <c r="E2" s="27"/>
      <c r="F2" s="27"/>
      <c r="G2" s="27"/>
      <c r="H2" s="27"/>
      <c r="I2" s="27"/>
      <c r="J2" s="27"/>
      <c r="K2" s="27"/>
    </row>
    <row r="3" spans="1:11" s="33" customFormat="1" ht="15.75" x14ac:dyDescent="0.25">
      <c r="A3" s="30" t="s">
        <v>71</v>
      </c>
      <c r="B3" s="31"/>
      <c r="C3" s="32"/>
      <c r="D3" s="32"/>
      <c r="E3" s="32"/>
      <c r="F3" s="32"/>
      <c r="G3" s="32"/>
      <c r="H3" s="32"/>
      <c r="I3" s="32"/>
      <c r="J3" s="32"/>
      <c r="K3" s="32"/>
    </row>
    <row r="4" spans="1:11" x14ac:dyDescent="0.25">
      <c r="A4" s="28"/>
      <c r="B4" s="28"/>
      <c r="C4" s="28"/>
      <c r="D4" s="34"/>
      <c r="E4" s="34"/>
      <c r="F4" s="28"/>
      <c r="G4" s="35"/>
      <c r="H4" s="35"/>
      <c r="I4" s="35"/>
      <c r="J4" s="35"/>
      <c r="K4" s="35"/>
    </row>
    <row r="5" spans="1:11" x14ac:dyDescent="0.25">
      <c r="A5" s="36" t="s">
        <v>9</v>
      </c>
      <c r="B5" s="36"/>
      <c r="C5" s="36"/>
      <c r="D5" s="37"/>
      <c r="E5" s="37"/>
      <c r="F5" s="38"/>
      <c r="G5" s="38"/>
      <c r="H5" s="38"/>
      <c r="I5" s="38"/>
      <c r="J5" s="38"/>
      <c r="K5" s="38"/>
    </row>
    <row r="6" spans="1:11" x14ac:dyDescent="0.25">
      <c r="A6" s="39"/>
      <c r="B6" s="39"/>
      <c r="C6" s="39"/>
      <c r="D6" s="40"/>
      <c r="E6" s="40"/>
      <c r="F6" s="41"/>
      <c r="G6" s="41"/>
      <c r="H6" s="41"/>
      <c r="I6" s="41"/>
      <c r="J6" s="41"/>
    </row>
    <row r="7" spans="1:11" x14ac:dyDescent="0.25">
      <c r="A7" s="28"/>
      <c r="B7" s="28" t="s">
        <v>10</v>
      </c>
      <c r="C7" s="52" t="s">
        <v>25</v>
      </c>
      <c r="D7" s="34"/>
      <c r="E7" s="40"/>
      <c r="F7" s="41"/>
      <c r="G7" s="41"/>
      <c r="H7" s="41"/>
      <c r="I7" s="41"/>
      <c r="J7" s="41"/>
    </row>
    <row r="8" spans="1:11" x14ac:dyDescent="0.25">
      <c r="A8" s="39"/>
      <c r="B8" s="39"/>
      <c r="C8" s="39"/>
      <c r="D8" s="40"/>
      <c r="E8" s="40"/>
      <c r="F8" s="41"/>
      <c r="G8" s="41"/>
      <c r="H8" s="41"/>
      <c r="I8" s="41"/>
      <c r="J8" s="41"/>
    </row>
    <row r="9" spans="1:11" x14ac:dyDescent="0.25">
      <c r="A9" s="39"/>
      <c r="B9" s="1" t="s">
        <v>28</v>
      </c>
      <c r="C9" s="42">
        <v>5</v>
      </c>
      <c r="F9" s="41"/>
      <c r="G9" s="41"/>
      <c r="H9" s="41"/>
      <c r="I9" s="41"/>
      <c r="J9" s="41"/>
    </row>
    <row r="10" spans="1:11" x14ac:dyDescent="0.25">
      <c r="B10" s="1" t="s">
        <v>27</v>
      </c>
      <c r="C10" s="43">
        <v>140000</v>
      </c>
    </row>
    <row r="13" spans="1:11" x14ac:dyDescent="0.25">
      <c r="A13" s="36" t="s">
        <v>16</v>
      </c>
      <c r="B13" s="36"/>
      <c r="C13" s="36"/>
      <c r="D13" s="37"/>
      <c r="E13" s="37"/>
      <c r="F13" s="53" t="s">
        <v>11</v>
      </c>
      <c r="G13" s="53" t="s">
        <v>12</v>
      </c>
      <c r="H13" s="53" t="s">
        <v>13</v>
      </c>
      <c r="I13" s="53" t="s">
        <v>14</v>
      </c>
      <c r="J13" s="53" t="s">
        <v>15</v>
      </c>
      <c r="K13" s="53" t="s">
        <v>8</v>
      </c>
    </row>
    <row r="16" spans="1:11" x14ac:dyDescent="0.25">
      <c r="B16" s="44" t="s">
        <v>139</v>
      </c>
      <c r="D16" s="1" t="s">
        <v>26</v>
      </c>
      <c r="F16" s="45">
        <f>$C$9*$C$10</f>
        <v>700000</v>
      </c>
      <c r="G16" s="45">
        <f t="shared" ref="G16:J16" si="0">$C$9*$C$10</f>
        <v>700000</v>
      </c>
      <c r="H16" s="45">
        <f t="shared" si="0"/>
        <v>700000</v>
      </c>
      <c r="I16" s="45">
        <f t="shared" si="0"/>
        <v>700000</v>
      </c>
      <c r="J16" s="45">
        <f t="shared" si="0"/>
        <v>700000</v>
      </c>
      <c r="K16" s="46">
        <f>SUM(F16:J16)</f>
        <v>3500000</v>
      </c>
    </row>
    <row r="17" spans="2:11" x14ac:dyDescent="0.25">
      <c r="B17" s="44"/>
      <c r="K17" s="46"/>
    </row>
    <row r="18" spans="2:11" x14ac:dyDescent="0.25">
      <c r="F18" s="46"/>
      <c r="G18" s="46"/>
      <c r="H18" s="46"/>
      <c r="I18" s="46"/>
      <c r="J18" s="46"/>
      <c r="K18" s="46"/>
    </row>
    <row r="19" spans="2:11" x14ac:dyDescent="0.25">
      <c r="B19" s="47" t="s">
        <v>139</v>
      </c>
      <c r="C19" s="48"/>
      <c r="D19" s="48" t="s">
        <v>20</v>
      </c>
      <c r="E19" s="48"/>
      <c r="F19" s="49">
        <f>F16*escalate_FY24_to_FY26</f>
        <v>750030.67895695742</v>
      </c>
      <c r="G19" s="49">
        <f>G16*escalate_FY24_to_FY26</f>
        <v>750030.67895695742</v>
      </c>
      <c r="H19" s="49">
        <f>H16*escalate_FY24_to_FY26</f>
        <v>750030.67895695742</v>
      </c>
      <c r="I19" s="49">
        <f>I16*escalate_FY24_to_FY26</f>
        <v>750030.67895695742</v>
      </c>
      <c r="J19" s="49">
        <f>J16*escalate_FY24_to_FY26</f>
        <v>750030.67895695742</v>
      </c>
      <c r="K19" s="49">
        <f>SUM(F19:J19)</f>
        <v>3750153.3947847872</v>
      </c>
    </row>
    <row r="21" spans="2:11" x14ac:dyDescent="0.25">
      <c r="B21" s="50" t="s">
        <v>73</v>
      </c>
      <c r="C21" s="48"/>
      <c r="D21" s="48" t="s">
        <v>20</v>
      </c>
      <c r="E21" s="48"/>
      <c r="F21" s="51">
        <f>F19*(1+Assumptions!F$24)</f>
        <v>779886.02875193174</v>
      </c>
      <c r="G21" s="51">
        <f>G19*(1+Assumptions!G$24)</f>
        <v>786136.28861291695</v>
      </c>
      <c r="H21" s="51">
        <f>H19*(1+Assumptions!H$24)</f>
        <v>793348.91692780342</v>
      </c>
      <c r="I21" s="51">
        <f>I19*(1+Assumptions!I$24)</f>
        <v>801388.40677039919</v>
      </c>
      <c r="J21" s="51">
        <f>J19*(1+Assumptions!J$24)</f>
        <v>809149.83211340243</v>
      </c>
      <c r="K21" s="51">
        <f>SUM(F21:J21)</f>
        <v>3969909.4731764537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80D5E-0BC0-46B7-9758-5DD213445D2B}">
  <dimension ref="A1:AA67"/>
  <sheetViews>
    <sheetView showGridLines="0" zoomScale="90" zoomScaleNormal="90" workbookViewId="0">
      <pane xSplit="6" ySplit="9" topLeftCell="H10" activePane="bottomRight" state="frozen"/>
      <selection activeCell="I15" sqref="I15"/>
      <selection pane="topRight" activeCell="I15" sqref="I15"/>
      <selection pane="bottomLeft" activeCell="I15" sqref="I15"/>
      <selection pane="bottomRight" activeCell="I15" sqref="I15"/>
    </sheetView>
  </sheetViews>
  <sheetFormatPr defaultColWidth="9.140625" defaultRowHeight="13.5" x14ac:dyDescent="0.25"/>
  <cols>
    <col min="1" max="1" width="2.28515625" style="9" customWidth="1"/>
    <col min="2" max="2" width="1.5703125" style="9" customWidth="1"/>
    <col min="3" max="3" width="74.85546875" style="9" customWidth="1"/>
    <col min="4" max="4" width="12.7109375" style="9" customWidth="1"/>
    <col min="5" max="5" width="11.140625" style="9" customWidth="1"/>
    <col min="6" max="6" width="13" style="9" customWidth="1"/>
    <col min="7" max="7" width="14.140625" style="9" customWidth="1"/>
    <col min="8" max="8" width="2.85546875" style="9" customWidth="1"/>
    <col min="9" max="9" width="9.28515625" style="9" bestFit="1" customWidth="1"/>
    <col min="10" max="10" width="5.7109375" style="61" bestFit="1" customWidth="1"/>
    <col min="11" max="11" width="2.85546875" style="9" customWidth="1"/>
    <col min="12" max="16" width="12.140625" style="9" customWidth="1"/>
    <col min="17" max="17" width="2.85546875" style="9" customWidth="1"/>
    <col min="18" max="18" width="12" style="9" bestFit="1" customWidth="1"/>
    <col min="19" max="22" width="12.140625" style="9" customWidth="1"/>
    <col min="23" max="23" width="13" style="9" customWidth="1"/>
    <col min="24" max="24" width="10.85546875" style="9" bestFit="1" customWidth="1"/>
    <col min="25" max="16384" width="9.140625" style="9"/>
  </cols>
  <sheetData>
    <row r="1" spans="1:27" ht="21" x14ac:dyDescent="0.35">
      <c r="A1" s="26" t="s">
        <v>41</v>
      </c>
      <c r="B1" s="21"/>
      <c r="C1" s="22"/>
      <c r="D1" s="22"/>
      <c r="E1" s="22"/>
      <c r="F1" s="22"/>
      <c r="G1" s="22"/>
      <c r="H1" s="22"/>
      <c r="I1" s="22"/>
      <c r="J1" s="54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7" ht="15.75" x14ac:dyDescent="0.25">
      <c r="A2" s="29" t="s">
        <v>112</v>
      </c>
      <c r="B2" s="23"/>
      <c r="C2" s="22"/>
      <c r="D2" s="22"/>
      <c r="E2" s="22"/>
      <c r="F2" s="22"/>
      <c r="G2" s="22"/>
      <c r="H2" s="22"/>
      <c r="I2" s="22"/>
      <c r="J2" s="54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spans="1:27" s="56" customFormat="1" ht="15.75" x14ac:dyDescent="0.25">
      <c r="A3" s="30" t="s">
        <v>71</v>
      </c>
      <c r="B3" s="24"/>
      <c r="C3" s="24"/>
      <c r="D3" s="24"/>
      <c r="E3" s="24"/>
      <c r="F3" s="24"/>
      <c r="G3" s="24"/>
      <c r="H3" s="24"/>
      <c r="I3" s="24"/>
      <c r="J3" s="55"/>
      <c r="K3" s="24"/>
      <c r="L3" s="24"/>
      <c r="M3" s="24"/>
      <c r="N3" s="24"/>
      <c r="O3" s="24"/>
      <c r="P3" s="24"/>
      <c r="Q3" s="24"/>
      <c r="R3" s="23"/>
      <c r="S3" s="22"/>
      <c r="T3" s="22"/>
      <c r="U3" s="22"/>
      <c r="V3" s="22"/>
      <c r="X3" s="57" t="b">
        <f>SUM(X7:X56)=0</f>
        <v>1</v>
      </c>
    </row>
    <row r="4" spans="1:27" ht="12.75" customHeight="1" x14ac:dyDescent="0.25">
      <c r="B4" s="58"/>
      <c r="C4" s="59"/>
      <c r="D4" s="59"/>
      <c r="E4" s="59"/>
      <c r="F4" s="59"/>
      <c r="G4" s="59"/>
      <c r="H4" s="59"/>
      <c r="I4" s="59"/>
      <c r="J4" s="60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</row>
    <row r="5" spans="1:27" ht="12.75" customHeight="1" x14ac:dyDescent="0.25">
      <c r="A5" s="9" t="s">
        <v>111</v>
      </c>
      <c r="B5" s="25"/>
      <c r="C5" s="59"/>
      <c r="D5" s="59"/>
      <c r="E5" s="59"/>
      <c r="F5" s="59"/>
      <c r="G5" s="59"/>
      <c r="H5" s="59"/>
      <c r="I5" s="59"/>
      <c r="J5" s="60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</row>
    <row r="6" spans="1:27" ht="12.75" customHeight="1" x14ac:dyDescent="0.25">
      <c r="A6" s="10"/>
      <c r="H6" s="59"/>
    </row>
    <row r="7" spans="1:27" ht="12.75" customHeight="1" x14ac:dyDescent="0.25">
      <c r="A7" s="10"/>
      <c r="C7" s="62" t="s">
        <v>74</v>
      </c>
      <c r="D7" s="63" t="s">
        <v>75</v>
      </c>
      <c r="E7" s="63" t="s">
        <v>76</v>
      </c>
      <c r="F7" s="63"/>
      <c r="G7" s="64" t="s">
        <v>77</v>
      </c>
      <c r="H7" s="59"/>
      <c r="I7" s="65" t="s">
        <v>78</v>
      </c>
      <c r="J7" s="65" t="s">
        <v>79</v>
      </c>
      <c r="L7" s="65" t="s">
        <v>80</v>
      </c>
      <c r="M7" s="66"/>
      <c r="N7" s="66"/>
      <c r="O7" s="66"/>
      <c r="P7" s="66"/>
      <c r="R7" s="65" t="s">
        <v>81</v>
      </c>
      <c r="S7" s="66"/>
      <c r="T7" s="66"/>
      <c r="U7" s="66"/>
      <c r="V7" s="66"/>
    </row>
    <row r="8" spans="1:27" ht="12.75" customHeight="1" x14ac:dyDescent="0.25">
      <c r="A8" s="10"/>
      <c r="B8" s="10"/>
      <c r="C8" s="67"/>
      <c r="D8" s="67" t="s">
        <v>82</v>
      </c>
      <c r="E8" s="67"/>
      <c r="F8" s="67"/>
      <c r="G8" s="67" t="s">
        <v>83</v>
      </c>
      <c r="H8" s="59"/>
      <c r="I8" s="68"/>
      <c r="J8" s="67"/>
      <c r="L8" s="69" t="s">
        <v>11</v>
      </c>
      <c r="M8" s="69" t="s">
        <v>12</v>
      </c>
      <c r="N8" s="69" t="s">
        <v>13</v>
      </c>
      <c r="O8" s="69" t="s">
        <v>14</v>
      </c>
      <c r="P8" s="69" t="s">
        <v>15</v>
      </c>
      <c r="R8" s="69" t="s">
        <v>11</v>
      </c>
      <c r="S8" s="69" t="s">
        <v>12</v>
      </c>
      <c r="T8" s="69" t="s">
        <v>13</v>
      </c>
      <c r="U8" s="69" t="s">
        <v>14</v>
      </c>
      <c r="V8" s="69" t="s">
        <v>15</v>
      </c>
    </row>
    <row r="9" spans="1:27" ht="12.75" customHeight="1" x14ac:dyDescent="0.25">
      <c r="H9" s="59"/>
    </row>
    <row r="10" spans="1:27" x14ac:dyDescent="0.25">
      <c r="A10" s="10"/>
      <c r="C10" s="70" t="s">
        <v>84</v>
      </c>
      <c r="D10" s="71" t="s">
        <v>82</v>
      </c>
      <c r="E10" s="71" t="s">
        <v>85</v>
      </c>
      <c r="F10" s="71"/>
      <c r="G10" s="72" t="s">
        <v>43</v>
      </c>
      <c r="H10" s="73"/>
      <c r="I10" s="74"/>
      <c r="J10" s="61" t="s">
        <v>86</v>
      </c>
      <c r="K10" s="73"/>
      <c r="L10" s="75">
        <f>600000/5</f>
        <v>120000</v>
      </c>
      <c r="M10" s="75">
        <f t="shared" ref="M10:P10" si="0">600000/5</f>
        <v>120000</v>
      </c>
      <c r="N10" s="75">
        <f t="shared" si="0"/>
        <v>120000</v>
      </c>
      <c r="O10" s="75">
        <f t="shared" si="0"/>
        <v>120000</v>
      </c>
      <c r="P10" s="75">
        <f t="shared" si="0"/>
        <v>120000</v>
      </c>
      <c r="Q10" s="73"/>
      <c r="R10" s="76">
        <f>IF($I10="",L10,$I10*L10)</f>
        <v>120000</v>
      </c>
      <c r="S10" s="76">
        <f t="shared" ref="S10:V25" si="1">IF($I10="",M10,$I10*M10)</f>
        <v>120000</v>
      </c>
      <c r="T10" s="76">
        <f t="shared" si="1"/>
        <v>120000</v>
      </c>
      <c r="U10" s="76">
        <f t="shared" si="1"/>
        <v>120000</v>
      </c>
      <c r="V10" s="76">
        <f t="shared" si="1"/>
        <v>120000</v>
      </c>
    </row>
    <row r="11" spans="1:27" ht="12.75" customHeight="1" x14ac:dyDescent="0.25">
      <c r="A11" s="10"/>
      <c r="C11" s="70" t="s">
        <v>87</v>
      </c>
      <c r="D11" s="71" t="s">
        <v>82</v>
      </c>
      <c r="E11" s="71" t="s">
        <v>85</v>
      </c>
      <c r="F11" s="71"/>
      <c r="G11" s="72" t="s">
        <v>43</v>
      </c>
      <c r="H11" s="73"/>
      <c r="I11" s="74"/>
      <c r="J11" s="61" t="s">
        <v>86</v>
      </c>
      <c r="K11" s="73"/>
      <c r="L11" s="75">
        <v>50000</v>
      </c>
      <c r="M11" s="75">
        <v>50000</v>
      </c>
      <c r="N11" s="75">
        <v>50000</v>
      </c>
      <c r="O11" s="75">
        <v>50000</v>
      </c>
      <c r="P11" s="75">
        <v>50000</v>
      </c>
      <c r="Q11" s="73"/>
      <c r="R11" s="76">
        <f t="shared" ref="R11:V34" si="2">IF($I11="",L11,$I11*L11)</f>
        <v>50000</v>
      </c>
      <c r="S11" s="76">
        <f t="shared" si="1"/>
        <v>50000</v>
      </c>
      <c r="T11" s="76">
        <f t="shared" si="1"/>
        <v>50000</v>
      </c>
      <c r="U11" s="76">
        <f t="shared" si="1"/>
        <v>50000</v>
      </c>
      <c r="V11" s="76">
        <f t="shared" si="1"/>
        <v>50000</v>
      </c>
    </row>
    <row r="12" spans="1:27" ht="12.75" customHeight="1" x14ac:dyDescent="0.25">
      <c r="A12" s="10"/>
      <c r="C12" s="70" t="s">
        <v>88</v>
      </c>
      <c r="D12" s="71" t="s">
        <v>82</v>
      </c>
      <c r="E12" s="71" t="s">
        <v>85</v>
      </c>
      <c r="F12" s="71"/>
      <c r="G12" s="72" t="s">
        <v>43</v>
      </c>
      <c r="H12" s="73"/>
      <c r="I12" s="77">
        <v>185000</v>
      </c>
      <c r="J12" s="61" t="s">
        <v>89</v>
      </c>
      <c r="K12" s="73"/>
      <c r="L12" s="75">
        <v>2</v>
      </c>
      <c r="M12" s="75">
        <v>2</v>
      </c>
      <c r="N12" s="75">
        <v>2</v>
      </c>
      <c r="O12" s="75">
        <v>2</v>
      </c>
      <c r="P12" s="75">
        <v>2</v>
      </c>
      <c r="Q12" s="73"/>
      <c r="R12" s="76">
        <f t="shared" si="2"/>
        <v>370000</v>
      </c>
      <c r="S12" s="76">
        <f t="shared" si="1"/>
        <v>370000</v>
      </c>
      <c r="T12" s="76">
        <f t="shared" si="1"/>
        <v>370000</v>
      </c>
      <c r="U12" s="76">
        <f t="shared" si="1"/>
        <v>370000</v>
      </c>
      <c r="V12" s="76">
        <f t="shared" si="1"/>
        <v>370000</v>
      </c>
    </row>
    <row r="13" spans="1:27" ht="12.75" customHeight="1" x14ac:dyDescent="0.25">
      <c r="A13" s="10"/>
      <c r="C13" s="70" t="s">
        <v>90</v>
      </c>
      <c r="D13" s="71" t="s">
        <v>82</v>
      </c>
      <c r="E13" s="71" t="s">
        <v>85</v>
      </c>
      <c r="F13" s="71"/>
      <c r="G13" s="72" t="s">
        <v>43</v>
      </c>
      <c r="H13" s="73"/>
      <c r="I13" s="77">
        <v>120000</v>
      </c>
      <c r="J13" s="61" t="s">
        <v>89</v>
      </c>
      <c r="K13" s="73"/>
      <c r="L13" s="75">
        <v>1</v>
      </c>
      <c r="M13" s="75"/>
      <c r="N13" s="75"/>
      <c r="O13" s="75"/>
      <c r="P13" s="75"/>
      <c r="Q13" s="73"/>
      <c r="R13" s="76">
        <f t="shared" si="2"/>
        <v>120000</v>
      </c>
      <c r="S13" s="76">
        <f t="shared" si="1"/>
        <v>0</v>
      </c>
      <c r="T13" s="76">
        <f t="shared" si="1"/>
        <v>0</v>
      </c>
      <c r="U13" s="76">
        <f t="shared" si="1"/>
        <v>0</v>
      </c>
      <c r="V13" s="76">
        <f t="shared" si="1"/>
        <v>0</v>
      </c>
      <c r="AA13"/>
    </row>
    <row r="14" spans="1:27" ht="12.75" customHeight="1" x14ac:dyDescent="0.25">
      <c r="A14" s="10"/>
      <c r="C14" s="70" t="s">
        <v>91</v>
      </c>
      <c r="D14" s="71" t="s">
        <v>82</v>
      </c>
      <c r="E14" s="71" t="s">
        <v>85</v>
      </c>
      <c r="F14" s="71"/>
      <c r="G14" s="72" t="s">
        <v>43</v>
      </c>
      <c r="H14" s="73"/>
      <c r="I14" s="74"/>
      <c r="J14" s="61" t="s">
        <v>86</v>
      </c>
      <c r="K14" s="73"/>
      <c r="L14" s="75">
        <v>126000</v>
      </c>
      <c r="M14" s="75">
        <v>126000</v>
      </c>
      <c r="N14" s="75">
        <v>126000</v>
      </c>
      <c r="O14" s="75">
        <v>126000</v>
      </c>
      <c r="P14" s="75">
        <v>126000</v>
      </c>
      <c r="Q14" s="73"/>
      <c r="R14" s="76">
        <f t="shared" si="2"/>
        <v>126000</v>
      </c>
      <c r="S14" s="76">
        <f t="shared" si="1"/>
        <v>126000</v>
      </c>
      <c r="T14" s="76">
        <f t="shared" si="1"/>
        <v>126000</v>
      </c>
      <c r="U14" s="76">
        <f t="shared" si="1"/>
        <v>126000</v>
      </c>
      <c r="V14" s="76">
        <f t="shared" si="1"/>
        <v>126000</v>
      </c>
      <c r="AA14"/>
    </row>
    <row r="15" spans="1:27" ht="12.75" customHeight="1" x14ac:dyDescent="0.25">
      <c r="A15" s="10"/>
      <c r="C15" s="70" t="s">
        <v>92</v>
      </c>
      <c r="D15" s="71" t="s">
        <v>82</v>
      </c>
      <c r="E15" s="71" t="s">
        <v>85</v>
      </c>
      <c r="F15" s="71"/>
      <c r="G15" s="72" t="s">
        <v>43</v>
      </c>
      <c r="H15" s="73"/>
      <c r="I15" s="74"/>
      <c r="J15" s="61" t="s">
        <v>86</v>
      </c>
      <c r="K15" s="73"/>
      <c r="L15" s="75">
        <v>60000</v>
      </c>
      <c r="M15" s="75">
        <v>60000</v>
      </c>
      <c r="N15" s="75">
        <v>60000</v>
      </c>
      <c r="O15" s="75">
        <v>60000</v>
      </c>
      <c r="P15" s="75">
        <v>60000</v>
      </c>
      <c r="Q15" s="73"/>
      <c r="R15" s="76">
        <f t="shared" si="2"/>
        <v>60000</v>
      </c>
      <c r="S15" s="76">
        <f t="shared" si="1"/>
        <v>60000</v>
      </c>
      <c r="T15" s="76">
        <f t="shared" si="1"/>
        <v>60000</v>
      </c>
      <c r="U15" s="76">
        <f t="shared" si="1"/>
        <v>60000</v>
      </c>
      <c r="V15" s="76">
        <f t="shared" si="1"/>
        <v>60000</v>
      </c>
      <c r="AA15"/>
    </row>
    <row r="16" spans="1:27" ht="12.75" customHeight="1" x14ac:dyDescent="0.25">
      <c r="A16" s="10"/>
      <c r="C16" s="70" t="s">
        <v>93</v>
      </c>
      <c r="D16" s="71" t="s">
        <v>82</v>
      </c>
      <c r="E16" s="71" t="s">
        <v>85</v>
      </c>
      <c r="F16" s="71"/>
      <c r="G16" s="72" t="s">
        <v>43</v>
      </c>
      <c r="H16" s="73"/>
      <c r="I16" s="74"/>
      <c r="J16" s="61" t="s">
        <v>86</v>
      </c>
      <c r="K16" s="73"/>
      <c r="L16" s="75">
        <v>100000</v>
      </c>
      <c r="M16" s="75">
        <v>100000</v>
      </c>
      <c r="N16" s="75">
        <v>100000</v>
      </c>
      <c r="O16" s="75">
        <v>100000</v>
      </c>
      <c r="P16" s="75">
        <v>100000</v>
      </c>
      <c r="Q16" s="73"/>
      <c r="R16" s="76">
        <f t="shared" si="2"/>
        <v>100000</v>
      </c>
      <c r="S16" s="76">
        <f t="shared" si="1"/>
        <v>100000</v>
      </c>
      <c r="T16" s="76">
        <f t="shared" si="1"/>
        <v>100000</v>
      </c>
      <c r="U16" s="76">
        <f t="shared" si="1"/>
        <v>100000</v>
      </c>
      <c r="V16" s="76">
        <f t="shared" si="1"/>
        <v>100000</v>
      </c>
      <c r="AA16"/>
    </row>
    <row r="17" spans="1:27" ht="12.75" customHeight="1" x14ac:dyDescent="0.25">
      <c r="A17" s="10"/>
      <c r="C17" s="70" t="s">
        <v>94</v>
      </c>
      <c r="D17" s="71" t="s">
        <v>82</v>
      </c>
      <c r="E17" s="71" t="s">
        <v>17</v>
      </c>
      <c r="F17" s="71"/>
      <c r="G17" s="72" t="s">
        <v>43</v>
      </c>
      <c r="H17" s="73"/>
      <c r="I17" s="74"/>
      <c r="J17" s="61" t="s">
        <v>86</v>
      </c>
      <c r="K17" s="73"/>
      <c r="L17" s="75">
        <v>2000000</v>
      </c>
      <c r="M17" s="75">
        <v>2000000</v>
      </c>
      <c r="N17" s="75">
        <v>2000000</v>
      </c>
      <c r="O17" s="75">
        <v>2000000</v>
      </c>
      <c r="P17" s="75">
        <v>2000000</v>
      </c>
      <c r="Q17" s="73"/>
      <c r="R17" s="76">
        <f t="shared" si="2"/>
        <v>2000000</v>
      </c>
      <c r="S17" s="76">
        <f t="shared" si="1"/>
        <v>2000000</v>
      </c>
      <c r="T17" s="76">
        <f t="shared" si="1"/>
        <v>2000000</v>
      </c>
      <c r="U17" s="76">
        <f t="shared" si="1"/>
        <v>2000000</v>
      </c>
      <c r="V17" s="76">
        <f t="shared" si="1"/>
        <v>2000000</v>
      </c>
      <c r="AA17"/>
    </row>
    <row r="18" spans="1:27" ht="12.75" customHeight="1" x14ac:dyDescent="0.25">
      <c r="A18" s="10"/>
      <c r="C18" s="70" t="s">
        <v>95</v>
      </c>
      <c r="D18" s="71" t="s">
        <v>82</v>
      </c>
      <c r="E18" s="71" t="s">
        <v>17</v>
      </c>
      <c r="F18" s="71"/>
      <c r="G18" s="72" t="s">
        <v>43</v>
      </c>
      <c r="H18" s="73"/>
      <c r="I18" s="77">
        <f>150000</f>
        <v>150000</v>
      </c>
      <c r="J18" s="61" t="s">
        <v>89</v>
      </c>
      <c r="K18" s="73"/>
      <c r="L18" s="78">
        <v>0.5</v>
      </c>
      <c r="M18" s="78">
        <v>0.5</v>
      </c>
      <c r="N18" s="78">
        <v>0.5</v>
      </c>
      <c r="O18" s="78">
        <v>0.5</v>
      </c>
      <c r="P18" s="78">
        <v>0.5</v>
      </c>
      <c r="Q18" s="73"/>
      <c r="R18" s="76">
        <f t="shared" si="2"/>
        <v>75000</v>
      </c>
      <c r="S18" s="76">
        <f t="shared" si="1"/>
        <v>75000</v>
      </c>
      <c r="T18" s="76">
        <f t="shared" si="1"/>
        <v>75000</v>
      </c>
      <c r="U18" s="76">
        <f t="shared" si="1"/>
        <v>75000</v>
      </c>
      <c r="V18" s="76">
        <f t="shared" si="1"/>
        <v>75000</v>
      </c>
    </row>
    <row r="19" spans="1:27" ht="12.75" customHeight="1" x14ac:dyDescent="0.25">
      <c r="A19" s="10"/>
      <c r="C19" s="70" t="s">
        <v>96</v>
      </c>
      <c r="D19" s="71" t="s">
        <v>82</v>
      </c>
      <c r="E19" s="71" t="s">
        <v>18</v>
      </c>
      <c r="F19" s="71"/>
      <c r="G19" s="72" t="s">
        <v>43</v>
      </c>
      <c r="H19" s="73"/>
      <c r="I19" s="77">
        <v>8000</v>
      </c>
      <c r="J19" s="61" t="s">
        <v>89</v>
      </c>
      <c r="K19" s="73"/>
      <c r="L19" s="75">
        <v>65</v>
      </c>
      <c r="M19" s="75">
        <v>65</v>
      </c>
      <c r="N19" s="75">
        <v>65</v>
      </c>
      <c r="O19" s="75">
        <v>65</v>
      </c>
      <c r="P19" s="75">
        <v>65</v>
      </c>
      <c r="Q19" s="73"/>
      <c r="R19" s="76">
        <f t="shared" si="2"/>
        <v>520000</v>
      </c>
      <c r="S19" s="76">
        <f t="shared" si="1"/>
        <v>520000</v>
      </c>
      <c r="T19" s="76">
        <f t="shared" si="1"/>
        <v>520000</v>
      </c>
      <c r="U19" s="76">
        <f t="shared" si="1"/>
        <v>520000</v>
      </c>
      <c r="V19" s="76">
        <f t="shared" si="1"/>
        <v>520000</v>
      </c>
      <c r="AA19"/>
    </row>
    <row r="20" spans="1:27" ht="12.75" customHeight="1" x14ac:dyDescent="0.25">
      <c r="A20" s="10"/>
      <c r="C20" s="70" t="s">
        <v>97</v>
      </c>
      <c r="D20" s="71" t="s">
        <v>82</v>
      </c>
      <c r="E20" s="71" t="s">
        <v>18</v>
      </c>
      <c r="F20" s="71"/>
      <c r="G20" s="72" t="s">
        <v>43</v>
      </c>
      <c r="H20" s="73"/>
      <c r="I20" s="77">
        <v>4000</v>
      </c>
      <c r="J20" s="61" t="s">
        <v>89</v>
      </c>
      <c r="K20" s="73"/>
      <c r="L20" s="75">
        <v>65</v>
      </c>
      <c r="M20" s="75">
        <v>65</v>
      </c>
      <c r="N20" s="75">
        <v>65</v>
      </c>
      <c r="O20" s="75">
        <v>65</v>
      </c>
      <c r="P20" s="75">
        <v>65</v>
      </c>
      <c r="Q20" s="73"/>
      <c r="R20" s="76">
        <f t="shared" si="2"/>
        <v>260000</v>
      </c>
      <c r="S20" s="76">
        <f t="shared" si="1"/>
        <v>260000</v>
      </c>
      <c r="T20" s="76">
        <f t="shared" si="1"/>
        <v>260000</v>
      </c>
      <c r="U20" s="76">
        <f t="shared" si="1"/>
        <v>260000</v>
      </c>
      <c r="V20" s="76">
        <f t="shared" si="1"/>
        <v>260000</v>
      </c>
      <c r="AA20"/>
    </row>
    <row r="21" spans="1:27" ht="12.75" customHeight="1" x14ac:dyDescent="0.25">
      <c r="A21" s="10"/>
      <c r="C21" s="70" t="s">
        <v>97</v>
      </c>
      <c r="D21" s="71" t="s">
        <v>82</v>
      </c>
      <c r="E21" s="71" t="s">
        <v>18</v>
      </c>
      <c r="F21" s="71"/>
      <c r="G21" s="72" t="s">
        <v>43</v>
      </c>
      <c r="H21" s="73"/>
      <c r="I21" s="77">
        <v>989</v>
      </c>
      <c r="J21" s="61" t="s">
        <v>89</v>
      </c>
      <c r="K21" s="73"/>
      <c r="L21" s="75">
        <v>65</v>
      </c>
      <c r="M21" s="75">
        <v>65</v>
      </c>
      <c r="N21" s="75">
        <v>65</v>
      </c>
      <c r="O21" s="75">
        <v>65</v>
      </c>
      <c r="P21" s="75">
        <v>65</v>
      </c>
      <c r="Q21" s="73"/>
      <c r="R21" s="76">
        <f t="shared" si="2"/>
        <v>64285</v>
      </c>
      <c r="S21" s="76">
        <f t="shared" si="1"/>
        <v>64285</v>
      </c>
      <c r="T21" s="76">
        <f t="shared" si="1"/>
        <v>64285</v>
      </c>
      <c r="U21" s="76">
        <f t="shared" si="1"/>
        <v>64285</v>
      </c>
      <c r="V21" s="76">
        <f t="shared" si="1"/>
        <v>64285</v>
      </c>
      <c r="AA21"/>
    </row>
    <row r="22" spans="1:27" ht="12.75" customHeight="1" x14ac:dyDescent="0.25">
      <c r="A22" s="10"/>
      <c r="C22" s="70" t="s">
        <v>98</v>
      </c>
      <c r="D22" s="71" t="s">
        <v>82</v>
      </c>
      <c r="E22" s="71" t="s">
        <v>18</v>
      </c>
      <c r="F22" s="71"/>
      <c r="G22" s="72" t="s">
        <v>43</v>
      </c>
      <c r="H22" s="73"/>
      <c r="I22" s="77">
        <v>600</v>
      </c>
      <c r="J22" s="61" t="s">
        <v>89</v>
      </c>
      <c r="K22" s="73"/>
      <c r="L22" s="75">
        <v>270</v>
      </c>
      <c r="M22" s="75">
        <v>270</v>
      </c>
      <c r="N22" s="75">
        <v>270</v>
      </c>
      <c r="O22" s="75">
        <v>270</v>
      </c>
      <c r="P22" s="75">
        <v>270</v>
      </c>
      <c r="Q22" s="73"/>
      <c r="R22" s="76">
        <f t="shared" si="2"/>
        <v>162000</v>
      </c>
      <c r="S22" s="76">
        <f t="shared" si="1"/>
        <v>162000</v>
      </c>
      <c r="T22" s="76">
        <f t="shared" si="1"/>
        <v>162000</v>
      </c>
      <c r="U22" s="76">
        <f t="shared" si="1"/>
        <v>162000</v>
      </c>
      <c r="V22" s="76">
        <f t="shared" si="1"/>
        <v>162000</v>
      </c>
      <c r="X22" s="79"/>
      <c r="AA22"/>
    </row>
    <row r="23" spans="1:27" ht="12.75" customHeight="1" x14ac:dyDescent="0.25">
      <c r="A23" s="10"/>
      <c r="C23" s="70" t="s">
        <v>99</v>
      </c>
      <c r="D23" s="71" t="s">
        <v>82</v>
      </c>
      <c r="E23" s="71" t="s">
        <v>18</v>
      </c>
      <c r="F23" s="71"/>
      <c r="G23" s="72" t="s">
        <v>43</v>
      </c>
      <c r="H23" s="73"/>
      <c r="I23" s="77">
        <v>600</v>
      </c>
      <c r="J23" s="61" t="s">
        <v>89</v>
      </c>
      <c r="K23" s="73"/>
      <c r="L23" s="75">
        <v>270</v>
      </c>
      <c r="M23" s="75">
        <v>270</v>
      </c>
      <c r="N23" s="75">
        <v>270</v>
      </c>
      <c r="O23" s="75">
        <v>270</v>
      </c>
      <c r="P23" s="75">
        <v>270</v>
      </c>
      <c r="Q23" s="73"/>
      <c r="R23" s="76">
        <f t="shared" si="2"/>
        <v>162000</v>
      </c>
      <c r="S23" s="76">
        <f t="shared" si="1"/>
        <v>162000</v>
      </c>
      <c r="T23" s="76">
        <f t="shared" si="1"/>
        <v>162000</v>
      </c>
      <c r="U23" s="76">
        <f t="shared" si="1"/>
        <v>162000</v>
      </c>
      <c r="V23" s="76">
        <f t="shared" si="1"/>
        <v>162000</v>
      </c>
      <c r="X23" s="79"/>
      <c r="AA23"/>
    </row>
    <row r="24" spans="1:27" ht="12.75" customHeight="1" x14ac:dyDescent="0.25">
      <c r="A24" s="10"/>
      <c r="C24" s="70" t="s">
        <v>100</v>
      </c>
      <c r="D24" s="71" t="s">
        <v>82</v>
      </c>
      <c r="E24" s="71" t="s">
        <v>18</v>
      </c>
      <c r="F24" s="71"/>
      <c r="G24" s="72" t="s">
        <v>43</v>
      </c>
      <c r="H24" s="73"/>
      <c r="I24" s="77">
        <v>600</v>
      </c>
      <c r="J24" s="61" t="s">
        <v>89</v>
      </c>
      <c r="K24" s="73"/>
      <c r="L24" s="75">
        <v>270</v>
      </c>
      <c r="M24" s="75">
        <v>270</v>
      </c>
      <c r="N24" s="75">
        <v>270</v>
      </c>
      <c r="O24" s="75">
        <v>270</v>
      </c>
      <c r="P24" s="75">
        <v>270</v>
      </c>
      <c r="Q24" s="73"/>
      <c r="R24" s="76">
        <f t="shared" si="2"/>
        <v>162000</v>
      </c>
      <c r="S24" s="76">
        <f t="shared" si="1"/>
        <v>162000</v>
      </c>
      <c r="T24" s="76">
        <f t="shared" si="1"/>
        <v>162000</v>
      </c>
      <c r="U24" s="76">
        <f t="shared" si="1"/>
        <v>162000</v>
      </c>
      <c r="V24" s="76">
        <f t="shared" si="1"/>
        <v>162000</v>
      </c>
      <c r="X24" s="79"/>
      <c r="AA24"/>
    </row>
    <row r="25" spans="1:27" ht="12.75" customHeight="1" x14ac:dyDescent="0.25">
      <c r="A25" s="10"/>
      <c r="C25" s="70" t="s">
        <v>101</v>
      </c>
      <c r="D25" s="71" t="s">
        <v>82</v>
      </c>
      <c r="E25" s="71" t="s">
        <v>18</v>
      </c>
      <c r="F25" s="71"/>
      <c r="G25" s="72" t="s">
        <v>43</v>
      </c>
      <c r="H25" s="73"/>
      <c r="I25" s="77">
        <v>3750</v>
      </c>
      <c r="J25" s="61" t="s">
        <v>89</v>
      </c>
      <c r="K25" s="73"/>
      <c r="L25" s="75">
        <v>270</v>
      </c>
      <c r="M25" s="75">
        <v>270</v>
      </c>
      <c r="N25" s="75">
        <v>270</v>
      </c>
      <c r="O25" s="75">
        <v>270</v>
      </c>
      <c r="P25" s="75">
        <v>270</v>
      </c>
      <c r="Q25" s="73"/>
      <c r="R25" s="76">
        <f t="shared" si="2"/>
        <v>1012500</v>
      </c>
      <c r="S25" s="76">
        <f t="shared" si="1"/>
        <v>1012500</v>
      </c>
      <c r="T25" s="76">
        <f t="shared" si="1"/>
        <v>1012500</v>
      </c>
      <c r="U25" s="76">
        <f t="shared" si="1"/>
        <v>1012500</v>
      </c>
      <c r="V25" s="76">
        <f t="shared" si="1"/>
        <v>1012500</v>
      </c>
      <c r="X25" s="79"/>
      <c r="AA25"/>
    </row>
    <row r="26" spans="1:27" ht="12.75" customHeight="1" x14ac:dyDescent="0.25">
      <c r="A26" s="10"/>
      <c r="C26" s="70" t="s">
        <v>102</v>
      </c>
      <c r="D26" s="71" t="s">
        <v>82</v>
      </c>
      <c r="E26" s="71" t="s">
        <v>18</v>
      </c>
      <c r="F26" s="71"/>
      <c r="G26" s="72" t="s">
        <v>43</v>
      </c>
      <c r="H26" s="73"/>
      <c r="I26" s="77">
        <v>5600</v>
      </c>
      <c r="J26" s="61" t="s">
        <v>89</v>
      </c>
      <c r="K26" s="73"/>
      <c r="L26" s="75">
        <v>18</v>
      </c>
      <c r="M26" s="75">
        <v>18</v>
      </c>
      <c r="N26" s="75">
        <v>18</v>
      </c>
      <c r="O26" s="75">
        <v>18</v>
      </c>
      <c r="P26" s="75">
        <v>18</v>
      </c>
      <c r="Q26" s="73"/>
      <c r="R26" s="76">
        <f t="shared" si="2"/>
        <v>100800</v>
      </c>
      <c r="S26" s="76">
        <f t="shared" si="2"/>
        <v>100800</v>
      </c>
      <c r="T26" s="76">
        <f t="shared" si="2"/>
        <v>100800</v>
      </c>
      <c r="U26" s="76">
        <f t="shared" si="2"/>
        <v>100800</v>
      </c>
      <c r="V26" s="76">
        <f t="shared" si="2"/>
        <v>100800</v>
      </c>
      <c r="AA26"/>
    </row>
    <row r="27" spans="1:27" ht="12.75" customHeight="1" x14ac:dyDescent="0.25">
      <c r="A27" s="10"/>
      <c r="C27" s="70" t="s">
        <v>103</v>
      </c>
      <c r="D27" s="71" t="s">
        <v>82</v>
      </c>
      <c r="E27" s="71" t="s">
        <v>18</v>
      </c>
      <c r="F27" s="71"/>
      <c r="G27" s="72" t="s">
        <v>43</v>
      </c>
      <c r="H27" s="73"/>
      <c r="I27" s="74"/>
      <c r="J27" s="61" t="s">
        <v>86</v>
      </c>
      <c r="K27" s="73"/>
      <c r="L27" s="75">
        <f>450000/5</f>
        <v>90000</v>
      </c>
      <c r="M27" s="75">
        <f t="shared" ref="M27:P27" si="3">450000/5</f>
        <v>90000</v>
      </c>
      <c r="N27" s="75">
        <f t="shared" si="3"/>
        <v>90000</v>
      </c>
      <c r="O27" s="75">
        <f t="shared" si="3"/>
        <v>90000</v>
      </c>
      <c r="P27" s="75">
        <f t="shared" si="3"/>
        <v>90000</v>
      </c>
      <c r="Q27" s="73"/>
      <c r="R27" s="76">
        <f t="shared" si="2"/>
        <v>90000</v>
      </c>
      <c r="S27" s="76">
        <f t="shared" si="2"/>
        <v>90000</v>
      </c>
      <c r="T27" s="76">
        <f t="shared" si="2"/>
        <v>90000</v>
      </c>
      <c r="U27" s="76">
        <f t="shared" si="2"/>
        <v>90000</v>
      </c>
      <c r="V27" s="76">
        <f t="shared" si="2"/>
        <v>90000</v>
      </c>
      <c r="W27" s="79"/>
      <c r="AA27"/>
    </row>
    <row r="28" spans="1:27" ht="12.75" customHeight="1" x14ac:dyDescent="0.25">
      <c r="A28" s="10"/>
      <c r="C28" s="70" t="s">
        <v>104</v>
      </c>
      <c r="D28" s="71" t="s">
        <v>82</v>
      </c>
      <c r="E28" s="71" t="s">
        <v>19</v>
      </c>
      <c r="F28" s="71"/>
      <c r="G28" s="72" t="s">
        <v>43</v>
      </c>
      <c r="H28" s="73"/>
      <c r="I28" s="74"/>
      <c r="J28" s="61" t="s">
        <v>86</v>
      </c>
      <c r="K28" s="73"/>
      <c r="L28" s="75">
        <v>255000</v>
      </c>
      <c r="M28" s="75">
        <v>255000</v>
      </c>
      <c r="N28" s="75">
        <v>255000</v>
      </c>
      <c r="O28" s="75">
        <v>255000</v>
      </c>
      <c r="P28" s="75">
        <v>255000</v>
      </c>
      <c r="Q28" s="73"/>
      <c r="R28" s="76">
        <f t="shared" si="2"/>
        <v>255000</v>
      </c>
      <c r="S28" s="76">
        <f t="shared" si="2"/>
        <v>255000</v>
      </c>
      <c r="T28" s="76">
        <f t="shared" si="2"/>
        <v>255000</v>
      </c>
      <c r="U28" s="76">
        <f t="shared" si="2"/>
        <v>255000</v>
      </c>
      <c r="V28" s="76">
        <f t="shared" si="2"/>
        <v>255000</v>
      </c>
      <c r="AA28"/>
    </row>
    <row r="29" spans="1:27" ht="12.75" customHeight="1" x14ac:dyDescent="0.25">
      <c r="A29" s="10"/>
      <c r="C29" s="70" t="s">
        <v>105</v>
      </c>
      <c r="D29" s="71" t="s">
        <v>82</v>
      </c>
      <c r="E29" s="71" t="s">
        <v>19</v>
      </c>
      <c r="F29" s="71"/>
      <c r="G29" s="72" t="s">
        <v>43</v>
      </c>
      <c r="H29" s="73"/>
      <c r="I29" s="77">
        <v>250000</v>
      </c>
      <c r="J29" s="61" t="s">
        <v>89</v>
      </c>
      <c r="K29" s="73"/>
      <c r="L29" s="75">
        <v>1</v>
      </c>
      <c r="M29" s="75">
        <v>1</v>
      </c>
      <c r="N29" s="75">
        <v>1</v>
      </c>
      <c r="O29" s="75">
        <v>1</v>
      </c>
      <c r="P29" s="75">
        <v>1</v>
      </c>
      <c r="Q29" s="73"/>
      <c r="R29" s="76">
        <f t="shared" si="2"/>
        <v>250000</v>
      </c>
      <c r="S29" s="76">
        <f t="shared" si="2"/>
        <v>250000</v>
      </c>
      <c r="T29" s="76">
        <f t="shared" si="2"/>
        <v>250000</v>
      </c>
      <c r="U29" s="76">
        <f t="shared" si="2"/>
        <v>250000</v>
      </c>
      <c r="V29" s="76">
        <f t="shared" si="2"/>
        <v>250000</v>
      </c>
      <c r="W29" s="79"/>
      <c r="AA29"/>
    </row>
    <row r="30" spans="1:27" ht="12.75" customHeight="1" x14ac:dyDescent="0.25">
      <c r="A30" s="10"/>
      <c r="C30" s="70" t="s">
        <v>84</v>
      </c>
      <c r="D30" s="71" t="s">
        <v>82</v>
      </c>
      <c r="E30" s="71" t="s">
        <v>19</v>
      </c>
      <c r="F30" s="71"/>
      <c r="G30" s="72" t="s">
        <v>43</v>
      </c>
      <c r="H30" s="73"/>
      <c r="I30" s="74"/>
      <c r="J30" s="61" t="s">
        <v>86</v>
      </c>
      <c r="K30" s="73"/>
      <c r="L30" s="75">
        <f>600000/5</f>
        <v>120000</v>
      </c>
      <c r="M30" s="75">
        <f t="shared" ref="M30:P30" si="4">600000/5</f>
        <v>120000</v>
      </c>
      <c r="N30" s="75">
        <f t="shared" si="4"/>
        <v>120000</v>
      </c>
      <c r="O30" s="75">
        <f t="shared" si="4"/>
        <v>120000</v>
      </c>
      <c r="P30" s="75">
        <f t="shared" si="4"/>
        <v>120000</v>
      </c>
      <c r="Q30" s="73"/>
      <c r="R30" s="76">
        <f t="shared" si="2"/>
        <v>120000</v>
      </c>
      <c r="S30" s="76">
        <f t="shared" si="2"/>
        <v>120000</v>
      </c>
      <c r="T30" s="76">
        <f t="shared" si="2"/>
        <v>120000</v>
      </c>
      <c r="U30" s="76">
        <f t="shared" si="2"/>
        <v>120000</v>
      </c>
      <c r="V30" s="76">
        <f t="shared" si="2"/>
        <v>120000</v>
      </c>
      <c r="W30" s="79"/>
      <c r="AA30"/>
    </row>
    <row r="31" spans="1:27" ht="12.75" customHeight="1" x14ac:dyDescent="0.25">
      <c r="A31" s="10"/>
      <c r="C31" s="70" t="s">
        <v>87</v>
      </c>
      <c r="D31" s="71" t="s">
        <v>82</v>
      </c>
      <c r="E31" s="71" t="s">
        <v>19</v>
      </c>
      <c r="F31" s="71"/>
      <c r="G31" s="72" t="s">
        <v>43</v>
      </c>
      <c r="H31" s="73"/>
      <c r="I31" s="74"/>
      <c r="J31" s="61" t="s">
        <v>86</v>
      </c>
      <c r="K31" s="73"/>
      <c r="L31" s="75">
        <v>50000</v>
      </c>
      <c r="M31" s="75">
        <v>50000</v>
      </c>
      <c r="N31" s="75">
        <v>50000</v>
      </c>
      <c r="O31" s="75">
        <v>50000</v>
      </c>
      <c r="P31" s="75">
        <v>50000</v>
      </c>
      <c r="Q31" s="73"/>
      <c r="R31" s="76">
        <f t="shared" si="2"/>
        <v>50000</v>
      </c>
      <c r="S31" s="76">
        <f t="shared" si="2"/>
        <v>50000</v>
      </c>
      <c r="T31" s="76">
        <f t="shared" si="2"/>
        <v>50000</v>
      </c>
      <c r="U31" s="76">
        <f t="shared" si="2"/>
        <v>50000</v>
      </c>
      <c r="V31" s="76">
        <f t="shared" si="2"/>
        <v>50000</v>
      </c>
      <c r="W31" s="79"/>
      <c r="AA31"/>
    </row>
    <row r="32" spans="1:27" ht="12.75" customHeight="1" x14ac:dyDescent="0.25">
      <c r="A32" s="10"/>
      <c r="C32" s="70" t="s">
        <v>106</v>
      </c>
      <c r="D32" s="71" t="s">
        <v>82</v>
      </c>
      <c r="E32" s="71" t="s">
        <v>19</v>
      </c>
      <c r="F32" s="71"/>
      <c r="G32" s="72" t="s">
        <v>43</v>
      </c>
      <c r="H32" s="73"/>
      <c r="I32" s="77">
        <v>1500</v>
      </c>
      <c r="J32" s="61" t="s">
        <v>89</v>
      </c>
      <c r="K32" s="73"/>
      <c r="L32" s="75">
        <v>150</v>
      </c>
      <c r="M32" s="75">
        <v>150</v>
      </c>
      <c r="N32" s="75">
        <v>150</v>
      </c>
      <c r="O32" s="75">
        <v>150</v>
      </c>
      <c r="P32" s="75">
        <v>150</v>
      </c>
      <c r="Q32" s="73"/>
      <c r="R32" s="76">
        <f t="shared" si="2"/>
        <v>225000</v>
      </c>
      <c r="S32" s="76">
        <f t="shared" si="2"/>
        <v>225000</v>
      </c>
      <c r="T32" s="76">
        <f t="shared" si="2"/>
        <v>225000</v>
      </c>
      <c r="U32" s="76">
        <f t="shared" si="2"/>
        <v>225000</v>
      </c>
      <c r="V32" s="76">
        <f t="shared" si="2"/>
        <v>225000</v>
      </c>
      <c r="AA32"/>
    </row>
    <row r="33" spans="1:27" ht="12.75" customHeight="1" x14ac:dyDescent="0.25">
      <c r="A33" s="10"/>
      <c r="C33" s="70" t="s">
        <v>107</v>
      </c>
      <c r="D33" s="71" t="s">
        <v>82</v>
      </c>
      <c r="E33" s="71" t="s">
        <v>108</v>
      </c>
      <c r="F33" s="71"/>
      <c r="G33" s="72" t="s">
        <v>43</v>
      </c>
      <c r="H33" s="73"/>
      <c r="I33" s="74"/>
      <c r="J33" s="61" t="s">
        <v>86</v>
      </c>
      <c r="K33" s="73"/>
      <c r="L33" s="75">
        <f>12000000/5</f>
        <v>2400000</v>
      </c>
      <c r="M33" s="75">
        <f t="shared" ref="M33:P33" si="5">12000000/5</f>
        <v>2400000</v>
      </c>
      <c r="N33" s="75">
        <f t="shared" si="5"/>
        <v>2400000</v>
      </c>
      <c r="O33" s="75">
        <f t="shared" si="5"/>
        <v>2400000</v>
      </c>
      <c r="P33" s="75">
        <f t="shared" si="5"/>
        <v>2400000</v>
      </c>
      <c r="Q33" s="73"/>
      <c r="R33" s="76">
        <f t="shared" si="2"/>
        <v>2400000</v>
      </c>
      <c r="S33" s="76">
        <f t="shared" si="2"/>
        <v>2400000</v>
      </c>
      <c r="T33" s="76">
        <f t="shared" si="2"/>
        <v>2400000</v>
      </c>
      <c r="U33" s="76">
        <f t="shared" si="2"/>
        <v>2400000</v>
      </c>
      <c r="V33" s="76">
        <f t="shared" si="2"/>
        <v>2400000</v>
      </c>
      <c r="AA33"/>
    </row>
    <row r="34" spans="1:27" ht="12.75" customHeight="1" x14ac:dyDescent="0.25">
      <c r="A34" s="10"/>
      <c r="C34" s="70"/>
      <c r="D34" s="71"/>
      <c r="E34" s="71"/>
      <c r="F34" s="71"/>
      <c r="G34" s="72" t="s">
        <v>43</v>
      </c>
      <c r="H34" s="73"/>
      <c r="I34" s="80"/>
      <c r="J34" s="61" t="s">
        <v>86</v>
      </c>
      <c r="K34" s="73"/>
      <c r="L34" s="75"/>
      <c r="M34" s="75"/>
      <c r="N34" s="75"/>
      <c r="O34" s="75"/>
      <c r="P34" s="75"/>
      <c r="Q34" s="73"/>
      <c r="R34" s="76">
        <f t="shared" si="2"/>
        <v>0</v>
      </c>
      <c r="S34" s="76">
        <f t="shared" si="2"/>
        <v>0</v>
      </c>
      <c r="T34" s="76">
        <f t="shared" si="2"/>
        <v>0</v>
      </c>
      <c r="U34" s="76">
        <f t="shared" si="2"/>
        <v>0</v>
      </c>
      <c r="V34" s="76">
        <f t="shared" si="2"/>
        <v>0</v>
      </c>
      <c r="AA34"/>
    </row>
    <row r="35" spans="1:27" ht="12.75" customHeight="1" x14ac:dyDescent="0.25">
      <c r="H35" s="73"/>
      <c r="K35" s="73"/>
      <c r="Q35" s="73"/>
      <c r="AA35"/>
    </row>
    <row r="36" spans="1:27" ht="12.75" customHeight="1" x14ac:dyDescent="0.25">
      <c r="H36" s="73"/>
      <c r="K36" s="73"/>
      <c r="Q36" s="73"/>
      <c r="AA36"/>
    </row>
    <row r="37" spans="1:27" ht="12.75" customHeight="1" x14ac:dyDescent="0.25">
      <c r="C37" s="81" t="s">
        <v>116</v>
      </c>
      <c r="D37" s="82"/>
      <c r="E37" s="82"/>
      <c r="F37" s="82"/>
      <c r="G37" s="82"/>
      <c r="H37" s="73"/>
      <c r="I37" s="82"/>
      <c r="J37" s="83"/>
      <c r="K37" s="73"/>
      <c r="L37" s="82"/>
      <c r="M37" s="82"/>
      <c r="N37" s="82"/>
      <c r="O37" s="82"/>
      <c r="P37" s="82"/>
      <c r="Q37" s="73"/>
      <c r="R37" s="84" t="s">
        <v>11</v>
      </c>
      <c r="S37" s="84" t="s">
        <v>12</v>
      </c>
      <c r="T37" s="84" t="s">
        <v>13</v>
      </c>
      <c r="U37" s="84" t="s">
        <v>14</v>
      </c>
      <c r="V37" s="84" t="s">
        <v>15</v>
      </c>
      <c r="W37" s="84" t="s">
        <v>8</v>
      </c>
      <c r="AA37"/>
    </row>
    <row r="38" spans="1:27" ht="12.75" customHeight="1" x14ac:dyDescent="0.25">
      <c r="C38" s="9" t="s">
        <v>85</v>
      </c>
      <c r="D38" s="9" t="s">
        <v>82</v>
      </c>
      <c r="G38" s="9" t="s">
        <v>43</v>
      </c>
      <c r="H38" s="73"/>
      <c r="I38" s="85"/>
      <c r="K38" s="73"/>
      <c r="Q38" s="73"/>
      <c r="R38" s="86">
        <f t="shared" ref="R38:V42" si="6">SUMIFS(R$10:R$34,$E$10:$E$34,$C38,$G$10:$G$34,$G38)</f>
        <v>946000</v>
      </c>
      <c r="S38" s="86">
        <f t="shared" si="6"/>
        <v>826000</v>
      </c>
      <c r="T38" s="86">
        <f t="shared" si="6"/>
        <v>826000</v>
      </c>
      <c r="U38" s="86">
        <f t="shared" si="6"/>
        <v>826000</v>
      </c>
      <c r="V38" s="86">
        <f t="shared" si="6"/>
        <v>826000</v>
      </c>
      <c r="W38" s="87">
        <f t="shared" ref="W38:W44" si="7">SUM(R38:V38)</f>
        <v>4250000</v>
      </c>
    </row>
    <row r="39" spans="1:27" ht="12.75" customHeight="1" x14ac:dyDescent="0.25">
      <c r="C39" s="9" t="s">
        <v>17</v>
      </c>
      <c r="D39" s="9" t="s">
        <v>82</v>
      </c>
      <c r="G39" s="9" t="s">
        <v>43</v>
      </c>
      <c r="H39" s="73"/>
      <c r="I39" s="85"/>
      <c r="K39" s="73"/>
      <c r="Q39" s="73"/>
      <c r="R39" s="86">
        <f t="shared" si="6"/>
        <v>2075000</v>
      </c>
      <c r="S39" s="86">
        <f t="shared" si="6"/>
        <v>2075000</v>
      </c>
      <c r="T39" s="86">
        <f t="shared" si="6"/>
        <v>2075000</v>
      </c>
      <c r="U39" s="86">
        <f t="shared" si="6"/>
        <v>2075000</v>
      </c>
      <c r="V39" s="86">
        <f t="shared" si="6"/>
        <v>2075000</v>
      </c>
      <c r="W39" s="87">
        <f t="shared" si="7"/>
        <v>10375000</v>
      </c>
    </row>
    <row r="40" spans="1:27" ht="12.75" customHeight="1" x14ac:dyDescent="0.25">
      <c r="C40" s="9" t="s">
        <v>18</v>
      </c>
      <c r="D40" s="9" t="s">
        <v>82</v>
      </c>
      <c r="G40" s="9" t="s">
        <v>43</v>
      </c>
      <c r="H40" s="73"/>
      <c r="I40" s="85"/>
      <c r="K40" s="73"/>
      <c r="Q40" s="73"/>
      <c r="R40" s="86">
        <f t="shared" si="6"/>
        <v>2533585</v>
      </c>
      <c r="S40" s="86">
        <f t="shared" si="6"/>
        <v>2533585</v>
      </c>
      <c r="T40" s="86">
        <f t="shared" si="6"/>
        <v>2533585</v>
      </c>
      <c r="U40" s="86">
        <f t="shared" si="6"/>
        <v>2533585</v>
      </c>
      <c r="V40" s="86">
        <f t="shared" si="6"/>
        <v>2533585</v>
      </c>
      <c r="W40" s="87">
        <f t="shared" si="7"/>
        <v>12667925</v>
      </c>
    </row>
    <row r="41" spans="1:27" ht="12.75" customHeight="1" x14ac:dyDescent="0.25">
      <c r="C41" s="9" t="s">
        <v>19</v>
      </c>
      <c r="D41" s="9" t="s">
        <v>82</v>
      </c>
      <c r="G41" s="9" t="s">
        <v>43</v>
      </c>
      <c r="H41" s="73"/>
      <c r="I41" s="85"/>
      <c r="K41" s="73"/>
      <c r="Q41" s="73"/>
      <c r="R41" s="86">
        <f t="shared" si="6"/>
        <v>900000</v>
      </c>
      <c r="S41" s="86">
        <f t="shared" si="6"/>
        <v>900000</v>
      </c>
      <c r="T41" s="86">
        <f t="shared" si="6"/>
        <v>900000</v>
      </c>
      <c r="U41" s="86">
        <f t="shared" si="6"/>
        <v>900000</v>
      </c>
      <c r="V41" s="86">
        <f t="shared" si="6"/>
        <v>900000</v>
      </c>
      <c r="W41" s="87">
        <f t="shared" si="7"/>
        <v>4500000</v>
      </c>
    </row>
    <row r="42" spans="1:27" ht="12.75" customHeight="1" x14ac:dyDescent="0.25">
      <c r="C42" s="9" t="s">
        <v>108</v>
      </c>
      <c r="D42" s="9" t="s">
        <v>82</v>
      </c>
      <c r="G42" s="9" t="s">
        <v>43</v>
      </c>
      <c r="H42" s="73"/>
      <c r="I42" s="85"/>
      <c r="K42" s="73"/>
      <c r="Q42" s="73"/>
      <c r="R42" s="86">
        <f t="shared" si="6"/>
        <v>2400000</v>
      </c>
      <c r="S42" s="86">
        <f t="shared" si="6"/>
        <v>2400000</v>
      </c>
      <c r="T42" s="86">
        <f t="shared" si="6"/>
        <v>2400000</v>
      </c>
      <c r="U42" s="86">
        <f t="shared" si="6"/>
        <v>2400000</v>
      </c>
      <c r="V42" s="86">
        <f t="shared" si="6"/>
        <v>2400000</v>
      </c>
      <c r="W42" s="87">
        <f t="shared" si="7"/>
        <v>12000000</v>
      </c>
    </row>
    <row r="43" spans="1:27" ht="12.75" customHeight="1" x14ac:dyDescent="0.25">
      <c r="G43" s="85"/>
      <c r="H43" s="73"/>
      <c r="I43" s="85"/>
      <c r="K43" s="73"/>
      <c r="Q43" s="73"/>
      <c r="R43" s="86"/>
      <c r="S43" s="86"/>
      <c r="T43" s="86"/>
      <c r="U43" s="86"/>
      <c r="V43" s="86"/>
      <c r="W43" s="87"/>
    </row>
    <row r="44" spans="1:27" ht="12.75" customHeight="1" x14ac:dyDescent="0.25">
      <c r="C44" s="88" t="s">
        <v>135</v>
      </c>
      <c r="D44" s="88"/>
      <c r="E44" s="88"/>
      <c r="F44" s="88"/>
      <c r="G44" s="88"/>
      <c r="H44" s="73"/>
      <c r="I44" s="88"/>
      <c r="J44" s="89"/>
      <c r="K44" s="73"/>
      <c r="L44" s="88"/>
      <c r="M44" s="88"/>
      <c r="N44" s="88"/>
      <c r="O44" s="88"/>
      <c r="P44" s="88"/>
      <c r="Q44" s="73"/>
      <c r="R44" s="90">
        <f>SUM(R38:R43)</f>
        <v>8854585</v>
      </c>
      <c r="S44" s="90">
        <f>SUM(S38:S43)</f>
        <v>8734585</v>
      </c>
      <c r="T44" s="90">
        <f>SUM(T38:T43)</f>
        <v>8734585</v>
      </c>
      <c r="U44" s="90">
        <f>SUM(U38:U43)</f>
        <v>8734585</v>
      </c>
      <c r="V44" s="90">
        <f>SUM(V38:V43)</f>
        <v>8734585</v>
      </c>
      <c r="W44" s="91">
        <f t="shared" si="7"/>
        <v>43792925</v>
      </c>
    </row>
    <row r="45" spans="1:27" ht="12.75" customHeight="1" x14ac:dyDescent="0.25">
      <c r="C45" s="92" t="s">
        <v>110</v>
      </c>
      <c r="D45" s="92"/>
      <c r="E45" s="92"/>
      <c r="F45" s="92"/>
      <c r="G45" s="92"/>
      <c r="H45" s="73"/>
      <c r="I45" s="92"/>
      <c r="J45" s="92"/>
      <c r="K45" s="73"/>
      <c r="L45" s="92"/>
      <c r="M45" s="92"/>
      <c r="N45" s="92"/>
      <c r="O45" s="92"/>
      <c r="P45" s="92"/>
      <c r="Q45" s="73"/>
      <c r="R45" s="93">
        <f>R44-SUM(R$10:R$34)</f>
        <v>0</v>
      </c>
      <c r="S45" s="93">
        <f>S44-SUM(S$10:S$34)</f>
        <v>0</v>
      </c>
      <c r="T45" s="93">
        <f>T44-SUM(T$10:T$34)</f>
        <v>0</v>
      </c>
      <c r="U45" s="93">
        <f>U44-SUM(U$10:U$34)</f>
        <v>0</v>
      </c>
      <c r="V45" s="93">
        <f>V44-SUM(V$10:V$34)</f>
        <v>0</v>
      </c>
      <c r="W45" s="93">
        <f>W44-SUM(R$10:V$34)</f>
        <v>0</v>
      </c>
      <c r="X45" s="93">
        <f>SUM(R45:W45)</f>
        <v>0</v>
      </c>
    </row>
    <row r="46" spans="1:27" ht="12.75" customHeight="1" x14ac:dyDescent="0.25">
      <c r="H46" s="73"/>
      <c r="K46" s="73"/>
      <c r="Q46" s="73"/>
    </row>
    <row r="47" spans="1:27" ht="12.75" customHeight="1" x14ac:dyDescent="0.25">
      <c r="H47" s="73"/>
      <c r="K47" s="73"/>
      <c r="Q47" s="73"/>
    </row>
    <row r="48" spans="1:27" ht="12.75" customHeight="1" x14ac:dyDescent="0.25">
      <c r="C48" s="81" t="s">
        <v>115</v>
      </c>
      <c r="D48" s="82"/>
      <c r="E48" s="82"/>
      <c r="F48" s="82"/>
      <c r="G48" s="82"/>
      <c r="H48" s="73"/>
      <c r="I48" s="82"/>
      <c r="J48" s="83"/>
      <c r="K48" s="73"/>
      <c r="L48" s="82"/>
      <c r="M48" s="82"/>
      <c r="N48" s="82"/>
      <c r="O48" s="82"/>
      <c r="P48" s="82"/>
      <c r="Q48" s="73"/>
      <c r="R48" s="84" t="s">
        <v>11</v>
      </c>
      <c r="S48" s="84" t="s">
        <v>12</v>
      </c>
      <c r="T48" s="84" t="s">
        <v>13</v>
      </c>
      <c r="U48" s="84" t="s">
        <v>14</v>
      </c>
      <c r="V48" s="84" t="s">
        <v>15</v>
      </c>
      <c r="W48" s="84" t="s">
        <v>8</v>
      </c>
      <c r="AA48"/>
    </row>
    <row r="49" spans="3:27" ht="12.75" customHeight="1" x14ac:dyDescent="0.25">
      <c r="C49" s="9" t="s">
        <v>85</v>
      </c>
      <c r="D49" s="9" t="s">
        <v>82</v>
      </c>
      <c r="G49" s="9" t="s">
        <v>43</v>
      </c>
      <c r="H49" s="73"/>
      <c r="I49" s="85"/>
      <c r="K49" s="73"/>
      <c r="Q49" s="73"/>
      <c r="R49" s="94">
        <f t="shared" ref="R49:V53" si="8">R38*escalate_FY25_to_FY26</f>
        <v>985287.37526210875</v>
      </c>
      <c r="S49" s="94">
        <f t="shared" si="8"/>
        <v>860303.77586310974</v>
      </c>
      <c r="T49" s="94">
        <f t="shared" si="8"/>
        <v>860303.77586310974</v>
      </c>
      <c r="U49" s="94">
        <f t="shared" si="8"/>
        <v>860303.77586310974</v>
      </c>
      <c r="V49" s="94">
        <f t="shared" si="8"/>
        <v>860303.77586310974</v>
      </c>
      <c r="W49" s="87">
        <f>SUM(R49:V49)</f>
        <v>4426502.4787145481</v>
      </c>
    </row>
    <row r="50" spans="3:27" ht="12.75" customHeight="1" x14ac:dyDescent="0.25">
      <c r="C50" s="9" t="s">
        <v>17</v>
      </c>
      <c r="D50" s="9" t="s">
        <v>82</v>
      </c>
      <c r="G50" s="9" t="s">
        <v>43</v>
      </c>
      <c r="H50" s="73"/>
      <c r="I50" s="85"/>
      <c r="K50" s="73"/>
      <c r="Q50" s="73"/>
      <c r="R50" s="94">
        <f t="shared" si="8"/>
        <v>2161174.7396076908</v>
      </c>
      <c r="S50" s="94">
        <f t="shared" si="8"/>
        <v>2161174.7396076908</v>
      </c>
      <c r="T50" s="94">
        <f t="shared" si="8"/>
        <v>2161174.7396076908</v>
      </c>
      <c r="U50" s="94">
        <f t="shared" si="8"/>
        <v>2161174.7396076908</v>
      </c>
      <c r="V50" s="94">
        <f t="shared" si="8"/>
        <v>2161174.7396076908</v>
      </c>
      <c r="W50" s="87">
        <f t="shared" ref="W50:W53" si="9">SUM(R50:V50)</f>
        <v>10805873.698038455</v>
      </c>
    </row>
    <row r="51" spans="3:27" ht="12.75" customHeight="1" x14ac:dyDescent="0.25">
      <c r="C51" s="9" t="s">
        <v>18</v>
      </c>
      <c r="D51" s="9" t="s">
        <v>82</v>
      </c>
      <c r="G51" s="9" t="s">
        <v>43</v>
      </c>
      <c r="H51" s="73"/>
      <c r="I51" s="85"/>
      <c r="K51" s="73"/>
      <c r="Q51" s="73"/>
      <c r="R51" s="94">
        <f t="shared" si="8"/>
        <v>2638804.7723609405</v>
      </c>
      <c r="S51" s="94">
        <f t="shared" si="8"/>
        <v>2638804.7723609405</v>
      </c>
      <c r="T51" s="94">
        <f t="shared" si="8"/>
        <v>2638804.7723609405</v>
      </c>
      <c r="U51" s="94">
        <f t="shared" si="8"/>
        <v>2638804.7723609405</v>
      </c>
      <c r="V51" s="94">
        <f t="shared" si="8"/>
        <v>2638804.7723609405</v>
      </c>
      <c r="W51" s="87">
        <f t="shared" si="9"/>
        <v>13194023.861804701</v>
      </c>
    </row>
    <row r="52" spans="3:27" ht="12.75" customHeight="1" x14ac:dyDescent="0.25">
      <c r="C52" s="9" t="s">
        <v>19</v>
      </c>
      <c r="D52" s="9" t="s">
        <v>82</v>
      </c>
      <c r="G52" s="9" t="s">
        <v>43</v>
      </c>
      <c r="H52" s="73"/>
      <c r="I52" s="85"/>
      <c r="K52" s="73"/>
      <c r="Q52" s="73"/>
      <c r="R52" s="94">
        <f t="shared" si="8"/>
        <v>937376.99549249245</v>
      </c>
      <c r="S52" s="94">
        <f t="shared" si="8"/>
        <v>937376.99549249245</v>
      </c>
      <c r="T52" s="94">
        <f t="shared" si="8"/>
        <v>937376.99549249245</v>
      </c>
      <c r="U52" s="94">
        <f t="shared" si="8"/>
        <v>937376.99549249245</v>
      </c>
      <c r="V52" s="94">
        <f t="shared" si="8"/>
        <v>937376.99549249245</v>
      </c>
      <c r="W52" s="86">
        <f t="shared" si="9"/>
        <v>4686884.9774624621</v>
      </c>
    </row>
    <row r="53" spans="3:27" ht="12.75" customHeight="1" x14ac:dyDescent="0.25">
      <c r="C53" s="9" t="s">
        <v>108</v>
      </c>
      <c r="D53" s="9" t="s">
        <v>82</v>
      </c>
      <c r="G53" s="9" t="s">
        <v>43</v>
      </c>
      <c r="H53" s="73"/>
      <c r="I53" s="85"/>
      <c r="K53" s="73"/>
      <c r="Q53" s="73"/>
      <c r="R53" s="94">
        <f t="shared" si="8"/>
        <v>2499671.9879799802</v>
      </c>
      <c r="S53" s="94">
        <f t="shared" si="8"/>
        <v>2499671.9879799802</v>
      </c>
      <c r="T53" s="94">
        <f t="shared" si="8"/>
        <v>2499671.9879799802</v>
      </c>
      <c r="U53" s="94">
        <f t="shared" si="8"/>
        <v>2499671.9879799802</v>
      </c>
      <c r="V53" s="94">
        <f t="shared" si="8"/>
        <v>2499671.9879799802</v>
      </c>
      <c r="W53" s="86">
        <f t="shared" si="9"/>
        <v>12498359.939899901</v>
      </c>
    </row>
    <row r="54" spans="3:27" ht="12.75" customHeight="1" x14ac:dyDescent="0.25">
      <c r="H54" s="73"/>
      <c r="I54" s="85"/>
      <c r="K54" s="73"/>
      <c r="Q54" s="73"/>
      <c r="R54" s="86"/>
      <c r="S54" s="86"/>
      <c r="T54" s="86"/>
      <c r="U54" s="86"/>
      <c r="V54" s="86"/>
      <c r="W54" s="86"/>
    </row>
    <row r="55" spans="3:27" x14ac:dyDescent="0.25">
      <c r="C55" s="88" t="s">
        <v>136</v>
      </c>
      <c r="D55" s="88"/>
      <c r="E55" s="88"/>
      <c r="F55" s="88"/>
      <c r="G55" s="88"/>
      <c r="H55" s="73"/>
      <c r="I55" s="88"/>
      <c r="J55" s="89"/>
      <c r="K55" s="73"/>
      <c r="L55" s="88"/>
      <c r="M55" s="88"/>
      <c r="N55" s="88"/>
      <c r="O55" s="88"/>
      <c r="P55" s="88"/>
      <c r="Q55" s="73"/>
      <c r="R55" s="90">
        <f t="shared" ref="R55:W55" si="10">SUM(R49:R54)</f>
        <v>9222315.8707032129</v>
      </c>
      <c r="S55" s="90">
        <f t="shared" si="10"/>
        <v>9097332.2713042125</v>
      </c>
      <c r="T55" s="90">
        <f t="shared" si="10"/>
        <v>9097332.2713042125</v>
      </c>
      <c r="U55" s="90">
        <f t="shared" si="10"/>
        <v>9097332.2713042125</v>
      </c>
      <c r="V55" s="90">
        <f t="shared" si="10"/>
        <v>9097332.2713042125</v>
      </c>
      <c r="W55" s="90">
        <f t="shared" si="10"/>
        <v>45611644.95592007</v>
      </c>
    </row>
    <row r="56" spans="3:27" x14ac:dyDescent="0.25">
      <c r="H56" s="73"/>
      <c r="K56" s="73"/>
      <c r="Q56" s="73"/>
      <c r="R56" s="93">
        <v>0</v>
      </c>
      <c r="S56" s="93">
        <v>0</v>
      </c>
      <c r="T56" s="93">
        <v>0</v>
      </c>
      <c r="U56" s="93">
        <v>0</v>
      </c>
      <c r="V56" s="93">
        <v>0</v>
      </c>
      <c r="W56" s="93">
        <v>0</v>
      </c>
      <c r="X56" s="93">
        <f>SUM(R56:W56)</f>
        <v>0</v>
      </c>
    </row>
    <row r="57" spans="3:27" x14ac:dyDescent="0.25">
      <c r="J57" s="9"/>
    </row>
    <row r="58" spans="3:27" ht="12.75" customHeight="1" x14ac:dyDescent="0.25">
      <c r="C58" s="81" t="s">
        <v>117</v>
      </c>
      <c r="D58" s="82"/>
      <c r="E58" s="82"/>
      <c r="F58" s="82"/>
      <c r="G58" s="82"/>
      <c r="H58" s="73"/>
      <c r="I58" s="82"/>
      <c r="J58" s="83"/>
      <c r="K58" s="73"/>
      <c r="L58" s="82"/>
      <c r="M58" s="82"/>
      <c r="N58" s="82"/>
      <c r="O58" s="82"/>
      <c r="P58" s="82"/>
      <c r="Q58" s="73"/>
      <c r="R58" s="84" t="s">
        <v>11</v>
      </c>
      <c r="S58" s="84" t="s">
        <v>12</v>
      </c>
      <c r="T58" s="84" t="s">
        <v>13</v>
      </c>
      <c r="U58" s="84" t="s">
        <v>14</v>
      </c>
      <c r="V58" s="84" t="s">
        <v>15</v>
      </c>
      <c r="W58" s="84" t="s">
        <v>8</v>
      </c>
      <c r="AA58"/>
    </row>
    <row r="59" spans="3:27" ht="12.75" customHeight="1" x14ac:dyDescent="0.25">
      <c r="C59" s="9" t="s">
        <v>85</v>
      </c>
      <c r="D59" s="9" t="s">
        <v>82</v>
      </c>
      <c r="G59" s="9" t="s">
        <v>43</v>
      </c>
      <c r="H59" s="73"/>
      <c r="I59" s="85"/>
      <c r="K59" s="73"/>
      <c r="Q59" s="73"/>
      <c r="R59" s="94">
        <f>R49*(1+Assumptions!F$24)</f>
        <v>1024507.2366122209</v>
      </c>
      <c r="S59" s="94">
        <f>S49*(1+Assumptions!G$24)</f>
        <v>901717.80489997286</v>
      </c>
      <c r="T59" s="94">
        <f>T49*(1+Assumptions!H$24)</f>
        <v>909990.868318956</v>
      </c>
      <c r="U59" s="94">
        <f>U49*(1+Assumptions!I$24)</f>
        <v>919212.362401327</v>
      </c>
      <c r="V59" s="94">
        <f>V49*(1+Assumptions!J$24)</f>
        <v>928114.90961173049</v>
      </c>
      <c r="W59" s="87">
        <f>SUM(R59:V59)</f>
        <v>4683543.1818442075</v>
      </c>
    </row>
    <row r="60" spans="3:27" ht="12.75" customHeight="1" x14ac:dyDescent="0.25">
      <c r="C60" s="9" t="s">
        <v>17</v>
      </c>
      <c r="D60" s="9" t="s">
        <v>82</v>
      </c>
      <c r="G60" s="9" t="s">
        <v>43</v>
      </c>
      <c r="H60" s="73"/>
      <c r="I60" s="85"/>
      <c r="K60" s="73"/>
      <c r="Q60" s="73"/>
      <c r="R60" s="94">
        <f>R50*(1+Assumptions!F$24)</f>
        <v>2247201.3910891735</v>
      </c>
      <c r="S60" s="94">
        <f>S50*(1+Assumptions!G$24)</f>
        <v>2265211.1926966626</v>
      </c>
      <c r="T60" s="94">
        <f>T50*(1+Assumptions!H$24)</f>
        <v>2285994.009396893</v>
      </c>
      <c r="U60" s="94">
        <f>U50*(1+Assumptions!I$24)</f>
        <v>2309159.3849670137</v>
      </c>
      <c r="V60" s="94">
        <f>V50*(1+Assumptions!J$24)</f>
        <v>2331523.5320149404</v>
      </c>
      <c r="W60" s="87">
        <f t="shared" ref="W60:W63" si="11">SUM(R60:V60)</f>
        <v>11439089.510164682</v>
      </c>
    </row>
    <row r="61" spans="3:27" ht="12.75" customHeight="1" x14ac:dyDescent="0.25">
      <c r="C61" s="9" t="s">
        <v>18</v>
      </c>
      <c r="D61" s="9" t="s">
        <v>82</v>
      </c>
      <c r="G61" s="9" t="s">
        <v>43</v>
      </c>
      <c r="H61" s="73"/>
      <c r="I61" s="85"/>
      <c r="K61" s="73"/>
      <c r="Q61" s="73"/>
      <c r="R61" s="94">
        <f>R51*(1+Assumptions!F$24)</f>
        <v>2743843.7284061033</v>
      </c>
      <c r="S61" s="94">
        <f>S51*(1+Assumptions!G$24)</f>
        <v>2765833.7829630719</v>
      </c>
      <c r="T61" s="94">
        <f>T51*(1+Assumptions!H$24)</f>
        <v>2791209.7023122059</v>
      </c>
      <c r="U61" s="94">
        <f>U51*(1+Assumptions!I$24)</f>
        <v>2819494.7375236875</v>
      </c>
      <c r="V61" s="94">
        <f>V51*(1+Assumptions!J$24)</f>
        <v>2846801.468848228</v>
      </c>
      <c r="W61" s="87">
        <f t="shared" si="11"/>
        <v>13967183.420053298</v>
      </c>
    </row>
    <row r="62" spans="3:27" ht="12.75" customHeight="1" x14ac:dyDescent="0.25">
      <c r="C62" s="9" t="s">
        <v>19</v>
      </c>
      <c r="D62" s="9" t="s">
        <v>82</v>
      </c>
      <c r="G62" s="9" t="s">
        <v>43</v>
      </c>
      <c r="H62" s="73"/>
      <c r="I62" s="85"/>
      <c r="K62" s="73"/>
      <c r="Q62" s="73"/>
      <c r="R62" s="94">
        <f>R52*(1+Assumptions!F$24)</f>
        <v>974689.75999048492</v>
      </c>
      <c r="S62" s="94">
        <f>S52*(1+Assumptions!G$24)</f>
        <v>982501.24020578153</v>
      </c>
      <c r="T62" s="94">
        <f>T52*(1+Assumptions!H$24)</f>
        <v>991515.47395527898</v>
      </c>
      <c r="U62" s="94">
        <f>U52*(1+Assumptions!I$24)</f>
        <v>1001563.1067326808</v>
      </c>
      <c r="V62" s="94">
        <f>V52*(1+Assumptions!J$24)</f>
        <v>1011263.2187052754</v>
      </c>
      <c r="W62" s="86">
        <f t="shared" si="11"/>
        <v>4961532.7995895017</v>
      </c>
    </row>
    <row r="63" spans="3:27" ht="12.75" customHeight="1" x14ac:dyDescent="0.25">
      <c r="C63" s="9" t="s">
        <v>108</v>
      </c>
      <c r="D63" s="9" t="s">
        <v>82</v>
      </c>
      <c r="G63" s="9" t="s">
        <v>43</v>
      </c>
      <c r="H63" s="73"/>
      <c r="I63" s="85"/>
      <c r="K63" s="73"/>
      <c r="Q63" s="73"/>
      <c r="R63" s="94">
        <f>R53*(1+Assumptions!F$24)</f>
        <v>2599172.6933079604</v>
      </c>
      <c r="S63" s="94">
        <f>S53*(1+Assumptions!G$24)</f>
        <v>2620003.3072154177</v>
      </c>
      <c r="T63" s="94">
        <f>T53*(1+Assumptions!H$24)</f>
        <v>2644041.2638807441</v>
      </c>
      <c r="U63" s="94">
        <f>U53*(1+Assumptions!I$24)</f>
        <v>2670834.951287149</v>
      </c>
      <c r="V63" s="94">
        <f>V53*(1+Assumptions!J$24)</f>
        <v>2696701.9165474013</v>
      </c>
      <c r="W63" s="86">
        <f t="shared" si="11"/>
        <v>13230754.132238671</v>
      </c>
    </row>
    <row r="64" spans="3:27" ht="12.75" customHeight="1" x14ac:dyDescent="0.25">
      <c r="H64" s="73"/>
      <c r="I64" s="85"/>
      <c r="K64" s="73"/>
      <c r="Q64" s="73"/>
      <c r="R64" s="86"/>
      <c r="S64" s="86"/>
      <c r="T64" s="86"/>
      <c r="U64" s="86"/>
      <c r="V64" s="86"/>
      <c r="W64" s="86"/>
    </row>
    <row r="65" spans="3:23" x14ac:dyDescent="0.25">
      <c r="C65" s="88" t="s">
        <v>121</v>
      </c>
      <c r="D65" s="88"/>
      <c r="E65" s="88"/>
      <c r="F65" s="88"/>
      <c r="G65" s="88"/>
      <c r="H65" s="73"/>
      <c r="I65" s="88"/>
      <c r="J65" s="89"/>
      <c r="K65" s="73"/>
      <c r="L65" s="88"/>
      <c r="M65" s="88"/>
      <c r="N65" s="88"/>
      <c r="O65" s="88"/>
      <c r="P65" s="88"/>
      <c r="Q65" s="73"/>
      <c r="R65" s="90">
        <f t="shared" ref="R65:W65" si="12">SUM(R59:R64)</f>
        <v>9589414.8094059434</v>
      </c>
      <c r="S65" s="90">
        <f t="shared" si="12"/>
        <v>9535267.3279809058</v>
      </c>
      <c r="T65" s="90">
        <f t="shared" si="12"/>
        <v>9622751.317864079</v>
      </c>
      <c r="U65" s="90">
        <f t="shared" si="12"/>
        <v>9720264.5429118574</v>
      </c>
      <c r="V65" s="90">
        <f t="shared" si="12"/>
        <v>9814405.0457275752</v>
      </c>
      <c r="W65" s="90">
        <f t="shared" si="12"/>
        <v>48282103.043890357</v>
      </c>
    </row>
    <row r="67" spans="3:23" x14ac:dyDescent="0.25">
      <c r="R67" s="97"/>
      <c r="S67" s="97"/>
      <c r="T67" s="97"/>
      <c r="U67" s="97"/>
      <c r="V67" s="97"/>
      <c r="W67" s="97"/>
    </row>
  </sheetData>
  <conditionalFormatting sqref="R45:W45">
    <cfRule type="expression" dxfId="3" priority="1">
      <formula>ABS(R45)&gt;0.001</formula>
    </cfRule>
  </conditionalFormatting>
  <conditionalFormatting sqref="R56:W56">
    <cfRule type="expression" dxfId="2" priority="2">
      <formula>ABS(R56)&gt;0.001</formula>
    </cfRule>
  </conditionalFormatting>
  <conditionalFormatting sqref="X45">
    <cfRule type="expression" dxfId="1" priority="4">
      <formula>ABS(X45)&gt;0.001</formula>
    </cfRule>
  </conditionalFormatting>
  <conditionalFormatting sqref="X56">
    <cfRule type="expression" dxfId="0" priority="3">
      <formula>ABS(X56)&gt;0.001</formula>
    </cfRule>
  </conditionalFormatting>
  <dataValidations count="4">
    <dataValidation type="list" allowBlank="1" showInputMessage="1" showErrorMessage="1" sqref="E10:E33" xr:uid="{D905D7A7-BC79-465E-86A1-163C5140B9FF}">
      <formula1>#REF!</formula1>
    </dataValidation>
    <dataValidation type="list" allowBlank="1" showInputMessage="1" showErrorMessage="1" sqref="G10:G34" xr:uid="{21E4BA37-AD90-4E5A-BE15-5D5224477EC5}">
      <formula1>"Recurrent, Non recurrent"</formula1>
    </dataValidation>
    <dataValidation type="list" allowBlank="1" showInputMessage="1" showErrorMessage="1" sqref="D10:D34" xr:uid="{198BC602-5FB3-4F7E-B1D2-D37148081DED}">
      <formula1>"Capex, Opex"</formula1>
    </dataValidation>
    <dataValidation type="list" allowBlank="1" showInputMessage="1" showErrorMessage="1" sqref="F10:F34" xr:uid="{24A5BA56-A7B4-41FC-91DA-3B1FF3CDA664}">
      <formula1>"Total cost, Hrs required, NA"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2B322-DE58-4C87-80AE-79535F1718BF}">
  <dimension ref="A1:K28"/>
  <sheetViews>
    <sheetView showGridLines="0" zoomScale="90" zoomScaleNormal="90" workbookViewId="0">
      <selection activeCell="I15" sqref="I15"/>
    </sheetView>
  </sheetViews>
  <sheetFormatPr defaultRowHeight="15" x14ac:dyDescent="0.25"/>
  <cols>
    <col min="1" max="1" width="6.42578125" customWidth="1"/>
    <col min="2" max="2" width="22" customWidth="1"/>
    <col min="3" max="3" width="6.140625" customWidth="1"/>
    <col min="4" max="9" width="12.5703125" customWidth="1"/>
  </cols>
  <sheetData>
    <row r="1" spans="1:11" s="9" customFormat="1" ht="21" x14ac:dyDescent="0.35">
      <c r="A1" s="26" t="s">
        <v>41</v>
      </c>
      <c r="B1" s="21"/>
      <c r="C1" s="22"/>
      <c r="D1" s="22"/>
      <c r="E1" s="22"/>
      <c r="F1" s="22"/>
      <c r="G1" s="22"/>
      <c r="H1" s="22"/>
      <c r="I1" s="22"/>
    </row>
    <row r="2" spans="1:11" s="9" customFormat="1" ht="15.75" x14ac:dyDescent="0.25">
      <c r="A2" s="29" t="s">
        <v>118</v>
      </c>
      <c r="B2" s="23"/>
      <c r="C2" s="22"/>
      <c r="D2" s="22"/>
      <c r="E2" s="22"/>
      <c r="F2" s="22"/>
      <c r="G2" s="22"/>
      <c r="H2" s="22"/>
      <c r="I2" s="22"/>
    </row>
    <row r="3" spans="1:11" s="56" customFormat="1" ht="15.75" x14ac:dyDescent="0.25">
      <c r="A3" s="30" t="s">
        <v>71</v>
      </c>
      <c r="B3" s="24"/>
      <c r="C3" s="24"/>
      <c r="D3" s="24"/>
      <c r="E3" s="23"/>
      <c r="F3" s="22"/>
      <c r="G3" s="22"/>
      <c r="H3" s="22"/>
      <c r="I3" s="22"/>
      <c r="K3" s="57"/>
    </row>
    <row r="5" spans="1:11" s="1" customFormat="1" x14ac:dyDescent="0.25">
      <c r="B5" s="104" t="s">
        <v>119</v>
      </c>
      <c r="C5" s="105"/>
    </row>
    <row r="6" spans="1:11" s="1" customFormat="1" x14ac:dyDescent="0.25"/>
    <row r="7" spans="1:11" s="1" customFormat="1" x14ac:dyDescent="0.25">
      <c r="B7" s="1" t="s">
        <v>24</v>
      </c>
      <c r="C7" s="96">
        <v>0.55346817377404811</v>
      </c>
    </row>
    <row r="8" spans="1:11" s="1" customFormat="1" x14ac:dyDescent="0.25">
      <c r="B8" s="1" t="s">
        <v>113</v>
      </c>
      <c r="C8" s="96">
        <v>0.14153275104184507</v>
      </c>
    </row>
    <row r="9" spans="1:11" s="1" customFormat="1" x14ac:dyDescent="0.25">
      <c r="B9" s="1" t="s">
        <v>114</v>
      </c>
      <c r="C9" s="96">
        <v>0.3049990751841069</v>
      </c>
    </row>
    <row r="10" spans="1:11" s="1" customFormat="1" x14ac:dyDescent="0.25"/>
    <row r="11" spans="1:11" s="1" customFormat="1" ht="12.75" customHeight="1" x14ac:dyDescent="0.25"/>
    <row r="12" spans="1:11" s="1" customFormat="1" ht="12.75" customHeight="1" x14ac:dyDescent="0.25">
      <c r="B12" s="103"/>
      <c r="C12" s="103"/>
      <c r="D12" s="103"/>
      <c r="E12" s="103"/>
      <c r="F12" s="103"/>
      <c r="G12" s="103"/>
      <c r="H12" s="103"/>
      <c r="I12" s="103"/>
    </row>
    <row r="13" spans="1:11" s="1" customFormat="1" ht="12.75" customHeight="1" x14ac:dyDescent="0.25">
      <c r="B13" s="104" t="s">
        <v>109</v>
      </c>
      <c r="C13" s="105"/>
      <c r="D13" s="106" t="s">
        <v>11</v>
      </c>
      <c r="E13" s="106" t="s">
        <v>12</v>
      </c>
      <c r="F13" s="106" t="s">
        <v>13</v>
      </c>
      <c r="G13" s="106" t="s">
        <v>14</v>
      </c>
      <c r="H13" s="106" t="s">
        <v>15</v>
      </c>
      <c r="I13" s="106" t="s">
        <v>8</v>
      </c>
    </row>
    <row r="14" spans="1:11" s="1" customFormat="1" ht="12.75" customHeight="1" x14ac:dyDescent="0.25">
      <c r="B14" s="1" t="s">
        <v>85</v>
      </c>
      <c r="D14" s="98">
        <f>'CAP summary'!R59*$C$7</f>
        <v>567032.14926606254</v>
      </c>
      <c r="E14" s="98">
        <f>'CAP summary'!S59*$C$7</f>
        <v>499072.10673753137</v>
      </c>
      <c r="F14" s="98">
        <f>'CAP summary'!T59*$C$7</f>
        <v>503650.98403955286</v>
      </c>
      <c r="G14" s="98">
        <f>'CAP summary'!U59*$C$7</f>
        <v>508754.78752879094</v>
      </c>
      <c r="H14" s="98">
        <f>'CAP summary'!V59*$C$7</f>
        <v>513682.0640752702</v>
      </c>
      <c r="I14" s="99">
        <f>SUM(D14:H14)</f>
        <v>2592192.0916472082</v>
      </c>
    </row>
    <row r="15" spans="1:11" s="1" customFormat="1" ht="12.75" customHeight="1" x14ac:dyDescent="0.25">
      <c r="B15" s="1" t="s">
        <v>17</v>
      </c>
      <c r="D15" s="98">
        <f>'CAP summary'!R60*$C$7</f>
        <v>1243754.4500286253</v>
      </c>
      <c r="E15" s="98">
        <f>'CAP summary'!S60*$C$7</f>
        <v>1253722.3020343552</v>
      </c>
      <c r="F15" s="98">
        <f>'CAP summary'!T60*$C$7</f>
        <v>1265224.9296393124</v>
      </c>
      <c r="G15" s="98">
        <f>'CAP summary'!U60*$C$7</f>
        <v>1278046.2277508972</v>
      </c>
      <c r="H15" s="98">
        <f>'CAP summary'!V60*$C$7</f>
        <v>1290424.0713755274</v>
      </c>
      <c r="I15" s="99">
        <f t="shared" ref="I15:I18" si="0">SUM(D15:H15)</f>
        <v>6331171.9808287174</v>
      </c>
    </row>
    <row r="16" spans="1:11" s="1" customFormat="1" ht="12.75" customHeight="1" x14ac:dyDescent="0.25">
      <c r="B16" s="1" t="s">
        <v>18</v>
      </c>
      <c r="D16" s="98">
        <f>'CAP summary'!R61*$C$7</f>
        <v>1518630.1774823014</v>
      </c>
      <c r="E16" s="98">
        <f>'CAP summary'!S61*$C$7</f>
        <v>1530800.9728191383</v>
      </c>
      <c r="F16" s="98">
        <f>'CAP summary'!T61*$C$7</f>
        <v>1544845.7365591412</v>
      </c>
      <c r="G16" s="98">
        <f>'CAP summary'!U61*$C$7</f>
        <v>1560500.6033427746</v>
      </c>
      <c r="H16" s="98">
        <f>'CAP summary'!V61*$C$7</f>
        <v>1575614.0100607064</v>
      </c>
      <c r="I16" s="99">
        <f t="shared" si="0"/>
        <v>7730391.5002640616</v>
      </c>
    </row>
    <row r="17" spans="2:9" s="1" customFormat="1" ht="12.75" customHeight="1" x14ac:dyDescent="0.25">
      <c r="B17" s="1" t="s">
        <v>19</v>
      </c>
      <c r="D17" s="98">
        <f>'CAP summary'!R62*$C$7</f>
        <v>539459.76145819901</v>
      </c>
      <c r="E17" s="98">
        <f>'CAP summary'!S62*$C$7</f>
        <v>543783.16714743129</v>
      </c>
      <c r="F17" s="98">
        <f>'CAP summary'!T62*$C$7</f>
        <v>548772.25863873807</v>
      </c>
      <c r="G17" s="98">
        <f>'CAP summary'!U62*$C$7</f>
        <v>554333.30360279884</v>
      </c>
      <c r="H17" s="98">
        <f>'CAP summary'!V62*$C$7</f>
        <v>559702.0068616746</v>
      </c>
      <c r="I17" s="100">
        <f t="shared" si="0"/>
        <v>2746050.4977088417</v>
      </c>
    </row>
    <row r="18" spans="2:9" s="1" customFormat="1" x14ac:dyDescent="0.25">
      <c r="B18" s="1" t="s">
        <v>108</v>
      </c>
      <c r="D18" s="98">
        <f>'CAP summary'!R63*$C$7</f>
        <v>1438559.363888531</v>
      </c>
      <c r="E18" s="98">
        <f>'CAP summary'!S63*$C$7</f>
        <v>1450088.4457264836</v>
      </c>
      <c r="F18" s="98">
        <f>'CAP summary'!T63*$C$7</f>
        <v>1463392.6897033015</v>
      </c>
      <c r="G18" s="98">
        <f>'CAP summary'!U63*$C$7</f>
        <v>1478222.1429407971</v>
      </c>
      <c r="H18" s="98">
        <f>'CAP summary'!V63*$C$7</f>
        <v>1492538.6849644657</v>
      </c>
      <c r="I18" s="100">
        <f t="shared" si="0"/>
        <v>7322801.3272235794</v>
      </c>
    </row>
    <row r="19" spans="2:9" s="1" customFormat="1" x14ac:dyDescent="0.25">
      <c r="D19" s="100"/>
      <c r="E19" s="100"/>
      <c r="F19" s="100"/>
      <c r="G19" s="100"/>
      <c r="H19" s="100"/>
      <c r="I19" s="100"/>
    </row>
    <row r="20" spans="2:9" s="1" customFormat="1" x14ac:dyDescent="0.25">
      <c r="B20" s="101" t="s">
        <v>136</v>
      </c>
      <c r="C20" s="101"/>
      <c r="D20" s="102">
        <f t="shared" ref="D20:I20" si="1">SUM(D14:D19)</f>
        <v>5307435.9021237195</v>
      </c>
      <c r="E20" s="102">
        <f t="shared" si="1"/>
        <v>5277466.9944649395</v>
      </c>
      <c r="F20" s="102">
        <f t="shared" si="1"/>
        <v>5325886.5985800456</v>
      </c>
      <c r="G20" s="102">
        <f t="shared" si="1"/>
        <v>5379857.065166059</v>
      </c>
      <c r="H20" s="102">
        <f t="shared" si="1"/>
        <v>5431960.8373376448</v>
      </c>
      <c r="I20" s="102">
        <f t="shared" si="1"/>
        <v>26722607.397672407</v>
      </c>
    </row>
    <row r="21" spans="2:9" s="1" customFormat="1" x14ac:dyDescent="0.25"/>
    <row r="22" spans="2:9" s="1" customFormat="1" x14ac:dyDescent="0.25"/>
    <row r="23" spans="2:9" s="1" customFormat="1" x14ac:dyDescent="0.25"/>
    <row r="24" spans="2:9" s="1" customFormat="1" x14ac:dyDescent="0.25"/>
    <row r="25" spans="2:9" s="1" customFormat="1" x14ac:dyDescent="0.25"/>
    <row r="26" spans="2:9" s="1" customFormat="1" x14ac:dyDescent="0.25"/>
    <row r="27" spans="2:9" s="1" customFormat="1" x14ac:dyDescent="0.25"/>
    <row r="28" spans="2:9" s="1" customForma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Cover</vt:lpstr>
      <vt:lpstr>Summary</vt:lpstr>
      <vt:lpstr>Assumptions</vt:lpstr>
      <vt:lpstr>IT projects</vt:lpstr>
      <vt:lpstr>Customer support officer</vt:lpstr>
      <vt:lpstr>CAP summary</vt:lpstr>
      <vt:lpstr>PAL CAP Summary</vt:lpstr>
      <vt:lpstr>escalate_FY24_to_FY26</vt:lpstr>
      <vt:lpstr>escalate_FY25_to_FY26</vt:lpstr>
      <vt:lpstr>'CAP summary'!years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2025-01-26T05:22:02Z</dcterms:created>
  <dcterms:modified xsi:type="dcterms:W3CDTF">2025-01-28T23:33:08Z</dcterms:modified>
</cp:coreProperties>
</file>