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4 Reset RIN\Iteration 8\2 Powercor\"/>
    </mc:Choice>
  </mc:AlternateContent>
  <xr:revisionPtr revIDLastSave="0" documentId="13_ncr:1_{A4C7F37A-F6CA-4D15-A40C-B11685B59699}" xr6:coauthVersionLast="47" xr6:coauthVersionMax="47" xr10:uidLastSave="{00000000-0000-0000-0000-000000000000}"/>
  <bookViews>
    <workbookView xWindow="-18570" yWindow="-16320" windowWidth="29040" windowHeight="15720" tabRatio="691" activeTab="1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  <externalReference r:id="rId9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#REF!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P21" i="13"/>
  <c r="O21" i="13"/>
  <c r="N21" i="13"/>
  <c r="M21" i="13"/>
  <c r="L21" i="13"/>
  <c r="D44" i="4" s="1"/>
  <c r="E44" i="4" s="1"/>
  <c r="F44" i="4" s="1"/>
  <c r="G44" i="4" s="1"/>
  <c r="H44" i="4" s="1"/>
  <c r="K20" i="13"/>
  <c r="J20" i="13"/>
  <c r="I20" i="13"/>
  <c r="H20" i="13"/>
  <c r="G20" i="13"/>
  <c r="L14" i="13"/>
  <c r="K13" i="13"/>
  <c r="J13" i="13"/>
  <c r="I13" i="13"/>
  <c r="H13" i="13"/>
  <c r="G13" i="13"/>
  <c r="L9" i="13"/>
  <c r="K8" i="13"/>
  <c r="J8" i="13"/>
  <c r="I8" i="13"/>
  <c r="H8" i="13"/>
  <c r="G8" i="13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D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23" i="3" s="1"/>
  <c r="L12" i="3"/>
  <c r="J16" i="3"/>
  <c r="J23" i="3" s="1"/>
  <c r="J12" i="3"/>
  <c r="K16" i="3"/>
  <c r="K23" i="3" s="1"/>
  <c r="K12" i="3"/>
  <c r="D13" i="2" l="1"/>
  <c r="H7" i="13"/>
  <c r="H19" i="13" s="1"/>
  <c r="I6" i="3"/>
  <c r="E7" i="4"/>
  <c r="H18" i="2"/>
  <c r="P7" i="13" s="1"/>
  <c r="P19" i="13" s="1"/>
  <c r="O7" i="13"/>
  <c r="O19" i="13" s="1"/>
  <c r="L22" i="13"/>
  <c r="G7" i="13" l="1"/>
  <c r="H6" i="3"/>
  <c r="D7" i="4"/>
  <c r="I16" i="3"/>
  <c r="I23" i="3" s="1"/>
  <c r="I12" i="3"/>
  <c r="G22" i="13"/>
  <c r="D9" i="4" s="1"/>
  <c r="H22" i="13"/>
  <c r="I22" i="13"/>
  <c r="J22" i="13"/>
  <c r="K22" i="13"/>
  <c r="H12" i="3" l="1"/>
  <c r="D31" i="4" s="1"/>
  <c r="H16" i="3"/>
  <c r="H23" i="3" s="1"/>
  <c r="F7" i="13"/>
  <c r="F24" i="3" s="1"/>
  <c r="F31" i="3" s="1"/>
  <c r="G19" i="13"/>
  <c r="H9" i="4"/>
  <c r="H8" i="4"/>
  <c r="F8" i="3" l="1"/>
  <c r="F9" i="3"/>
  <c r="F10" i="3"/>
  <c r="F12" i="3"/>
  <c r="G19" i="4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C10" i="13"/>
  <c r="G8" i="4"/>
  <c r="F8" i="4"/>
  <c r="E8" i="4"/>
  <c r="F9" i="4"/>
  <c r="C47" i="4"/>
  <c r="B1" i="2"/>
  <c r="B1" i="10" s="1"/>
  <c r="G9" i="4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H11" i="4"/>
  <c r="D11" i="4"/>
  <c r="F8" i="10"/>
  <c r="E8" i="10"/>
  <c r="C18" i="9"/>
  <c r="I15" i="13" l="1"/>
  <c r="I24" i="3"/>
  <c r="H24" i="3"/>
  <c r="D10" i="4"/>
  <c r="D12" i="4" s="1"/>
  <c r="G10" i="13"/>
  <c r="H10" i="13" s="1"/>
  <c r="I10" i="13" s="1"/>
  <c r="J10" i="13" s="1"/>
  <c r="K10" i="13" s="1"/>
  <c r="L10" i="13" s="1"/>
  <c r="I31" i="3" s="1"/>
  <c r="E10" i="4"/>
  <c r="G11" i="4"/>
  <c r="F11" i="4"/>
  <c r="E11" i="4"/>
  <c r="F19" i="4"/>
  <c r="E19" i="4" s="1"/>
  <c r="D19" i="4" s="1"/>
  <c r="E25" i="4"/>
  <c r="E27" i="4" s="1"/>
  <c r="N14" i="13"/>
  <c r="B1" i="9"/>
  <c r="B1" i="5"/>
  <c r="B1" i="3"/>
  <c r="B1" i="13"/>
  <c r="B1" i="4"/>
  <c r="J15" i="13" l="1"/>
  <c r="J24" i="3"/>
  <c r="F10" i="4"/>
  <c r="F12" i="4" s="1"/>
  <c r="F20" i="4" s="1"/>
  <c r="F13" i="4"/>
  <c r="G13" i="4"/>
  <c r="E13" i="4"/>
  <c r="E18" i="4" s="1"/>
  <c r="E21" i="4" s="1"/>
  <c r="H13" i="4"/>
  <c r="D21" i="4"/>
  <c r="D20" i="4"/>
  <c r="H31" i="3"/>
  <c r="E12" i="4"/>
  <c r="G14" i="4" s="1"/>
  <c r="N22" i="13"/>
  <c r="F25" i="4" s="1"/>
  <c r="F27" i="4" s="1"/>
  <c r="M10" i="13"/>
  <c r="N10" i="13" s="1"/>
  <c r="K31" i="3" s="1"/>
  <c r="O14" i="13"/>
  <c r="O22" i="13" s="1"/>
  <c r="K15" i="13" l="1"/>
  <c r="K24" i="3"/>
  <c r="G10" i="4"/>
  <c r="G12" i="4" s="1"/>
  <c r="G20" i="4" s="1"/>
  <c r="G15" i="4"/>
  <c r="G18" i="4" s="1"/>
  <c r="G21" i="4" s="1"/>
  <c r="H15" i="4"/>
  <c r="H14" i="4"/>
  <c r="E20" i="4"/>
  <c r="F14" i="4"/>
  <c r="F18" i="4" s="1"/>
  <c r="F21" i="4" s="1"/>
  <c r="J31" i="3"/>
  <c r="O10" i="13"/>
  <c r="P10" i="13" s="1"/>
  <c r="P14" i="13"/>
  <c r="G25" i="4"/>
  <c r="G27" i="4" s="1"/>
  <c r="H16" i="4" l="1"/>
  <c r="L24" i="3"/>
  <c r="D32" i="4" s="1"/>
  <c r="D33" i="4" s="1"/>
  <c r="H10" i="4"/>
  <c r="H12" i="4" s="1"/>
  <c r="H20" i="4" s="1"/>
  <c r="L15" i="13"/>
  <c r="H32" i="3"/>
  <c r="D26" i="4" s="1"/>
  <c r="D28" i="4" s="1"/>
  <c r="H18" i="4"/>
  <c r="H21" i="4" s="1"/>
  <c r="D38" i="4" s="1"/>
  <c r="P22" i="13"/>
  <c r="H25" i="4" s="1"/>
  <c r="H27" i="4" s="1"/>
  <c r="L31" i="3"/>
  <c r="M15" i="13" l="1"/>
  <c r="I32" i="3"/>
  <c r="E26" i="4" s="1"/>
  <c r="E28" i="4" s="1"/>
  <c r="N15" i="13" l="1"/>
  <c r="J32" i="3"/>
  <c r="F26" i="4" s="1"/>
  <c r="F28" i="4" s="1"/>
  <c r="O15" i="13" l="1"/>
  <c r="K32" i="3"/>
  <c r="G26" i="4" s="1"/>
  <c r="G28" i="4" s="1"/>
  <c r="P15" i="13" l="1"/>
  <c r="L32" i="3"/>
  <c r="H26" i="4" s="1"/>
  <c r="H28" i="4" s="1"/>
  <c r="D35" i="4" s="1"/>
  <c r="D37" i="4" l="1"/>
  <c r="D39" i="4" s="1"/>
  <c r="D45" i="4" s="1"/>
  <c r="J8" i="10" l="1"/>
  <c r="E45" i="4"/>
  <c r="D36" i="4"/>
  <c r="K8" i="10" l="1"/>
  <c r="F45" i="4"/>
  <c r="G45" i="4" l="1"/>
  <c r="L8" i="10"/>
  <c r="H45" i="4" l="1"/>
  <c r="N8" i="10" s="1"/>
  <c r="M8" i="10"/>
  <c r="O8" i="10" l="1"/>
  <c r="D4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<sst xmlns="http://schemas.openxmlformats.org/spreadsheetml/2006/main" count="277" uniqueCount="145">
  <si>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</si>
  <si>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</si>
  <si>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</si>
  <si>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</si>
  <si>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</si>
  <si>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</si>
  <si>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</si>
  <si>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</si>
  <si>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</si>
  <si>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</si>
  <si>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</si>
  <si>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</si>
  <si>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</si>
  <si>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</si>
  <si>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</si>
  <si>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</si>
  <si>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</si>
  <si>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</si>
  <si>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</si>
  <si>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</si>
  <si>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</si>
  <si>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</si>
  <si>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</si>
  <si>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</si>
  <si>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</si>
  <si>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</si>
  <si>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</si>
  <si>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</si>
  <si>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</si>
  <si>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</si>
  <si>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</si>
  <si>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</si>
  <si>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</si>
  <si>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</si>
  <si>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</si>
  <si>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</si>
  <si>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</si>
  <si>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</si>
  <si>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</si>
  <si>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</si>
  <si>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</si>
  <si>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</si>
  <si>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</si>
  <si>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</si>
  <si>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</si>
  <si>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</si>
  <si>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</si>
  <si>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</si>
  <si>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</si>
  <si>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</si>
  <si>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</si>
  <si>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</si>
  <si>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</si>
  <si>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</si>
  <si>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</si>
  <si>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</si>
  <si>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</si>
  <si>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</si>
  <si>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</si>
  <si>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</si>
  <si>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</si>
  <si>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</si>
  <si>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</si>
  <si>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</si>
  <si>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</si>
  <si>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</si>
  <si>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</si>
  <si>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</si>
  <si>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</si>
  <si>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</si>
  <si>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</si>
  <si>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</si>
  <si>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</si>
  <si>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</si>
  <si>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</si>
  <si>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</si>
  <si>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</si>
  <si>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</si>
  <si>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</si>
  <si>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</si>
  <si>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</si>
  <si>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</si>
  <si>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</si>
  <si>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</si>
  <si>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</si>
  <si>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</si>
  <si>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</si>
  <si>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</si>
  <si>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</si>
  <si>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</si>
  <si>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</si>
  <si>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</si>
  <si>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</si>
  <si>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</si>
  <si>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</si>
  <si>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</si>
  <si>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</si>
  <si>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</si>
  <si>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</si>
  <si>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</si>
  <si>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</si>
  <si>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</si>
  <si>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</si>
  <si>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</si>
  <si>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</si>
  <si>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</si>
  <si>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</si>
  <si>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</si>
  <si>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</si>
  <si>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</si>
  <si>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Input | CESS Payments</t>
  </si>
  <si>
    <t>Capex deferred and re-proposed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</si>
  <si>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</si>
  <si>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</si>
  <si>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</si>
  <si>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</si>
  <si>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</si>
  <si>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</si>
  <si>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</si>
  <si>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</si>
  <si>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</si>
  <si>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</si>
  <si>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</si>
  <si>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</si>
  <si>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</si>
  <si>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Customer Contributions</t>
  </si>
  <si>
    <t>First year of regulatory period</t>
  </si>
  <si>
    <t>Total capex allowance (includes customer contributions)</t>
  </si>
  <si>
    <t>Total capex (includes customer contributions)</t>
  </si>
  <si>
    <t>CESS increments as per NER 6.4.3(a)(5)</t>
  </si>
  <si>
    <t>DNSP</t>
  </si>
  <si>
    <t>DNSP/AER</t>
  </si>
  <si>
    <t>2025-26</t>
  </si>
  <si>
    <t>Discount factor</t>
  </si>
  <si>
    <t>Forecast capex</t>
  </si>
  <si>
    <t>Underspend or Overspend, %</t>
  </si>
  <si>
    <t>Internal Link or calculation</t>
  </si>
  <si>
    <t>Regulatory proposal</t>
  </si>
  <si>
    <t>Draft decision</t>
  </si>
  <si>
    <t>Revised proposal</t>
  </si>
  <si>
    <t>Final decision</t>
  </si>
  <si>
    <t>2026-31</t>
  </si>
  <si>
    <t>2026-27</t>
  </si>
  <si>
    <t>All terms and definitions are as per the AER's Capital expenditure sharing scheme.</t>
  </si>
  <si>
    <t>Powercor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</si>
</sst>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1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90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6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24" fillId="55" borderId="28" xfId="0" applyNumberFormat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Border="1" applyAlignment="1" applyProtection="1">
      <alignment horizont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3%20Modelling\03%20Iterations\Iteration%208\2%20Powercor\AER%20-%20PC%202026-31%20reset%20-%20Capital%20expenditure%20sharing%20scheme%20module%20-%20Iteration%208.xlsx" TargetMode="External"/><Relationship Id="rId1" Type="http://schemas.openxmlformats.org/officeDocument/2006/relationships/externalLinkPath" Target="/3%20Modelling/03%20Iterations/Iteration%208/2%20Powercor/AER%20-%20PC%202026-31%20reset%20-%20Capital%20expenditure%20sharing%20scheme%20module%20-%20Iteration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 | General"/>
      <sheetName val="Input | Inflation and Disc Rate"/>
      <sheetName val="Input | Reported Capex"/>
      <sheetName val="Calc | CESS Revenue Increments"/>
      <sheetName val="Output | Models"/>
      <sheetName val="Output|Final year true-up"/>
      <sheetName val="Lookup | Tables"/>
    </sheetNames>
    <sheetDataSet>
      <sheetData sheetId="0"/>
      <sheetData sheetId="1"/>
      <sheetData sheetId="2">
        <row r="8">
          <cell r="G8">
            <v>8.6058519793459354E-3</v>
          </cell>
          <cell r="H8">
            <v>3.4982935153583528E-2</v>
          </cell>
          <cell r="I8">
            <v>7.8318219291014124E-2</v>
          </cell>
          <cell r="J8">
            <v>4.0519877675840865E-2</v>
          </cell>
          <cell r="K8">
            <v>2.9999999999999583E-2</v>
          </cell>
        </row>
        <row r="9">
          <cell r="L9">
            <v>2.7498479316033997E-2</v>
          </cell>
        </row>
        <row r="13">
          <cell r="G13">
            <v>8.6058519793459354E-3</v>
          </cell>
          <cell r="H13">
            <v>3.4982935153583528E-2</v>
          </cell>
          <cell r="I13">
            <v>7.8318219291014124E-2</v>
          </cell>
          <cell r="J13">
            <v>4.0519877675840865E-2</v>
          </cell>
          <cell r="K13">
            <v>2.9999999999999583E-2</v>
          </cell>
        </row>
        <row r="14">
          <cell r="L14">
            <v>2.7498479316033997E-2</v>
          </cell>
        </row>
        <row r="20">
          <cell r="G20">
            <v>2.6738665770133618E-2</v>
          </cell>
          <cell r="H20">
            <v>2.5850627726693887E-2</v>
          </cell>
          <cell r="I20">
            <v>2.6341556182575498E-2</v>
          </cell>
          <cell r="J20">
            <v>2.6530125069218702E-2</v>
          </cell>
          <cell r="K20">
            <v>2.6995102110397129E-2</v>
          </cell>
        </row>
        <row r="21">
          <cell r="L21">
            <v>3.0102916068885266E-2</v>
          </cell>
          <cell r="M21">
            <v>3.0688426255907331E-2</v>
          </cell>
          <cell r="N21">
            <v>3.1262754590047237E-2</v>
          </cell>
          <cell r="O21">
            <v>3.2316378430296534E-2</v>
          </cell>
          <cell r="P21">
            <v>3.3996437751275407E-2</v>
          </cell>
        </row>
      </sheetData>
      <sheetData sheetId="3">
        <row r="8">
          <cell r="H8">
            <v>470.18468193944227</v>
          </cell>
          <cell r="I8">
            <v>524.41204937491943</v>
          </cell>
          <cell r="J8">
            <v>447.85956936292314</v>
          </cell>
          <cell r="K8">
            <v>395.3349746814834</v>
          </cell>
          <cell r="L8">
            <v>368.89813168468908</v>
          </cell>
        </row>
        <row r="9">
          <cell r="H9">
            <v>63.224595027817692</v>
          </cell>
          <cell r="I9">
            <v>69.942948788611318</v>
          </cell>
          <cell r="J9">
            <v>69.606773091177317</v>
          </cell>
          <cell r="K9">
            <v>69.599117738948109</v>
          </cell>
          <cell r="L9">
            <v>70.005520971727094</v>
          </cell>
        </row>
        <row r="10">
          <cell r="H10">
            <v>2.6015975433788916</v>
          </cell>
          <cell r="I10">
            <v>2.6015975433788916</v>
          </cell>
          <cell r="J10">
            <v>2.6015975433788916</v>
          </cell>
          <cell r="K10">
            <v>2.6015975433788916</v>
          </cell>
          <cell r="L10">
            <v>2.6015975433788916</v>
          </cell>
        </row>
        <row r="18">
          <cell r="H18">
            <v>490.18931789999999</v>
          </cell>
          <cell r="I18">
            <v>562.09662170000001</v>
          </cell>
          <cell r="J18">
            <v>571.94584888999998</v>
          </cell>
          <cell r="K18">
            <v>607.64223720876998</v>
          </cell>
          <cell r="L18">
            <v>623.48854348641316</v>
          </cell>
        </row>
        <row r="19">
          <cell r="H19">
            <v>81.689238930000002</v>
          </cell>
          <cell r="I19">
            <v>88.210229740000003</v>
          </cell>
          <cell r="J19">
            <v>96.330227679999993</v>
          </cell>
          <cell r="K19">
            <v>100.70028549561547</v>
          </cell>
          <cell r="L19">
            <v>97.880977336338105</v>
          </cell>
        </row>
        <row r="20">
          <cell r="H20">
            <v>22.449573399999998</v>
          </cell>
          <cell r="I20">
            <v>61.928979980000001</v>
          </cell>
          <cell r="J20">
            <v>31.48742296</v>
          </cell>
          <cell r="K20">
            <v>1.2529868976549769</v>
          </cell>
          <cell r="L20">
            <v>5.2751768264238139</v>
          </cell>
        </row>
        <row r="30"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zoomScale="130" zoomScaleNormal="130" workbookViewId="0">
      <selection activeCell="D10" sqref="D10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Powercor Australia 2026-31 Regulatory proposal - Capital expenditure sharing scheme model</v>
      </c>
      <c r="D1" s="4"/>
      <c r="E1" s="4"/>
    </row>
    <row r="2" spans="1:13" ht="18" customHeight="1">
      <c r="B2" s="28" t="s">
        <v>32</v>
      </c>
    </row>
    <row r="3" spans="1:13" ht="18" customHeight="1">
      <c r="B3" s="28"/>
    </row>
    <row r="4" spans="1:13" ht="18" customHeight="1">
      <c r="A4" s="185"/>
      <c r="B4" s="186"/>
      <c r="C4" s="187" t="s">
        <v>143</v>
      </c>
      <c r="D4" s="187"/>
      <c r="E4" s="187"/>
      <c r="F4" s="188"/>
    </row>
    <row r="5" spans="1:13" ht="14.5" customHeight="1">
      <c r="C5" s="2"/>
    </row>
    <row r="6" spans="1:13" s="8" customFormat="1" ht="12.75" customHeight="1">
      <c r="C6" s="23" t="s">
        <v>33</v>
      </c>
      <c r="D6" s="7"/>
      <c r="E6" s="7"/>
    </row>
    <row r="7" spans="1:13" ht="11.25" customHeight="1"/>
    <row r="8" spans="1:13" ht="11.25" customHeight="1">
      <c r="C8" s="25" t="s">
        <v>34</v>
      </c>
      <c r="D8" s="25" t="s">
        <v>35</v>
      </c>
      <c r="E8" s="25"/>
    </row>
    <row r="9" spans="1:13" ht="11.25" customHeight="1">
      <c r="C9" s="103" t="s">
        <v>37</v>
      </c>
      <c r="D9" s="26" t="s">
        <v>48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105</v>
      </c>
      <c r="D10" s="26" t="s">
        <v>104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79</v>
      </c>
      <c r="D11" s="26" t="s">
        <v>40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82</v>
      </c>
      <c r="D12" s="26" t="s">
        <v>41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106</v>
      </c>
      <c r="D13" s="26" t="s">
        <v>78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107</v>
      </c>
      <c r="D14" s="26" t="s">
        <v>83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36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tabSelected="1" zoomScale="130" zoomScaleNormal="13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Powercor Australia 2026-31 Regulatory proposal - Capital expenditure sharing scheme model</v>
      </c>
      <c r="F1" s="99"/>
      <c r="G1" s="100" t="s">
        <v>49</v>
      </c>
      <c r="H1" s="136" t="s">
        <v>50</v>
      </c>
      <c r="I1" s="175" t="s">
        <v>136</v>
      </c>
      <c r="M1" s="101"/>
    </row>
    <row r="2" spans="1:13" s="2" customFormat="1" ht="18" customHeight="1">
      <c r="B2" s="10" t="s">
        <v>37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37</v>
      </c>
    </row>
    <row r="5" spans="1:13" s="24" customFormat="1" ht="11.25" customHeight="1">
      <c r="C5" s="25"/>
    </row>
    <row r="6" spans="1:13" s="71" customFormat="1" ht="11.25" customHeight="1">
      <c r="C6" s="70" t="s">
        <v>0</v>
      </c>
      <c r="D6" s="137" t="s">
        <v>144</v>
      </c>
      <c r="J6" s="80"/>
      <c r="K6" s="80"/>
      <c r="L6" s="80"/>
      <c r="M6" s="80"/>
    </row>
    <row r="7" spans="1:13" s="71" customFormat="1" ht="11.25" customHeight="1">
      <c r="C7" s="70" t="s">
        <v>115</v>
      </c>
      <c r="D7" s="137" t="s">
        <v>137</v>
      </c>
      <c r="I7" s="80"/>
      <c r="J7" s="176" t="s">
        <v>137</v>
      </c>
      <c r="K7" s="80"/>
      <c r="L7" s="80"/>
    </row>
    <row r="8" spans="1:13" s="71" customFormat="1" ht="11.25" customHeight="1">
      <c r="C8" s="70" t="s">
        <v>116</v>
      </c>
      <c r="D8" s="137" t="s">
        <v>141</v>
      </c>
      <c r="J8" s="176" t="s">
        <v>138</v>
      </c>
      <c r="K8" s="80"/>
      <c r="L8" s="80"/>
      <c r="M8" s="80"/>
    </row>
    <row r="9" spans="1:13" s="71" customFormat="1" ht="11.25" customHeight="1">
      <c r="C9" s="70" t="s">
        <v>126</v>
      </c>
      <c r="D9" s="155" t="s">
        <v>142</v>
      </c>
      <c r="J9" s="176" t="s">
        <v>139</v>
      </c>
      <c r="K9" s="80"/>
      <c r="L9" s="80"/>
      <c r="M9" s="80"/>
    </row>
    <row r="10" spans="1:13" s="71" customFormat="1" ht="11.25" customHeight="1">
      <c r="C10" s="70"/>
      <c r="J10" s="176" t="s">
        <v>140</v>
      </c>
      <c r="K10" s="80"/>
      <c r="L10" s="80"/>
      <c r="M10" s="80"/>
    </row>
    <row r="11" spans="1:13" s="71" customFormat="1" ht="11.25" customHeight="1">
      <c r="C11" s="90" t="s">
        <v>114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J12" s="80"/>
      <c r="K12" s="80"/>
      <c r="L12" s="80"/>
      <c r="M12" s="80"/>
    </row>
    <row r="13" spans="1:13" s="71" customFormat="1" ht="11.25" customHeight="1">
      <c r="C13" s="70" t="s">
        <v>88</v>
      </c>
      <c r="D13" s="156" t="str">
        <f t="shared" ref="D13:F13" si="0">IF(LEN(E13)&gt;4,CONCATENATE(LEFT(E13,4)-1&amp;"–"&amp;IF(RIGHT(E13,2)="00","99",IF(RIGHT(E13,2)-1&lt;10,"0","")&amp;RIGHT(E13,2)-1)),E13-1)</f>
        <v>2021–22</v>
      </c>
      <c r="E13" s="156" t="str">
        <f t="shared" si="0"/>
        <v>2022–23</v>
      </c>
      <c r="F13" s="156" t="str">
        <f t="shared" si="0"/>
        <v>2023–24</v>
      </c>
      <c r="G13" s="156" t="str">
        <f>IF(LEN(H13)&gt;4,CONCATENATE(LEFT(H13,4)-1&amp;"–"&amp;IF(RIGHT(H13,2)="00","99",IF(RIGHT(H13,2)-1&lt;10,"0","")&amp;RIGHT(H13,2)-1)),H13-1)</f>
        <v>2024–25</v>
      </c>
      <c r="H13" s="156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1</v>
      </c>
      <c r="D14" s="137" t="s">
        <v>7</v>
      </c>
      <c r="E14" s="137" t="s">
        <v>7</v>
      </c>
      <c r="F14" s="137" t="s">
        <v>7</v>
      </c>
      <c r="G14" s="137" t="s">
        <v>7</v>
      </c>
      <c r="H14" s="137" t="s">
        <v>7</v>
      </c>
      <c r="J14" s="80"/>
      <c r="K14" s="80"/>
      <c r="L14" s="80"/>
      <c r="M14" s="80"/>
    </row>
    <row r="15" spans="1:13" s="71" customFormat="1" ht="11.25" customHeight="1">
      <c r="C15" s="70" t="s">
        <v>2</v>
      </c>
      <c r="D15" s="137" t="s">
        <v>6</v>
      </c>
      <c r="E15" s="137" t="s">
        <v>6</v>
      </c>
      <c r="F15" s="137" t="s">
        <v>6</v>
      </c>
      <c r="G15" s="137" t="s">
        <v>30</v>
      </c>
      <c r="H15" s="137" t="s">
        <v>30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90</v>
      </c>
      <c r="E17" s="72" t="s">
        <v>91</v>
      </c>
      <c r="F17" s="72" t="s">
        <v>92</v>
      </c>
      <c r="G17" s="72" t="s">
        <v>93</v>
      </c>
      <c r="H17" s="72" t="s">
        <v>94</v>
      </c>
      <c r="J17" s="80"/>
      <c r="K17" s="80"/>
      <c r="L17" s="80"/>
      <c r="M17" s="80"/>
    </row>
    <row r="18" spans="1:13" s="71" customFormat="1" ht="11.25" customHeight="1">
      <c r="C18" s="70" t="s">
        <v>89</v>
      </c>
      <c r="D18" s="156" t="str">
        <f>D9</f>
        <v>2026-27</v>
      </c>
      <c r="E18" s="156" t="str">
        <f>IF(LEN(D18)&gt;4,CONCATENATE(LEFT(D18,4)+1&amp;"–"&amp;IF(RIGHT(D18,2)+1&gt;9,"","0")&amp;RIGHT(D18,2)+1),D18+1)</f>
        <v>2027–28</v>
      </c>
      <c r="F18" s="156" t="str">
        <f t="shared" ref="F18:H18" si="1">IF(LEN(E18)&gt;4,CONCATENATE(LEFT(E18,4)+1&amp;"–"&amp;IF(RIGHT(E18,2)+1&gt;9,"","0")&amp;RIGHT(E18,2)+1),E18+1)</f>
        <v>2028–29</v>
      </c>
      <c r="G18" s="156" t="str">
        <f t="shared" si="1"/>
        <v>2029–30</v>
      </c>
      <c r="H18" s="156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36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>
      <selection activeCell="P21" sqref="P21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Powercor Australia 2026-31 Regulatory proposal - Capital expenditure sharing scheme model</v>
      </c>
      <c r="D1" s="3"/>
      <c r="E1" s="3"/>
      <c r="F1" s="3"/>
      <c r="G1" s="99"/>
      <c r="H1" s="100" t="s">
        <v>49</v>
      </c>
      <c r="I1" s="136" t="s">
        <v>50</v>
      </c>
      <c r="J1" s="175" t="s">
        <v>136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117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5</v>
      </c>
      <c r="E6" s="76" t="s">
        <v>61</v>
      </c>
      <c r="F6" s="76"/>
      <c r="N6" s="2"/>
    </row>
    <row r="7" spans="1:20" ht="11.25" customHeight="1">
      <c r="A7" s="2"/>
      <c r="B7" s="2"/>
      <c r="C7" s="13"/>
      <c r="D7" s="80"/>
      <c r="E7" s="80"/>
      <c r="F7" s="153" t="str">
        <f>IF(LEN(G7)&gt;4,CONCATENATE(LEFT(G7,4)-1&amp;"–"&amp;IF(RIGHT(G7,2)="00","99",IF(RIGHT(G7,2)-1&lt;10,"0","")&amp;RIGHT(G7,2)-1)),G7-1)</f>
        <v>2020–21</v>
      </c>
      <c r="G7" s="154" t="str">
        <f>'Input | General'!D13</f>
        <v>2021–22</v>
      </c>
      <c r="H7" s="154" t="str">
        <f>'Input | General'!E13</f>
        <v>2022–23</v>
      </c>
      <c r="I7" s="154" t="str">
        <f>'Input | General'!F13</f>
        <v>2023–24</v>
      </c>
      <c r="J7" s="154" t="str">
        <f>'Input | General'!G13</f>
        <v>2024–25</v>
      </c>
      <c r="K7" s="154" t="str">
        <f>'Input | General'!H13</f>
        <v>2025–26</v>
      </c>
      <c r="L7" s="154" t="str">
        <f>'Input | General'!D18</f>
        <v>2026-27</v>
      </c>
      <c r="M7" s="154" t="str">
        <f>'Input | General'!E18</f>
        <v>2027–28</v>
      </c>
      <c r="N7" s="154" t="str">
        <f>'Input | General'!F18</f>
        <v>2028–29</v>
      </c>
      <c r="O7" s="154" t="str">
        <f>'Input | General'!G18</f>
        <v>2029–30</v>
      </c>
      <c r="P7" s="154" t="str">
        <f>'Input | General'!H18</f>
        <v>2030–31</v>
      </c>
    </row>
    <row r="8" spans="1:20" ht="11.25" customHeight="1">
      <c r="A8" s="2"/>
      <c r="B8" s="2"/>
      <c r="C8" s="81" t="s">
        <v>108</v>
      </c>
      <c r="D8" s="79" t="s">
        <v>130</v>
      </c>
      <c r="E8" s="79" t="s">
        <v>60</v>
      </c>
      <c r="F8" s="79"/>
      <c r="G8" s="138">
        <f>'[2]Input | Inflation and Disc Rate'!G8</f>
        <v>8.6058519793459354E-3</v>
      </c>
      <c r="H8" s="138">
        <f>'[2]Input | Inflation and Disc Rate'!H8</f>
        <v>3.4982935153583528E-2</v>
      </c>
      <c r="I8" s="138">
        <f>'[2]Input | Inflation and Disc Rate'!I8</f>
        <v>7.8318219291014124E-2</v>
      </c>
      <c r="J8" s="138">
        <f>'[2]Input | Inflation and Disc Rate'!J8</f>
        <v>4.0519877675840865E-2</v>
      </c>
      <c r="K8" s="138">
        <f>'[2]Input | Inflation and Disc Rate'!K8</f>
        <v>2.9999999999999583E-2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109</v>
      </c>
      <c r="D9" s="79" t="s">
        <v>130</v>
      </c>
      <c r="E9" s="79" t="s">
        <v>60</v>
      </c>
      <c r="F9" s="79"/>
      <c r="G9" s="119"/>
      <c r="H9" s="119"/>
      <c r="I9" s="119"/>
      <c r="J9" s="119"/>
      <c r="K9" s="119"/>
      <c r="L9" s="138">
        <f>'[2]Input | Inflation and Disc Rate'!L9</f>
        <v>2.7498479316033997E-2</v>
      </c>
      <c r="M9" s="157">
        <f t="shared" ref="M9:P9" si="0">L9</f>
        <v>2.7498479316033997E-2</v>
      </c>
      <c r="N9" s="157">
        <f t="shared" si="0"/>
        <v>2.7498479316033997E-2</v>
      </c>
      <c r="O9" s="157">
        <f t="shared" si="0"/>
        <v>2.7498479316033997E-2</v>
      </c>
      <c r="P9" s="157">
        <f t="shared" si="0"/>
        <v>2.7498479316033997E-2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130</v>
      </c>
      <c r="E10" s="79" t="s">
        <v>32</v>
      </c>
      <c r="F10" s="159">
        <v>1</v>
      </c>
      <c r="G10" s="160">
        <f>IF(G7&lt;&gt;"",(F10*(1+G8)),"")</f>
        <v>1.0086058519793459</v>
      </c>
      <c r="H10" s="160">
        <f>IF(H7&lt;&gt;"",(G10*(1+H8)),"")</f>
        <v>1.0438898450946643</v>
      </c>
      <c r="I10" s="160">
        <f>IF(I7&lt;&gt;"",(H10*(1+I8)),"")</f>
        <v>1.1256454388984509</v>
      </c>
      <c r="J10" s="160">
        <f>IF(J7&lt;&gt;"",(I10*(1+J8)),"")</f>
        <v>1.1712564543889843</v>
      </c>
      <c r="K10" s="160">
        <f>IF(K7&lt;&gt;"",(J10*(1+K8)),"")</f>
        <v>1.2063941480206533</v>
      </c>
      <c r="L10" s="160">
        <f t="shared" ref="L10:P10" si="1">IF(L7&lt;&gt;"",(K10*(1+L9)),"")</f>
        <v>1.2395681525469837</v>
      </c>
      <c r="M10" s="160">
        <f t="shared" si="1"/>
        <v>1.2736543917506113</v>
      </c>
      <c r="N10" s="160">
        <f t="shared" si="1"/>
        <v>1.3086779506979414</v>
      </c>
      <c r="O10" s="160">
        <f t="shared" si="1"/>
        <v>1.3446646042565584</v>
      </c>
      <c r="P10" s="160">
        <f t="shared" si="1"/>
        <v>1.3816408360637105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108</v>
      </c>
      <c r="D13" s="79" t="s">
        <v>54</v>
      </c>
      <c r="E13" s="79" t="s">
        <v>60</v>
      </c>
      <c r="F13" s="79"/>
      <c r="G13" s="138">
        <f>'[2]Input | Inflation and Disc Rate'!G13</f>
        <v>8.6058519793459354E-3</v>
      </c>
      <c r="H13" s="138">
        <f>'[2]Input | Inflation and Disc Rate'!H13</f>
        <v>3.4982935153583528E-2</v>
      </c>
      <c r="I13" s="138">
        <f>'[2]Input | Inflation and Disc Rate'!I13</f>
        <v>7.8318219291014124E-2</v>
      </c>
      <c r="J13" s="138">
        <f>'[2]Input | Inflation and Disc Rate'!J13</f>
        <v>4.0519877675840865E-2</v>
      </c>
      <c r="K13" s="138">
        <f>'[2]Input | Inflation and Disc Rate'!K13</f>
        <v>2.9999999999999583E-2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109</v>
      </c>
      <c r="D14" s="79" t="s">
        <v>54</v>
      </c>
      <c r="E14" s="79" t="s">
        <v>60</v>
      </c>
      <c r="F14" s="79"/>
      <c r="G14" s="88"/>
      <c r="H14" s="88"/>
      <c r="I14" s="88"/>
      <c r="J14" s="88"/>
      <c r="K14" s="88"/>
      <c r="L14" s="138">
        <f>'[2]Input | Inflation and Disc Rate'!L14</f>
        <v>2.7498479316033997E-2</v>
      </c>
      <c r="M14" s="157">
        <f t="shared" ref="M14:P14" si="2">L14</f>
        <v>2.7498479316033997E-2</v>
      </c>
      <c r="N14" s="157">
        <f t="shared" si="2"/>
        <v>2.7498479316033997E-2</v>
      </c>
      <c r="O14" s="157">
        <f t="shared" si="2"/>
        <v>2.7498479316033997E-2</v>
      </c>
      <c r="P14" s="157">
        <f t="shared" si="2"/>
        <v>2.7498479316033997E-2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54</v>
      </c>
      <c r="E15" s="79" t="s">
        <v>32</v>
      </c>
      <c r="F15" s="159">
        <v>1</v>
      </c>
      <c r="G15" s="160">
        <f>IF(G7&lt;&gt;"",(F15*(1+G13)),"")</f>
        <v>1.0086058519793459</v>
      </c>
      <c r="H15" s="160">
        <f>IF(H7&lt;&gt;"",(G15*(1+H13)),"")</f>
        <v>1.0438898450946643</v>
      </c>
      <c r="I15" s="160">
        <f>IF(I7&lt;&gt;"",(H15*(1+I13)),"")</f>
        <v>1.1256454388984509</v>
      </c>
      <c r="J15" s="160">
        <f>IF(J7&lt;&gt;"",(I15*(1+J13)),"")</f>
        <v>1.1712564543889843</v>
      </c>
      <c r="K15" s="160">
        <f>IF(K7&lt;&gt;"",(J15*(1+K13)),"")</f>
        <v>1.2063941480206533</v>
      </c>
      <c r="L15" s="160">
        <f t="shared" ref="L15:P15" si="3">IF(L7&lt;&gt;"",(K15*(1+L14)),"")</f>
        <v>1.2395681525469837</v>
      </c>
      <c r="M15" s="160">
        <f t="shared" si="3"/>
        <v>1.2736543917506113</v>
      </c>
      <c r="N15" s="160">
        <f t="shared" si="3"/>
        <v>1.3086779506979414</v>
      </c>
      <c r="O15" s="160">
        <f t="shared" si="3"/>
        <v>1.3446646042565584</v>
      </c>
      <c r="P15" s="160">
        <f t="shared" si="3"/>
        <v>1.3816408360637105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95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5</v>
      </c>
      <c r="E19" s="76" t="s">
        <v>61</v>
      </c>
      <c r="F19" s="80"/>
      <c r="G19" s="87" t="str">
        <f>G7</f>
        <v>2021–22</v>
      </c>
      <c r="H19" s="87" t="str">
        <f t="shared" ref="H19:P19" si="4">H7</f>
        <v>2022–23</v>
      </c>
      <c r="I19" s="87" t="str">
        <f t="shared" si="4"/>
        <v>2023–24</v>
      </c>
      <c r="J19" s="87" t="str">
        <f t="shared" si="4"/>
        <v>2024–25</v>
      </c>
      <c r="K19" s="87" t="str">
        <f t="shared" si="4"/>
        <v>2025–26</v>
      </c>
      <c r="L19" s="87" t="str">
        <f t="shared" si="4"/>
        <v>2026-27</v>
      </c>
      <c r="M19" s="87" t="str">
        <f t="shared" si="4"/>
        <v>2027–28</v>
      </c>
      <c r="N19" s="87" t="str">
        <f t="shared" si="4"/>
        <v>2028–29</v>
      </c>
      <c r="O19" s="87" t="str">
        <f t="shared" si="4"/>
        <v>2029–30</v>
      </c>
      <c r="P19" s="87" t="str">
        <f t="shared" si="4"/>
        <v>2030–31</v>
      </c>
    </row>
    <row r="20" spans="1:16" ht="11.25" customHeight="1">
      <c r="C20" s="81" t="s">
        <v>10</v>
      </c>
      <c r="D20" s="79" t="s">
        <v>131</v>
      </c>
      <c r="E20" s="79" t="s">
        <v>60</v>
      </c>
      <c r="F20" s="80"/>
      <c r="G20" s="138">
        <f>'[2]Input | Inflation and Disc Rate'!G20</f>
        <v>2.6738665770133618E-2</v>
      </c>
      <c r="H20" s="138">
        <f>'[2]Input | Inflation and Disc Rate'!H20</f>
        <v>2.5850627726693887E-2</v>
      </c>
      <c r="I20" s="138">
        <f>'[2]Input | Inflation and Disc Rate'!I20</f>
        <v>2.6341556182575498E-2</v>
      </c>
      <c r="J20" s="138">
        <f>'[2]Input | Inflation and Disc Rate'!J20</f>
        <v>2.6530125069218702E-2</v>
      </c>
      <c r="K20" s="138">
        <f>'[2]Input | Inflation and Disc Rate'!K20</f>
        <v>2.6995102110397129E-2</v>
      </c>
      <c r="L20" s="88"/>
      <c r="M20" s="88"/>
      <c r="N20" s="88"/>
      <c r="O20" s="88"/>
      <c r="P20" s="88"/>
    </row>
    <row r="21" spans="1:16" ht="11.25" customHeight="1">
      <c r="C21" s="133" t="s">
        <v>122</v>
      </c>
      <c r="D21" s="79" t="s">
        <v>131</v>
      </c>
      <c r="E21" s="79" t="s">
        <v>60</v>
      </c>
      <c r="F21" s="80"/>
      <c r="G21" s="80"/>
      <c r="H21" s="80"/>
      <c r="I21" s="80"/>
      <c r="J21" s="80"/>
      <c r="K21" s="80"/>
      <c r="L21" s="138">
        <f>'[2]Input | Inflation and Disc Rate'!L21</f>
        <v>3.0102916068885266E-2</v>
      </c>
      <c r="M21" s="138">
        <f>'[2]Input | Inflation and Disc Rate'!M21</f>
        <v>3.0688426255907331E-2</v>
      </c>
      <c r="N21" s="138">
        <f>'[2]Input | Inflation and Disc Rate'!N21</f>
        <v>3.1262754590047237E-2</v>
      </c>
      <c r="O21" s="138">
        <f>'[2]Input | Inflation and Disc Rate'!O21</f>
        <v>3.2316378430296534E-2</v>
      </c>
      <c r="P21" s="138">
        <f>'[2]Input | Inflation and Disc Rate'!P21</f>
        <v>3.3996437751275407E-2</v>
      </c>
    </row>
    <row r="22" spans="1:16" ht="11.25" customHeight="1">
      <c r="C22" s="81" t="s">
        <v>96</v>
      </c>
      <c r="D22" s="79" t="s">
        <v>85</v>
      </c>
      <c r="E22" s="79" t="s">
        <v>60</v>
      </c>
      <c r="F22" s="80"/>
      <c r="G22" s="158">
        <f>IF(AND(G13&lt;&gt;"",G20&lt;&gt;""),((1+G20)*(1+G13)-1),"")</f>
        <v>3.5574626749222515E-2</v>
      </c>
      <c r="H22" s="158">
        <f>IF(AND(H13&lt;&gt;"",H20&lt;&gt;""),((1+H20)*(1+H13)-1),"")</f>
        <v>6.1737893713719849E-2</v>
      </c>
      <c r="I22" s="158">
        <f>IF(AND(I13&lt;&gt;"",I20&lt;&gt;""),((1+I20)*(1+I13)-1),"")</f>
        <v>0.1067227992471631</v>
      </c>
      <c r="J22" s="158">
        <f>IF(AND(J13&lt;&gt;"",J20&lt;&gt;""),((1+J20)*(1+J13)-1),"")</f>
        <v>6.8125000167589045E-2</v>
      </c>
      <c r="K22" s="158">
        <f>IF(AND(K13&lt;&gt;"",K20&lt;&gt;""),((1+K20)*(1+K13)-1),"")</f>
        <v>5.7804955173708539E-2</v>
      </c>
      <c r="L22" s="158">
        <f>IF(AND(L14&lt;&gt;"",L21&lt;&gt;""),((1+L21)*(1+L14)-1),"")</f>
        <v>5.8429179799791786E-2</v>
      </c>
      <c r="M22" s="158">
        <f t="shared" ref="M22:P22" si="5">IF(AND(M14&lt;&gt;"",M21&lt;&gt;""),((1+M21)*(1+M14)-1),"")</f>
        <v>5.9030790626581009E-2</v>
      </c>
      <c r="N22" s="158">
        <f t="shared" si="5"/>
        <v>5.9620912116537861E-2</v>
      </c>
      <c r="O22" s="158">
        <f t="shared" si="5"/>
        <v>6.070350901016508E-2</v>
      </c>
      <c r="P22" s="158">
        <f t="shared" si="5"/>
        <v>6.2429767407631731E-2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36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>
      <selection activeCell="H30" sqref="H30:L30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Powercor Australia 2026-31 Regulatory proposal - Capital expenditure sharing scheme model</v>
      </c>
      <c r="D1" s="3"/>
      <c r="E1" s="3"/>
      <c r="F1" s="3"/>
      <c r="G1" s="3"/>
      <c r="H1" s="99"/>
      <c r="I1" s="100" t="s">
        <v>49</v>
      </c>
      <c r="J1" s="136" t="s">
        <v>50</v>
      </c>
      <c r="K1" s="175" t="s">
        <v>136</v>
      </c>
      <c r="L1" s="80"/>
    </row>
    <row r="2" spans="2:14" ht="18" customHeight="1">
      <c r="B2" s="10" t="s">
        <v>39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42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5</v>
      </c>
      <c r="E6" s="76" t="s">
        <v>61</v>
      </c>
      <c r="F6" s="76" t="s">
        <v>3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127</v>
      </c>
      <c r="D8" s="79" t="s">
        <v>54</v>
      </c>
      <c r="E8" s="79" t="s">
        <v>59</v>
      </c>
      <c r="F8" s="79" t="str">
        <f>'Input | Inflation and Disc Rate'!$F$7</f>
        <v>2020–21</v>
      </c>
      <c r="G8" s="69"/>
      <c r="H8" s="139">
        <f>'[2]Input | Reported Capex'!H8</f>
        <v>470.18468193944227</v>
      </c>
      <c r="I8" s="139">
        <f>'[2]Input | Reported Capex'!I8</f>
        <v>524.41204937491943</v>
      </c>
      <c r="J8" s="139">
        <f>'[2]Input | Reported Capex'!J8</f>
        <v>447.85956936292314</v>
      </c>
      <c r="K8" s="139">
        <f>'[2]Input | Reported Capex'!K8</f>
        <v>395.3349746814834</v>
      </c>
      <c r="L8" s="139">
        <f>'[2]Input | Reported Capex'!L8</f>
        <v>368.89813168468908</v>
      </c>
    </row>
    <row r="9" spans="2:14" ht="10.5" customHeight="1">
      <c r="C9" s="81" t="s">
        <v>125</v>
      </c>
      <c r="D9" s="79" t="s">
        <v>54</v>
      </c>
      <c r="E9" s="79" t="s">
        <v>59</v>
      </c>
      <c r="F9" s="79" t="str">
        <f>'Input | Inflation and Disc Rate'!$F$7</f>
        <v>2020–21</v>
      </c>
      <c r="G9" s="69"/>
      <c r="H9" s="139">
        <f>'[2]Input | Reported Capex'!H9</f>
        <v>63.224595027817692</v>
      </c>
      <c r="I9" s="139">
        <f>'[2]Input | Reported Capex'!I9</f>
        <v>69.942948788611318</v>
      </c>
      <c r="J9" s="139">
        <f>'[2]Input | Reported Capex'!J9</f>
        <v>69.606773091177317</v>
      </c>
      <c r="K9" s="139">
        <f>'[2]Input | Reported Capex'!K9</f>
        <v>69.599117738948109</v>
      </c>
      <c r="L9" s="139">
        <f>'[2]Input | Reported Capex'!L9</f>
        <v>70.005520971727094</v>
      </c>
    </row>
    <row r="10" spans="2:14" ht="10.5" customHeight="1">
      <c r="C10" s="81" t="s">
        <v>118</v>
      </c>
      <c r="D10" s="79" t="s">
        <v>54</v>
      </c>
      <c r="E10" s="79" t="s">
        <v>59</v>
      </c>
      <c r="F10" s="79" t="str">
        <f>'Input | Inflation and Disc Rate'!$F$7</f>
        <v>2020–21</v>
      </c>
      <c r="G10" s="69"/>
      <c r="H10" s="139">
        <f>'[2]Input | Reported Capex'!H10</f>
        <v>2.6015975433788916</v>
      </c>
      <c r="I10" s="139">
        <f>'[2]Input | Reported Capex'!I10</f>
        <v>2.6015975433788916</v>
      </c>
      <c r="J10" s="139">
        <f>'[2]Input | Reported Capex'!J10</f>
        <v>2.6015975433788916</v>
      </c>
      <c r="K10" s="139">
        <f>'[2]Input | Reported Capex'!K10</f>
        <v>2.6015975433788916</v>
      </c>
      <c r="L10" s="139">
        <f>'[2]Input | Reported Capex'!L10</f>
        <v>2.6015975433788916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4</v>
      </c>
      <c r="D12" s="77" t="s">
        <v>85</v>
      </c>
      <c r="E12" s="174" t="s">
        <v>59</v>
      </c>
      <c r="F12" s="163" t="str">
        <f>'Input | Inflation and Disc Rate'!$F$7</f>
        <v>2020–21</v>
      </c>
      <c r="G12" s="69"/>
      <c r="H12" s="161">
        <f>IF(H6="", "", H8-H9-H10)</f>
        <v>404.35848936824567</v>
      </c>
      <c r="I12" s="161">
        <f t="shared" ref="I12:L12" si="0">IF(I6="", "", I8-I9-I10)</f>
        <v>451.86750304292923</v>
      </c>
      <c r="J12" s="161">
        <f t="shared" si="0"/>
        <v>375.65119872836692</v>
      </c>
      <c r="K12" s="161">
        <f t="shared" si="0"/>
        <v>323.13425939915641</v>
      </c>
      <c r="L12" s="161">
        <f t="shared" si="0"/>
        <v>296.2910131695831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43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5</v>
      </c>
      <c r="E16" s="76" t="s">
        <v>61</v>
      </c>
      <c r="F16" s="76" t="s">
        <v>3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128</v>
      </c>
      <c r="D18" s="79" t="s">
        <v>54</v>
      </c>
      <c r="E18" s="79" t="s">
        <v>59</v>
      </c>
      <c r="F18" s="79" t="s">
        <v>63</v>
      </c>
      <c r="G18" s="69"/>
      <c r="H18" s="139">
        <f>'[2]Input | Reported Capex'!H18</f>
        <v>490.18931789999999</v>
      </c>
      <c r="I18" s="139">
        <f>'[2]Input | Reported Capex'!I18</f>
        <v>562.09662170000001</v>
      </c>
      <c r="J18" s="139">
        <f>'[2]Input | Reported Capex'!J18</f>
        <v>571.94584888999998</v>
      </c>
      <c r="K18" s="139">
        <f>'[2]Input | Reported Capex'!K18</f>
        <v>607.64223720876998</v>
      </c>
      <c r="L18" s="139">
        <f>'[2]Input | Reported Capex'!L18</f>
        <v>623.48854348641316</v>
      </c>
    </row>
    <row r="19" spans="2:14" ht="10.5" customHeight="1">
      <c r="B19" s="74"/>
      <c r="C19" s="81" t="s">
        <v>125</v>
      </c>
      <c r="D19" s="79" t="s">
        <v>54</v>
      </c>
      <c r="E19" s="79" t="s">
        <v>59</v>
      </c>
      <c r="F19" s="79" t="s">
        <v>63</v>
      </c>
      <c r="G19" s="69"/>
      <c r="H19" s="139">
        <f>'[2]Input | Reported Capex'!H19</f>
        <v>81.689238930000002</v>
      </c>
      <c r="I19" s="139">
        <f>'[2]Input | Reported Capex'!I19</f>
        <v>88.210229740000003</v>
      </c>
      <c r="J19" s="139">
        <f>'[2]Input | Reported Capex'!J19</f>
        <v>96.330227679999993</v>
      </c>
      <c r="K19" s="139">
        <f>'[2]Input | Reported Capex'!K19</f>
        <v>100.70028549561547</v>
      </c>
      <c r="L19" s="139">
        <f>'[2]Input | Reported Capex'!L19</f>
        <v>97.880977336338105</v>
      </c>
    </row>
    <row r="20" spans="2:14" ht="10.5" customHeight="1">
      <c r="B20" s="74"/>
      <c r="C20" s="126" t="s">
        <v>118</v>
      </c>
      <c r="D20" s="79" t="s">
        <v>54</v>
      </c>
      <c r="E20" s="79" t="s">
        <v>59</v>
      </c>
      <c r="F20" s="79" t="s">
        <v>63</v>
      </c>
      <c r="G20" s="127"/>
      <c r="H20" s="140">
        <f>'[2]Input | Reported Capex'!H20</f>
        <v>22.449573399999998</v>
      </c>
      <c r="I20" s="139">
        <f>'[2]Input | Reported Capex'!I20</f>
        <v>61.928979980000001</v>
      </c>
      <c r="J20" s="139">
        <f>'[2]Input | Reported Capex'!J20</f>
        <v>31.48742296</v>
      </c>
      <c r="K20" s="139">
        <f>'[2]Input | Reported Capex'!K20</f>
        <v>1.2529868976549769</v>
      </c>
      <c r="L20" s="139">
        <f>'[2]Input | Reported Capex'!L20</f>
        <v>5.2751768264238139</v>
      </c>
    </row>
    <row r="21" spans="2:14" ht="10.5" customHeight="1">
      <c r="B21" s="74"/>
      <c r="C21" s="135" t="s">
        <v>123</v>
      </c>
      <c r="D21" s="79" t="s">
        <v>54</v>
      </c>
      <c r="E21" s="79" t="s">
        <v>59</v>
      </c>
      <c r="F21" s="79" t="s">
        <v>63</v>
      </c>
      <c r="G21" s="127"/>
      <c r="H21" s="140">
        <f>'[2]Input | Reported Capex'!H21</f>
        <v>0</v>
      </c>
      <c r="I21" s="139">
        <f>'[2]Input | Reported Capex'!I21</f>
        <v>0</v>
      </c>
      <c r="J21" s="139">
        <f>'[2]Input | Reported Capex'!J21</f>
        <v>0</v>
      </c>
      <c r="K21" s="139">
        <f>'[2]Input | Reported Capex'!K21</f>
        <v>0</v>
      </c>
      <c r="L21" s="139">
        <f>'[2]Input | Reported Capex'!L21</f>
        <v>0</v>
      </c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103</v>
      </c>
      <c r="D23" s="77" t="s">
        <v>85</v>
      </c>
      <c r="E23" s="174" t="s">
        <v>59</v>
      </c>
      <c r="F23" s="174" t="s">
        <v>63</v>
      </c>
      <c r="G23" s="69"/>
      <c r="H23" s="161">
        <f>IF(H16="", "", H18-H19-H20-H21)</f>
        <v>386.05050556999998</v>
      </c>
      <c r="I23" s="161">
        <f t="shared" ref="I23:L23" si="2">IF(I16="", "", I18-I19-I20-I21)</f>
        <v>411.95741198000002</v>
      </c>
      <c r="J23" s="161">
        <f t="shared" si="2"/>
        <v>444.12819824999997</v>
      </c>
      <c r="K23" s="161">
        <f t="shared" si="2"/>
        <v>505.6889648154995</v>
      </c>
      <c r="L23" s="161">
        <f t="shared" si="2"/>
        <v>520.33238932365123</v>
      </c>
    </row>
    <row r="24" spans="2:14" ht="10.5" customHeight="1">
      <c r="B24" s="74"/>
      <c r="C24" s="78" t="s">
        <v>103</v>
      </c>
      <c r="D24" s="77" t="s">
        <v>85</v>
      </c>
      <c r="E24" s="174" t="s">
        <v>59</v>
      </c>
      <c r="F24" s="163" t="str">
        <f>'Input | Inflation and Disc Rate'!$F$7</f>
        <v>2020–21</v>
      </c>
      <c r="G24" s="69"/>
      <c r="H24" s="161">
        <f>H23/'Input | Inflation and Disc Rate'!G15</f>
        <v>382.75655927674063</v>
      </c>
      <c r="I24" s="161">
        <f>I23/'Input | Inflation and Disc Rate'!H15</f>
        <v>394.63686127020611</v>
      </c>
      <c r="J24" s="161">
        <f>J23/'Input | Inflation and Disc Rate'!I15</f>
        <v>394.55425563188072</v>
      </c>
      <c r="K24" s="161">
        <f>K23/'Input | Inflation and Disc Rate'!J15</f>
        <v>431.74913821867051</v>
      </c>
      <c r="L24" s="161">
        <f>L23/'Input | Inflation and Disc Rate'!K15</f>
        <v>431.31209661234465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44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111</v>
      </c>
      <c r="D30" s="79" t="s">
        <v>130</v>
      </c>
      <c r="E30" s="79" t="s">
        <v>59</v>
      </c>
      <c r="F30" s="79" t="s">
        <v>63</v>
      </c>
      <c r="G30" s="69"/>
      <c r="H30" s="139">
        <f>'[2]Input | Reported Capex'!H30</f>
        <v>0</v>
      </c>
      <c r="I30" s="139">
        <f>'[2]Input | Reported Capex'!I30</f>
        <v>0</v>
      </c>
      <c r="J30" s="139">
        <f>'[2]Input | Reported Capex'!J30</f>
        <v>0</v>
      </c>
      <c r="K30" s="139">
        <f>'[2]Input | Reported Capex'!K30</f>
        <v>0</v>
      </c>
      <c r="L30" s="139">
        <f>'[2]Input | Reported Capex'!L30</f>
        <v>0</v>
      </c>
    </row>
    <row r="31" spans="2:14" ht="11.25" customHeight="1">
      <c r="C31" s="85" t="s">
        <v>111</v>
      </c>
      <c r="D31" s="66" t="s">
        <v>85</v>
      </c>
      <c r="E31" s="79" t="s">
        <v>59</v>
      </c>
      <c r="F31" s="163" t="str">
        <f>F24</f>
        <v>2020–21</v>
      </c>
      <c r="G31" s="69"/>
      <c r="H31" s="162">
        <f>IF(H30&lt;&gt;"",H30/('Input | Inflation and Disc Rate'!K10*(1+'Input | Inflation and Disc Rate'!L9)^0.5),"")</f>
        <v>0</v>
      </c>
      <c r="I31" s="162">
        <f>IF(I30&lt;&gt;"",I30/('Input | Inflation and Disc Rate'!L10*(1+'Input | Inflation and Disc Rate'!M9)^0.5),"")</f>
        <v>0</v>
      </c>
      <c r="J31" s="162">
        <f>IF(J30&lt;&gt;"",J30/('Input | Inflation and Disc Rate'!M10*(1+'Input | Inflation and Disc Rate'!N9)^0.5),"")</f>
        <v>0</v>
      </c>
      <c r="K31" s="162">
        <f>IF(K30&lt;&gt;"",K30/('Input | Inflation and Disc Rate'!N10*(1+'Input | Inflation and Disc Rate'!O9)^0.5),"")</f>
        <v>0</v>
      </c>
      <c r="L31" s="162">
        <f>IF(L30&lt;&gt;"",L30/('Input | Inflation and Disc Rate'!O10*(1+'Input | Inflation and Disc Rate'!P9)^0.5),"")</f>
        <v>0</v>
      </c>
    </row>
    <row r="32" spans="2:14" ht="11.25" customHeight="1">
      <c r="C32" s="85" t="s">
        <v>111</v>
      </c>
      <c r="D32" s="66" t="s">
        <v>54</v>
      </c>
      <c r="E32" s="79" t="s">
        <v>59</v>
      </c>
      <c r="F32" s="79" t="s">
        <v>63</v>
      </c>
      <c r="G32" s="69"/>
      <c r="H32" s="162">
        <f>IF(H30&lt;&gt;"",H31*'Input | Inflation and Disc Rate'!K15*(1+'Input | Inflation and Disc Rate'!L14)^0.5,"")</f>
        <v>0</v>
      </c>
      <c r="I32" s="162">
        <f>IF(I30&lt;&gt;"",I31*'Input | Inflation and Disc Rate'!L15*(1+'Input | Inflation and Disc Rate'!M14)^0.5,"")</f>
        <v>0</v>
      </c>
      <c r="J32" s="162">
        <f>IF(J30&lt;&gt;"",J31*'Input | Inflation and Disc Rate'!M15*(1+'Input | Inflation and Disc Rate'!N14)^0.5,"")</f>
        <v>0</v>
      </c>
      <c r="K32" s="162">
        <f>IF(K30&lt;&gt;"",K31*'Input | Inflation and Disc Rate'!N15*(1+'Input | Inflation and Disc Rate'!O14)^0.5,"")</f>
        <v>0</v>
      </c>
      <c r="L32" s="162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36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8:H10 I8:L9">
    <cfRule type="expression" dxfId="9" priority="17">
      <formula>IF($H$6&lt;&gt;"","FALSE","TRUE")</formula>
    </cfRule>
  </conditionalFormatting>
  <conditionalFormatting sqref="H18:L19">
    <cfRule type="expression" dxfId="8" priority="12">
      <formula>IF($H$6&lt;&gt;"","FALSE","TRUE")</formula>
    </cfRule>
  </conditionalFormatting>
  <conditionalFormatting sqref="H20:H21">
    <cfRule type="expression" dxfId="7" priority="7">
      <formula>IF($H$6&lt;&gt;"","FALSE","TRUE")</formula>
    </cfRule>
  </conditionalFormatting>
  <conditionalFormatting sqref="I10:L10">
    <cfRule type="expression" dxfId="6" priority="3">
      <formula>IF($H$6&lt;&gt;"","FALSE","TRUE")</formula>
    </cfRule>
  </conditionalFormatting>
  <conditionalFormatting sqref="I20:L21">
    <cfRule type="expression" dxfId="5" priority="2">
      <formula>IF($H$6&lt;&gt;"","FALSE","TRUE")</formula>
    </cfRule>
  </conditionalFormatting>
  <conditionalFormatting sqref="H30:L30">
    <cfRule type="expression" dxfId="4" priority="1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zoomScaleNormal="100" workbookViewId="0">
      <selection activeCell="D45" sqref="D45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Powercor Australia 2026-31 Regulatory proposal - Capital expenditure sharing scheme model</v>
      </c>
      <c r="C1" s="2"/>
      <c r="J1" s="117"/>
      <c r="K1" s="100" t="s">
        <v>49</v>
      </c>
      <c r="L1" s="136" t="s">
        <v>50</v>
      </c>
      <c r="M1" s="175" t="s">
        <v>136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110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46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12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120</v>
      </c>
      <c r="D8" s="144">
        <f>'Input | Inflation and Disc Rate'!G20</f>
        <v>2.6738665770133618E-2</v>
      </c>
      <c r="E8" s="145">
        <f>'Input | Inflation and Disc Rate'!H20</f>
        <v>2.5850627726693887E-2</v>
      </c>
      <c r="F8" s="145">
        <f>'Input | Inflation and Disc Rate'!I20</f>
        <v>2.6341556182575498E-2</v>
      </c>
      <c r="G8" s="145">
        <f>'Input | Inflation and Disc Rate'!J20</f>
        <v>2.6530125069218702E-2</v>
      </c>
      <c r="H8" s="146">
        <f>'Input | Inflation and Disc Rate'!K20</f>
        <v>2.6995102110397129E-2</v>
      </c>
      <c r="I8" s="93"/>
      <c r="J8" s="80"/>
      <c r="K8" s="80"/>
    </row>
    <row r="9" spans="2:23" ht="11.25" customHeight="1">
      <c r="C9" s="131" t="s">
        <v>121</v>
      </c>
      <c r="D9" s="145">
        <f>'Input | Inflation and Disc Rate'!G22</f>
        <v>3.5574626749222515E-2</v>
      </c>
      <c r="E9" s="145">
        <f>'Input | Inflation and Disc Rate'!H22</f>
        <v>6.1737893713719849E-2</v>
      </c>
      <c r="F9" s="145">
        <f>'Input | Inflation and Disc Rate'!I22</f>
        <v>0.1067227992471631</v>
      </c>
      <c r="G9" s="145">
        <f>'Input | Inflation and Disc Rate'!J22</f>
        <v>6.8125000167589045E-2</v>
      </c>
      <c r="H9" s="146">
        <f>'Input | Inflation and Disc Rate'!K22</f>
        <v>5.7804955173708539E-2</v>
      </c>
      <c r="I9" s="93"/>
      <c r="J9" s="80"/>
      <c r="K9" s="80"/>
    </row>
    <row r="10" spans="2:23" ht="11.25" customHeight="1">
      <c r="C10" s="109" t="s">
        <v>14</v>
      </c>
      <c r="D10" s="147">
        <f>'Input | Reported Capex'!H$12*'Input | Inflation and Disc Rate'!G$15*(1+'Input | Inflation and Disc Rate'!G$20)^0.5</f>
        <v>413.25489616210245</v>
      </c>
      <c r="E10" s="148">
        <f>'Input | Reported Capex'!I$12*'Input | Inflation and Disc Rate'!H$15*(1+'Input | Inflation and Disc Rate'!H$20)^0.5</f>
        <v>477.75786620905609</v>
      </c>
      <c r="F10" s="148">
        <f>'Input | Reported Capex'!J$12*'Input | Inflation and Disc Rate'!I$15*(1+'Input | Inflation and Disc Rate'!I$20)^0.5</f>
        <v>428.38312221883672</v>
      </c>
      <c r="G10" s="148">
        <f>'Input | Reported Capex'!K$12*'Input | Inflation and Disc Rate'!J$15*(1+'Input | Inflation and Disc Rate'!J$20)^0.5</f>
        <v>383.46069221778203</v>
      </c>
      <c r="H10" s="149">
        <f>'Input | Reported Capex'!L$12*'Input | Inflation and Disc Rate'!K$15*(1+'Input | Inflation and Disc Rate'!K$20)^0.5</f>
        <v>362.2362315493279</v>
      </c>
      <c r="I10" s="93"/>
      <c r="J10" s="80"/>
      <c r="K10" s="80"/>
      <c r="N10" s="124"/>
    </row>
    <row r="11" spans="2:23" ht="11.25" customHeight="1">
      <c r="C11" s="109" t="s">
        <v>16</v>
      </c>
      <c r="D11" s="150">
        <f>'Input | Reported Capex'!H23*(1+D$9)^0.5</f>
        <v>392.85729863920653</v>
      </c>
      <c r="E11" s="148">
        <f>'Input | Reported Capex'!I23*(1+E$9)^0.5</f>
        <v>424.48366268795803</v>
      </c>
      <c r="F11" s="148">
        <f>'Input | Reported Capex'!J23*(1+F$9)^0.5</f>
        <v>467.22683282911152</v>
      </c>
      <c r="G11" s="148">
        <f>'Input | Reported Capex'!K23*(1+G$9)^0.5</f>
        <v>522.63021796144665</v>
      </c>
      <c r="H11" s="149">
        <f>'Input | Reported Capex'!L23*(1+H$9)^0.5</f>
        <v>535.16001713938601</v>
      </c>
      <c r="I11" s="93"/>
      <c r="J11" s="80"/>
      <c r="K11" s="80"/>
    </row>
    <row r="12" spans="2:23" s="14" customFormat="1" ht="11.25" customHeight="1">
      <c r="C12" s="109" t="s">
        <v>18</v>
      </c>
      <c r="D12" s="177">
        <f>(D10-D11)</f>
        <v>20.397597522895921</v>
      </c>
      <c r="E12" s="178">
        <f>(E10-E11)</f>
        <v>53.274203521098059</v>
      </c>
      <c r="F12" s="178">
        <f t="shared" ref="F12:H12" si="0">(F10-F11)</f>
        <v>-38.843710610274798</v>
      </c>
      <c r="G12" s="178">
        <f t="shared" si="0"/>
        <v>-139.16952574366462</v>
      </c>
      <c r="H12" s="179">
        <f t="shared" si="0"/>
        <v>-172.92378559005812</v>
      </c>
      <c r="I12" s="93"/>
      <c r="J12" s="80"/>
      <c r="K12" s="80"/>
    </row>
    <row r="13" spans="2:23" ht="11.25" customHeight="1">
      <c r="C13" s="109" t="s">
        <v>98</v>
      </c>
      <c r="D13" s="89"/>
      <c r="E13" s="178">
        <f>$D$12*$E$8</f>
        <v>0.5272907000833158</v>
      </c>
      <c r="F13" s="178">
        <f>$D$12*$F$8*(1+'Input | Inflation and Disc Rate'!H13)</f>
        <v>0.55610094826067991</v>
      </c>
      <c r="G13" s="178">
        <f>$D$12*$G$8*(1+'Input | Inflation and Disc Rate'!H13)*(1+'Input | Inflation and Disc Rate'!I13)</f>
        <v>0.60394647092096487</v>
      </c>
      <c r="H13" s="179">
        <f>$D$12*$H$8*(1+'Input | Inflation and Disc Rate'!H13)*(1+'Input | Inflation and Disc Rate'!I13)*(1+'Input | Inflation and Disc Rate'!J13)</f>
        <v>0.6394322058214551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99</v>
      </c>
      <c r="D14" s="89"/>
      <c r="E14" s="130"/>
      <c r="F14" s="178">
        <f>$E$12*F$8</f>
        <v>1.4033254251329659</v>
      </c>
      <c r="G14" s="178">
        <f>$E$12*G$8*(1+'Input | Inflation and Disc Rate'!I13)</f>
        <v>1.5240640044106248</v>
      </c>
      <c r="H14" s="179">
        <f>$E$12*H$8*(1+'Input | Inflation and Disc Rate'!I13)*(1+'Input | Inflation and Disc Rate'!J13)</f>
        <v>1.6136125552108704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100</v>
      </c>
      <c r="D15" s="89"/>
      <c r="E15" s="129"/>
      <c r="F15" s="129"/>
      <c r="G15" s="178">
        <f>$F$12*G$8</f>
        <v>-1.030528500643128</v>
      </c>
      <c r="H15" s="179">
        <f>$F$12*$H$8*(1+'Input | Inflation and Disc Rate'!J13)</f>
        <v>-1.0910786701398669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101</v>
      </c>
      <c r="D16" s="89"/>
      <c r="E16" s="129"/>
      <c r="F16" s="129"/>
      <c r="G16" s="129"/>
      <c r="H16" s="179">
        <f>$G$12*$H$8</f>
        <v>-3.7568955581057684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102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20</v>
      </c>
      <c r="D18" s="180">
        <f>SUM(D13:D17)</f>
        <v>0</v>
      </c>
      <c r="E18" s="181">
        <f>SUM(E13:E17)</f>
        <v>0.5272907000833158</v>
      </c>
      <c r="F18" s="181">
        <f t="shared" ref="F18:H18" si="1">SUM(F13:F17)</f>
        <v>1.9594263733936459</v>
      </c>
      <c r="G18" s="181">
        <f t="shared" si="1"/>
        <v>1.0974819746884619</v>
      </c>
      <c r="H18" s="182">
        <f t="shared" si="1"/>
        <v>-2.5949294672133094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119</v>
      </c>
      <c r="D19" s="180">
        <f>E19*(1+E$9)</f>
        <v>1.3276507702073788</v>
      </c>
      <c r="E19" s="181">
        <f>F19*(1+F$9)</f>
        <v>1.2504505849024146</v>
      </c>
      <c r="F19" s="181">
        <f>G19*(1+G$9)</f>
        <v>1.129867917922194</v>
      </c>
      <c r="G19" s="181">
        <f>H19*(1+H$9)</f>
        <v>1.0578049551737085</v>
      </c>
      <c r="H19" s="183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21</v>
      </c>
      <c r="D20" s="177">
        <f>D12*D19</f>
        <v>27.08088606165289</v>
      </c>
      <c r="E20" s="178">
        <f>E12*E19</f>
        <v>66.616758953167334</v>
      </c>
      <c r="F20" s="178">
        <f t="shared" ref="F20:H20" si="2">F12*F19</f>
        <v>-43.888262431603422</v>
      </c>
      <c r="G20" s="178">
        <f t="shared" si="2"/>
        <v>-147.21421394082344</v>
      </c>
      <c r="H20" s="179">
        <f t="shared" si="2"/>
        <v>-172.92378559005812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22</v>
      </c>
      <c r="D21" s="180">
        <f>D18*D19</f>
        <v>0</v>
      </c>
      <c r="E21" s="181">
        <f>E18*E19</f>
        <v>0.65935096433278595</v>
      </c>
      <c r="F21" s="181">
        <f t="shared" ref="F21:H21" si="3">F18*F19</f>
        <v>2.2138929968281142</v>
      </c>
      <c r="G21" s="181">
        <f t="shared" si="3"/>
        <v>1.1609218710392815</v>
      </c>
      <c r="H21" s="182">
        <f t="shared" si="3"/>
        <v>-2.5949294672133094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13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9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97</v>
      </c>
      <c r="D25" s="151">
        <f>'Input | Inflation and Disc Rate'!L$22</f>
        <v>5.8429179799791786E-2</v>
      </c>
      <c r="E25" s="151">
        <f>'Input | Inflation and Disc Rate'!M$22</f>
        <v>5.9030790626581009E-2</v>
      </c>
      <c r="F25" s="151">
        <f>'Input | Inflation and Disc Rate'!N$22</f>
        <v>5.9620912116537861E-2</v>
      </c>
      <c r="G25" s="151">
        <f>'Input | Inflation and Disc Rate'!O$22</f>
        <v>6.070350901016508E-2</v>
      </c>
      <c r="H25" s="152">
        <f>'Input | Inflation and Disc Rate'!P$22</f>
        <v>6.2429767407631731E-2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15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17</v>
      </c>
      <c r="D27" s="178">
        <f>1/(1+D25)^(0.5)</f>
        <v>0.9720063403169642</v>
      </c>
      <c r="E27" s="178">
        <f>1/((1+E25)^(0.5)*(1+D25))</f>
        <v>0.91808713564790534</v>
      </c>
      <c r="F27" s="178">
        <f>1/((1+F25)^(0.5)*(1+E25)*(1+D25))</f>
        <v>0.86667116645266462</v>
      </c>
      <c r="G27" s="178">
        <f>1/((1+G25)^(0.5)*(1+F25)*(1+E25)*(1+D25))</f>
        <v>0.81748931511111822</v>
      </c>
      <c r="H27" s="179">
        <f>1/((1+H25)^(0.5)*(1+G25)*(1+F25)*(1+E25)*(1+D25))</f>
        <v>0.77007844435029804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19</v>
      </c>
      <c r="D28" s="181">
        <f>D26*D27</f>
        <v>0</v>
      </c>
      <c r="E28" s="181">
        <f t="shared" ref="E28:G28" si="4">E26*E27</f>
        <v>0</v>
      </c>
      <c r="F28" s="181">
        <f t="shared" si="4"/>
        <v>0</v>
      </c>
      <c r="G28" s="181">
        <f t="shared" si="4"/>
        <v>0</v>
      </c>
      <c r="H28" s="182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23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134</v>
      </c>
      <c r="D31" s="164">
        <f>SUM('Input | Reported Capex'!H12:L12)</f>
        <v>1851.3024637082815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16</v>
      </c>
      <c r="D32" s="165">
        <f>SUM('Input | Reported Capex'!H24:L24)</f>
        <v>2035.0089110098429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135</v>
      </c>
      <c r="D33" s="184">
        <f>(D31-D32)/D31</f>
        <v>-9.9230920340042772E-2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25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24</v>
      </c>
      <c r="D35" s="164">
        <f>SUM(D20:H20)-SUM(D28:H28)</f>
        <v>-270.32861694766473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26</v>
      </c>
      <c r="D36" s="165">
        <f>D35-D37</f>
        <v>-189.2300318633653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27</v>
      </c>
      <c r="D37" s="165">
        <f>D34*D35</f>
        <v>-81.098585084299415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28</v>
      </c>
      <c r="D38" s="165">
        <f>SUM(D21:H21)</f>
        <v>1.439236364986872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29</v>
      </c>
      <c r="D39" s="166">
        <f>D37-D38</f>
        <v>-82.537821449286284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47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133</v>
      </c>
      <c r="D44" s="172">
        <f>1/(1+'Input | Inflation and Disc Rate'!L21)</f>
        <v>0.97077678783420485</v>
      </c>
      <c r="E44" s="171">
        <f>D44/(1+'Input | Inflation and Disc Rate'!M21)</f>
        <v>0.94187221191632253</v>
      </c>
      <c r="F44" s="171">
        <f>E44/(1+'Input | Inflation and Disc Rate'!N21)</f>
        <v>0.91331933372377083</v>
      </c>
      <c r="G44" s="171">
        <f>F44/(1+'Input | Inflation and Disc Rate'!O21)</f>
        <v>0.88472812483371788</v>
      </c>
      <c r="H44" s="171">
        <f>G44/(1+'Input | Inflation and Disc Rate'!P21)</f>
        <v>0.8556394321413866</v>
      </c>
    </row>
    <row r="45" spans="2:15" s="24" customFormat="1" ht="11.25" customHeight="1">
      <c r="C45" s="96" t="str">
        <f>CONCATENATE("CESS Payment Per Year ($", 'Output | Models'!F4," million)")</f>
        <v>CESS Payment Per Year ($2024-25 million)</v>
      </c>
      <c r="D45" s="167">
        <f>D39/(SUM(D44:H44))</f>
        <v>-18.075284742394018</v>
      </c>
      <c r="E45" s="167">
        <f>D45</f>
        <v>-18.075284742394018</v>
      </c>
      <c r="F45" s="167">
        <f t="shared" ref="F45:H45" si="5">E45</f>
        <v>-18.075284742394018</v>
      </c>
      <c r="G45" s="167">
        <f t="shared" si="5"/>
        <v>-18.075284742394018</v>
      </c>
      <c r="H45" s="168">
        <f t="shared" si="5"/>
        <v>-18.075284742394018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($2024-25 million)</v>
      </c>
      <c r="D47" s="169">
        <f>SUM(D45:H45)</f>
        <v>-90.376423711970091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36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F8" sqref="F8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Powercor Australia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49</v>
      </c>
      <c r="L1" s="136" t="s">
        <v>50</v>
      </c>
      <c r="M1" s="175" t="s">
        <v>136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106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189"/>
      <c r="K3" s="189"/>
      <c r="L3" s="189"/>
      <c r="M3" s="54"/>
      <c r="N3" s="189"/>
      <c r="O3" s="189"/>
      <c r="P3" s="189"/>
      <c r="Q3" s="189"/>
      <c r="R3" s="189"/>
      <c r="S3" s="189"/>
      <c r="T3" s="189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80</v>
      </c>
      <c r="C4" s="34"/>
      <c r="D4" s="34"/>
      <c r="E4" s="141" t="s">
        <v>59</v>
      </c>
      <c r="F4" s="141" t="s">
        <v>124</v>
      </c>
      <c r="G4" s="36"/>
      <c r="H4" s="36"/>
      <c r="I4" s="36"/>
      <c r="J4" s="56" t="s">
        <v>81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84</v>
      </c>
      <c r="D6" s="59" t="s">
        <v>5</v>
      </c>
      <c r="E6" s="59" t="s">
        <v>61</v>
      </c>
      <c r="F6" s="59" t="s">
        <v>3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129</v>
      </c>
      <c r="D8" s="27" t="s">
        <v>82</v>
      </c>
      <c r="E8" s="45" t="str">
        <f>$E$4</f>
        <v>$millions</v>
      </c>
      <c r="F8" s="45" t="str">
        <f>$F$4</f>
        <v>2024-25</v>
      </c>
      <c r="H8" s="59"/>
      <c r="I8" s="59"/>
      <c r="J8" s="162">
        <f>'Calc | CESS Revenue Increments'!D45</f>
        <v>-18.075284742394018</v>
      </c>
      <c r="K8" s="162">
        <f>'Calc | CESS Revenue Increments'!E45</f>
        <v>-18.075284742394018</v>
      </c>
      <c r="L8" s="162">
        <f>'Calc | CESS Revenue Increments'!F45</f>
        <v>-18.075284742394018</v>
      </c>
      <c r="M8" s="162">
        <f>'Calc | CESS Revenue Increments'!G45</f>
        <v>-18.075284742394018</v>
      </c>
      <c r="N8" s="162">
        <f>'Calc | CESS Revenue Increments'!H45</f>
        <v>-18.075284742394018</v>
      </c>
      <c r="O8" s="170">
        <f>SUM(J8:N8)</f>
        <v>-90.376423711970091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36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Powercor Australia 2026-31 Regulatory proposal - Capital expenditure sharing scheme model</v>
      </c>
      <c r="C1" s="30"/>
      <c r="D1" s="31"/>
      <c r="E1" s="31"/>
      <c r="F1" s="31"/>
      <c r="G1" s="31"/>
      <c r="H1" s="99"/>
      <c r="I1" s="100" t="s">
        <v>49</v>
      </c>
      <c r="J1" s="136" t="s">
        <v>50</v>
      </c>
      <c r="K1" s="143" t="s">
        <v>38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107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51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113</v>
      </c>
      <c r="D6" s="47"/>
      <c r="E6" s="47" t="s">
        <v>52</v>
      </c>
      <c r="F6" s="47"/>
    </row>
    <row r="7" spans="1:29" ht="10">
      <c r="C7" s="48" t="s">
        <v>53</v>
      </c>
      <c r="D7" s="45"/>
      <c r="E7" s="142" t="s">
        <v>55</v>
      </c>
    </row>
    <row r="8" spans="1:29" ht="10">
      <c r="C8" s="48" t="s">
        <v>56</v>
      </c>
      <c r="D8" s="45"/>
      <c r="E8" s="142" t="s">
        <v>57</v>
      </c>
    </row>
    <row r="9" spans="1:29" ht="10">
      <c r="C9" s="48" t="s">
        <v>58</v>
      </c>
      <c r="D9" s="45"/>
      <c r="E9" s="142" t="s">
        <v>59</v>
      </c>
      <c r="S9" s="49"/>
    </row>
    <row r="10" spans="1:29" ht="10">
      <c r="D10" s="43"/>
      <c r="E10" s="43"/>
    </row>
    <row r="11" spans="1:29" ht="10">
      <c r="C11" s="48" t="s">
        <v>6</v>
      </c>
      <c r="D11" s="45"/>
      <c r="E11" s="142" t="s">
        <v>6</v>
      </c>
    </row>
    <row r="12" spans="1:29" ht="10">
      <c r="C12" s="48" t="s">
        <v>30</v>
      </c>
      <c r="D12" s="45"/>
      <c r="E12" s="142" t="s">
        <v>30</v>
      </c>
    </row>
    <row r="13" spans="1:29" ht="10">
      <c r="C13" s="48" t="s">
        <v>87</v>
      </c>
      <c r="D13" s="45"/>
      <c r="E13" s="142" t="s">
        <v>86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62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52</v>
      </c>
      <c r="F18" s="47"/>
    </row>
    <row r="19" spans="3:19" ht="10.5">
      <c r="C19" s="48" t="s">
        <v>87</v>
      </c>
      <c r="D19" s="47"/>
      <c r="E19" s="142" t="s">
        <v>86</v>
      </c>
      <c r="F19" s="47"/>
    </row>
    <row r="20" spans="3:19" ht="10.5">
      <c r="C20" s="48" t="s">
        <v>63</v>
      </c>
      <c r="D20" s="45"/>
      <c r="E20" s="142" t="s">
        <v>63</v>
      </c>
      <c r="F20" s="47"/>
    </row>
    <row r="21" spans="3:19" ht="10.5">
      <c r="C21" s="48" t="s">
        <v>64</v>
      </c>
      <c r="D21" s="45"/>
      <c r="E21" s="142" t="s">
        <v>64</v>
      </c>
      <c r="F21" s="47"/>
    </row>
    <row r="22" spans="3:19" ht="10.5">
      <c r="C22" s="48" t="s">
        <v>65</v>
      </c>
      <c r="D22" s="45"/>
      <c r="E22" s="142" t="s">
        <v>65</v>
      </c>
      <c r="F22" s="47"/>
    </row>
    <row r="23" spans="3:19" ht="10">
      <c r="C23" s="48" t="s">
        <v>66</v>
      </c>
      <c r="D23" s="45"/>
      <c r="E23" s="142" t="s">
        <v>66</v>
      </c>
    </row>
    <row r="24" spans="3:19" ht="10">
      <c r="C24" s="48" t="s">
        <v>67</v>
      </c>
      <c r="D24" s="45"/>
      <c r="E24" s="142" t="s">
        <v>67</v>
      </c>
    </row>
    <row r="25" spans="3:19" ht="10">
      <c r="C25" s="48" t="s">
        <v>68</v>
      </c>
      <c r="D25" s="45"/>
      <c r="E25" s="142" t="s">
        <v>68</v>
      </c>
      <c r="S25" s="49"/>
    </row>
    <row r="26" spans="3:19" ht="10">
      <c r="C26" s="48" t="s">
        <v>69</v>
      </c>
      <c r="D26" s="45"/>
      <c r="E26" s="142" t="s">
        <v>69</v>
      </c>
      <c r="S26" s="49"/>
    </row>
    <row r="27" spans="3:19" ht="10">
      <c r="C27" s="48" t="s">
        <v>31</v>
      </c>
      <c r="D27" s="45"/>
      <c r="E27" s="142" t="s">
        <v>31</v>
      </c>
      <c r="S27" s="49"/>
    </row>
    <row r="28" spans="3:19" ht="10">
      <c r="C28" s="48" t="s">
        <v>8</v>
      </c>
      <c r="D28" s="45"/>
      <c r="E28" s="142" t="s">
        <v>8</v>
      </c>
      <c r="S28" s="49"/>
    </row>
    <row r="29" spans="3:19" ht="10">
      <c r="C29" s="48" t="s">
        <v>70</v>
      </c>
      <c r="D29" s="45"/>
      <c r="E29" s="142" t="s">
        <v>70</v>
      </c>
      <c r="S29" s="49"/>
    </row>
    <row r="30" spans="3:19" ht="10">
      <c r="C30" s="48" t="s">
        <v>71</v>
      </c>
      <c r="D30" s="45"/>
      <c r="E30" s="142" t="s">
        <v>71</v>
      </c>
      <c r="S30" s="49"/>
    </row>
    <row r="31" spans="3:19" ht="10">
      <c r="C31" s="48" t="s">
        <v>72</v>
      </c>
      <c r="D31" s="45"/>
      <c r="E31" s="142" t="s">
        <v>72</v>
      </c>
      <c r="S31" s="49"/>
    </row>
    <row r="32" spans="3:19" ht="10">
      <c r="C32" s="48" t="s">
        <v>11</v>
      </c>
      <c r="D32" s="45"/>
      <c r="E32" s="142" t="s">
        <v>11</v>
      </c>
      <c r="S32" s="49"/>
    </row>
    <row r="33" spans="1:29" ht="10">
      <c r="C33" s="48" t="s">
        <v>73</v>
      </c>
      <c r="D33" s="45"/>
      <c r="E33" s="142" t="s">
        <v>73</v>
      </c>
      <c r="S33" s="49"/>
    </row>
    <row r="34" spans="1:29" ht="10">
      <c r="C34" s="48" t="s">
        <v>74</v>
      </c>
      <c r="D34" s="45"/>
      <c r="E34" s="142" t="s">
        <v>74</v>
      </c>
      <c r="S34" s="49"/>
    </row>
    <row r="35" spans="1:29" ht="10">
      <c r="C35" s="48" t="s">
        <v>75</v>
      </c>
      <c r="D35" s="45"/>
      <c r="E35" s="142" t="s">
        <v>75</v>
      </c>
      <c r="S35" s="49"/>
    </row>
    <row r="36" spans="1:29" ht="10">
      <c r="C36" s="48" t="s">
        <v>76</v>
      </c>
      <c r="D36" s="45"/>
      <c r="E36" s="142" t="s">
        <v>76</v>
      </c>
      <c r="S36" s="49"/>
    </row>
    <row r="37" spans="1:29" ht="10">
      <c r="C37" s="48" t="s">
        <v>77</v>
      </c>
      <c r="D37" s="45"/>
      <c r="E37" s="142" t="s">
        <v>77</v>
      </c>
      <c r="S37" s="49"/>
    </row>
    <row r="38" spans="1:29" ht="10">
      <c r="C38" s="48" t="s">
        <v>124</v>
      </c>
      <c r="D38" s="45"/>
      <c r="E38" s="142" t="s">
        <v>124</v>
      </c>
    </row>
    <row r="39" spans="1:29" ht="10">
      <c r="C39" s="48" t="s">
        <v>132</v>
      </c>
      <c r="D39" s="45"/>
      <c r="E39" s="173" t="s">
        <v>132</v>
      </c>
    </row>
    <row r="40" spans="1:29" s="42" customFormat="1" ht="13">
      <c r="A40" s="34"/>
      <c r="B40" s="35" t="s">
        <v>36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:O39">
    <cfRule type="expression" dxfId="1" priority="7" stopIfTrue="1">
      <formula>#REF!="Actual"</formula>
    </cfRule>
  </conditionalFormatting>
  <conditionalFormatting sqref="P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202403 - Preliminary RIN - based on Qld_SA 2026-30</dc:subject>
  <dc:creator>AER</dc:creator>
  <cp:keywords>DNSP; CESS; 2027-31</cp:keywords>
  <cp:lastModifiedBy>Price, Joel</cp:lastModifiedBy>
  <dcterms:created xsi:type="dcterms:W3CDTF">2017-09-22T02:00:05Z</dcterms:created>
  <dcterms:modified xsi:type="dcterms:W3CDTF">2024-12-22T22:35:16Z</dcterms:modified>
  <cp:category>DNSP;CESS;2027-31</cp:category>
  <cp:contentStatus>202403 - Preliminary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2024-07-17T02:32:51Z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f6907b70-0483-4f98-a717-bb0b137ae254</vt:lpwstr>
  </property>
  <property fmtid="{D5CDD505-2E9C-101B-9397-08002B2CF9AE}" pid="9" name="MSIP_Label_d9d5a995-dfdf-4407-9a97-edbbc68c9f53_ContentBits">
    <vt:lpwstr>0</vt:lpwstr>
  </property>
</Properties>
</file>