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CDDD734C-727E-4C1B-8FE3-5FE1F34DC074}" xr6:coauthVersionLast="47" xr6:coauthVersionMax="47" xr10:uidLastSave="{00000000-0000-0000-0000-000000000000}"/>
  <bookViews>
    <workbookView xWindow="-28920" yWindow="-120" windowWidth="29040" windowHeight="15840" tabRatio="839" activeTab="2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definedNames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3" l="1"/>
  <c r="N9" i="13" s="1"/>
  <c r="O9" i="13" s="1"/>
  <c r="P9" i="13" s="1"/>
  <c r="M14" i="13" l="1"/>
  <c r="G13" i="13" l="1"/>
  <c r="H13" i="13"/>
  <c r="I13" i="13"/>
  <c r="F8" i="3" l="1"/>
  <c r="G22" i="13" l="1"/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2" i="3" s="1"/>
  <c r="F10" i="3" l="1"/>
  <c r="F9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I16" i="3"/>
  <c r="L16" i="3"/>
  <c r="K16" i="3"/>
  <c r="J16" i="3"/>
  <c r="D9" i="4" l="1"/>
  <c r="H22" i="13"/>
  <c r="I22" i="13"/>
  <c r="J22" i="13"/>
  <c r="K22" i="13"/>
  <c r="H9" i="4" l="1"/>
  <c r="H8" i="4"/>
  <c r="G19" i="4" l="1"/>
  <c r="D25" i="4"/>
  <c r="D27" i="4" s="1"/>
  <c r="M22" i="13"/>
  <c r="E9" i="4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5" i="13" l="1"/>
  <c r="C42" i="4"/>
  <c r="C44" i="4"/>
  <c r="G10" i="13"/>
  <c r="H10" i="13" s="1"/>
  <c r="I10" i="13" s="1"/>
  <c r="J10" i="13" s="1"/>
  <c r="K10" i="13" s="1"/>
  <c r="L10" i="13" s="1"/>
  <c r="I30" i="3" s="1"/>
  <c r="F19" i="4"/>
  <c r="E19" i="4" s="1"/>
  <c r="D19" i="4" s="1"/>
  <c r="E25" i="4"/>
  <c r="E27" i="4" s="1"/>
  <c r="N14" i="13"/>
  <c r="N22" i="13" s="1"/>
  <c r="B1" i="5"/>
  <c r="B1" i="3"/>
  <c r="B1" i="13"/>
  <c r="B1" i="4"/>
  <c r="I15" i="13" l="1"/>
  <c r="D21" i="4"/>
  <c r="H30" i="3"/>
  <c r="F25" i="4"/>
  <c r="F27" i="4" s="1"/>
  <c r="M10" i="13"/>
  <c r="N10" i="13" s="1"/>
  <c r="K30" i="3" s="1"/>
  <c r="O14" i="13"/>
  <c r="O22" i="13" s="1"/>
  <c r="J15" i="13" l="1"/>
  <c r="J30" i="3"/>
  <c r="O10" i="13"/>
  <c r="P10" i="13" s="1"/>
  <c r="P14" i="13"/>
  <c r="P22" i="13" s="1"/>
  <c r="G25" i="4"/>
  <c r="G27" i="4" s="1"/>
  <c r="K15" i="13" l="1"/>
  <c r="H25" i="4"/>
  <c r="H27" i="4" s="1"/>
  <c r="L30" i="3"/>
  <c r="L15" i="13" l="1"/>
  <c r="H31" i="3"/>
  <c r="D26" i="4" s="1"/>
  <c r="D28" i="4" s="1"/>
  <c r="M15" i="13" l="1"/>
  <c r="I31" i="3"/>
  <c r="E26" i="4" s="1"/>
  <c r="E28" i="4" s="1"/>
  <c r="N15" i="13" l="1"/>
  <c r="J31" i="3"/>
  <c r="F26" i="4" s="1"/>
  <c r="F28" i="4" s="1"/>
  <c r="K31" i="3" l="1"/>
  <c r="G26" i="4" s="1"/>
  <c r="G28" i="4" s="1"/>
  <c r="O15" i="13"/>
  <c r="P15" i="13" l="1"/>
  <c r="L31" i="3"/>
  <c r="H26" i="4" s="1"/>
  <c r="H28" i="4" s="1"/>
  <c r="I12" i="3" l="1"/>
  <c r="E10" i="4" s="1"/>
  <c r="L12" i="3"/>
  <c r="H10" i="4" s="1"/>
  <c r="K12" i="3"/>
  <c r="G10" i="4" s="1"/>
  <c r="J12" i="3"/>
  <c r="F10" i="4" s="1"/>
  <c r="H12" i="3" l="1"/>
  <c r="D10" i="4" s="1"/>
  <c r="L23" i="3" l="1"/>
  <c r="K23" i="3" l="1"/>
  <c r="H11" i="4"/>
  <c r="H12" i="4" s="1"/>
  <c r="H20" i="4" s="1"/>
  <c r="J23" i="3"/>
  <c r="I23" i="3"/>
  <c r="H23" i="3"/>
  <c r="E11" i="4" l="1"/>
  <c r="E12" i="4" s="1"/>
  <c r="D11" i="4"/>
  <c r="D12" i="4" s="1"/>
  <c r="G11" i="4"/>
  <c r="G12" i="4" s="1"/>
  <c r="F11" i="4"/>
  <c r="F12" i="4" s="1"/>
  <c r="G20" i="4" l="1"/>
  <c r="H16" i="4"/>
  <c r="E13" i="4"/>
  <c r="E18" i="4" s="1"/>
  <c r="E21" i="4" s="1"/>
  <c r="G13" i="4"/>
  <c r="D20" i="4"/>
  <c r="H13" i="4"/>
  <c r="F13" i="4"/>
  <c r="F20" i="4"/>
  <c r="G15" i="4"/>
  <c r="H15" i="4"/>
  <c r="F14" i="4"/>
  <c r="H14" i="4"/>
  <c r="G14" i="4"/>
  <c r="E20" i="4"/>
  <c r="D31" i="4" l="1"/>
  <c r="F18" i="4"/>
  <c r="F21" i="4" s="1"/>
  <c r="G18" i="4"/>
  <c r="G21" i="4" s="1"/>
  <c r="H18" i="4"/>
  <c r="H21" i="4" s="1"/>
  <c r="D35" i="4" l="1"/>
  <c r="D33" i="4"/>
  <c r="D34" i="4"/>
  <c r="D36" i="4" s="1"/>
  <c r="D42" i="4" s="1"/>
  <c r="E42" i="4" s="1"/>
  <c r="J8" i="10" l="1"/>
  <c r="F42" i="4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<sst xmlns="http://schemas.openxmlformats.org/spreadsheetml/2006/main" count="202" uniqueCount="108">
  <si>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</si>
  <si>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</si>
  <si>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</si>
  <si>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</si>
  <si>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</si>
  <si>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</si>
  <si>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</si>
  <si>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</si>
  <si>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</si>
  <si>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</si>
  <si>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</si>
  <si>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</si>
  <si>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</si>
  <si>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</si>
  <si>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</si>
  <si>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</si>
  <si>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</si>
  <si>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</si>
  <si>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</si>
  <si>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Directlink</t>
  </si>
  <si>
    <t>Determination stage</t>
  </si>
  <si>
    <t>Determination years</t>
  </si>
  <si>
    <t>2025-30</t>
  </si>
  <si>
    <t>Base regulatory year</t>
  </si>
  <si>
    <t>2025-26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</si>
  <si>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</si>
  <si>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</si>
  <si>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</si>
  <si>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</si>
  <si>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</si>
  <si>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</si>
  <si>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</si>
  <si>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</si>
  <si>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</si>
  <si>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</si>
  <si>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</si>
  <si>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</si>
  <si>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</si>
  <si>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</si>
  <si>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</si>
  <si>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</si>
  <si>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</si>
  <si>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</si>
  <si>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</si>
  <si>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</si>
  <si>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</si>
  <si>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</si>
  <si>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</si>
  <si>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</si>
  <si>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</si>
  <si>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</si>
  <si>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</si>
  <si>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</si>
  <si>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</si>
  <si>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</si>
  <si>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$millions</t>
  </si>
  <si>
    <t>Customer Contributions</t>
  </si>
  <si>
    <t>Asset Disposals</t>
  </si>
  <si>
    <t>Total capex allowance applicable to CESS</t>
  </si>
  <si>
    <t>Input | Actual / Estimate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</si>
  <si>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</si>
  <si>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</si>
  <si>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</si>
  <si>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</si>
  <si>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</si>
  <si>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$ nominal, mid year</t>
  </si>
  <si>
    <t>$ real, Jun 2019</t>
  </si>
  <si>
    <t>Total</t>
  </si>
  <si>
    <t>Input | CESS Payments</t>
  </si>
  <si>
    <t>Calc | NPV of CESS payments</t>
  </si>
  <si>
    <t>Regulatory period 1 $nominal, end of year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</si>
  <si>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</si>
  <si>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</si>
  <si>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</si>
  <si>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</si>
  <si>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</si>
  <si>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</si>
  <si>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</si>
  <si>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</si>
  <si>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</si>
  <si>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</si>
  <si>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</si>
  <si>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</si>
  <si>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</si>
  <si>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</si>
  <si>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</si>
  <si>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</si>
  <si>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</si>
  <si>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</si>
  <si>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</si>
  <si>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</si>
  <si>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</si>
  <si>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</si>
  <si>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</si>
  <si>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</si>
  <si>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</si>
  <si>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</si>
  <si>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</si>
  <si>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</si>
  <si>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</si>
  <si>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</si>
  <si>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</si>
  <si>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CESS increments as per NER 6A.5.4(a)(5)</t>
  </si>
  <si>
    <t>Total capex allowance</t>
  </si>
  <si>
    <t>Total capex</t>
  </si>
  <si>
    <t>Relevant sharing ratio</t>
  </si>
  <si>
    <t>Final Decision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</si>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</sst>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(#######\ ##0.00_);\(#######\ ##0.00\);_(&quot;-&quot;_)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31869B"/>
      <name val="Amasis MT Pro"/>
      <family val="1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rgb="FF000000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</borders>
  <cellStyleXfs count="34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3" fillId="0" borderId="0"/>
    <xf numFmtId="170" fontId="2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0" borderId="0"/>
    <xf numFmtId="171" fontId="23" fillId="0" borderId="8">
      <alignment horizontal="right" vertical="center"/>
      <protection locked="0"/>
    </xf>
    <xf numFmtId="16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29" fillId="0" borderId="0" applyNumberFormat="0" applyFill="0" applyBorder="0" applyAlignment="0"/>
    <xf numFmtId="165" fontId="22" fillId="28" borderId="0" applyNumberFormat="0" applyFont="0" applyBorder="0" applyAlignment="0">
      <alignment horizontal="right"/>
    </xf>
    <xf numFmtId="165" fontId="22" fillId="28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29" borderId="0"/>
    <xf numFmtId="0" fontId="32" fillId="11" borderId="9" applyNumberFormat="0" applyAlignment="0" applyProtection="0"/>
    <xf numFmtId="172" fontId="33" fillId="0" borderId="10">
      <alignment horizontal="center"/>
    </xf>
    <xf numFmtId="0" fontId="34" fillId="30" borderId="11" applyNumberFormat="0" applyAlignment="0" applyProtection="0"/>
    <xf numFmtId="0" fontId="35" fillId="31" borderId="6">
      <alignment horizontal="center" vertical="center"/>
    </xf>
    <xf numFmtId="165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2" fillId="35" borderId="9"/>
    <xf numFmtId="174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41" fillId="0" borderId="0"/>
    <xf numFmtId="0" fontId="42" fillId="0" borderId="0"/>
    <xf numFmtId="0" fontId="43" fillId="36" borderId="0" applyNumberFormat="0" applyBorder="0" applyAlignment="0" applyProtection="0"/>
    <xf numFmtId="0" fontId="44" fillId="0" borderId="0" applyFill="0" applyBorder="0"/>
    <xf numFmtId="0" fontId="45" fillId="0" borderId="0" applyNumberFormat="0" applyFill="0"/>
    <xf numFmtId="0" fontId="46" fillId="0" borderId="0" applyFill="0"/>
    <xf numFmtId="0" fontId="47" fillId="0" borderId="0" applyFill="0"/>
    <xf numFmtId="0" fontId="48" fillId="0" borderId="0" applyFill="0"/>
    <xf numFmtId="0" fontId="17" fillId="0" borderId="0" applyFill="0" applyBorder="0">
      <alignment vertical="center"/>
    </xf>
    <xf numFmtId="0" fontId="49" fillId="0" borderId="12" applyNumberFormat="0" applyFill="0" applyAlignment="0" applyProtection="0"/>
    <xf numFmtId="0" fontId="17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3" applyNumberFormat="0" applyFill="0" applyAlignment="0" applyProtection="0"/>
    <xf numFmtId="0" fontId="50" fillId="0" borderId="0" applyFill="0" applyBorder="0">
      <alignment vertical="center"/>
    </xf>
    <xf numFmtId="0" fontId="19" fillId="0" borderId="0" applyFill="0" applyBorder="0">
      <alignment vertical="center"/>
    </xf>
    <xf numFmtId="0" fontId="52" fillId="0" borderId="14" applyNumberFormat="0" applyFill="0" applyAlignment="0" applyProtection="0"/>
    <xf numFmtId="0" fontId="19" fillId="0" borderId="0" applyFill="0" applyBorder="0">
      <alignment vertical="center"/>
    </xf>
    <xf numFmtId="0" fontId="23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23" fillId="0" borderId="0" applyFill="0" applyBorder="0">
      <alignment vertical="center"/>
    </xf>
    <xf numFmtId="176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>
      <alignment horizontal="center" vertical="center"/>
      <protection locked="0"/>
    </xf>
    <xf numFmtId="0" fontId="56" fillId="0" borderId="0" applyFill="0" applyBorder="0">
      <alignment horizontal="left" vertical="center"/>
      <protection locked="0"/>
    </xf>
    <xf numFmtId="0" fontId="57" fillId="9" borderId="9" applyNumberFormat="0" applyAlignment="0" applyProtection="0"/>
    <xf numFmtId="177" fontId="16" fillId="37" borderId="0" applyProtection="0"/>
    <xf numFmtId="165" fontId="22" fillId="38" borderId="0" applyFont="0" applyBorder="0" applyAlignment="0">
      <alignment horizontal="right"/>
      <protection locked="0"/>
    </xf>
    <xf numFmtId="165" fontId="22" fillId="38" borderId="0" applyFont="0" applyBorder="0" applyAlignment="0">
      <alignment horizontal="right"/>
      <protection locked="0"/>
    </xf>
    <xf numFmtId="178" fontId="22" fillId="5" borderId="0" applyFont="0" applyBorder="0">
      <alignment horizontal="right"/>
      <protection locked="0"/>
    </xf>
    <xf numFmtId="178" fontId="22" fillId="5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0" fontId="31" fillId="40" borderId="0"/>
    <xf numFmtId="0" fontId="22" fillId="3" borderId="15" applyNumberFormat="0" applyFont="0" applyAlignment="0"/>
    <xf numFmtId="0" fontId="23" fillId="28" borderId="0"/>
    <xf numFmtId="0" fontId="58" fillId="0" borderId="16" applyNumberFormat="0" applyFill="0" applyAlignment="0" applyProtection="0"/>
    <xf numFmtId="179" fontId="59" fillId="0" borderId="0"/>
    <xf numFmtId="0" fontId="60" fillId="0" borderId="0" applyFill="0" applyBorder="0">
      <alignment horizontal="left" vertical="center"/>
    </xf>
    <xf numFmtId="0" fontId="61" fillId="12" borderId="0" applyNumberFormat="0" applyBorder="0" applyAlignment="0" applyProtection="0"/>
    <xf numFmtId="180" fontId="6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7" fillId="0" borderId="0"/>
    <xf numFmtId="0" fontId="22" fillId="7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10" borderId="17" applyNumberFormat="0" applyFont="0" applyAlignment="0" applyProtection="0"/>
    <xf numFmtId="0" fontId="63" fillId="37" borderId="18" applyNumberFormat="0"/>
    <xf numFmtId="0" fontId="64" fillId="11" borderId="19" applyNumberFormat="0" applyAlignment="0" applyProtection="0"/>
    <xf numFmtId="181" fontId="22" fillId="0" borderId="0" applyFill="0" applyBorder="0"/>
    <xf numFmtId="181" fontId="22" fillId="0" borderId="0" applyFill="0" applyBorder="0"/>
    <xf numFmtId="181" fontId="22" fillId="0" borderId="0" applyFill="0" applyBorder="0"/>
    <xf numFmtId="9" fontId="6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66" fillId="0" borderId="0"/>
    <xf numFmtId="0" fontId="19" fillId="0" borderId="0" applyFill="0" applyBorder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82" fontId="67" fillId="0" borderId="4"/>
    <xf numFmtId="0" fontId="68" fillId="0" borderId="3">
      <alignment horizontal="center"/>
    </xf>
    <xf numFmtId="3" fontId="36" fillId="0" borderId="0" applyFont="0" applyFill="0" applyBorder="0" applyAlignment="0" applyProtection="0"/>
    <xf numFmtId="0" fontId="36" fillId="41" borderId="0" applyNumberFormat="0" applyFont="0" applyBorder="0" applyAlignment="0" applyProtection="0"/>
    <xf numFmtId="183" fontId="22" fillId="0" borderId="0"/>
    <xf numFmtId="183" fontId="22" fillId="0" borderId="0"/>
    <xf numFmtId="183" fontId="22" fillId="0" borderId="0"/>
    <xf numFmtId="184" fontId="23" fillId="0" borderId="0" applyFill="0" applyBorder="0">
      <alignment horizontal="right" vertical="center"/>
    </xf>
    <xf numFmtId="185" fontId="23" fillId="0" borderId="0" applyFill="0" applyBorder="0">
      <alignment horizontal="right" vertical="center"/>
    </xf>
    <xf numFmtId="186" fontId="23" fillId="0" borderId="0" applyFill="0" applyBorder="0">
      <alignment horizontal="right" vertical="center"/>
    </xf>
    <xf numFmtId="0" fontId="22" fillId="10" borderId="0" applyNumberFormat="0" applyFont="0" applyBorder="0" applyAlignment="0" applyProtection="0"/>
    <xf numFmtId="0" fontId="22" fillId="10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1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70" fillId="42" borderId="0"/>
    <xf numFmtId="0" fontId="71" fillId="42" borderId="0" applyNumberFormat="0"/>
    <xf numFmtId="0" fontId="72" fillId="42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73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74" fillId="43" borderId="20" applyBorder="0" applyProtection="0">
      <alignment horizontal="centerContinuous" vertical="center"/>
    </xf>
    <xf numFmtId="0" fontId="75" fillId="0" borderId="0" applyBorder="0" applyProtection="0">
      <alignment vertical="center"/>
    </xf>
    <xf numFmtId="0" fontId="76" fillId="0" borderId="0">
      <alignment horizontal="left"/>
    </xf>
    <xf numFmtId="0" fontId="76" fillId="0" borderId="5" applyFill="0" applyBorder="0" applyProtection="0">
      <alignment horizontal="left" vertical="top"/>
    </xf>
    <xf numFmtId="0" fontId="77" fillId="44" borderId="6" applyNumberFormat="0">
      <alignment horizontal="center" vertical="center"/>
    </xf>
    <xf numFmtId="0" fontId="78" fillId="45" borderId="9" applyNumberFormat="0" applyAlignment="0">
      <alignment horizontal="right"/>
    </xf>
    <xf numFmtId="49" fontId="22" fillId="0" borderId="0" applyFont="0" applyFill="0" applyBorder="0" applyAlignment="0" applyProtection="0"/>
    <xf numFmtId="0" fontId="79" fillId="0" borderId="0"/>
    <xf numFmtId="49" fontId="22" fillId="0" borderId="0" applyFont="0" applyFill="0" applyBorder="0" applyAlignment="0" applyProtection="0"/>
    <xf numFmtId="0" fontId="80" fillId="0" borderId="0"/>
    <xf numFmtId="0" fontId="80" fillId="0" borderId="0"/>
    <xf numFmtId="0" fontId="79" fillId="0" borderId="0"/>
    <xf numFmtId="179" fontId="81" fillId="0" borderId="0"/>
    <xf numFmtId="0" fontId="69" fillId="0" borderId="0" applyNumberFormat="0" applyFill="0" applyBorder="0" applyAlignment="0" applyProtection="0"/>
    <xf numFmtId="0" fontId="82" fillId="0" borderId="0" applyFill="0" applyBorder="0">
      <alignment horizontal="left" vertical="center"/>
      <protection locked="0"/>
    </xf>
    <xf numFmtId="0" fontId="79" fillId="0" borderId="0"/>
    <xf numFmtId="0" fontId="83" fillId="0" borderId="0" applyFill="0" applyBorder="0">
      <alignment horizontal="left" vertical="center"/>
      <protection locked="0"/>
    </xf>
    <xf numFmtId="0" fontId="39" fillId="0" borderId="21" applyNumberFormat="0" applyFill="0" applyAlignment="0" applyProtection="0"/>
    <xf numFmtId="0" fontId="17" fillId="3" borderId="15" applyNumberFormat="0" applyAlignment="0"/>
    <xf numFmtId="0" fontId="33" fillId="0" borderId="0" applyNumberFormat="0" applyFill="0" applyBorder="0"/>
    <xf numFmtId="0" fontId="84" fillId="46" borderId="15" applyNumberFormat="0">
      <protection locked="0"/>
    </xf>
    <xf numFmtId="0" fontId="85" fillId="0" borderId="0" applyNumberFormat="0" applyFill="0" applyBorder="0" applyAlignment="0" applyProtection="0"/>
    <xf numFmtId="187" fontId="22" fillId="0" borderId="20" applyBorder="0" applyProtection="0">
      <alignment horizontal="right"/>
    </xf>
    <xf numFmtId="187" fontId="22" fillId="0" borderId="20" applyBorder="0" applyProtection="0">
      <alignment horizontal="right"/>
    </xf>
    <xf numFmtId="187" fontId="22" fillId="0" borderId="20" applyBorder="0" applyProtection="0">
      <alignment horizontal="right"/>
    </xf>
    <xf numFmtId="0" fontId="8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14" fillId="0" borderId="0"/>
    <xf numFmtId="9" fontId="14" fillId="0" borderId="0" applyFont="0" applyFill="0" applyBorder="0" applyAlignment="0" applyProtection="0"/>
    <xf numFmtId="171" fontId="23" fillId="0" borderId="27">
      <alignment horizontal="right" vertical="center"/>
      <protection locked="0"/>
    </xf>
    <xf numFmtId="167" fontId="14" fillId="0" borderId="0" applyFont="0" applyFill="0" applyBorder="0" applyAlignment="0" applyProtection="0"/>
    <xf numFmtId="0" fontId="32" fillId="11" borderId="28" applyNumberFormat="0" applyAlignment="0" applyProtection="0"/>
    <xf numFmtId="0" fontId="57" fillId="9" borderId="28" applyNumberFormat="0" applyAlignment="0" applyProtection="0"/>
    <xf numFmtId="0" fontId="22" fillId="10" borderId="29" applyNumberFormat="0" applyFont="0" applyAlignment="0" applyProtection="0"/>
    <xf numFmtId="0" fontId="64" fillId="11" borderId="30" applyNumberFormat="0" applyAlignment="0" applyProtection="0"/>
    <xf numFmtId="0" fontId="39" fillId="0" borderId="31" applyNumberFormat="0" applyFill="0" applyAlignment="0" applyProtection="0"/>
    <xf numFmtId="172" fontId="33" fillId="0" borderId="32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10" fillId="47" borderId="0" applyNumberFormat="0" applyBorder="0" applyAlignment="0" applyProtection="0"/>
    <xf numFmtId="190" fontId="22" fillId="39" borderId="0" applyFont="0" applyBorder="0">
      <alignment horizontal="right"/>
    </xf>
    <xf numFmtId="176" fontId="22" fillId="39" borderId="0" applyFont="0" applyBorder="0" applyAlignment="0"/>
    <xf numFmtId="190" fontId="22" fillId="39" borderId="0" applyFont="0" applyBorder="0">
      <alignment horizontal="right"/>
    </xf>
    <xf numFmtId="165" fontId="22" fillId="48" borderId="0" applyFont="0" applyBorder="0" applyAlignment="0">
      <alignment horizontal="right"/>
      <protection locked="0"/>
    </xf>
    <xf numFmtId="10" fontId="22" fillId="48" borderId="0" applyFont="0" applyBorder="0">
      <alignment horizontal="right"/>
      <protection locked="0"/>
    </xf>
    <xf numFmtId="165" fontId="22" fillId="48" borderId="0" applyFont="0" applyBorder="0" applyAlignment="0">
      <alignment horizontal="right"/>
      <protection locked="0"/>
    </xf>
    <xf numFmtId="3" fontId="22" fillId="49" borderId="0" applyFont="0" applyBorder="0">
      <protection locked="0"/>
    </xf>
    <xf numFmtId="176" fontId="50" fillId="49" borderId="0" applyBorder="0" applyAlignment="0">
      <protection locked="0"/>
    </xf>
    <xf numFmtId="176" fontId="94" fillId="50" borderId="0" applyBorder="0" applyAlignment="0"/>
    <xf numFmtId="190" fontId="95" fillId="28" borderId="35" applyFont="0" applyBorder="0" applyAlignment="0"/>
    <xf numFmtId="176" fontId="50" fillId="28" borderId="0" applyFont="0" applyBorder="0" applyAlignment="0"/>
    <xf numFmtId="167" fontId="10" fillId="0" borderId="0" applyFont="0" applyFill="0" applyBorder="0" applyAlignment="0" applyProtection="0"/>
    <xf numFmtId="165" fontId="22" fillId="28" borderId="0" applyNumberFormat="0" applyFont="0" applyBorder="0" applyAlignment="0">
      <alignment horizontal="right"/>
    </xf>
    <xf numFmtId="165" fontId="22" fillId="28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2" fillId="38" borderId="0" applyFont="0" applyBorder="0" applyAlignment="0">
      <alignment horizontal="right"/>
      <protection locked="0"/>
    </xf>
    <xf numFmtId="165" fontId="22" fillId="38" borderId="0" applyFont="0" applyBorder="0" applyAlignment="0">
      <alignment horizontal="right"/>
      <protection locked="0"/>
    </xf>
    <xf numFmtId="165" fontId="22" fillId="39" borderId="0" applyFont="0" applyBorder="0">
      <alignment horizontal="right"/>
      <protection locked="0"/>
    </xf>
    <xf numFmtId="165" fontId="22" fillId="39" borderId="0" applyFont="0" applyBorder="0">
      <alignment horizontal="right"/>
      <protection locked="0"/>
    </xf>
    <xf numFmtId="167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2" fillId="48" borderId="0" applyFont="0" applyBorder="0" applyAlignment="0">
      <alignment horizontal="right"/>
      <protection locked="0"/>
    </xf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5" fontId="104" fillId="56" borderId="44" applyAlignment="0" applyProtection="0"/>
    <xf numFmtId="165" fontId="104" fillId="56" borderId="45" applyAlignment="0" applyProtection="0"/>
  </cellStyleXfs>
  <cellXfs count="183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4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4" fillId="3" borderId="22" xfId="3" applyFill="1" applyBorder="1"/>
    <xf numFmtId="0" fontId="15" fillId="3" borderId="22" xfId="3" applyFont="1" applyFill="1" applyBorder="1" applyAlignment="1">
      <alignment horizontal="left"/>
    </xf>
    <xf numFmtId="0" fontId="15" fillId="3" borderId="22" xfId="3" applyFont="1" applyFill="1" applyBorder="1" applyAlignment="1">
      <alignment horizontal="left" indent="9"/>
    </xf>
    <xf numFmtId="0" fontId="11" fillId="3" borderId="23" xfId="3" applyFont="1" applyFill="1" applyBorder="1"/>
    <xf numFmtId="0" fontId="14" fillId="6" borderId="2" xfId="3" applyFill="1" applyBorder="1"/>
    <xf numFmtId="0" fontId="11" fillId="6" borderId="2" xfId="3" applyFont="1" applyFill="1" applyBorder="1"/>
    <xf numFmtId="0" fontId="17" fillId="6" borderId="2" xfId="3" applyFont="1" applyFill="1" applyBorder="1" applyAlignment="1">
      <alignment vertical="center"/>
    </xf>
    <xf numFmtId="0" fontId="13" fillId="6" borderId="2" xfId="3" applyFont="1" applyFill="1" applyBorder="1"/>
    <xf numFmtId="166" fontId="17" fillId="6" borderId="2" xfId="3" applyNumberFormat="1" applyFont="1" applyFill="1" applyBorder="1" applyAlignment="1">
      <alignment horizontal="center" wrapText="1"/>
    </xf>
    <xf numFmtId="0" fontId="14" fillId="6" borderId="2" xfId="3" applyFill="1" applyBorder="1" applyAlignment="1">
      <alignment wrapText="1"/>
    </xf>
    <xf numFmtId="0" fontId="14" fillId="0" borderId="0" xfId="3"/>
    <xf numFmtId="169" fontId="16" fillId="0" borderId="0" xfId="3" applyNumberFormat="1" applyFont="1"/>
    <xf numFmtId="169" fontId="18" fillId="0" borderId="0" xfId="3" applyNumberFormat="1" applyFont="1" applyAlignment="1">
      <alignment horizontal="center"/>
    </xf>
    <xf numFmtId="169" fontId="16" fillId="0" borderId="0" xfId="3" applyNumberFormat="1" applyFont="1" applyAlignment="1">
      <alignment horizontal="center"/>
    </xf>
    <xf numFmtId="169" fontId="21" fillId="0" borderId="0" xfId="3" applyNumberFormat="1" applyFont="1"/>
    <xf numFmtId="169" fontId="20" fillId="0" borderId="0" xfId="3" applyNumberFormat="1" applyFont="1" applyAlignment="1">
      <alignment horizontal="center"/>
    </xf>
    <xf numFmtId="169" fontId="21" fillId="0" borderId="20" xfId="3" applyNumberFormat="1" applyFont="1" applyBorder="1" applyAlignment="1">
      <alignment horizontal="center"/>
    </xf>
    <xf numFmtId="169" fontId="16" fillId="0" borderId="0" xfId="3" applyNumberFormat="1" applyFont="1" applyAlignment="1">
      <alignment horizontal="left" indent="1"/>
    </xf>
    <xf numFmtId="169" fontId="12" fillId="0" borderId="0" xfId="263" applyNumberFormat="1" applyFont="1" applyAlignment="1" applyProtection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9" fillId="4" borderId="2" xfId="0" applyFont="1" applyFill="1" applyBorder="1" applyAlignment="1">
      <alignment horizontal="center" vertical="center"/>
    </xf>
    <xf numFmtId="0" fontId="89" fillId="3" borderId="0" xfId="0" applyFont="1" applyFill="1" applyAlignment="1">
      <alignment horizontal="center" vertical="center"/>
    </xf>
    <xf numFmtId="169" fontId="18" fillId="3" borderId="0" xfId="0" applyNumberFormat="1" applyFont="1" applyFill="1" applyAlignment="1">
      <alignment horizontal="center" vertical="center"/>
    </xf>
    <xf numFmtId="0" fontId="9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4" borderId="2" xfId="0" applyFont="1" applyFill="1" applyBorder="1" applyAlignment="1">
      <alignment vertical="center"/>
    </xf>
    <xf numFmtId="0" fontId="88" fillId="3" borderId="0" xfId="0" applyFont="1" applyFill="1" applyAlignment="1">
      <alignment horizontal="center" vertical="center"/>
    </xf>
    <xf numFmtId="169" fontId="18" fillId="3" borderId="2" xfId="0" applyNumberFormat="1" applyFont="1" applyFill="1" applyBorder="1" applyAlignment="1">
      <alignment horizontal="center" vertical="center"/>
    </xf>
    <xf numFmtId="169" fontId="21" fillId="3" borderId="2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91" fillId="4" borderId="2" xfId="0" applyFont="1" applyFill="1" applyBorder="1" applyAlignment="1">
      <alignment horizontal="center" vertical="center"/>
    </xf>
    <xf numFmtId="0" fontId="92" fillId="4" borderId="2" xfId="0" applyFont="1" applyFill="1" applyBorder="1" applyAlignment="1">
      <alignment horizontal="left" vertical="center"/>
    </xf>
    <xf numFmtId="0" fontId="91" fillId="4" borderId="2" xfId="0" applyFont="1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left" vertical="center" wrapText="1"/>
      <protection locked="0"/>
    </xf>
    <xf numFmtId="10" fontId="14" fillId="3" borderId="0" xfId="0" applyNumberFormat="1" applyFont="1" applyFill="1" applyAlignment="1">
      <alignment horizontal="center" vertical="center"/>
    </xf>
    <xf numFmtId="2" fontId="14" fillId="0" borderId="5" xfId="0" applyNumberFormat="1" applyFont="1" applyBorder="1" applyAlignment="1">
      <alignment horizontal="right"/>
    </xf>
    <xf numFmtId="2" fontId="14" fillId="0" borderId="33" xfId="0" applyNumberFormat="1" applyFont="1" applyBorder="1" applyAlignment="1">
      <alignment horizontal="right"/>
    </xf>
    <xf numFmtId="2" fontId="14" fillId="0" borderId="20" xfId="0" applyNumberFormat="1" applyFont="1" applyBorder="1" applyAlignment="1">
      <alignment horizontal="right"/>
    </xf>
    <xf numFmtId="2" fontId="14" fillId="0" borderId="36" xfId="0" applyNumberFormat="1" applyFont="1" applyBorder="1" applyAlignment="1">
      <alignment horizontal="right"/>
    </xf>
    <xf numFmtId="0" fontId="19" fillId="3" borderId="0" xfId="0" applyFont="1" applyFill="1" applyAlignment="1">
      <alignment horizontal="left" vertical="center"/>
    </xf>
    <xf numFmtId="0" fontId="93" fillId="3" borderId="0" xfId="0" applyFont="1" applyFill="1" applyAlignment="1">
      <alignment horizontal="left"/>
    </xf>
    <xf numFmtId="0" fontId="14" fillId="3" borderId="0" xfId="0" applyFont="1" applyFill="1"/>
    <xf numFmtId="0" fontId="90" fillId="3" borderId="0" xfId="0" applyFont="1" applyFill="1"/>
    <xf numFmtId="2" fontId="14" fillId="3" borderId="0" xfId="0" applyNumberFormat="1" applyFont="1" applyFill="1"/>
    <xf numFmtId="168" fontId="23" fillId="3" borderId="0" xfId="0" applyNumberFormat="1" applyFont="1" applyFill="1" applyAlignment="1">
      <alignment horizontal="center" vertical="center"/>
    </xf>
    <xf numFmtId="0" fontId="23" fillId="3" borderId="6" xfId="0" applyFont="1" applyFill="1" applyBorder="1" applyAlignment="1">
      <alignment horizontal="left" vertical="center"/>
    </xf>
    <xf numFmtId="9" fontId="14" fillId="0" borderId="4" xfId="0" applyNumberFormat="1" applyFont="1" applyBorder="1"/>
    <xf numFmtId="2" fontId="14" fillId="0" borderId="4" xfId="0" applyNumberFormat="1" applyFont="1" applyBorder="1"/>
    <xf numFmtId="0" fontId="14" fillId="3" borderId="0" xfId="0" applyFont="1" applyFill="1" applyAlignment="1">
      <alignment horizontal="left" vertical="center" wrapText="1"/>
    </xf>
    <xf numFmtId="0" fontId="97" fillId="3" borderId="0" xfId="2" applyFont="1" applyFill="1" applyBorder="1" applyAlignment="1" applyProtection="1">
      <alignment vertical="center"/>
    </xf>
    <xf numFmtId="0" fontId="98" fillId="3" borderId="0" xfId="265" applyFont="1" applyFill="1" applyAlignment="1">
      <alignment horizontal="right" vertical="center"/>
    </xf>
    <xf numFmtId="0" fontId="98" fillId="3" borderId="0" xfId="0" applyFont="1" applyFill="1" applyAlignment="1">
      <alignment horizontal="center" vertical="center"/>
    </xf>
    <xf numFmtId="0" fontId="12" fillId="3" borderId="0" xfId="2" quotePrefix="1" applyFont="1" applyFill="1" applyBorder="1" applyAlignment="1">
      <alignment horizontal="left"/>
    </xf>
    <xf numFmtId="168" fontId="23" fillId="0" borderId="2" xfId="0" applyNumberFormat="1" applyFont="1" applyBorder="1" applyAlignment="1">
      <alignment horizontal="right" vertical="center"/>
    </xf>
    <xf numFmtId="0" fontId="11" fillId="0" borderId="34" xfId="0" applyFont="1" applyBorder="1"/>
    <xf numFmtId="0" fontId="14" fillId="0" borderId="38" xfId="0" applyFont="1" applyBorder="1" applyAlignment="1">
      <alignment horizontal="left" indent="1"/>
    </xf>
    <xf numFmtId="0" fontId="14" fillId="0" borderId="5" xfId="0" applyFont="1" applyBorder="1" applyAlignment="1">
      <alignment horizontal="left" indent="1"/>
    </xf>
    <xf numFmtId="0" fontId="14" fillId="0" borderId="33" xfId="0" applyFont="1" applyBorder="1" applyAlignment="1">
      <alignment horizontal="left" indent="1"/>
    </xf>
    <xf numFmtId="0" fontId="14" fillId="0" borderId="34" xfId="0" applyFont="1" applyBorder="1" applyAlignment="1">
      <alignment horizontal="left" indent="1"/>
    </xf>
    <xf numFmtId="0" fontId="14" fillId="0" borderId="39" xfId="0" applyFont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0" fontId="11" fillId="3" borderId="34" xfId="0" applyFont="1" applyFill="1" applyBorder="1"/>
    <xf numFmtId="0" fontId="96" fillId="3" borderId="33" xfId="0" applyFont="1" applyFill="1" applyBorder="1"/>
    <xf numFmtId="0" fontId="96" fillId="3" borderId="20" xfId="0" applyFont="1" applyFill="1" applyBorder="1"/>
    <xf numFmtId="0" fontId="11" fillId="0" borderId="37" xfId="0" applyFont="1" applyBorder="1"/>
    <xf numFmtId="0" fontId="97" fillId="3" borderId="0" xfId="2" applyFont="1" applyFill="1" applyBorder="1" applyAlignment="1" applyProtection="1">
      <alignment horizontal="left" vertical="center"/>
    </xf>
    <xf numFmtId="2" fontId="14" fillId="3" borderId="0" xfId="0" applyNumberFormat="1" applyFont="1" applyFill="1" applyAlignment="1">
      <alignment horizontal="right"/>
    </xf>
    <xf numFmtId="2" fontId="14" fillId="3" borderId="35" xfId="0" applyNumberFormat="1" applyFont="1" applyFill="1" applyBorder="1" applyAlignment="1">
      <alignment horizontal="right"/>
    </xf>
    <xf numFmtId="10" fontId="14" fillId="3" borderId="40" xfId="0" applyNumberFormat="1" applyFont="1" applyFill="1" applyBorder="1" applyAlignment="1">
      <alignment horizontal="center" vertical="center"/>
    </xf>
    <xf numFmtId="10" fontId="14" fillId="3" borderId="41" xfId="0" applyNumberFormat="1" applyFont="1" applyFill="1" applyBorder="1" applyAlignment="1">
      <alignment horizontal="center" vertical="center"/>
    </xf>
    <xf numFmtId="10" fontId="23" fillId="3" borderId="0" xfId="0" applyNumberFormat="1" applyFont="1" applyFill="1" applyAlignment="1">
      <alignment horizontal="center" vertical="center"/>
    </xf>
    <xf numFmtId="191" fontId="16" fillId="0" borderId="0" xfId="3" applyNumberFormat="1" applyFont="1"/>
    <xf numFmtId="169" fontId="21" fillId="0" borderId="0" xfId="3" applyNumberFormat="1" applyFont="1" applyAlignment="1">
      <alignment horizontal="center"/>
    </xf>
    <xf numFmtId="188" fontId="19" fillId="0" borderId="0" xfId="55" applyNumberFormat="1" applyFont="1" applyBorder="1" applyAlignment="1" applyProtection="1">
      <alignment horizontal="center" vertical="center"/>
    </xf>
    <xf numFmtId="0" fontId="16" fillId="3" borderId="0" xfId="0" applyFont="1" applyFill="1" applyAlignment="1">
      <alignment horizontal="left" vertical="center"/>
    </xf>
    <xf numFmtId="49" fontId="101" fillId="51" borderId="0" xfId="0" applyNumberFormat="1" applyFont="1" applyFill="1" applyAlignment="1" applyProtection="1">
      <alignment horizontal="left" vertical="center"/>
      <protection locked="0"/>
    </xf>
    <xf numFmtId="0" fontId="102" fillId="51" borderId="0" xfId="0" applyFont="1" applyFill="1" applyAlignment="1">
      <alignment vertical="center"/>
    </xf>
    <xf numFmtId="2" fontId="14" fillId="0" borderId="0" xfId="0" applyNumberFormat="1" applyFont="1" applyAlignment="1">
      <alignment horizontal="right"/>
    </xf>
    <xf numFmtId="2" fontId="100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left" indent="1"/>
    </xf>
    <xf numFmtId="168" fontId="23" fillId="0" borderId="37" xfId="0" applyNumberFormat="1" applyFont="1" applyBorder="1" applyAlignment="1">
      <alignment horizontal="right" vertical="center"/>
    </xf>
    <xf numFmtId="2" fontId="14" fillId="0" borderId="35" xfId="0" applyNumberFormat="1" applyFont="1" applyBorder="1" applyAlignment="1">
      <alignment horizontal="right"/>
    </xf>
    <xf numFmtId="2" fontId="14" fillId="0" borderId="37" xfId="0" applyNumberFormat="1" applyFont="1" applyBorder="1" applyAlignment="1">
      <alignment horizontal="right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01" fillId="52" borderId="0" xfId="0" applyNumberFormat="1" applyFont="1" applyFill="1" applyAlignment="1" applyProtection="1">
      <alignment horizontal="left" vertical="center"/>
      <protection locked="0"/>
    </xf>
    <xf numFmtId="168" fontId="23" fillId="3" borderId="6" xfId="0" applyNumberFormat="1" applyFont="1" applyFill="1" applyBorder="1" applyAlignment="1">
      <alignment horizontal="right" vertical="center"/>
    </xf>
    <xf numFmtId="0" fontId="99" fillId="53" borderId="0" xfId="265" applyFont="1" applyFill="1" applyAlignment="1">
      <alignment horizontal="center" vertical="center"/>
    </xf>
    <xf numFmtId="0" fontId="23" fillId="53" borderId="24" xfId="1" applyFont="1" applyFill="1" applyBorder="1" applyAlignment="1">
      <alignment horizontal="center" vertical="center"/>
    </xf>
    <xf numFmtId="2" fontId="23" fillId="53" borderId="24" xfId="1" applyNumberFormat="1" applyFont="1" applyFill="1" applyBorder="1" applyAlignment="1">
      <alignment horizontal="center" vertical="center"/>
    </xf>
    <xf numFmtId="2" fontId="23" fillId="54" borderId="24" xfId="1" applyNumberFormat="1" applyFont="1" applyFill="1" applyBorder="1" applyAlignment="1">
      <alignment horizontal="center" vertical="center"/>
    </xf>
    <xf numFmtId="0" fontId="99" fillId="55" borderId="0" xfId="265" applyFont="1" applyFill="1" applyAlignment="1">
      <alignment horizontal="center" vertical="center"/>
    </xf>
    <xf numFmtId="10" fontId="16" fillId="55" borderId="34" xfId="268" applyNumberFormat="1" applyFont="1" applyFill="1" applyBorder="1" applyAlignment="1" applyProtection="1">
      <alignment horizontal="right" vertical="center"/>
    </xf>
    <xf numFmtId="10" fontId="16" fillId="55" borderId="2" xfId="268" applyNumberFormat="1" applyFont="1" applyFill="1" applyBorder="1" applyAlignment="1" applyProtection="1">
      <alignment horizontal="right" vertical="center"/>
    </xf>
    <xf numFmtId="10" fontId="16" fillId="55" borderId="37" xfId="268" applyNumberFormat="1" applyFont="1" applyFill="1" applyBorder="1" applyAlignment="1" applyProtection="1">
      <alignment horizontal="right" vertical="center"/>
    </xf>
    <xf numFmtId="2" fontId="16" fillId="55" borderId="43" xfId="265" applyNumberFormat="1" applyFont="1" applyFill="1" applyBorder="1" applyAlignment="1">
      <alignment horizontal="right" vertical="center"/>
    </xf>
    <xf numFmtId="2" fontId="16" fillId="55" borderId="0" xfId="265" applyNumberFormat="1" applyFont="1" applyFill="1" applyAlignment="1">
      <alignment horizontal="right" vertical="center"/>
    </xf>
    <xf numFmtId="2" fontId="16" fillId="55" borderId="35" xfId="265" applyNumberFormat="1" applyFont="1" applyFill="1" applyBorder="1" applyAlignment="1">
      <alignment horizontal="right" vertical="center"/>
    </xf>
    <xf numFmtId="2" fontId="16" fillId="55" borderId="5" xfId="265" applyNumberFormat="1" applyFont="1" applyFill="1" applyBorder="1" applyAlignment="1">
      <alignment horizontal="right" vertical="center"/>
    </xf>
    <xf numFmtId="10" fontId="16" fillId="55" borderId="7" xfId="268" applyNumberFormat="1" applyFont="1" applyFill="1" applyBorder="1" applyAlignment="1" applyProtection="1">
      <alignment horizontal="right" vertical="center"/>
    </xf>
    <xf numFmtId="10" fontId="16" fillId="55" borderId="42" xfId="268" applyNumberFormat="1" applyFont="1" applyFill="1" applyBorder="1" applyAlignment="1" applyProtection="1">
      <alignment horizontal="right" vertical="center"/>
    </xf>
    <xf numFmtId="167" fontId="23" fillId="0" borderId="2" xfId="304" applyFont="1" applyFill="1" applyBorder="1" applyAlignment="1">
      <alignment horizontal="right" vertical="center"/>
    </xf>
    <xf numFmtId="167" fontId="23" fillId="0" borderId="37" xfId="304" applyFont="1" applyFill="1" applyBorder="1" applyAlignment="1">
      <alignment horizontal="right" vertical="center"/>
    </xf>
    <xf numFmtId="0" fontId="21" fillId="3" borderId="0" xfId="304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21" fillId="3" borderId="3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right" vertical="center"/>
    </xf>
    <xf numFmtId="0" fontId="21" fillId="3" borderId="36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1" fillId="0" borderId="20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23" fillId="0" borderId="24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10" fontId="23" fillId="3" borderId="40" xfId="0" applyNumberFormat="1" applyFont="1" applyFill="1" applyBorder="1" applyAlignment="1">
      <alignment horizontal="center" vertical="center"/>
    </xf>
    <xf numFmtId="0" fontId="95" fillId="4" borderId="2" xfId="0" applyFont="1" applyFill="1" applyBorder="1" applyAlignment="1">
      <alignment horizontal="center" vertical="center"/>
    </xf>
    <xf numFmtId="0" fontId="95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19" fillId="3" borderId="0" xfId="304" applyNumberFormat="1" applyFont="1" applyFill="1" applyBorder="1" applyAlignment="1" applyProtection="1">
      <alignment horizontal="center" vertical="center"/>
    </xf>
    <xf numFmtId="0" fontId="103" fillId="3" borderId="0" xfId="0" applyFont="1" applyFill="1"/>
    <xf numFmtId="10" fontId="23" fillId="53" borderId="26" xfId="0" applyNumberFormat="1" applyFont="1" applyFill="1" applyBorder="1" applyAlignment="1">
      <alignment horizontal="center" vertical="center"/>
    </xf>
    <xf numFmtId="0" fontId="23" fillId="55" borderId="24" xfId="1" applyFont="1" applyFill="1" applyBorder="1" applyAlignment="1">
      <alignment horizontal="center" vertical="center"/>
    </xf>
    <xf numFmtId="2" fontId="23" fillId="55" borderId="24" xfId="1" applyNumberFormat="1" applyFont="1" applyFill="1" applyBorder="1" applyAlignment="1">
      <alignment horizontal="center" vertical="center"/>
    </xf>
    <xf numFmtId="2" fontId="23" fillId="55" borderId="2" xfId="1" applyNumberFormat="1" applyFont="1" applyFill="1" applyBorder="1" applyAlignment="1">
      <alignment horizontal="center" vertical="center"/>
    </xf>
    <xf numFmtId="0" fontId="18" fillId="55" borderId="25" xfId="0" applyFont="1" applyFill="1" applyBorder="1" applyAlignment="1">
      <alignment horizontal="center" vertical="center"/>
    </xf>
    <xf numFmtId="0" fontId="87" fillId="3" borderId="23" xfId="3" applyFont="1" applyFill="1" applyBorder="1" applyAlignment="1">
      <alignment horizontal="center"/>
    </xf>
    <xf numFmtId="10" fontId="0" fillId="0" borderId="0" xfId="0" applyNumberFormat="1"/>
    <xf numFmtId="10" fontId="23" fillId="0" borderId="26" xfId="0" applyNumberFormat="1" applyFont="1" applyBorder="1" applyAlignment="1">
      <alignment horizontal="center" vertical="center"/>
    </xf>
    <xf numFmtId="9" fontId="14" fillId="0" borderId="38" xfId="0" applyNumberFormat="1" applyFont="1" applyBorder="1"/>
    <xf numFmtId="0" fontId="99" fillId="57" borderId="0" xfId="265" applyFont="1" applyFill="1" applyAlignment="1">
      <alignment horizontal="left" vertical="center"/>
    </xf>
    <xf numFmtId="0" fontId="99" fillId="0" borderId="0" xfId="265" applyFont="1" applyFill="1" applyAlignment="1">
      <alignment horizontal="left" vertical="center"/>
    </xf>
    <xf numFmtId="10" fontId="23" fillId="54" borderId="2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9" fillId="0" borderId="0" xfId="265" applyFont="1" applyFill="1" applyAlignment="1">
      <alignment horizontal="center" vertical="center"/>
    </xf>
    <xf numFmtId="10" fontId="14" fillId="53" borderId="26" xfId="0" applyNumberFormat="1" applyFont="1" applyFill="1" applyBorder="1" applyAlignment="1">
      <alignment horizontal="center" vertical="center"/>
    </xf>
    <xf numFmtId="189" fontId="23" fillId="53" borderId="26" xfId="0" applyNumberFormat="1" applyFont="1" applyFill="1" applyBorder="1" applyAlignment="1">
      <alignment horizontal="center" vertical="center"/>
    </xf>
    <xf numFmtId="189" fontId="14" fillId="53" borderId="26" xfId="268" applyNumberFormat="1" applyFont="1" applyFill="1" applyBorder="1" applyAlignment="1">
      <alignment horizontal="center" vertical="center"/>
    </xf>
    <xf numFmtId="189" fontId="23" fillId="53" borderId="26" xfId="268" applyNumberFormat="1" applyFont="1" applyFill="1" applyBorder="1" applyAlignment="1">
      <alignment horizontal="center" vertical="center"/>
    </xf>
    <xf numFmtId="2" fontId="23" fillId="58" borderId="24" xfId="1" applyNumberFormat="1" applyFont="1" applyFill="1" applyBorder="1" applyAlignment="1">
      <alignment horizontal="center" vertical="center"/>
    </xf>
    <xf numFmtId="189" fontId="23" fillId="53" borderId="24" xfId="1" applyNumberFormat="1" applyFont="1" applyFill="1" applyBorder="1" applyAlignment="1">
      <alignment horizontal="center" vertical="center"/>
    </xf>
    <xf numFmtId="192" fontId="19" fillId="53" borderId="24" xfId="55" applyNumberFormat="1" applyFont="1" applyFill="1" applyBorder="1" applyAlignment="1" applyProtection="1">
      <alignment horizontal="center" vertical="center"/>
    </xf>
    <xf numFmtId="10" fontId="23" fillId="57" borderId="26" xfId="0" applyNumberFormat="1" applyFont="1" applyFill="1" applyBorder="1" applyAlignment="1">
      <alignment horizontal="center" vertical="center"/>
    </xf>
    <xf numFmtId="10" fontId="23" fillId="59" borderId="26" xfId="0" applyNumberFormat="1" applyFont="1" applyFill="1" applyBorder="1" applyAlignment="1">
      <alignment horizontal="center" vertical="center"/>
    </xf>
    <xf numFmtId="0" fontId="87" fillId="3" borderId="23" xfId="3" applyFont="1" applyFill="1" applyBorder="1" applyAlignment="1">
      <alignment horizontal="center"/>
    </xf>
  </cellXfs>
  <cellStyles count="342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6" xfId="339" xr:uid="{D4B143B1-B431-414A-B984-3F64BDDE0F7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- horizontal" xfId="341" xr:uid="{A662F672-73F9-4821-9D1B-81CB9A0E9DA3}"/>
    <cellStyle name="Total - vertical" xfId="340" xr:uid="{C46C0A16-9214-45EA-A77B-BB00B01363E8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66FFFF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4" s="5" customFormat="1" ht="18" customHeight="1">
      <c r="B1" s="3" t="str">
        <f>'Input | General'!$B$1</f>
        <v>Directlink 2025-30 Final Decision - Capital expenditure sharing scheme model</v>
      </c>
      <c r="D1" s="4"/>
    </row>
    <row r="2" spans="2:4" ht="18" customHeight="1">
      <c r="B2" s="25" t="s">
        <v>0</v>
      </c>
    </row>
    <row r="3" spans="2:4" ht="3" customHeight="1">
      <c r="C3" s="2"/>
    </row>
    <row r="4" spans="2:4" s="8" customFormat="1" ht="12.75" customHeight="1">
      <c r="C4" s="21" t="s">
        <v>1</v>
      </c>
      <c r="D4" s="7"/>
    </row>
    <row r="5" spans="2:4" ht="11.25" customHeight="1"/>
    <row r="6" spans="2:4" ht="11.25" customHeight="1">
      <c r="C6" s="23" t="s">
        <v>2</v>
      </c>
      <c r="D6" s="23" t="s">
        <v>3</v>
      </c>
    </row>
    <row r="7" spans="2:4" ht="11.25" customHeight="1">
      <c r="C7" s="87" t="s">
        <v>4</v>
      </c>
      <c r="D7" s="24" t="s">
        <v>5</v>
      </c>
    </row>
    <row r="8" spans="2:4" ht="11.25" customHeight="1">
      <c r="C8" s="87" t="s">
        <v>6</v>
      </c>
      <c r="D8" s="24" t="s">
        <v>7</v>
      </c>
    </row>
    <row r="9" spans="2:4" ht="11.25" customHeight="1">
      <c r="C9" s="87" t="s">
        <v>8</v>
      </c>
      <c r="D9" s="24" t="s">
        <v>9</v>
      </c>
    </row>
    <row r="10" spans="2:4" ht="11.25" customHeight="1">
      <c r="C10" s="87" t="s">
        <v>10</v>
      </c>
      <c r="D10" s="24" t="s">
        <v>11</v>
      </c>
    </row>
    <row r="11" spans="2:4" ht="11.25" customHeight="1">
      <c r="C11" s="87" t="s">
        <v>12</v>
      </c>
      <c r="D11" s="24" t="s">
        <v>13</v>
      </c>
    </row>
    <row r="12" spans="2:4" ht="12.75" customHeight="1"/>
    <row r="13" spans="2:4" s="8" customFormat="1" ht="12.75" customHeight="1">
      <c r="C13" s="21" t="s">
        <v>14</v>
      </c>
      <c r="D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V21"/>
  <sheetViews>
    <sheetView workbookViewId="0">
      <selection activeCell="D7" sqref="D7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2:10" s="2" customFormat="1" ht="18" customHeight="1">
      <c r="B1" s="3" t="str">
        <f>$D$6&amp;" "&amp;$D$8&amp;" "&amp;D7&amp;" - "&amp;"Capital expenditure sharing scheme model"</f>
        <v>Directlink 2025-30 Final Decision - Capital expenditure sharing scheme model</v>
      </c>
      <c r="F1" s="84"/>
      <c r="G1" s="85" t="s">
        <v>15</v>
      </c>
      <c r="H1" s="121" t="s">
        <v>16</v>
      </c>
      <c r="I1" s="125" t="s">
        <v>17</v>
      </c>
      <c r="J1" s="168" t="s">
        <v>107</v>
      </c>
    </row>
    <row r="2" spans="2:10" s="2" customFormat="1" ht="18" customHeight="1">
      <c r="B2" s="10" t="s">
        <v>4</v>
      </c>
      <c r="H2" s="169"/>
      <c r="I2" s="169"/>
    </row>
    <row r="3" spans="2:10" s="2" customFormat="1" ht="3" customHeight="1">
      <c r="B3" s="1"/>
    </row>
    <row r="4" spans="2:10" s="48" customFormat="1" ht="12.75" customHeight="1">
      <c r="B4" s="21" t="s">
        <v>4</v>
      </c>
    </row>
    <row r="5" spans="2:10" s="22" customFormat="1" ht="11.25" customHeight="1">
      <c r="C5" s="23"/>
    </row>
    <row r="6" spans="2:10" s="55" customFormat="1" ht="11.25" customHeight="1">
      <c r="C6" s="54" t="s">
        <v>18</v>
      </c>
      <c r="D6" s="122" t="s">
        <v>19</v>
      </c>
    </row>
    <row r="7" spans="2:10" s="55" customFormat="1" ht="11.25" customHeight="1">
      <c r="C7" s="54" t="s">
        <v>20</v>
      </c>
      <c r="D7" s="122" t="s">
        <v>106</v>
      </c>
      <c r="I7" s="63"/>
    </row>
    <row r="8" spans="2:10" s="55" customFormat="1" ht="11.25" customHeight="1">
      <c r="C8" s="54" t="s">
        <v>21</v>
      </c>
      <c r="D8" s="122" t="s">
        <v>22</v>
      </c>
    </row>
    <row r="9" spans="2:10" s="55" customFormat="1" ht="11.25" customHeight="1">
      <c r="C9" s="150" t="s">
        <v>23</v>
      </c>
      <c r="D9" s="122" t="s">
        <v>24</v>
      </c>
    </row>
    <row r="10" spans="2:10" s="55" customFormat="1" ht="11.25" customHeight="1">
      <c r="C10" s="54"/>
    </row>
    <row r="11" spans="2:10" s="55" customFormat="1" ht="11.25" customHeight="1">
      <c r="C11" s="74" t="s">
        <v>25</v>
      </c>
    </row>
    <row r="12" spans="2:10" s="55" customFormat="1" ht="11.25" customHeight="1">
      <c r="C12" s="54"/>
      <c r="D12" s="56" t="s">
        <v>26</v>
      </c>
      <c r="E12" s="56" t="s">
        <v>27</v>
      </c>
      <c r="F12" s="56" t="s">
        <v>28</v>
      </c>
      <c r="G12" s="56" t="s">
        <v>29</v>
      </c>
      <c r="H12" s="56" t="s">
        <v>30</v>
      </c>
    </row>
    <row r="13" spans="2:10" s="55" customFormat="1" ht="11.25" customHeight="1">
      <c r="C13" s="54" t="s">
        <v>31</v>
      </c>
      <c r="D13" s="149" t="str">
        <f t="shared" ref="D13:F13" si="0">IF(LEN(E13)&gt;4,CONCATENATE(LEFT(E13,4)-1&amp;"–"&amp;IF(RIGHT(E13,2)="00","99",IF(RIGHT(E13,2)-1&lt;10,"0","")&amp;RIGHT(E13,2)-1)),E13-1)</f>
        <v>2020–21</v>
      </c>
      <c r="E13" s="149" t="str">
        <f t="shared" si="0"/>
        <v>2021–22</v>
      </c>
      <c r="F13" s="149" t="str">
        <f t="shared" si="0"/>
        <v>2022–23</v>
      </c>
      <c r="G13" s="149" t="str">
        <f>IF(LEN(H13)&gt;4,CONCATENATE(LEFT(H13,4)-1&amp;"–"&amp;IF(RIGHT(H13,2)="00","99",IF(RIGHT(H13,2)-1&lt;10,"0","")&amp;RIGHT(H13,2)-1)),H13-1)</f>
        <v>2023–24</v>
      </c>
      <c r="H13" s="149" t="str">
        <f>IF(LEN(D9)&gt;4,CONCATENATE(LEFT(D9,4)-1&amp;"–"&amp;IF(RIGHT(D9,2)="00","99",IF(RIGHT(D9,2)-1&lt;10,"0","")&amp;RIGHT(D9,2)-1)),D9-1)</f>
        <v>2024–25</v>
      </c>
    </row>
    <row r="14" spans="2:10" s="55" customFormat="1" ht="11.25" customHeight="1">
      <c r="C14" s="54" t="s">
        <v>32</v>
      </c>
      <c r="D14" s="122" t="s">
        <v>33</v>
      </c>
      <c r="E14" s="122" t="s">
        <v>33</v>
      </c>
      <c r="F14" s="122" t="s">
        <v>33</v>
      </c>
      <c r="G14" s="122" t="s">
        <v>33</v>
      </c>
      <c r="H14" s="122" t="s">
        <v>33</v>
      </c>
    </row>
    <row r="15" spans="2:10" s="55" customFormat="1" ht="11.25" customHeight="1">
      <c r="C15" s="54" t="s">
        <v>34</v>
      </c>
      <c r="D15" s="122" t="s">
        <v>35</v>
      </c>
      <c r="E15" s="122" t="s">
        <v>35</v>
      </c>
      <c r="F15" s="122" t="s">
        <v>35</v>
      </c>
      <c r="G15" s="122" t="s">
        <v>36</v>
      </c>
      <c r="H15" s="122" t="s">
        <v>36</v>
      </c>
    </row>
    <row r="17" spans="2:8" s="55" customFormat="1" ht="11.25" customHeight="1">
      <c r="C17" s="54"/>
      <c r="D17" s="56" t="s">
        <v>26</v>
      </c>
      <c r="E17" s="56" t="s">
        <v>27</v>
      </c>
      <c r="F17" s="56" t="s">
        <v>28</v>
      </c>
      <c r="G17" s="56" t="s">
        <v>29</v>
      </c>
      <c r="H17" s="56" t="s">
        <v>30</v>
      </c>
    </row>
    <row r="18" spans="2:8" s="55" customFormat="1" ht="11.25" customHeight="1">
      <c r="C18" s="54" t="s">
        <v>37</v>
      </c>
      <c r="D18" s="160" t="str">
        <f>D9</f>
        <v>2025-26</v>
      </c>
      <c r="E18" s="160" t="str">
        <f>IF(LEN(D18)&gt;4,CONCATENATE(LEFT(D18,4)+1&amp;"–"&amp;IF(RIGHT(D18,2)+1&gt;9,"","0")&amp;RIGHT(D18,2)+1),D18+1)</f>
        <v>2026–27</v>
      </c>
      <c r="F18" s="160" t="str">
        <f t="shared" ref="F18:H18" si="1">IF(LEN(E18)&gt;4,CONCATENATE(LEFT(E18,4)+1&amp;"–"&amp;IF(RIGHT(E18,2)+1&gt;9,"","0")&amp;RIGHT(E18,2)+1),E18+1)</f>
        <v>2027–28</v>
      </c>
      <c r="G18" s="160" t="str">
        <f t="shared" si="1"/>
        <v>2028–29</v>
      </c>
      <c r="H18" s="160" t="str">
        <f t="shared" si="1"/>
        <v>2029–30</v>
      </c>
    </row>
    <row r="19" spans="2:8" s="55" customFormat="1" ht="11.25" customHeight="1">
      <c r="C19" s="63"/>
      <c r="D19" s="63"/>
      <c r="E19" s="63"/>
      <c r="F19" s="63"/>
      <c r="G19" s="63"/>
      <c r="H19" s="63"/>
    </row>
    <row r="20" spans="2:8" s="55" customFormat="1" ht="11.25" customHeight="1"/>
    <row r="21" spans="2:8" s="48" customFormat="1" ht="12.75" customHeight="1">
      <c r="B21" s="21" t="s">
        <v>14</v>
      </c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F24"/>
  <sheetViews>
    <sheetView showGridLines="0" tabSelected="1" zoomScaleNormal="100" workbookViewId="0">
      <selection activeCell="M21" sqref="M21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2:16" s="2" customFormat="1" ht="18" customHeight="1">
      <c r="B1" s="3" t="str">
        <f>'Input | General'!$B$1</f>
        <v>Directlink 2025-30 Final Decision - Capital expenditure sharing scheme model</v>
      </c>
      <c r="D1" s="3"/>
      <c r="E1" s="3"/>
      <c r="F1" s="3"/>
      <c r="G1" s="84"/>
      <c r="H1" s="85" t="s">
        <v>15</v>
      </c>
      <c r="I1" s="121" t="s">
        <v>16</v>
      </c>
      <c r="J1" s="125" t="s">
        <v>17</v>
      </c>
      <c r="K1" s="168" t="s">
        <v>107</v>
      </c>
      <c r="N1" s="86"/>
      <c r="O1" s="63"/>
      <c r="P1" s="63"/>
    </row>
    <row r="2" spans="2:16" s="2" customFormat="1" ht="18" customHeight="1">
      <c r="C2" s="10" t="s">
        <v>38</v>
      </c>
      <c r="D2" s="10"/>
      <c r="E2" s="10"/>
      <c r="F2" s="10"/>
      <c r="H2" s="171"/>
      <c r="I2" s="169"/>
      <c r="J2" s="169"/>
    </row>
    <row r="3" spans="2:16" s="2" customFormat="1" ht="3" customHeight="1">
      <c r="C3" s="1"/>
      <c r="D3" s="1"/>
      <c r="E3" s="1"/>
      <c r="F3" s="1"/>
      <c r="M3" s="17"/>
    </row>
    <row r="4" spans="2:16" s="65" customFormat="1" ht="12.75" customHeight="1">
      <c r="C4" s="21" t="s">
        <v>39</v>
      </c>
      <c r="D4" s="66"/>
      <c r="E4" s="66"/>
      <c r="F4" s="66"/>
      <c r="M4" s="67"/>
    </row>
    <row r="5" spans="2:16" ht="11.25" customHeight="1">
      <c r="B5" s="2"/>
      <c r="C5" s="13"/>
      <c r="D5" s="63"/>
      <c r="E5" s="63"/>
      <c r="F5" s="63"/>
      <c r="N5" s="2"/>
    </row>
    <row r="6" spans="2:16" ht="11.25" customHeight="1">
      <c r="B6" s="2"/>
      <c r="C6" s="13"/>
      <c r="D6" s="59" t="s">
        <v>40</v>
      </c>
      <c r="E6" s="59" t="s">
        <v>41</v>
      </c>
      <c r="F6" s="59"/>
      <c r="N6" s="2"/>
    </row>
    <row r="7" spans="2:16" ht="11.25" customHeight="1">
      <c r="B7" s="2"/>
      <c r="C7" s="13"/>
      <c r="D7" s="63"/>
      <c r="E7" s="63"/>
      <c r="F7" s="138" t="str">
        <f>IF(LEN(G7)&gt;4,CONCATENATE(LEFT(G7,4)-1&amp;"–"&amp;IF(RIGHT(G7,2)="00","99",IF(RIGHT(G7,2)-1&lt;10,"0","")&amp;RIGHT(G7,2)-1)),G7-1)</f>
        <v>2019–20</v>
      </c>
      <c r="G7" s="137" t="str">
        <f>'Input | General'!D13</f>
        <v>2020–21</v>
      </c>
      <c r="H7" s="137" t="str">
        <f>'Input | General'!E13</f>
        <v>2021–22</v>
      </c>
      <c r="I7" s="137" t="str">
        <f>'Input | General'!F13</f>
        <v>2022–23</v>
      </c>
      <c r="J7" s="137" t="str">
        <f>'Input | General'!G13</f>
        <v>2023–24</v>
      </c>
      <c r="K7" s="137" t="str">
        <f>'Input | General'!H13</f>
        <v>2024–25</v>
      </c>
      <c r="L7" s="137" t="str">
        <f>'Input | General'!D18</f>
        <v>2025-26</v>
      </c>
      <c r="M7" s="137" t="str">
        <f>'Input | General'!E18</f>
        <v>2026–27</v>
      </c>
      <c r="N7" s="137" t="str">
        <f>'Input | General'!F18</f>
        <v>2027–28</v>
      </c>
      <c r="O7" s="137" t="str">
        <f>'Input | General'!G18</f>
        <v>2028–29</v>
      </c>
      <c r="P7" s="137" t="str">
        <f>'Input | General'!H18</f>
        <v>2029–30</v>
      </c>
    </row>
    <row r="8" spans="2:16" ht="11.25" customHeight="1">
      <c r="B8" s="2"/>
      <c r="C8" s="64" t="s">
        <v>42</v>
      </c>
      <c r="D8" s="62" t="s">
        <v>43</v>
      </c>
      <c r="E8" s="62" t="s">
        <v>44</v>
      </c>
      <c r="F8" s="166"/>
      <c r="G8" s="159">
        <v>8.6058519793459354E-3</v>
      </c>
      <c r="H8" s="159">
        <v>3.4982935153583528E-2</v>
      </c>
      <c r="I8" s="159">
        <v>7.8318219291014096E-2</v>
      </c>
      <c r="J8" s="159">
        <v>4.4999999999999998E-2</v>
      </c>
      <c r="K8" s="159">
        <v>3.5000000000000003E-2</v>
      </c>
      <c r="L8" s="165"/>
      <c r="M8" s="69"/>
      <c r="N8" s="69"/>
      <c r="O8" s="69"/>
      <c r="P8" s="69"/>
    </row>
    <row r="9" spans="2:16" ht="11.25" customHeight="1">
      <c r="B9" s="2"/>
      <c r="C9" s="64" t="s">
        <v>45</v>
      </c>
      <c r="D9" s="62" t="s">
        <v>43</v>
      </c>
      <c r="E9" s="62" t="s">
        <v>44</v>
      </c>
      <c r="F9" s="62"/>
      <c r="G9" s="104"/>
      <c r="H9" s="104"/>
      <c r="I9" s="104"/>
      <c r="J9" s="104"/>
      <c r="K9" s="104"/>
      <c r="L9" s="159">
        <v>2.6249619366456756E-2</v>
      </c>
      <c r="M9" s="159">
        <f>L9</f>
        <v>2.6249619366456756E-2</v>
      </c>
      <c r="N9" s="159">
        <f t="shared" ref="N9" si="0">M9</f>
        <v>2.6249619366456756E-2</v>
      </c>
      <c r="O9" s="159">
        <f t="shared" ref="O9" si="1">N9</f>
        <v>2.6249619366456756E-2</v>
      </c>
      <c r="P9" s="159">
        <f t="shared" ref="P9" si="2">O9</f>
        <v>2.6249619366456756E-2</v>
      </c>
    </row>
    <row r="10" spans="2:16" ht="11.25" customHeight="1">
      <c r="B10" s="2"/>
      <c r="C10" s="109" t="str">
        <f>"CPI Index (base year "&amp;F7&amp;")"</f>
        <v>CPI Index (base year 2019–20)</v>
      </c>
      <c r="D10" s="62" t="s">
        <v>43</v>
      </c>
      <c r="E10" s="62" t="s">
        <v>0</v>
      </c>
      <c r="F10" s="174">
        <v>1</v>
      </c>
      <c r="G10" s="175">
        <f>IF(G7&lt;&gt;"",(F10*(1+G8)),"")</f>
        <v>1.0086058519793459</v>
      </c>
      <c r="H10" s="175">
        <f>IF(H7&lt;&gt;"",(G10*(1+H8)),"")</f>
        <v>1.0438898450946643</v>
      </c>
      <c r="I10" s="175">
        <f>IF(I7&lt;&gt;"",(H10*(1+I8)),"")</f>
        <v>1.1256454388984509</v>
      </c>
      <c r="J10" s="175">
        <f>IF(J7&lt;&gt;"",(I10*(1+J8)),"")</f>
        <v>1.1762994836488812</v>
      </c>
      <c r="K10" s="175">
        <f>IF(K7&lt;&gt;"",(J10*(1+K8)),"")</f>
        <v>1.2174699655765919</v>
      </c>
      <c r="L10" s="175">
        <f>IF(L7&lt;&gt;"",(K10*(1+L9)),"")</f>
        <v>1.2494280887630707</v>
      </c>
      <c r="M10" s="175">
        <f>IF(M7&lt;&gt;"",(L10*(1+M9)),"")</f>
        <v>1.2822251005188607</v>
      </c>
      <c r="N10" s="175">
        <f>IF(N7&lt;&gt;"",(M10*(1+N9)),"")</f>
        <v>1.3158830213495976</v>
      </c>
      <c r="O10" s="175">
        <f>IF(O7&lt;&gt;"",(N10*(1+O9)),"")</f>
        <v>1.3504244497908076</v>
      </c>
      <c r="P10" s="175">
        <f>IF(P7&lt;&gt;"",(O10*(1+P9)),"")</f>
        <v>1.385872577580973</v>
      </c>
    </row>
    <row r="11" spans="2:16" ht="11.25" customHeight="1">
      <c r="B11" s="2"/>
      <c r="C11" s="64"/>
      <c r="D11" s="62"/>
      <c r="E11" s="62"/>
      <c r="F11" s="62"/>
      <c r="G11" s="69"/>
      <c r="H11" s="69"/>
      <c r="I11" s="69"/>
      <c r="J11" s="69"/>
      <c r="K11" s="105"/>
      <c r="L11" s="105"/>
      <c r="M11" s="105"/>
      <c r="N11" s="105"/>
      <c r="O11" s="105"/>
      <c r="P11" s="105"/>
    </row>
    <row r="12" spans="2:16" ht="11.25" customHeight="1">
      <c r="B12" s="2"/>
      <c r="C12" s="64"/>
      <c r="D12" s="62"/>
      <c r="E12" s="62"/>
      <c r="F12" s="62"/>
      <c r="G12" s="103"/>
      <c r="H12" s="103"/>
      <c r="I12" s="103"/>
      <c r="J12" s="103"/>
      <c r="K12" s="19"/>
      <c r="L12" s="19"/>
      <c r="M12" s="19"/>
    </row>
    <row r="13" spans="2:16" ht="11.25" customHeight="1">
      <c r="B13" s="2"/>
      <c r="C13" s="64" t="s">
        <v>42</v>
      </c>
      <c r="D13" s="62" t="s">
        <v>46</v>
      </c>
      <c r="E13" s="62" t="s">
        <v>44</v>
      </c>
      <c r="F13" s="62"/>
      <c r="G13" s="159">
        <f t="shared" ref="G13:I13" si="3">G8</f>
        <v>8.6058519793459354E-3</v>
      </c>
      <c r="H13" s="159">
        <f t="shared" si="3"/>
        <v>3.4982935153583528E-2</v>
      </c>
      <c r="I13" s="159">
        <f t="shared" si="3"/>
        <v>7.8318219291014096E-2</v>
      </c>
      <c r="J13" s="159">
        <v>4.0519877675840865E-2</v>
      </c>
      <c r="K13" s="180">
        <v>2.4246877296105973E-2</v>
      </c>
      <c r="L13" s="152"/>
      <c r="M13" s="152"/>
      <c r="N13" s="152"/>
      <c r="O13" s="152"/>
      <c r="P13" s="152"/>
    </row>
    <row r="14" spans="2:16" ht="11.25" customHeight="1">
      <c r="B14" s="2"/>
      <c r="C14" s="64" t="s">
        <v>45</v>
      </c>
      <c r="D14" s="62" t="s">
        <v>46</v>
      </c>
      <c r="E14" s="62" t="s">
        <v>44</v>
      </c>
      <c r="F14" s="62"/>
      <c r="G14" s="69"/>
      <c r="H14" s="69"/>
      <c r="I14" s="69"/>
      <c r="J14" s="105"/>
      <c r="K14" s="105"/>
      <c r="L14" s="180">
        <v>2.7196985947837593E-2</v>
      </c>
      <c r="M14" s="159">
        <f>L14</f>
        <v>2.7196985947837593E-2</v>
      </c>
      <c r="N14" s="159">
        <f t="shared" ref="N14:P14" si="4">M14</f>
        <v>2.7196985947837593E-2</v>
      </c>
      <c r="O14" s="159">
        <f t="shared" si="4"/>
        <v>2.7196985947837593E-2</v>
      </c>
      <c r="P14" s="159">
        <f t="shared" si="4"/>
        <v>2.7196985947837593E-2</v>
      </c>
    </row>
    <row r="15" spans="2:16" ht="11.25" customHeight="1">
      <c r="B15" s="2"/>
      <c r="C15" s="109" t="str">
        <f>"CPI Index (base year "&amp;F7&amp;")"</f>
        <v>CPI Index (base year 2019–20)</v>
      </c>
      <c r="D15" s="62" t="s">
        <v>46</v>
      </c>
      <c r="E15" s="62" t="s">
        <v>0</v>
      </c>
      <c r="F15" s="174">
        <v>1</v>
      </c>
      <c r="G15" s="175">
        <f>IF(G7&lt;&gt;"",(F15*(1+G13)),"")</f>
        <v>1.0086058519793459</v>
      </c>
      <c r="H15" s="175">
        <f>IF(H7&lt;&gt;"",(G15*(1+H13)),"")</f>
        <v>1.0438898450946643</v>
      </c>
      <c r="I15" s="175">
        <f>IF(I7&lt;&gt;"",(H15*(1+I13)),"")</f>
        <v>1.1256454388984509</v>
      </c>
      <c r="J15" s="176">
        <f>IF(J7&lt;&gt;"",(I15*(1+J13)),"")</f>
        <v>1.1712564543889843</v>
      </c>
      <c r="K15" s="176">
        <f>IF(K7&lt;&gt;"",(J15*(1+K13)),"")</f>
        <v>1.1996557659208262</v>
      </c>
      <c r="L15" s="176">
        <f t="shared" ref="L15:P15" si="5">IF(L7&lt;&gt;"",(K15*(1+L14)),"")</f>
        <v>1.2322827869288173</v>
      </c>
      <c r="M15" s="176">
        <f t="shared" si="5"/>
        <v>1.2657971645686825</v>
      </c>
      <c r="N15" s="176">
        <f t="shared" si="5"/>
        <v>1.3002230322662696</v>
      </c>
      <c r="O15" s="176">
        <f t="shared" si="5"/>
        <v>1.33558517980387</v>
      </c>
      <c r="P15" s="176">
        <f t="shared" si="5"/>
        <v>1.3719090711711361</v>
      </c>
    </row>
    <row r="17" spans="2:16" s="65" customFormat="1" ht="12.75" customHeight="1">
      <c r="C17" s="21" t="s">
        <v>47</v>
      </c>
      <c r="D17" s="66"/>
      <c r="E17" s="66"/>
      <c r="F17" s="66"/>
      <c r="J17" s="153"/>
      <c r="K17" s="153"/>
      <c r="L17" s="153"/>
      <c r="M17" s="154"/>
      <c r="N17" s="153"/>
      <c r="O17" s="153"/>
      <c r="P17" s="153"/>
    </row>
    <row r="18" spans="2:16" ht="11.25" customHeight="1">
      <c r="B18" s="63"/>
      <c r="C18" s="63"/>
      <c r="D18" s="63"/>
      <c r="E18" s="63"/>
      <c r="F18" s="59"/>
      <c r="J18" s="11"/>
      <c r="K18" s="11"/>
      <c r="L18" s="11"/>
      <c r="M18" s="155"/>
      <c r="N18" s="11"/>
      <c r="O18" s="156"/>
      <c r="P18" s="156"/>
    </row>
    <row r="19" spans="2:16" ht="11.25" customHeight="1">
      <c r="C19" s="13"/>
      <c r="D19" s="59" t="s">
        <v>40</v>
      </c>
      <c r="E19" s="59" t="s">
        <v>41</v>
      </c>
      <c r="F19" s="63"/>
      <c r="G19" s="137" t="str">
        <f>G7</f>
        <v>2020–21</v>
      </c>
      <c r="H19" s="137" t="str">
        <f t="shared" ref="H19:P19" si="6">H7</f>
        <v>2021–22</v>
      </c>
      <c r="I19" s="137" t="str">
        <f t="shared" si="6"/>
        <v>2022–23</v>
      </c>
      <c r="J19" s="157" t="str">
        <f t="shared" si="6"/>
        <v>2023–24</v>
      </c>
      <c r="K19" s="157" t="str">
        <f t="shared" si="6"/>
        <v>2024–25</v>
      </c>
      <c r="L19" s="157" t="str">
        <f t="shared" si="6"/>
        <v>2025-26</v>
      </c>
      <c r="M19" s="157" t="str">
        <f t="shared" si="6"/>
        <v>2026–27</v>
      </c>
      <c r="N19" s="157" t="str">
        <f t="shared" si="6"/>
        <v>2027–28</v>
      </c>
      <c r="O19" s="157" t="str">
        <f t="shared" si="6"/>
        <v>2028–29</v>
      </c>
      <c r="P19" s="157" t="str">
        <f t="shared" si="6"/>
        <v>2029–30</v>
      </c>
    </row>
    <row r="20" spans="2:16" ht="11.25" customHeight="1">
      <c r="C20" s="64" t="s">
        <v>48</v>
      </c>
      <c r="D20" s="62" t="s">
        <v>46</v>
      </c>
      <c r="E20" s="62" t="s">
        <v>44</v>
      </c>
      <c r="F20" s="63"/>
      <c r="G20" s="170">
        <v>2.2038537773495515E-2</v>
      </c>
      <c r="H20" s="170">
        <v>2.0769807761376047E-2</v>
      </c>
      <c r="I20" s="170">
        <v>2.0443136046643051E-2</v>
      </c>
      <c r="J20" s="170">
        <v>2.1558627377069817E-2</v>
      </c>
      <c r="K20" s="170">
        <v>2.245936897842582E-2</v>
      </c>
      <c r="L20" s="105"/>
      <c r="M20" s="105"/>
      <c r="N20" s="105"/>
      <c r="O20" s="105"/>
      <c r="P20" s="105"/>
    </row>
    <row r="21" spans="2:16" ht="11.25" customHeight="1">
      <c r="C21" s="118" t="s">
        <v>49</v>
      </c>
      <c r="D21" s="62" t="s">
        <v>46</v>
      </c>
      <c r="E21" s="62" t="s">
        <v>44</v>
      </c>
      <c r="F21" s="63"/>
      <c r="G21" s="63"/>
      <c r="H21" s="63"/>
      <c r="I21" s="63"/>
      <c r="J21" s="158"/>
      <c r="K21" s="158"/>
      <c r="L21" s="181">
        <v>3.3055188676612925E-2</v>
      </c>
      <c r="M21" s="181">
        <v>3.3292709032380158E-2</v>
      </c>
      <c r="N21" s="181">
        <v>3.3785766412053997E-2</v>
      </c>
      <c r="O21" s="181">
        <v>3.4606814601468243E-2</v>
      </c>
      <c r="P21" s="181">
        <v>3.5434890794370191E-2</v>
      </c>
    </row>
    <row r="22" spans="2:16" ht="11.25" customHeight="1">
      <c r="C22" s="64" t="s">
        <v>50</v>
      </c>
      <c r="D22" s="62" t="s">
        <v>51</v>
      </c>
      <c r="E22" s="62" t="s">
        <v>44</v>
      </c>
      <c r="F22" s="63"/>
      <c r="G22" s="173">
        <f>IF(AND(G13&lt;&gt;"",G20&lt;&gt;""),((1+G20)*(1+G13)-1),"")</f>
        <v>3.0834050146761438E-2</v>
      </c>
      <c r="H22" s="173">
        <f>IF(AND(H13&lt;&gt;"",H20&lt;&gt;""),((1+H20)*(1+H13)-1),"")</f>
        <v>5.6479331753028106E-2</v>
      </c>
      <c r="I22" s="173">
        <f>IF(AND(I13&lt;&gt;"",I20&lt;&gt;""),((1+I20)*(1+I13)-1),"")</f>
        <v>0.10036242534955431</v>
      </c>
      <c r="J22" s="173">
        <f>IF(AND(J13&lt;&gt;"",J20&lt;&gt;""),((1+J20)*(1+J13)-1),"")</f>
        <v>6.2952057997088584E-2</v>
      </c>
      <c r="K22" s="173">
        <f>IF(AND(K13&lt;&gt;"",K20&lt;&gt;""),((1+K20)*(1+K13)-1),"")</f>
        <v>4.7250815838299598E-2</v>
      </c>
      <c r="L22" s="173">
        <f>IF(AND(L14&lt;&gt;"",L21&lt;&gt;""),((1+L21)*(1+L14)-1),"")</f>
        <v>6.1151176126391427E-2</v>
      </c>
      <c r="M22" s="173">
        <f t="shared" ref="M22:P22" si="7">IF(AND(M14&lt;&gt;"",M21&lt;&gt;""),((1+M21)*(1+M14)-1),"")</f>
        <v>6.1395156319936861E-2</v>
      </c>
      <c r="N22" s="173">
        <f t="shared" si="7"/>
        <v>6.1901623374237102E-2</v>
      </c>
      <c r="O22" s="173">
        <f t="shared" si="7"/>
        <v>6.2745001599721295E-2</v>
      </c>
      <c r="P22" s="173">
        <f t="shared" si="7"/>
        <v>6.3595598969205414E-2</v>
      </c>
    </row>
    <row r="23" spans="2:16" ht="11.25" customHeight="1">
      <c r="B23" s="2"/>
      <c r="C23" s="64"/>
      <c r="D23" s="62"/>
      <c r="E23" s="62"/>
      <c r="F23" s="63"/>
      <c r="G23" s="69"/>
      <c r="H23" s="69"/>
      <c r="I23" s="69"/>
      <c r="J23" s="69"/>
      <c r="K23" s="16"/>
      <c r="N23" s="2"/>
    </row>
    <row r="24" spans="2:16" s="48" customFormat="1" ht="12.75" customHeight="1">
      <c r="B24" s="21" t="s">
        <v>14</v>
      </c>
      <c r="D24" s="49"/>
      <c r="E24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W33"/>
  <sheetViews>
    <sheetView workbookViewId="0">
      <selection activeCell="H29" sqref="H2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2" ht="18" customHeight="1">
      <c r="B1" s="3" t="str">
        <f>'Input | General'!$B$1</f>
        <v>Directlink 2025-30 Final Decision - Capital expenditure sharing scheme model</v>
      </c>
      <c r="D1" s="3"/>
      <c r="E1" s="3"/>
      <c r="F1" s="3"/>
      <c r="G1" s="3"/>
      <c r="H1" s="84"/>
      <c r="I1" s="85" t="s">
        <v>15</v>
      </c>
      <c r="J1" s="121" t="s">
        <v>16</v>
      </c>
      <c r="K1" s="125" t="s">
        <v>17</v>
      </c>
      <c r="L1" s="172"/>
    </row>
    <row r="2" spans="2:12" ht="18" customHeight="1">
      <c r="B2" s="10" t="s">
        <v>52</v>
      </c>
      <c r="D2" s="10"/>
      <c r="E2" s="10"/>
      <c r="F2" s="10"/>
      <c r="G2" s="10"/>
    </row>
    <row r="3" spans="2:12" ht="3" customHeight="1">
      <c r="C3" s="1"/>
      <c r="D3" s="1"/>
      <c r="E3" s="1"/>
      <c r="F3" s="1"/>
      <c r="G3" s="1"/>
    </row>
    <row r="4" spans="2:12" s="8" customFormat="1" ht="12.75" customHeight="1">
      <c r="B4" s="21" t="s">
        <v>53</v>
      </c>
      <c r="D4" s="6"/>
      <c r="E4" s="6"/>
      <c r="F4" s="6"/>
      <c r="G4" s="6"/>
    </row>
    <row r="5" spans="2:12" ht="10.5" customHeight="1">
      <c r="D5" s="53"/>
      <c r="E5" s="53"/>
      <c r="F5" s="53"/>
      <c r="G5" s="53"/>
    </row>
    <row r="6" spans="2:12" s="53" customFormat="1" ht="10.5" customHeight="1">
      <c r="D6" s="59" t="s">
        <v>40</v>
      </c>
      <c r="E6" s="59" t="s">
        <v>41</v>
      </c>
      <c r="F6" s="59" t="s">
        <v>54</v>
      </c>
      <c r="G6" s="50"/>
      <c r="H6" s="139" t="str">
        <f>IF('Input | General'!D14="Yes",'Input | General'!D13,"n/a")</f>
        <v>2020–21</v>
      </c>
      <c r="I6" s="139" t="str">
        <f>IF('Input | General'!E14="Yes",'Input | General'!E13,"n/a")</f>
        <v>2021–22</v>
      </c>
      <c r="J6" s="139" t="str">
        <f>IF('Input | General'!F14="Yes",'Input | General'!F13,"n/a")</f>
        <v>2022–23</v>
      </c>
      <c r="K6" s="139" t="str">
        <f>IF('Input | General'!G14="Yes",'Input | General'!G13,"n/a")</f>
        <v>2023–24</v>
      </c>
      <c r="L6" s="139" t="str">
        <f>IF('Input | General'!H14="Yes",'Input | General'!H13,"n/a")</f>
        <v>2024–25</v>
      </c>
    </row>
    <row r="7" spans="2:12" s="53" customFormat="1" ht="10.5" customHeight="1"/>
    <row r="8" spans="2:12" ht="10.5" customHeight="1">
      <c r="C8" s="64" t="s">
        <v>103</v>
      </c>
      <c r="D8" s="62" t="s">
        <v>46</v>
      </c>
      <c r="E8" s="62" t="s">
        <v>55</v>
      </c>
      <c r="F8" s="62" t="str">
        <f>'Input | Inflation and Disc Rate'!$F$7</f>
        <v>2019–20</v>
      </c>
      <c r="G8" s="53"/>
      <c r="H8" s="123">
        <v>4.8725651488499748</v>
      </c>
      <c r="I8" s="123">
        <v>6.5732515165121201</v>
      </c>
      <c r="J8" s="123">
        <v>5.4306567974545237</v>
      </c>
      <c r="K8" s="123">
        <v>4.9604388885912227</v>
      </c>
      <c r="L8" s="123">
        <v>3.8963656666381996</v>
      </c>
    </row>
    <row r="9" spans="2:12" ht="10.5" customHeight="1">
      <c r="C9" s="64" t="s">
        <v>56</v>
      </c>
      <c r="D9" s="62" t="s">
        <v>46</v>
      </c>
      <c r="E9" s="62" t="s">
        <v>55</v>
      </c>
      <c r="F9" s="62" t="str">
        <f>'Input | Inflation and Disc Rate'!$F$7</f>
        <v>2019–20</v>
      </c>
      <c r="G9" s="53"/>
      <c r="H9" s="123">
        <v>0</v>
      </c>
      <c r="I9" s="123">
        <v>0</v>
      </c>
      <c r="J9" s="123">
        <v>0</v>
      </c>
      <c r="K9" s="123">
        <v>0</v>
      </c>
      <c r="L9" s="123">
        <v>0</v>
      </c>
    </row>
    <row r="10" spans="2:12" ht="10.5" customHeight="1">
      <c r="C10" s="64" t="s">
        <v>57</v>
      </c>
      <c r="D10" s="62" t="s">
        <v>46</v>
      </c>
      <c r="E10" s="62" t="s">
        <v>55</v>
      </c>
      <c r="F10" s="62" t="str">
        <f>'Input | Inflation and Disc Rate'!$F$7</f>
        <v>2019–20</v>
      </c>
      <c r="G10" s="53"/>
      <c r="H10" s="123">
        <v>0</v>
      </c>
      <c r="I10" s="123">
        <v>0</v>
      </c>
      <c r="J10" s="123">
        <v>0</v>
      </c>
      <c r="K10" s="123">
        <v>0</v>
      </c>
      <c r="L10" s="123">
        <v>0</v>
      </c>
    </row>
    <row r="11" spans="2:12" s="53" customFormat="1" ht="10.5" customHeight="1">
      <c r="H11" s="52"/>
      <c r="I11" s="52"/>
      <c r="J11" s="52"/>
      <c r="K11" s="52"/>
      <c r="L11" s="52"/>
    </row>
    <row r="12" spans="2:12" ht="10.5" customHeight="1">
      <c r="C12" s="61" t="s">
        <v>58</v>
      </c>
      <c r="D12" s="60" t="s">
        <v>51</v>
      </c>
      <c r="E12" s="140" t="s">
        <v>55</v>
      </c>
      <c r="F12" s="163" t="str">
        <f>'Input | Inflation and Disc Rate'!$F$7</f>
        <v>2019–20</v>
      </c>
      <c r="G12" s="53"/>
      <c r="H12" s="162">
        <f>IF(H6="", "", H8-H9-H10)</f>
        <v>4.8725651488499748</v>
      </c>
      <c r="I12" s="162">
        <f t="shared" ref="I12:L12" si="0">IF(I6="", "", I8-I9-I10)</f>
        <v>6.5732515165121201</v>
      </c>
      <c r="J12" s="162">
        <f t="shared" si="0"/>
        <v>5.4306567974545237</v>
      </c>
      <c r="K12" s="162">
        <f t="shared" si="0"/>
        <v>4.9604388885912227</v>
      </c>
      <c r="L12" s="162">
        <f t="shared" si="0"/>
        <v>3.8963656666381996</v>
      </c>
    </row>
    <row r="13" spans="2:12" ht="10.5" customHeight="1">
      <c r="D13" s="53"/>
      <c r="E13" s="53"/>
      <c r="F13" s="53"/>
      <c r="G13" s="53"/>
    </row>
    <row r="14" spans="2:12" s="8" customFormat="1" ht="12.75" customHeight="1">
      <c r="B14" s="58" t="s">
        <v>59</v>
      </c>
      <c r="D14" s="15"/>
      <c r="E14" s="15"/>
      <c r="F14" s="15"/>
      <c r="G14" s="15"/>
    </row>
    <row r="15" spans="2:12" ht="10.5" customHeight="1">
      <c r="B15" s="57"/>
      <c r="C15" s="2"/>
    </row>
    <row r="16" spans="2:12" ht="10.5" customHeight="1">
      <c r="B16" s="57"/>
      <c r="C16" s="53"/>
      <c r="D16" s="59" t="s">
        <v>40</v>
      </c>
      <c r="E16" s="59" t="s">
        <v>41</v>
      </c>
      <c r="F16" s="59" t="s">
        <v>54</v>
      </c>
      <c r="G16" s="50"/>
      <c r="H16" s="139" t="str">
        <f>H6</f>
        <v>2020–21</v>
      </c>
      <c r="I16" s="139" t="str">
        <f>I6</f>
        <v>2021–22</v>
      </c>
      <c r="J16" s="139" t="str">
        <f>J6</f>
        <v>2022–23</v>
      </c>
      <c r="K16" s="139" t="str">
        <f>K6</f>
        <v>2023–24</v>
      </c>
      <c r="L16" s="139" t="str">
        <f>L6</f>
        <v>2024–25</v>
      </c>
    </row>
    <row r="18" spans="2:12" ht="10.5" customHeight="1">
      <c r="B18" s="57"/>
      <c r="C18" s="64" t="s">
        <v>104</v>
      </c>
      <c r="D18" s="62" t="s">
        <v>46</v>
      </c>
      <c r="E18" s="62" t="s">
        <v>55</v>
      </c>
      <c r="F18" s="62" t="s">
        <v>60</v>
      </c>
      <c r="G18" s="53"/>
      <c r="H18" s="123">
        <v>2.0483167299999998</v>
      </c>
      <c r="I18" s="123">
        <v>2.5686205099999997</v>
      </c>
      <c r="J18" s="123">
        <v>7.5532205400000008</v>
      </c>
      <c r="K18" s="177">
        <v>10.487701500000002</v>
      </c>
      <c r="L18" s="123">
        <v>4.7794433493066748</v>
      </c>
    </row>
    <row r="19" spans="2:12" ht="10.5" customHeight="1">
      <c r="B19" s="57"/>
      <c r="C19" s="64" t="s">
        <v>56</v>
      </c>
      <c r="D19" s="62" t="s">
        <v>46</v>
      </c>
      <c r="E19" s="62" t="s">
        <v>55</v>
      </c>
      <c r="F19" s="62" t="s">
        <v>60</v>
      </c>
      <c r="G19" s="111"/>
      <c r="H19" s="124">
        <v>0</v>
      </c>
      <c r="I19" s="123">
        <v>0</v>
      </c>
      <c r="J19" s="123">
        <v>0</v>
      </c>
      <c r="K19" s="123">
        <v>0</v>
      </c>
      <c r="L19" s="123">
        <v>0</v>
      </c>
    </row>
    <row r="20" spans="2:12" ht="10.5" customHeight="1">
      <c r="B20" s="57"/>
      <c r="C20" s="110" t="s">
        <v>57</v>
      </c>
      <c r="D20" s="62" t="s">
        <v>46</v>
      </c>
      <c r="E20" s="62" t="s">
        <v>55</v>
      </c>
      <c r="F20" s="62" t="s">
        <v>60</v>
      </c>
      <c r="G20" s="111"/>
      <c r="H20" s="124">
        <v>0</v>
      </c>
      <c r="I20" s="123">
        <v>0</v>
      </c>
      <c r="J20" s="123">
        <v>0</v>
      </c>
      <c r="K20" s="123">
        <v>0</v>
      </c>
      <c r="L20" s="123">
        <v>0</v>
      </c>
    </row>
    <row r="21" spans="2:12" ht="10.5" customHeight="1">
      <c r="B21" s="57"/>
      <c r="C21" s="119" t="s">
        <v>61</v>
      </c>
      <c r="D21" s="62" t="s">
        <v>46</v>
      </c>
      <c r="E21" s="62" t="s">
        <v>55</v>
      </c>
      <c r="F21" s="62" t="s">
        <v>60</v>
      </c>
      <c r="G21" s="53"/>
      <c r="H21" s="124">
        <v>0</v>
      </c>
      <c r="I21" s="123">
        <v>0</v>
      </c>
      <c r="J21" s="123">
        <v>0</v>
      </c>
      <c r="K21" s="123">
        <v>0</v>
      </c>
      <c r="L21" s="123">
        <v>0</v>
      </c>
    </row>
    <row r="22" spans="2:12" ht="10.5" customHeight="1">
      <c r="B22" s="57"/>
      <c r="C22" s="53"/>
      <c r="D22" s="53"/>
      <c r="E22" s="53"/>
      <c r="F22" s="53"/>
      <c r="G22" s="53"/>
      <c r="H22" s="52"/>
      <c r="I22" s="52"/>
      <c r="J22" s="52"/>
      <c r="K22" s="52"/>
      <c r="L22" s="52"/>
    </row>
    <row r="23" spans="2:12" ht="10.5" customHeight="1">
      <c r="B23" s="57"/>
      <c r="C23" s="61" t="s">
        <v>62</v>
      </c>
      <c r="D23" s="60" t="s">
        <v>51</v>
      </c>
      <c r="E23" s="141" t="s">
        <v>55</v>
      </c>
      <c r="F23" s="141" t="s">
        <v>60</v>
      </c>
      <c r="G23" s="53"/>
      <c r="H23" s="162">
        <f>IF(H16="", "", H18-H19-H20-H21)</f>
        <v>2.0483167299999998</v>
      </c>
      <c r="I23" s="162">
        <f t="shared" ref="I23:L23" si="1">IF(I16="", "", I18-I19-I20-I21)</f>
        <v>2.5686205099999997</v>
      </c>
      <c r="J23" s="162">
        <f t="shared" si="1"/>
        <v>7.5532205400000008</v>
      </c>
      <c r="K23" s="162">
        <f t="shared" si="1"/>
        <v>10.487701500000002</v>
      </c>
      <c r="L23" s="162">
        <f t="shared" si="1"/>
        <v>4.7794433493066748</v>
      </c>
    </row>
    <row r="24" spans="2:12" ht="10.5" customHeight="1">
      <c r="B24" s="57"/>
      <c r="C24" s="2"/>
    </row>
    <row r="25" spans="2:12" s="8" customFormat="1" ht="12.75" customHeight="1">
      <c r="B25" s="58" t="s">
        <v>63</v>
      </c>
      <c r="D25" s="15"/>
      <c r="E25" s="15"/>
      <c r="F25" s="15"/>
      <c r="G25" s="15"/>
    </row>
    <row r="26" spans="2:12" ht="10.5" customHeight="1">
      <c r="D26" s="53"/>
      <c r="E26" s="53"/>
      <c r="F26" s="53"/>
      <c r="G26" s="53"/>
    </row>
    <row r="27" spans="2:12" ht="10.5" customHeight="1">
      <c r="D27" s="53"/>
      <c r="E27" s="53"/>
      <c r="F27" s="53"/>
      <c r="G27" s="53"/>
      <c r="H27" s="139" t="str">
        <f>'Input | General'!D18</f>
        <v>2025-26</v>
      </c>
      <c r="I27" s="139" t="str">
        <f>'Input | General'!E18</f>
        <v>2026–27</v>
      </c>
      <c r="J27" s="139" t="str">
        <f>'Input | General'!F18</f>
        <v>2027–28</v>
      </c>
      <c r="K27" s="139" t="str">
        <f>'Input | General'!G18</f>
        <v>2028–29</v>
      </c>
      <c r="L27" s="139" t="str">
        <f>'Input | General'!H18</f>
        <v>2029–30</v>
      </c>
    </row>
    <row r="28" spans="2:12" s="14" customFormat="1" ht="10.5" customHeight="1">
      <c r="C28" s="13"/>
      <c r="D28" s="53"/>
      <c r="E28" s="53"/>
      <c r="F28" s="53"/>
      <c r="G28" s="53"/>
    </row>
    <row r="29" spans="2:12" ht="11.25" customHeight="1">
      <c r="C29" s="68" t="s">
        <v>64</v>
      </c>
      <c r="D29" s="51" t="s">
        <v>43</v>
      </c>
      <c r="E29" s="62" t="s">
        <v>55</v>
      </c>
      <c r="F29" s="62" t="s">
        <v>65</v>
      </c>
      <c r="G29" s="53"/>
      <c r="H29" s="123">
        <v>0</v>
      </c>
      <c r="I29" s="123">
        <v>0</v>
      </c>
      <c r="J29" s="123">
        <v>0</v>
      </c>
      <c r="K29" s="123">
        <v>0</v>
      </c>
      <c r="L29" s="123">
        <v>0</v>
      </c>
    </row>
    <row r="30" spans="2:12" ht="11.25" customHeight="1">
      <c r="C30" s="68" t="s">
        <v>64</v>
      </c>
      <c r="D30" s="51" t="s">
        <v>51</v>
      </c>
      <c r="E30" s="62" t="s">
        <v>55</v>
      </c>
      <c r="F30" s="62" t="s">
        <v>66</v>
      </c>
      <c r="G30" s="53"/>
      <c r="H30" s="161">
        <f>IF(H29&lt;&gt;"",H29/('Input | Inflation and Disc Rate'!K10*(1+'Input | Inflation and Disc Rate'!L9)^0.5),"")</f>
        <v>0</v>
      </c>
      <c r="I30" s="161">
        <f>IF(I29&lt;&gt;"",I29/('Input | Inflation and Disc Rate'!L10*(1+'Input | Inflation and Disc Rate'!M9)^0.5),"")</f>
        <v>0</v>
      </c>
      <c r="J30" s="161">
        <f>IF(J29&lt;&gt;"",J29/('Input | Inflation and Disc Rate'!M10*(1+'Input | Inflation and Disc Rate'!N9)^0.5),"")</f>
        <v>0</v>
      </c>
      <c r="K30" s="161">
        <f>IF(K29&lt;&gt;"",K29/('Input | Inflation and Disc Rate'!N10*(1+'Input | Inflation and Disc Rate'!O9)^0.5),"")</f>
        <v>0</v>
      </c>
      <c r="L30" s="161">
        <f>IF(L29&lt;&gt;"",L29/('Input | Inflation and Disc Rate'!O10*(1+'Input | Inflation and Disc Rate'!P9)^0.5),"")</f>
        <v>0</v>
      </c>
    </row>
    <row r="31" spans="2:12" ht="11.25" customHeight="1">
      <c r="C31" s="68" t="s">
        <v>64</v>
      </c>
      <c r="D31" s="51" t="s">
        <v>46</v>
      </c>
      <c r="E31" s="62" t="s">
        <v>55</v>
      </c>
      <c r="F31" s="62" t="s">
        <v>65</v>
      </c>
      <c r="G31" s="53"/>
      <c r="H31" s="161">
        <f>IF(H29&lt;&gt;"",H30*'Input | Inflation and Disc Rate'!K15*(1+'Input | Inflation and Disc Rate'!L14)^0.5,"")</f>
        <v>0</v>
      </c>
      <c r="I31" s="161">
        <f>IF(I29&lt;&gt;"",I30*'Input | Inflation and Disc Rate'!L15*(1+'Input | Inflation and Disc Rate'!M14)^0.5,"")</f>
        <v>0</v>
      </c>
      <c r="J31" s="161">
        <f>IF(J29&lt;&gt;"",J30*'Input | Inflation and Disc Rate'!M15*(1+'Input | Inflation and Disc Rate'!N14)^0.5,"")</f>
        <v>0</v>
      </c>
      <c r="K31" s="161">
        <f>IF(K29&lt;&gt;"",K30*'Input | Inflation and Disc Rate'!N15*(1+'Input | Inflation and Disc Rate'!O14)^0.5,"")</f>
        <v>0</v>
      </c>
      <c r="L31" s="161">
        <f>IF(L29&lt;&gt;"",L30*'Input | Inflation and Disc Rate'!O15*(1+'Input | Inflation and Disc Rate'!P14)^0.5,"")</f>
        <v>0</v>
      </c>
    </row>
    <row r="32" spans="2:12" ht="18" customHeight="1"/>
    <row r="33" spans="2:2" s="48" customFormat="1" ht="12.75" customHeight="1">
      <c r="B33" s="21" t="s">
        <v>14</v>
      </c>
    </row>
  </sheetData>
  <conditionalFormatting sqref="H19:H21">
    <cfRule type="expression" dxfId="4" priority="3">
      <formula>IF($H$6&lt;&gt;"","FALSE","TRUE")</formula>
    </cfRule>
  </conditionalFormatting>
  <conditionalFormatting sqref="H8:L10">
    <cfRule type="expression" dxfId="3" priority="6">
      <formula>IF($H$6&lt;&gt;"","FALSE","TRUE")</formula>
    </cfRule>
  </conditionalFormatting>
  <conditionalFormatting sqref="H18:L18">
    <cfRule type="expression" dxfId="2" priority="1">
      <formula>IF($H$6&lt;&gt;"","FALSE","TRUE")</formula>
    </cfRule>
  </conditionalFormatting>
  <conditionalFormatting sqref="H29:L29">
    <cfRule type="expression" dxfId="1" priority="4">
      <formula>IF($H$6&lt;&gt;"","FALSE","TRUE")</formula>
    </cfRule>
  </conditionalFormatting>
  <conditionalFormatting sqref="I19:L21">
    <cfRule type="expression" dxfId="0" priority="2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47"/>
  <sheetViews>
    <sheetView zoomScaleNormal="100" workbookViewId="0">
      <selection activeCell="H10" sqref="H10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13" ht="18" customHeight="1">
      <c r="B1" s="3" t="str">
        <f>'Input | General'!$B$1</f>
        <v>Directlink 2025-30 Final Decision - Capital expenditure sharing scheme model</v>
      </c>
      <c r="C1" s="2"/>
      <c r="J1" s="100"/>
      <c r="K1" s="85" t="s">
        <v>15</v>
      </c>
      <c r="L1" s="121" t="s">
        <v>16</v>
      </c>
      <c r="M1" s="125" t="s">
        <v>17</v>
      </c>
    </row>
    <row r="2" spans="2:13" ht="18" customHeight="1">
      <c r="B2" s="10" t="s">
        <v>68</v>
      </c>
      <c r="C2" s="2"/>
      <c r="J2" s="17"/>
      <c r="K2" s="17"/>
      <c r="L2" s="17"/>
    </row>
    <row r="3" spans="2:13" ht="3" customHeight="1">
      <c r="C3" s="1"/>
      <c r="J3" s="17"/>
      <c r="K3" s="17"/>
    </row>
    <row r="4" spans="2:13" s="8" customFormat="1" ht="12" customHeight="1">
      <c r="B4" s="21" t="s">
        <v>69</v>
      </c>
      <c r="J4" s="18"/>
      <c r="K4" s="18"/>
    </row>
    <row r="5" spans="2:13" ht="11.25" customHeight="1">
      <c r="C5" s="75"/>
      <c r="D5" s="75"/>
      <c r="E5" s="75"/>
      <c r="F5" s="75"/>
      <c r="G5" s="75"/>
      <c r="H5" s="75"/>
      <c r="I5" s="63"/>
      <c r="J5" s="63"/>
      <c r="K5" s="63"/>
      <c r="L5" s="63"/>
      <c r="M5" s="63"/>
    </row>
    <row r="6" spans="2:13" ht="11.25" customHeight="1">
      <c r="C6" s="96" t="s">
        <v>70</v>
      </c>
      <c r="D6" s="97"/>
      <c r="E6" s="98"/>
      <c r="F6" s="98"/>
      <c r="G6" s="98"/>
      <c r="H6" s="98"/>
      <c r="I6" s="77"/>
    </row>
    <row r="7" spans="2:13" ht="11.25" customHeight="1">
      <c r="C7" s="95" t="s">
        <v>71</v>
      </c>
      <c r="D7" s="139" t="str">
        <f>IF('Input | General'!D14="Yes",'Input | General'!D13,"n/a")</f>
        <v>2020–21</v>
      </c>
      <c r="E7" s="139" t="str">
        <f>IF('Input | General'!E14="Yes",'Input | General'!E13,"n/a")</f>
        <v>2021–22</v>
      </c>
      <c r="F7" s="139" t="str">
        <f>IF('Input | General'!F14="Yes",'Input | General'!F13,"n/a")</f>
        <v>2022–23</v>
      </c>
      <c r="G7" s="139" t="str">
        <f>IF('Input | General'!G14="Yes",'Input | General'!G13,"n/a")</f>
        <v>2023–24</v>
      </c>
      <c r="H7" s="142" t="str">
        <f>IF('Input | General'!H14="Yes",'Input | General'!H13,"n/a")</f>
        <v>2024–25</v>
      </c>
      <c r="I7" s="77"/>
    </row>
    <row r="8" spans="2:13" ht="11.25" customHeight="1">
      <c r="C8" s="93" t="s">
        <v>72</v>
      </c>
      <c r="D8" s="126">
        <f>'Input | Inflation and Disc Rate'!G20</f>
        <v>2.2038537773495515E-2</v>
      </c>
      <c r="E8" s="127">
        <f>'Input | Inflation and Disc Rate'!H20</f>
        <v>2.0769807761376047E-2</v>
      </c>
      <c r="F8" s="127">
        <f>'Input | Inflation and Disc Rate'!I20</f>
        <v>2.0443136046643051E-2</v>
      </c>
      <c r="G8" s="127">
        <f>'Input | Inflation and Disc Rate'!J20</f>
        <v>2.1558627377069817E-2</v>
      </c>
      <c r="H8" s="128">
        <f>'Input | Inflation and Disc Rate'!K20</f>
        <v>2.245936897842582E-2</v>
      </c>
      <c r="I8" s="77"/>
      <c r="J8" s="63"/>
      <c r="K8" s="63"/>
    </row>
    <row r="9" spans="2:13" ht="11.25" customHeight="1">
      <c r="C9" s="114" t="s">
        <v>73</v>
      </c>
      <c r="D9" s="127">
        <f>'Input | Inflation and Disc Rate'!G22</f>
        <v>3.0834050146761438E-2</v>
      </c>
      <c r="E9" s="127">
        <f>'Input | Inflation and Disc Rate'!H22</f>
        <v>5.6479331753028106E-2</v>
      </c>
      <c r="F9" s="127">
        <f>'Input | Inflation and Disc Rate'!I22</f>
        <v>0.10036242534955431</v>
      </c>
      <c r="G9" s="127">
        <f>'Input | Inflation and Disc Rate'!J22</f>
        <v>6.2952057997088584E-2</v>
      </c>
      <c r="H9" s="128">
        <f>'Input | Inflation and Disc Rate'!K22</f>
        <v>4.7250815838299598E-2</v>
      </c>
      <c r="I9" s="77"/>
      <c r="J9" s="63"/>
      <c r="K9" s="63"/>
    </row>
    <row r="10" spans="2:13" ht="11.25" customHeight="1">
      <c r="C10" s="91" t="s">
        <v>74</v>
      </c>
      <c r="D10" s="129">
        <f>'Input | Reported Capex'!H$12*'Input | Inflation and Disc Rate'!G$15*(1+'Input | Inflation and Disc Rate'!G$20)^0.5</f>
        <v>4.9683567686628001</v>
      </c>
      <c r="E10" s="130">
        <f>'Input | Reported Capex'!I$12*'Input | Inflation and Disc Rate'!H$15*(1+'Input | Inflation and Disc Rate'!H$20)^0.5</f>
        <v>6.9326429131760952</v>
      </c>
      <c r="F10" s="130">
        <f>'Input | Reported Capex'!J$12*'Input | Inflation and Disc Rate'!I$15*(1+'Input | Inflation and Disc Rate'!I$20)^0.5</f>
        <v>6.1751623177156523</v>
      </c>
      <c r="G10" s="130">
        <f>'Input | Reported Capex'!K$12*'Input | Inflation and Disc Rate'!J$15*(1+'Input | Inflation and Disc Rate'!J$20)^0.5</f>
        <v>5.8722393468712717</v>
      </c>
      <c r="H10" s="131">
        <f>'Input | Reported Capex'!L$12*'Input | Inflation and Disc Rate'!K$15*(1+'Input | Inflation and Disc Rate'!K$20)^0.5</f>
        <v>4.7264969605955551</v>
      </c>
      <c r="I10" s="77"/>
      <c r="J10" s="63"/>
      <c r="K10" s="63"/>
    </row>
    <row r="11" spans="2:13" ht="11.25" customHeight="1">
      <c r="C11" s="91" t="s">
        <v>75</v>
      </c>
      <c r="D11" s="132">
        <f>'Input | Reported Capex'!H23*(1+D$9)^0.5</f>
        <v>2.0796559357680464</v>
      </c>
      <c r="E11" s="130">
        <f>'Input | Reported Capex'!I23*(1+E$9)^0.5</f>
        <v>2.6401612259532405</v>
      </c>
      <c r="F11" s="130">
        <f>'Input | Reported Capex'!J23*(1+F$9)^0.5</f>
        <v>7.9231894687690794</v>
      </c>
      <c r="G11" s="130">
        <f>'Input | Reported Capex'!K23*(1+G$9)^0.5</f>
        <v>10.812774765775183</v>
      </c>
      <c r="H11" s="131">
        <f>'Input | Reported Capex'!L23*(1+H$9)^0.5</f>
        <v>4.8910564130304728</v>
      </c>
      <c r="I11" s="77"/>
      <c r="J11" s="63"/>
      <c r="K11" s="63"/>
    </row>
    <row r="12" spans="2:13" s="14" customFormat="1" ht="11.25" customHeight="1">
      <c r="C12" s="91" t="s">
        <v>76</v>
      </c>
      <c r="D12" s="70">
        <f>(D10-D11)</f>
        <v>2.8887008328947537</v>
      </c>
      <c r="E12" s="112">
        <f>(E10-E11)</f>
        <v>4.2924816872228551</v>
      </c>
      <c r="F12" s="112">
        <f t="shared" ref="F12:H12" si="0">(F10-F11)</f>
        <v>-1.7480271510534271</v>
      </c>
      <c r="G12" s="112">
        <f t="shared" si="0"/>
        <v>-4.9405354189039112</v>
      </c>
      <c r="H12" s="116">
        <f t="shared" si="0"/>
        <v>-0.16455945243491765</v>
      </c>
      <c r="I12" s="77"/>
      <c r="J12" s="63"/>
      <c r="K12" s="63"/>
    </row>
    <row r="13" spans="2:13" ht="11.25" customHeight="1">
      <c r="C13" s="91" t="s">
        <v>77</v>
      </c>
      <c r="D13" s="70"/>
      <c r="E13" s="112">
        <f>$D$12*$E$8</f>
        <v>5.9997760979350903E-2</v>
      </c>
      <c r="F13" s="112">
        <f>$D$12*$F$8*(1+'Input | Inflation and Disc Rate'!H13)</f>
        <v>6.1119990020073539E-2</v>
      </c>
      <c r="G13" s="112">
        <f>$D$12*$G$8*(1+'Input | Inflation and Disc Rate'!H13)*(1+'Input | Inflation and Disc Rate'!I13)</f>
        <v>6.9503040714294931E-2</v>
      </c>
      <c r="H13" s="116">
        <f>$D$12*$H$8*(1+'Input | Inflation and Disc Rate'!H13)*(1+'Input | Inflation and Disc Rate'!I13)*(1+'Input | Inflation and Disc Rate'!J13)</f>
        <v>7.5340869886416764E-2</v>
      </c>
      <c r="I13" s="77"/>
      <c r="J13" s="63"/>
      <c r="K13" s="63"/>
      <c r="L13" s="76"/>
      <c r="M13" s="76"/>
    </row>
    <row r="14" spans="2:13" ht="11.25" customHeight="1">
      <c r="C14" s="91" t="s">
        <v>78</v>
      </c>
      <c r="D14" s="70"/>
      <c r="E14" s="113"/>
      <c r="F14" s="112">
        <f>$E$12*F$8</f>
        <v>8.7751787109620727E-2</v>
      </c>
      <c r="G14" s="112">
        <f>$E$12*G$8*(1+'Input | Inflation and Disc Rate'!I13)</f>
        <v>9.978758226611327E-2</v>
      </c>
      <c r="H14" s="116">
        <f>$E$12*H$8*(1+'Input | Inflation and Disc Rate'!I13)*(1+'Input | Inflation and Disc Rate'!J13)</f>
        <v>0.10816912719971228</v>
      </c>
      <c r="I14" s="77"/>
      <c r="J14" s="63"/>
      <c r="K14" s="63"/>
      <c r="L14" s="76"/>
      <c r="M14" s="76"/>
    </row>
    <row r="15" spans="2:13" ht="11.25" customHeight="1">
      <c r="C15" s="91" t="s">
        <v>79</v>
      </c>
      <c r="D15" s="70"/>
      <c r="E15" s="112"/>
      <c r="F15" s="112"/>
      <c r="G15" s="112">
        <f>$F$12*G$8</f>
        <v>-3.768506599456177E-2</v>
      </c>
      <c r="H15" s="116">
        <f>$F$12*$H$8*(1+'Input | Inflation and Disc Rate'!J13)</f>
        <v>-4.0850380423332389E-2</v>
      </c>
      <c r="I15" s="77"/>
      <c r="J15" s="63"/>
      <c r="K15" s="63"/>
      <c r="L15" s="76"/>
      <c r="M15" s="76"/>
    </row>
    <row r="16" spans="2:13" ht="11.25" customHeight="1">
      <c r="C16" s="91" t="s">
        <v>80</v>
      </c>
      <c r="D16" s="70"/>
      <c r="E16" s="112"/>
      <c r="F16" s="112"/>
      <c r="G16" s="112"/>
      <c r="H16" s="116">
        <f>$G$12*$H$8</f>
        <v>-0.11096130792414452</v>
      </c>
      <c r="I16" s="77"/>
      <c r="J16" s="63"/>
      <c r="K16" s="63"/>
      <c r="L16" s="76"/>
      <c r="M16" s="76"/>
    </row>
    <row r="17" spans="3:8" ht="11.25" customHeight="1">
      <c r="C17" s="91" t="s">
        <v>81</v>
      </c>
      <c r="D17" s="70"/>
      <c r="E17" s="112"/>
      <c r="F17" s="112"/>
      <c r="G17" s="112"/>
      <c r="H17" s="116"/>
    </row>
    <row r="18" spans="3:8" s="14" customFormat="1" ht="11.25" customHeight="1">
      <c r="C18" s="92" t="s">
        <v>82</v>
      </c>
      <c r="D18" s="71">
        <f>SUM(D13:D17)</f>
        <v>0</v>
      </c>
      <c r="E18" s="72">
        <f>SUM(E13:E17)</f>
        <v>5.9997760979350903E-2</v>
      </c>
      <c r="F18" s="72">
        <f t="shared" ref="F18:H18" si="1">SUM(F13:F17)</f>
        <v>0.14887177712969427</v>
      </c>
      <c r="G18" s="72">
        <f t="shared" si="1"/>
        <v>0.13160555698584642</v>
      </c>
      <c r="H18" s="73">
        <f t="shared" si="1"/>
        <v>3.169830873865212E-2</v>
      </c>
    </row>
    <row r="19" spans="3:8" ht="11.25" customHeight="1">
      <c r="C19" s="93" t="s">
        <v>83</v>
      </c>
      <c r="D19" s="71">
        <f>E19*(1+E$9)</f>
        <v>1.2940800487302866</v>
      </c>
      <c r="E19" s="72">
        <f>F19*(1+F$9)</f>
        <v>1.224898594639807</v>
      </c>
      <c r="F19" s="72">
        <f>G19*(1+G$9)</f>
        <v>1.1131774099344505</v>
      </c>
      <c r="G19" s="72">
        <f>H19*(1+H$9)</f>
        <v>1.0472508158382996</v>
      </c>
      <c r="H19" s="117">
        <v>1</v>
      </c>
    </row>
    <row r="20" spans="3:8" s="14" customFormat="1" ht="11.25" customHeight="1">
      <c r="C20" s="91" t="s">
        <v>84</v>
      </c>
      <c r="D20" s="70">
        <f>D12*D19</f>
        <v>3.7382101145996622</v>
      </c>
      <c r="E20" s="112">
        <f>E12*E19</f>
        <v>5.2578547861963827</v>
      </c>
      <c r="F20" s="112">
        <f t="shared" ref="F20:H20" si="2">F12*F19</f>
        <v>-1.9458643365047503</v>
      </c>
      <c r="G20" s="112">
        <f t="shared" si="2"/>
        <v>-5.1739797481251362</v>
      </c>
      <c r="H20" s="116">
        <f t="shared" si="2"/>
        <v>-0.16455945243491765</v>
      </c>
    </row>
    <row r="21" spans="3:8" s="14" customFormat="1" ht="11.25" customHeight="1">
      <c r="C21" s="92" t="s">
        <v>85</v>
      </c>
      <c r="D21" s="71">
        <f>D18*D19</f>
        <v>0</v>
      </c>
      <c r="E21" s="72">
        <f>E18*E19</f>
        <v>7.3491173105141971E-2</v>
      </c>
      <c r="F21" s="72">
        <f t="shared" ref="F21:H21" si="3">F18*F19</f>
        <v>0.16572069927757183</v>
      </c>
      <c r="G21" s="72">
        <f t="shared" si="3"/>
        <v>0.13782402692228149</v>
      </c>
      <c r="H21" s="73">
        <f t="shared" si="3"/>
        <v>3.169830873865212E-2</v>
      </c>
    </row>
    <row r="22" spans="3:8" s="63" customFormat="1" ht="11.25" customHeight="1"/>
    <row r="23" spans="3:8" ht="11.25" customHeight="1">
      <c r="C23" s="96" t="s">
        <v>86</v>
      </c>
      <c r="D23" s="97"/>
      <c r="E23" s="98"/>
      <c r="F23" s="98"/>
      <c r="G23" s="98"/>
      <c r="H23" s="98"/>
    </row>
    <row r="24" spans="3:8" ht="11.25" customHeight="1">
      <c r="C24" s="90" t="s">
        <v>71</v>
      </c>
      <c r="D24" s="143" t="str">
        <f>'Input | General'!$D$18</f>
        <v>2025-26</v>
      </c>
      <c r="E24" s="143" t="str">
        <f>'Input | General'!$E$18</f>
        <v>2026–27</v>
      </c>
      <c r="F24" s="143" t="str">
        <f>'Input | General'!$F$18</f>
        <v>2027–28</v>
      </c>
      <c r="G24" s="143" t="str">
        <f>'Input | General'!$G$18</f>
        <v>2028–29</v>
      </c>
      <c r="H24" s="144" t="str">
        <f>'Input | General'!$H$18</f>
        <v>2029–30</v>
      </c>
    </row>
    <row r="25" spans="3:8" ht="11.25" customHeight="1">
      <c r="C25" s="94" t="s">
        <v>87</v>
      </c>
      <c r="D25" s="133">
        <f>'Input | Inflation and Disc Rate'!L$22</f>
        <v>6.1151176126391427E-2</v>
      </c>
      <c r="E25" s="133">
        <f>'Input | Inflation and Disc Rate'!M$22</f>
        <v>6.1395156319936861E-2</v>
      </c>
      <c r="F25" s="133">
        <f>'Input | Inflation and Disc Rate'!N$22</f>
        <v>6.1901623374237102E-2</v>
      </c>
      <c r="G25" s="133">
        <f>'Input | Inflation and Disc Rate'!O$22</f>
        <v>6.2745001599721295E-2</v>
      </c>
      <c r="H25" s="134">
        <f>'Input | Inflation and Disc Rate'!P$22</f>
        <v>6.3595598969205414E-2</v>
      </c>
    </row>
    <row r="26" spans="3:8" ht="11.25" customHeight="1">
      <c r="C26" s="95" t="s">
        <v>88</v>
      </c>
      <c r="D26" s="130">
        <f>'Input | Reported Capex'!H31</f>
        <v>0</v>
      </c>
      <c r="E26" s="130">
        <f>'Input | Reported Capex'!I31</f>
        <v>0</v>
      </c>
      <c r="F26" s="130">
        <f>'Input | Reported Capex'!J31</f>
        <v>0</v>
      </c>
      <c r="G26" s="130">
        <f>'Input | Reported Capex'!K31</f>
        <v>0</v>
      </c>
      <c r="H26" s="131">
        <f>'Input | Reported Capex'!L31</f>
        <v>0</v>
      </c>
    </row>
    <row r="27" spans="3:8" ht="11.25" customHeight="1">
      <c r="C27" s="95" t="s">
        <v>89</v>
      </c>
      <c r="D27" s="101">
        <f>1/(1+D25)^(0.5)</f>
        <v>0.97075887594326005</v>
      </c>
      <c r="E27" s="101">
        <f>1/((1+E25)^(0.5)*(1+D25))</f>
        <v>0.91471160607140944</v>
      </c>
      <c r="F27" s="101">
        <f>1/((1+F25)^(0.5)*(1+E25)*(1+D25))</f>
        <v>0.86159564771235719</v>
      </c>
      <c r="G27" s="101">
        <f>1/((1+G25)^(0.5)*(1+F25)*(1+E25)*(1+D25))</f>
        <v>0.81104848727811196</v>
      </c>
      <c r="H27" s="102">
        <f>1/((1+H25)^(0.5)*(1+G25)*(1+F25)*(1+E25)*(1+D25))</f>
        <v>0.76285854858278146</v>
      </c>
    </row>
    <row r="28" spans="3:8" ht="11.25" customHeight="1">
      <c r="C28" s="90" t="s">
        <v>90</v>
      </c>
      <c r="D28" s="72">
        <f>D26*D27</f>
        <v>0</v>
      </c>
      <c r="E28" s="72">
        <f t="shared" ref="E28:G28" si="4">E26*E27</f>
        <v>0</v>
      </c>
      <c r="F28" s="72">
        <f t="shared" si="4"/>
        <v>0</v>
      </c>
      <c r="G28" s="72">
        <f t="shared" si="4"/>
        <v>0</v>
      </c>
      <c r="H28" s="73">
        <f>H26*H27</f>
        <v>0</v>
      </c>
    </row>
    <row r="29" spans="3:8" ht="11.25" customHeight="1">
      <c r="C29" s="76"/>
      <c r="D29" s="78"/>
      <c r="E29" s="78"/>
      <c r="F29" s="78"/>
      <c r="G29" s="78"/>
      <c r="H29" s="78"/>
    </row>
    <row r="30" spans="3:8" ht="11.25" customHeight="1">
      <c r="C30" s="89" t="s">
        <v>91</v>
      </c>
      <c r="D30" s="99"/>
      <c r="E30" s="76"/>
      <c r="F30" s="76"/>
      <c r="G30" s="76"/>
      <c r="H30" s="76"/>
    </row>
    <row r="31" spans="3:8" ht="11.25" customHeight="1">
      <c r="C31" s="91" t="s">
        <v>92</v>
      </c>
      <c r="D31" s="82">
        <f>SUM(D20:H20)-SUM(D28:H28)</f>
        <v>1.7116613637312401</v>
      </c>
      <c r="E31" s="76"/>
      <c r="F31" s="76"/>
      <c r="G31" s="76"/>
      <c r="H31" s="76"/>
    </row>
    <row r="32" spans="3:8" ht="11.25" customHeight="1">
      <c r="C32" s="91" t="s">
        <v>105</v>
      </c>
      <c r="D32" s="82">
        <v>0.3</v>
      </c>
      <c r="E32" s="76"/>
      <c r="F32" s="76"/>
      <c r="G32" s="76"/>
      <c r="H32" s="76"/>
    </row>
    <row r="33" spans="2:8" ht="11.25" customHeight="1">
      <c r="C33" s="91" t="s">
        <v>93</v>
      </c>
      <c r="D33" s="81">
        <f>(1-D32)*D31</f>
        <v>1.1981629546118679</v>
      </c>
    </row>
    <row r="34" spans="2:8" ht="11.25" customHeight="1">
      <c r="C34" s="91" t="s">
        <v>94</v>
      </c>
      <c r="D34" s="81">
        <f>D32*D31</f>
        <v>0.51349840911937206</v>
      </c>
    </row>
    <row r="35" spans="2:8" ht="11.25" customHeight="1">
      <c r="C35" s="91" t="s">
        <v>95</v>
      </c>
      <c r="D35" s="81">
        <f>SUM(D21:H21)</f>
        <v>0.40873420804364735</v>
      </c>
    </row>
    <row r="36" spans="2:8" ht="11.25" customHeight="1">
      <c r="C36" s="92" t="s">
        <v>96</v>
      </c>
      <c r="D36" s="167">
        <f>D34-D35</f>
        <v>0.10476420107572471</v>
      </c>
    </row>
    <row r="37" spans="2:8" ht="11.25" customHeight="1">
      <c r="D37" s="20"/>
    </row>
    <row r="38" spans="2:8" s="8" customFormat="1" ht="12" customHeight="1">
      <c r="B38" s="21" t="s">
        <v>97</v>
      </c>
    </row>
    <row r="40" spans="2:8" s="22" customFormat="1" ht="11.25" customHeight="1">
      <c r="C40" s="74"/>
      <c r="D40" s="145" t="str">
        <f>'Input | General'!D18</f>
        <v>2025-26</v>
      </c>
      <c r="E40" s="145" t="str">
        <f>'Input | General'!E18</f>
        <v>2026–27</v>
      </c>
      <c r="F40" s="145" t="str">
        <f>'Input | General'!F18</f>
        <v>2027–28</v>
      </c>
      <c r="G40" s="145" t="str">
        <f>'Input | General'!G18</f>
        <v>2028–29</v>
      </c>
      <c r="H40" s="145" t="str">
        <f>'Input | General'!H18</f>
        <v>2029–30</v>
      </c>
    </row>
    <row r="41" spans="2:8" s="22" customFormat="1" ht="11.25" customHeight="1">
      <c r="C41" s="80" t="s">
        <v>98</v>
      </c>
      <c r="D41" s="135">
        <f>1/(1+'Input | Inflation and Disc Rate'!L21)</f>
        <v>0.96800249489191581</v>
      </c>
      <c r="E41" s="135">
        <f>D41/(1+'Input | Inflation and Disc Rate'!M21)</f>
        <v>0.93681343769317316</v>
      </c>
      <c r="F41" s="135">
        <f>E41/(1+'Input | Inflation and Disc Rate'!N21)</f>
        <v>0.90619688153045352</v>
      </c>
      <c r="G41" s="135">
        <f>F41/(1+'Input | Inflation and Disc Rate'!O21)</f>
        <v>0.87588528196532478</v>
      </c>
      <c r="H41" s="136">
        <f>G41/(1+'Input | Inflation and Disc Rate'!P21)</f>
        <v>0.84591053455167875</v>
      </c>
    </row>
    <row r="42" spans="2:8" s="22" customFormat="1" ht="11.25" customHeight="1">
      <c r="C42" s="151" t="str">
        <f>CONCATENATE("CESS Payment Per Year ($", 'Output | Models'!$F$8," million)")</f>
        <v>CESS Payment Per Year ($2024–25 million)</v>
      </c>
      <c r="D42" s="88">
        <f>D36/(SUM(D41:H41))</f>
        <v>2.3112425344351026E-2</v>
      </c>
      <c r="E42" s="88">
        <f>D42</f>
        <v>2.3112425344351026E-2</v>
      </c>
      <c r="F42" s="88">
        <f t="shared" ref="F42:H42" si="5">E42</f>
        <v>2.3112425344351026E-2</v>
      </c>
      <c r="G42" s="88">
        <f t="shared" si="5"/>
        <v>2.3112425344351026E-2</v>
      </c>
      <c r="H42" s="115">
        <f t="shared" si="5"/>
        <v>2.3112425344351026E-2</v>
      </c>
    </row>
    <row r="43" spans="2:8" s="63" customFormat="1" ht="11.25" customHeight="1"/>
    <row r="44" spans="2:8" s="22" customFormat="1" ht="11.25" customHeight="1">
      <c r="C44" s="151" t="str">
        <f>CONCATENATE("Total CESS Payment ($", 'Output | Models'!$F$8," million)")</f>
        <v>Total CESS Payment ($2024–25 million)</v>
      </c>
      <c r="D44" s="120">
        <f>SUM(D42:H42)</f>
        <v>0.11556212672175513</v>
      </c>
      <c r="E44" s="55"/>
      <c r="F44" s="55"/>
      <c r="G44" s="55"/>
      <c r="H44" s="55"/>
    </row>
    <row r="45" spans="2:8" s="22" customFormat="1" ht="11.25" customHeight="1">
      <c r="C45" s="54"/>
      <c r="D45" s="79"/>
      <c r="E45" s="55"/>
      <c r="F45" s="55"/>
      <c r="G45" s="55"/>
      <c r="H45" s="55"/>
    </row>
    <row r="46" spans="2:8" s="22" customFormat="1" ht="11.25" customHeight="1">
      <c r="C46" s="83"/>
      <c r="D46" s="83"/>
      <c r="E46" s="83"/>
      <c r="F46" s="83"/>
      <c r="G46" s="83"/>
      <c r="H46" s="83"/>
    </row>
    <row r="47" spans="2:8" ht="12" customHeight="1">
      <c r="B47" s="21" t="s">
        <v>14</v>
      </c>
      <c r="C47" s="49"/>
      <c r="D47" s="49"/>
      <c r="E47" s="49"/>
      <c r="F47" s="48"/>
      <c r="G47" s="48"/>
      <c r="H47" s="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B1:X11"/>
  <sheetViews>
    <sheetView workbookViewId="0">
      <selection activeCell="N8" sqref="J8:N8"/>
    </sheetView>
  </sheetViews>
  <sheetFormatPr defaultColWidth="0" defaultRowHeight="11.25" customHeight="1" zeroHeight="1"/>
  <cols>
    <col min="1" max="2" width="1.28515625" style="40" customWidth="1"/>
    <col min="3" max="3" width="36" style="40" customWidth="1"/>
    <col min="4" max="4" width="23.5703125" style="41" bestFit="1" customWidth="1"/>
    <col min="5" max="5" width="13.5703125" style="41" customWidth="1"/>
    <col min="6" max="6" width="9.140625" style="41" customWidth="1"/>
    <col min="7" max="9" width="2.85546875" style="41" customWidth="1"/>
    <col min="10" max="15" width="9.28515625" style="40" customWidth="1"/>
    <col min="16" max="17" width="3" style="40" customWidth="1"/>
    <col min="18" max="24" width="9.28515625" style="40" hidden="1" customWidth="1"/>
    <col min="25" max="48" width="0" style="40" hidden="1" customWidth="1"/>
    <col min="49" max="16384" width="0" style="40" hidden="1"/>
  </cols>
  <sheetData>
    <row r="1" spans="2:20" s="26" customFormat="1" ht="15.75">
      <c r="B1" s="3" t="str">
        <f>'Input | General'!$B$1</f>
        <v>Directlink 2025-30 Final Decision - Capital expenditure sharing scheme model</v>
      </c>
      <c r="C1" s="27"/>
      <c r="D1" s="27"/>
      <c r="E1" s="27"/>
      <c r="F1" s="28"/>
      <c r="G1" s="28"/>
      <c r="H1" s="28"/>
      <c r="I1" s="28"/>
      <c r="J1" s="84"/>
      <c r="K1" s="85" t="s">
        <v>15</v>
      </c>
      <c r="L1" s="121" t="s">
        <v>16</v>
      </c>
      <c r="M1" s="125" t="s">
        <v>17</v>
      </c>
      <c r="R1" s="86"/>
      <c r="S1" s="63"/>
      <c r="T1" s="63"/>
    </row>
    <row r="2" spans="2:20" s="29" customFormat="1" ht="13.5" thickBot="1">
      <c r="B2" s="30" t="s">
        <v>12</v>
      </c>
      <c r="C2" s="30"/>
      <c r="D2" s="30"/>
      <c r="E2" s="30"/>
      <c r="F2" s="31"/>
      <c r="G2" s="31"/>
      <c r="H2" s="31"/>
      <c r="I2" s="31"/>
    </row>
    <row r="3" spans="2:20" s="32" customFormat="1">
      <c r="D3" s="164"/>
      <c r="E3" s="164"/>
      <c r="F3" s="164"/>
      <c r="G3" s="164"/>
      <c r="H3" s="164"/>
      <c r="I3" s="164"/>
      <c r="J3" s="182"/>
      <c r="K3" s="182"/>
      <c r="L3" s="182"/>
      <c r="M3" s="164"/>
      <c r="N3" s="182"/>
      <c r="O3" s="182"/>
      <c r="P3" s="182"/>
      <c r="Q3" s="182"/>
      <c r="R3" s="182"/>
      <c r="S3" s="182"/>
      <c r="T3" s="182"/>
    </row>
    <row r="4" spans="2:20" s="39" customFormat="1" ht="12.75">
      <c r="B4" s="34" t="s">
        <v>99</v>
      </c>
      <c r="C4" s="33"/>
      <c r="D4" s="33"/>
      <c r="E4" s="33"/>
      <c r="F4" s="33"/>
      <c r="G4" s="35"/>
      <c r="H4" s="35"/>
      <c r="I4" s="35"/>
      <c r="J4" s="36" t="s">
        <v>100</v>
      </c>
      <c r="K4" s="37"/>
      <c r="L4" s="38"/>
      <c r="M4" s="37"/>
      <c r="N4" s="38"/>
      <c r="O4" s="38"/>
      <c r="P4" s="38"/>
      <c r="Q4" s="38"/>
      <c r="R4" s="38"/>
      <c r="S4" s="38"/>
      <c r="T4" s="38"/>
    </row>
    <row r="5" spans="2:20" ht="11.25" customHeight="1">
      <c r="M5" s="42"/>
      <c r="N5" s="42"/>
      <c r="O5" s="42"/>
      <c r="P5" s="42"/>
      <c r="Q5" s="63"/>
      <c r="R5" s="63"/>
      <c r="S5" s="63"/>
      <c r="T5" s="63"/>
    </row>
    <row r="6" spans="2:20" ht="11.25" customHeight="1">
      <c r="C6" s="43" t="s">
        <v>101</v>
      </c>
      <c r="D6" s="44" t="s">
        <v>40</v>
      </c>
      <c r="E6" s="44" t="s">
        <v>41</v>
      </c>
      <c r="F6" s="44" t="s">
        <v>54</v>
      </c>
      <c r="H6" s="44"/>
      <c r="I6" s="44"/>
      <c r="J6" s="146" t="str">
        <f>'Calc | CESS Revenue Increments'!D40</f>
        <v>2025-26</v>
      </c>
      <c r="K6" s="146" t="str">
        <f>'Calc | CESS Revenue Increments'!E40</f>
        <v>2026–27</v>
      </c>
      <c r="L6" s="146" t="str">
        <f>'Calc | CESS Revenue Increments'!F40</f>
        <v>2027–28</v>
      </c>
      <c r="M6" s="146" t="str">
        <f>'Calc | CESS Revenue Increments'!G40</f>
        <v>2028–29</v>
      </c>
      <c r="N6" s="146" t="str">
        <f>'Calc | CESS Revenue Increments'!H40</f>
        <v>2029–30</v>
      </c>
      <c r="O6" s="45" t="s">
        <v>67</v>
      </c>
      <c r="P6" s="107"/>
      <c r="Q6" s="63"/>
      <c r="R6" s="63"/>
      <c r="S6" s="63"/>
      <c r="T6" s="63"/>
    </row>
    <row r="7" spans="2:20" ht="11.25" customHeight="1">
      <c r="C7" s="43"/>
      <c r="D7" s="44"/>
      <c r="E7" s="44"/>
      <c r="F7" s="44"/>
      <c r="H7" s="44"/>
      <c r="I7" s="44"/>
      <c r="O7" s="63"/>
      <c r="P7" s="63"/>
      <c r="Q7" s="63"/>
      <c r="R7" s="63"/>
      <c r="S7" s="63"/>
      <c r="T7" s="63"/>
    </row>
    <row r="8" spans="2:20" ht="11.25" customHeight="1">
      <c r="C8" s="46" t="s">
        <v>102</v>
      </c>
      <c r="D8" s="148" t="s">
        <v>10</v>
      </c>
      <c r="E8" s="41" t="s">
        <v>55</v>
      </c>
      <c r="F8" s="147" t="str">
        <f>IF(LEN(J6)&gt;4,CONCATENATE(LEFT(J6,4)-1&amp;"–"&amp;IF(RIGHT(J6,2)="00","99",IF(RIGHT(J6,2)-1&lt;10,"0","")&amp;RIGHT(J6,2)-1)),J6-1)</f>
        <v>2024–25</v>
      </c>
      <c r="H8" s="44"/>
      <c r="I8" s="44"/>
      <c r="J8" s="178">
        <f>'Calc | CESS Revenue Increments'!D42</f>
        <v>2.3112425344351026E-2</v>
      </c>
      <c r="K8" s="178">
        <f>'Calc | CESS Revenue Increments'!E42</f>
        <v>2.3112425344351026E-2</v>
      </c>
      <c r="L8" s="178">
        <f>'Calc | CESS Revenue Increments'!F42</f>
        <v>2.3112425344351026E-2</v>
      </c>
      <c r="M8" s="178">
        <f>'Calc | CESS Revenue Increments'!G42</f>
        <v>2.3112425344351026E-2</v>
      </c>
      <c r="N8" s="178">
        <f>'Calc | CESS Revenue Increments'!H42</f>
        <v>2.3112425344351026E-2</v>
      </c>
      <c r="O8" s="179">
        <f>SUM(J8:N8)</f>
        <v>0.11556212672175513</v>
      </c>
      <c r="P8" s="108"/>
      <c r="Q8" s="63"/>
      <c r="R8" s="63"/>
      <c r="S8" s="63"/>
      <c r="T8" s="63"/>
    </row>
    <row r="9" spans="2:20" ht="11.25" customHeight="1">
      <c r="C9" s="46"/>
      <c r="D9" s="47"/>
      <c r="H9" s="44"/>
      <c r="I9" s="44"/>
      <c r="Q9" s="63"/>
      <c r="R9" s="63"/>
      <c r="S9" s="63"/>
      <c r="T9" s="63"/>
    </row>
    <row r="10" spans="2:20" ht="11.25" customHeight="1">
      <c r="D10" s="47"/>
      <c r="H10" s="44"/>
      <c r="I10" s="44"/>
      <c r="J10" s="106"/>
      <c r="K10" s="106"/>
      <c r="L10" s="106"/>
      <c r="M10" s="106"/>
      <c r="N10" s="106"/>
      <c r="O10" s="106"/>
      <c r="Q10" s="63"/>
      <c r="R10" s="63"/>
      <c r="S10" s="63"/>
      <c r="T10" s="63"/>
    </row>
    <row r="11" spans="2:20" s="39" customFormat="1" ht="12.75">
      <c r="B11" s="34" t="s">
        <v>14</v>
      </c>
      <c r="C11" s="33"/>
      <c r="D11" s="33"/>
      <c r="E11" s="33"/>
      <c r="F11" s="35"/>
      <c r="G11" s="35"/>
      <c r="H11" s="35"/>
      <c r="I11" s="35"/>
      <c r="J11" s="38"/>
      <c r="K11" s="37"/>
      <c r="L11" s="38"/>
      <c r="M11" s="37"/>
      <c r="N11" s="38"/>
      <c r="O11" s="38"/>
      <c r="P11" s="38"/>
      <c r="Q11" s="38"/>
      <c r="R11" s="38"/>
      <c r="S11" s="38"/>
      <c r="T11" s="38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2025-04-02T02:55:24Z</dcterms:created>
  <dcterms:modified xsi:type="dcterms:W3CDTF">2025-04-02T02:55:30Z</dcterms:modified>
  <cp:category/>
  <cp:contentStatus/>
</cp:coreProperties>
</file>