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guid\AppData\Roaming\iManage\Work\Recent\AER213702 - Ergon Energy distribution determination 2025-30\"/>
    </mc:Choice>
  </mc:AlternateContent>
  <xr:revisionPtr revIDLastSave="0" documentId="13_ncr:1_{3E7D3F51-0FE6-43C6-AA4C-F5E202A56DDD}" xr6:coauthVersionLast="47" xr6:coauthVersionMax="47" xr10:uidLastSave="{00000000-0000-0000-0000-000000000000}"/>
  <bookViews>
    <workbookView xWindow="-120" yWindow="-120" windowWidth="29040" windowHeight="15840" tabRatio="811" activeTab="1" xr2:uid="{00000000-000D-0000-FFFF-FFFF00000000}"/>
  </bookViews>
  <sheets>
    <sheet name="Cover" sheetId="20" r:id="rId1"/>
    <sheet name="Output | Decision tables" sheetId="19" r:id="rId2"/>
    <sheet name="Cap adjustment" sheetId="23" r:id="rId3"/>
    <sheet name="STPIS inputs" sheetId="21" r:id="rId4"/>
    <sheet name="Annual performance and targets" sheetId="17" r:id="rId5"/>
    <sheet name="Incentive rates calc" sheetId="14" r:id="rId6"/>
    <sheet name="Change log" sheetId="22" state="hidden" r:id="rId7"/>
  </sheets>
  <calcPr calcId="191029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1" l="1"/>
  <c r="G4" i="21"/>
  <c r="F4" i="21"/>
  <c r="E4" i="21"/>
  <c r="D4" i="21"/>
  <c r="C11" i="21" l="1"/>
  <c r="D8" i="17" l="1"/>
  <c r="E8" i="17"/>
  <c r="F8" i="17"/>
  <c r="G8" i="17"/>
  <c r="C8" i="17"/>
  <c r="P22" i="17" l="1"/>
  <c r="P21" i="17"/>
  <c r="P20" i="17"/>
  <c r="G41" i="17"/>
  <c r="G21" i="17"/>
  <c r="G22" i="17"/>
  <c r="G20" i="17"/>
  <c r="G10" i="17"/>
  <c r="G11" i="17"/>
  <c r="G9" i="17"/>
  <c r="I8" i="17" l="1"/>
  <c r="D5" i="14"/>
  <c r="F9" i="21"/>
  <c r="E9" i="21"/>
  <c r="D9" i="21"/>
  <c r="H8" i="17" l="1"/>
  <c r="L10" i="17" l="1"/>
  <c r="M10" i="17"/>
  <c r="N10" i="17"/>
  <c r="O10" i="17"/>
  <c r="L11" i="17"/>
  <c r="M11" i="17"/>
  <c r="N11" i="17"/>
  <c r="O11" i="17"/>
  <c r="M9" i="17"/>
  <c r="N9" i="17"/>
  <c r="O9" i="17"/>
  <c r="L9" i="17"/>
  <c r="C10" i="17"/>
  <c r="D10" i="17"/>
  <c r="E10" i="17"/>
  <c r="F10" i="17"/>
  <c r="C11" i="17"/>
  <c r="D11" i="17"/>
  <c r="E11" i="17"/>
  <c r="F11" i="17"/>
  <c r="D9" i="17"/>
  <c r="E9" i="17"/>
  <c r="F9" i="17"/>
  <c r="C9" i="17"/>
  <c r="F19" i="23"/>
  <c r="C19" i="23" l="1"/>
  <c r="E19" i="23"/>
  <c r="D19" i="23"/>
  <c r="B19" i="23"/>
  <c r="G19" i="23" l="1"/>
  <c r="D22" i="23" l="1"/>
  <c r="D23" i="23" s="1"/>
  <c r="E26" i="23" s="1"/>
  <c r="E30" i="23" s="1"/>
  <c r="D26" i="23"/>
  <c r="D30" i="23" s="1"/>
  <c r="D24" i="23" l="1"/>
  <c r="C26" i="23"/>
  <c r="D28" i="23" l="1"/>
  <c r="D31" i="23" s="1"/>
  <c r="C28" i="23"/>
  <c r="C31" i="23" s="1"/>
  <c r="G31" i="17" s="1"/>
  <c r="E28" i="23"/>
  <c r="E31" i="23" s="1"/>
  <c r="C30" i="23"/>
  <c r="O32" i="17" s="1"/>
  <c r="M31" i="17"/>
  <c r="L31" i="17"/>
  <c r="O31" i="17"/>
  <c r="N33" i="17"/>
  <c r="M32" i="17"/>
  <c r="G33" i="17" l="1"/>
  <c r="G32" i="17"/>
  <c r="M33" i="17"/>
  <c r="F32" i="17"/>
  <c r="C31" i="17"/>
  <c r="E33" i="17"/>
  <c r="D33" i="17"/>
  <c r="F33" i="17"/>
  <c r="D32" i="17"/>
  <c r="C33" i="17"/>
  <c r="E32" i="17"/>
  <c r="C32" i="17"/>
  <c r="D31" i="17"/>
  <c r="E31" i="17"/>
  <c r="F31" i="17"/>
  <c r="P31" i="17"/>
  <c r="P32" i="17"/>
  <c r="P33" i="17"/>
  <c r="N31" i="17"/>
  <c r="O33" i="17"/>
  <c r="L32" i="17"/>
  <c r="L33" i="17"/>
  <c r="N32" i="17"/>
  <c r="E41" i="17"/>
  <c r="C41" i="17"/>
  <c r="F41" i="17" l="1"/>
  <c r="D41" i="17"/>
  <c r="I41" i="17" s="1"/>
  <c r="E23" i="19" s="1"/>
  <c r="C4" i="21" l="1"/>
  <c r="R22" i="17" l="1"/>
  <c r="R21" i="17"/>
  <c r="R20" i="17"/>
  <c r="I22" i="17"/>
  <c r="I21" i="17"/>
  <c r="I20" i="17"/>
  <c r="I9" i="17"/>
  <c r="R9" i="17"/>
  <c r="R10" i="17"/>
  <c r="I11" i="17"/>
  <c r="R11" i="17"/>
  <c r="B7" i="21"/>
  <c r="F6" i="14"/>
  <c r="E6" i="14"/>
  <c r="D6" i="14"/>
  <c r="Q20" i="17"/>
  <c r="Q21" i="17"/>
  <c r="Q22" i="17"/>
  <c r="E5" i="14"/>
  <c r="F5" i="14"/>
  <c r="D11" i="14"/>
  <c r="H20" i="17"/>
  <c r="H21" i="17"/>
  <c r="H22" i="17"/>
  <c r="Q9" i="17"/>
  <c r="Q10" i="17"/>
  <c r="Q11" i="17"/>
  <c r="R31" i="17"/>
  <c r="R32" i="17"/>
  <c r="R33" i="17"/>
  <c r="Q33" i="17"/>
  <c r="I33" i="17"/>
  <c r="H33" i="17"/>
  <c r="Q32" i="17"/>
  <c r="I32" i="17"/>
  <c r="H32" i="17"/>
  <c r="Q31" i="17"/>
  <c r="I31" i="17"/>
  <c r="H31" i="17"/>
  <c r="H9" i="17"/>
  <c r="H10" i="17"/>
  <c r="H11" i="17"/>
  <c r="N44" i="17" l="1"/>
  <c r="P44" i="17"/>
  <c r="M44" i="17"/>
  <c r="L44" i="17"/>
  <c r="O44" i="17"/>
  <c r="O43" i="17"/>
  <c r="M43" i="17"/>
  <c r="N43" i="17"/>
  <c r="L43" i="17"/>
  <c r="P43" i="17"/>
  <c r="O42" i="17"/>
  <c r="M42" i="17"/>
  <c r="L42" i="17"/>
  <c r="P42" i="17"/>
  <c r="N42" i="17"/>
  <c r="G44" i="17"/>
  <c r="E44" i="17"/>
  <c r="C44" i="17"/>
  <c r="F44" i="17"/>
  <c r="D44" i="17"/>
  <c r="G42" i="17"/>
  <c r="C42" i="17"/>
  <c r="E42" i="17"/>
  <c r="F42" i="17"/>
  <c r="D42" i="17"/>
  <c r="D27" i="19"/>
  <c r="I10" i="17"/>
  <c r="F11" i="14"/>
  <c r="F27" i="19" s="1"/>
  <c r="E11" i="14"/>
  <c r="E27" i="19" s="1"/>
  <c r="E7" i="14"/>
  <c r="D7" i="14"/>
  <c r="D12" i="14" s="1"/>
  <c r="F7" i="14"/>
  <c r="I42" i="17" l="1"/>
  <c r="D8" i="14" s="1"/>
  <c r="G43" i="17"/>
  <c r="C43" i="17"/>
  <c r="E43" i="17"/>
  <c r="D43" i="17"/>
  <c r="F43" i="17"/>
  <c r="I43" i="17"/>
  <c r="E14" i="19" s="1"/>
  <c r="R43" i="17"/>
  <c r="E13" i="19" s="1"/>
  <c r="R44" i="17"/>
  <c r="F13" i="19" s="1"/>
  <c r="R42" i="17"/>
  <c r="D13" i="19" s="1"/>
  <c r="I44" i="17"/>
  <c r="F14" i="19" s="1"/>
  <c r="E9" i="14"/>
  <c r="E12" i="14"/>
  <c r="E18" i="19" s="1"/>
  <c r="D18" i="19"/>
  <c r="F12" i="14"/>
  <c r="F18" i="19" s="1"/>
  <c r="F9" i="14" l="1"/>
  <c r="E8" i="14"/>
  <c r="D14" i="19"/>
  <c r="F8" i="14"/>
  <c r="D9" i="14"/>
  <c r="E13" i="14"/>
  <c r="E19" i="19" s="1"/>
  <c r="D13" i="14"/>
  <c r="D19" i="19" s="1"/>
  <c r="F13" i="14"/>
  <c r="F19" i="19" s="1"/>
</calcChain>
</file>

<file path=xl/sharedStrings.xml><?xml version="1.0" encoding="utf-8"?>
<sst xmlns="http://schemas.openxmlformats.org/spreadsheetml/2006/main" count="258" uniqueCount="131">
  <si>
    <t>Classification</t>
  </si>
  <si>
    <t>Urban</t>
  </si>
  <si>
    <t>R</t>
  </si>
  <si>
    <t>Beta</t>
  </si>
  <si>
    <t>Average unplanned SAIFI target</t>
  </si>
  <si>
    <t>Average unplanned SAIDI target</t>
  </si>
  <si>
    <t>CPI</t>
  </si>
  <si>
    <t>SAIFI</t>
  </si>
  <si>
    <t>SAIDI</t>
  </si>
  <si>
    <t>2019/20</t>
  </si>
  <si>
    <t>2020/21</t>
  </si>
  <si>
    <t>2021/22</t>
  </si>
  <si>
    <t>CBD</t>
  </si>
  <si>
    <t>Short rural</t>
  </si>
  <si>
    <t>Long rural</t>
  </si>
  <si>
    <t>2022/23</t>
  </si>
  <si>
    <t>Revenue proposal</t>
  </si>
  <si>
    <t>Annual compliance actual</t>
  </si>
  <si>
    <t>Draft decision</t>
  </si>
  <si>
    <t>Final decision</t>
  </si>
  <si>
    <t>Decision</t>
  </si>
  <si>
    <t>Revenue at Risk</t>
  </si>
  <si>
    <t>Feeders classifications</t>
  </si>
  <si>
    <t>STPIS Targets and incentive rates</t>
  </si>
  <si>
    <t>Incentive rates calculation</t>
  </si>
  <si>
    <t>SAIDI Incentive rates</t>
  </si>
  <si>
    <t>SAIFI Incentive rates</t>
  </si>
  <si>
    <t>Electricity Distribution Network Service Provider</t>
  </si>
  <si>
    <t>Service Target Performance Incentive Scheme</t>
  </si>
  <si>
    <t>Inputs</t>
  </si>
  <si>
    <t>ABS</t>
  </si>
  <si>
    <t>Historical STPIS performance and adjustments</t>
  </si>
  <si>
    <t>Log normal</t>
  </si>
  <si>
    <t>Source:</t>
  </si>
  <si>
    <t>T:\AER\STPIS annual compliance\NSW QLD SA TAS 2018 - 19\Ausgrid\[FINAL Ausgrid STPIS compliance model 2018-19.xlsx]Actual Performance'</t>
  </si>
  <si>
    <t>T:\AER\STPIS annual compliance\NEM STPIS_FY22\STPIS-Assessment\Sent DNSP\[Ausgrid STPIS compliance FY2021-22_AER Final.xlsx]Actual Performance</t>
  </si>
  <si>
    <t>T:\AER\STPIS annual compliance\NEM STPIS_FY22\STPIS-Assessment\Sent DNSP\[Ausgrid STPIS compliance FY2021-22_AER Final.xlsx]Power BI output'!</t>
  </si>
  <si>
    <t>2025-26</t>
  </si>
  <si>
    <t>2026-27</t>
  </si>
  <si>
    <t>2027-28</t>
  </si>
  <si>
    <t>2028-29</t>
  </si>
  <si>
    <t>[Ausgrid - IR#004 - STPIS incentive rates - 20230330.xlsx]Working sheet (2019 AER)</t>
  </si>
  <si>
    <t>Value of customer reliablity ($/MWh)</t>
  </si>
  <si>
    <t>Customer service parameter</t>
  </si>
  <si>
    <t>SAIDI (minutes)</t>
  </si>
  <si>
    <t>Changelog (to detail completion of inputs, and any changes to inputs)</t>
  </si>
  <si>
    <t>Cell range</t>
  </si>
  <si>
    <t>Description</t>
  </si>
  <si>
    <t>Changed format of decision tables tab</t>
  </si>
  <si>
    <t>Contents</t>
  </si>
  <si>
    <t>Output | Decision tables</t>
  </si>
  <si>
    <t>STPIS inputs</t>
  </si>
  <si>
    <t>Annual performance and targets</t>
  </si>
  <si>
    <t>Incentive rates calculations</t>
  </si>
  <si>
    <t>Change log</t>
  </si>
  <si>
    <t>Incentive rate attributes</t>
  </si>
  <si>
    <t>C18 to F18; C19 to F19</t>
  </si>
  <si>
    <t>C23-F23</t>
  </si>
  <si>
    <t>Output decision tables incentive rates calculation divided value by 100. This was removed as the value is also in percentage form</t>
  </si>
  <si>
    <t>Output decision tables, fixed VCR not being escalated.</t>
  </si>
  <si>
    <t>Date</t>
  </si>
  <si>
    <t>VCR ($/MWh)</t>
  </si>
  <si>
    <t>Average annual energy consumption by network type (MWh)</t>
  </si>
  <si>
    <t>Average smoothed revenue requirement ($)</t>
  </si>
  <si>
    <t>Average</t>
  </si>
  <si>
    <t>Adjustments</t>
  </si>
  <si>
    <t>VCR</t>
  </si>
  <si>
    <t>Inflation</t>
  </si>
  <si>
    <t>Provides output including incentive rates, targets and VCR by feeders type.</t>
  </si>
  <si>
    <t>Inputs average smoothed revenus, average annual energy consumptions, CPI and network feeders type.</t>
  </si>
  <si>
    <t>Calculates targets based on historical performance and adjusment by STPIS paramteres and network feeder types.</t>
  </si>
  <si>
    <t>Calculates incentive rates by STPIS paramteres and network feeder types.</t>
  </si>
  <si>
    <t>Provides log of updates made to the model template (rather than changes between preliminary and final model submissions).</t>
  </si>
  <si>
    <t>Network type weighting</t>
  </si>
  <si>
    <t>2025-30</t>
  </si>
  <si>
    <t>AER Decision STPIS for 2025-30</t>
  </si>
  <si>
    <t>Revenue Smoothing ($ Real 2024-25)</t>
  </si>
  <si>
    <t>2029-30</t>
  </si>
  <si>
    <t>2023/24</t>
  </si>
  <si>
    <t>± 1.8 %</t>
  </si>
  <si>
    <t>± 0.2 %</t>
  </si>
  <si>
    <t>Telephone</t>
  </si>
  <si>
    <t>Customer service</t>
  </si>
  <si>
    <t>Incentive rate</t>
  </si>
  <si>
    <t>Target</t>
  </si>
  <si>
    <t>Telephone answering (calls answered in 30 seconds)</t>
  </si>
  <si>
    <r>
      <rPr>
        <i/>
        <sz val="8"/>
        <rFont val="Arial"/>
        <family val="2"/>
      </rPr>
      <t xml:space="preserve">ir - </t>
    </r>
    <r>
      <rPr>
        <sz val="8"/>
        <rFont val="Arial"/>
        <family val="2"/>
      </rPr>
      <t>SAIDI</t>
    </r>
  </si>
  <si>
    <r>
      <rPr>
        <i/>
        <sz val="8"/>
        <rFont val="Arial"/>
        <family val="2"/>
      </rPr>
      <t>ir -</t>
    </r>
    <r>
      <rPr>
        <sz val="8"/>
        <rFont val="Arial"/>
        <family val="2"/>
      </rPr>
      <t xml:space="preserve"> SAIFI</t>
    </r>
  </si>
  <si>
    <r>
      <t>VCR</t>
    </r>
    <r>
      <rPr>
        <vertAlign val="subscript"/>
        <sz val="8"/>
        <color theme="1"/>
        <rFont val="Arial"/>
        <family val="2"/>
      </rPr>
      <t>n</t>
    </r>
  </si>
  <si>
    <r>
      <t>C</t>
    </r>
    <r>
      <rPr>
        <vertAlign val="subscript"/>
        <sz val="8"/>
        <color theme="1"/>
        <rFont val="Arial"/>
        <family val="2"/>
      </rPr>
      <t>n</t>
    </r>
  </si>
  <si>
    <r>
      <t>SAIFI</t>
    </r>
    <r>
      <rPr>
        <vertAlign val="subscript"/>
        <sz val="8"/>
        <color theme="1"/>
        <rFont val="Arial"/>
        <family val="2"/>
      </rPr>
      <t>n</t>
    </r>
  </si>
  <si>
    <r>
      <t>SAIDI</t>
    </r>
    <r>
      <rPr>
        <vertAlign val="subscript"/>
        <sz val="8"/>
        <color theme="1"/>
        <rFont val="Arial"/>
        <family val="2"/>
      </rPr>
      <t>n</t>
    </r>
  </si>
  <si>
    <r>
      <t>w</t>
    </r>
    <r>
      <rPr>
        <vertAlign val="subscript"/>
        <sz val="8"/>
        <color theme="1"/>
        <rFont val="Arial"/>
        <family val="2"/>
      </rPr>
      <t>n</t>
    </r>
  </si>
  <si>
    <t>Adjustments over cap and others</t>
  </si>
  <si>
    <t>Recast to STPIS v2.</t>
  </si>
  <si>
    <t>Backcasted  data Actual Data (Exclude &lt;= 3min Momentary)</t>
  </si>
  <si>
    <t>Measure</t>
  </si>
  <si>
    <t>Unplanned SAIDI - CBD</t>
  </si>
  <si>
    <t>Unplanned SAIDI - urban</t>
  </si>
  <si>
    <t>Unplanned SAIDI - short rural</t>
  </si>
  <si>
    <t>Unplanned SAIDI - long rural</t>
  </si>
  <si>
    <t>Unplanned SAIFI - CBD</t>
  </si>
  <si>
    <t>Unplanned SAIFI - urban</t>
  </si>
  <si>
    <t>Unplanned SAIFI - short rural</t>
  </si>
  <si>
    <t>Unplanned SAIFI - long rural</t>
  </si>
  <si>
    <t>Cummulative</t>
  </si>
  <si>
    <t>sum of the raw s-factors for the relaibility of supply parameters</t>
  </si>
  <si>
    <t>Reliability cap</t>
  </si>
  <si>
    <t>performance over the cap</t>
  </si>
  <si>
    <t>%above cap exlcuding telephone answering</t>
  </si>
  <si>
    <t>SAIDI proportion</t>
  </si>
  <si>
    <t>SAIFI proportion</t>
  </si>
  <si>
    <t>SAIDI Incentive rates in current regulatory period</t>
  </si>
  <si>
    <t>SAIFI Incentive rates in current regulatory period</t>
  </si>
  <si>
    <t>Adj required to 2025-30 RCP reliability targets due to R@R</t>
  </si>
  <si>
    <t>Adj required to 2025-30 RCP reliability targets due to R@R cap for 2020-25 SAIDI PSAIDI</t>
  </si>
  <si>
    <t>Adj required to 2025-30 RCP reliability targets due to R@R cap for 2020-25 SAIFI PSAIFI</t>
  </si>
  <si>
    <t>Use 2015-2020 regulatory control period as year where performanc exceeded the cap is 2019/20</t>
  </si>
  <si>
    <t>Source</t>
  </si>
  <si>
    <t>2022/24</t>
  </si>
  <si>
    <t>S-Factor (STPIS Compliance Model)</t>
  </si>
  <si>
    <t>SAIFI (interruptions)</t>
  </si>
  <si>
    <t>AER, Value of customer reliability review, final report, December 2024, pp. 62 (Table 20 NEM-wide and regional VCR).</t>
  </si>
  <si>
    <t>Telephone (customer service)</t>
  </si>
  <si>
    <t>Ergon Energy</t>
  </si>
  <si>
    <t>Value of Customer Reliability (VCR) for QLD ($/MWh)</t>
  </si>
  <si>
    <t>STPIS performance targets for 2025-30 period</t>
  </si>
  <si>
    <t>STPIS Incentive rates for 2025-30 period</t>
  </si>
  <si>
    <t>AER, Value of customer reliability review, final report, December 2024. September 2024 CPI.</t>
  </si>
  <si>
    <t>Esclated to December 2024 quarter - consistent with Modelling and Pricing.</t>
  </si>
  <si>
    <t>STPIS annual compliance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</si>
</sst>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_);\(&quot;$&quot;#,##0\)"/>
    <numFmt numFmtId="168" formatCode="0.000"/>
    <numFmt numFmtId="169" formatCode="_-* #,##0.000_-;\-* #,##0.000_-;_-* &quot;-&quot;??_-;_-@_-"/>
    <numFmt numFmtId="170" formatCode="0.0000"/>
    <numFmt numFmtId="171" formatCode="_-* #,##0.00000000000000_-;\-* #,##0.00000000000000_-;_-* &quot;-&quot;??_-;_-@_-"/>
    <numFmt numFmtId="172" formatCode="_-* #,##0.000000000000000_-;\-* #,##0.000000000000000_-;_-* &quot;-&quot;??_-;_-@_-"/>
    <numFmt numFmtId="173" formatCode="_-* #,##0_-;\-* #,##0_-;_-* &quot;-&quot;??_-;_-@_-"/>
    <numFmt numFmtId="174" formatCode="_-* #,##0.0_-;\-* #,##0.0_-;_-* &quot;-&quot;??_-;_-@_-"/>
    <numFmt numFmtId="175" formatCode="_(* #,##0.0_);_(* \(#,##0.0\);_(* &quot;-&quot;??_);_(@_)"/>
    <numFmt numFmtId="176" formatCode="_(&quot;$&quot;* #,##0_);_(&quot;$&quot;* \(#,##0\);_(&quot;$&quot;* &quot;-&quot;??_);_(@_)"/>
    <numFmt numFmtId="177" formatCode="#,##0.0000"/>
    <numFmt numFmtId="178" formatCode="0.00;\-0.00;\-;@"/>
    <numFmt numFmtId="179" formatCode="0.0000%"/>
    <numFmt numFmtId="180" formatCode="0.00000;\-0.00000;\-;@"/>
    <numFmt numFmtId="181" formatCode="0.0000;\-0.0000;\-;@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0070C0"/>
      <name val="Arial"/>
      <family val="2"/>
    </font>
    <font>
      <b/>
      <i/>
      <sz val="8"/>
      <color theme="0"/>
      <name val="Arial"/>
      <family val="2"/>
    </font>
    <font>
      <sz val="8"/>
      <color theme="8" tint="-0.249977111117893"/>
      <name val="Arial"/>
      <family val="2"/>
    </font>
    <font>
      <sz val="8"/>
      <color rgb="FFFF0000"/>
      <name val="Arial"/>
      <family val="2"/>
    </font>
    <font>
      <i/>
      <sz val="8"/>
      <color theme="0"/>
      <name val="Arial"/>
      <family val="2"/>
    </font>
    <font>
      <sz val="8"/>
      <color rgb="FF0070C0"/>
      <name val="Arial"/>
      <family val="2"/>
    </font>
    <font>
      <i/>
      <sz val="8"/>
      <color theme="8" tint="-0.249977111117893"/>
      <name val="Arial"/>
      <family val="2"/>
    </font>
    <font>
      <i/>
      <sz val="8"/>
      <name val="Arial"/>
      <family val="2"/>
    </font>
    <font>
      <vertAlign val="subscript"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name val="Helvetica"/>
      <family val="2"/>
    </font>
    <font>
      <sz val="10"/>
      <color theme="4"/>
      <name val="Helvetica"/>
      <family val="2"/>
    </font>
    <font>
      <sz val="8"/>
      <color theme="4"/>
      <name val="Arial"/>
      <family val="2"/>
    </font>
    <font>
      <sz val="10"/>
      <color theme="1"/>
      <name val="Calibri"/>
      <family val="2"/>
    </font>
    <font>
      <sz val="10"/>
      <color theme="4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i/>
      <sz val="8"/>
      <color rgb="FFFF00FF"/>
      <name val="Arial"/>
      <family val="2"/>
    </font>
    <font>
      <i/>
      <u/>
      <sz val="10"/>
      <color theme="10"/>
      <name val="Calibri"/>
      <family val="2"/>
      <scheme val="minor"/>
    </font>
    <font>
      <i/>
      <sz val="8"/>
      <color rgb="FF00206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 style="thin">
        <color theme="0"/>
      </left>
      <right/>
      <top/>
      <bottom/>
      <diagonal/>
    </border>
  </borders>
  <cellStyleXfs count="46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3" borderId="2">
      <alignment vertical="center"/>
    </xf>
    <xf numFmtId="0" fontId="4" fillId="4" borderId="0">
      <alignment horizontal="left" vertical="center"/>
      <protection locked="0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8" fillId="11" borderId="0" applyNumberFormat="0" applyBorder="0" applyAlignment="0" applyProtection="0"/>
    <xf numFmtId="0" fontId="39" fillId="0" borderId="0" applyFill="0" applyBorder="0">
      <alignment horizontal="left" vertical="center"/>
    </xf>
    <xf numFmtId="0" fontId="40" fillId="14" borderId="6">
      <alignment horizontal="left" vertical="center"/>
      <protection locked="0"/>
    </xf>
    <xf numFmtId="0" fontId="42" fillId="0" borderId="0"/>
    <xf numFmtId="0" fontId="1" fillId="0" borderId="0"/>
    <xf numFmtId="0" fontId="1" fillId="0" borderId="0"/>
    <xf numFmtId="0" fontId="43" fillId="14" borderId="6">
      <alignment horizontal="left" vertical="center"/>
      <protection locked="0"/>
    </xf>
    <xf numFmtId="166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6" borderId="0"/>
    <xf numFmtId="0" fontId="45" fillId="3" borderId="0">
      <alignment vertical="center"/>
      <protection locked="0"/>
    </xf>
    <xf numFmtId="0" fontId="1" fillId="0" borderId="0"/>
    <xf numFmtId="0" fontId="1" fillId="0" borderId="0"/>
    <xf numFmtId="166" fontId="2" fillId="0" borderId="0" applyFont="0" applyFill="0" applyBorder="0" applyAlignment="0" applyProtection="0"/>
    <xf numFmtId="0" fontId="2" fillId="0" borderId="0"/>
    <xf numFmtId="0" fontId="2" fillId="6" borderId="0"/>
    <xf numFmtId="164" fontId="2" fillId="8" borderId="0" applyNumberFormat="0" applyFont="0" applyBorder="0" applyAlignment="0">
      <alignment horizontal="right"/>
    </xf>
    <xf numFmtId="165" fontId="2" fillId="0" borderId="0" applyFont="0" applyFill="0" applyBorder="0" applyAlignment="0" applyProtection="0"/>
    <xf numFmtId="0" fontId="4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46" fillId="0" borderId="0"/>
  </cellStyleXfs>
  <cellXfs count="185">
    <xf numFmtId="0" fontId="0" fillId="0" borderId="0" xfId="0"/>
    <xf numFmtId="0" fontId="0" fillId="6" borderId="0" xfId="0" applyFill="1"/>
    <xf numFmtId="0" fontId="2" fillId="6" borderId="0" xfId="0" applyFont="1" applyFill="1"/>
    <xf numFmtId="0" fontId="7" fillId="6" borderId="0" xfId="0" applyFont="1" applyFill="1"/>
    <xf numFmtId="0" fontId="8" fillId="0" borderId="0" xfId="0" applyFont="1" applyAlignment="1">
      <alignment vertical="center"/>
    </xf>
    <xf numFmtId="0" fontId="2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0" fillId="8" borderId="5" xfId="0" applyFill="1" applyBorder="1"/>
    <xf numFmtId="0" fontId="2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1" fillId="0" borderId="4" xfId="0" applyFont="1" applyBorder="1"/>
    <xf numFmtId="0" fontId="11" fillId="0" borderId="3" xfId="0" applyFont="1" applyBorder="1" applyAlignment="1">
      <alignment horizontal="left"/>
    </xf>
    <xf numFmtId="17" fontId="11" fillId="0" borderId="3" xfId="0" quotePrefix="1" applyNumberFormat="1" applyFont="1" applyBorder="1"/>
    <xf numFmtId="0" fontId="11" fillId="0" borderId="3" xfId="0" applyFont="1" applyBorder="1"/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0" xfId="0" quotePrefix="1" applyFont="1"/>
    <xf numFmtId="0" fontId="13" fillId="0" borderId="0" xfId="0" applyFont="1"/>
    <xf numFmtId="17" fontId="11" fillId="0" borderId="0" xfId="0" quotePrefix="1" applyNumberFormat="1" applyFont="1"/>
    <xf numFmtId="0" fontId="12" fillId="6" borderId="0" xfId="0" applyFont="1" applyFill="1"/>
    <xf numFmtId="0" fontId="14" fillId="7" borderId="0" xfId="0" applyFont="1" applyFill="1"/>
    <xf numFmtId="0" fontId="10" fillId="7" borderId="0" xfId="0" applyFont="1" applyFill="1"/>
    <xf numFmtId="0" fontId="6" fillId="7" borderId="5" xfId="9" applyFont="1" applyFill="1" applyBorder="1"/>
    <xf numFmtId="0" fontId="18" fillId="7" borderId="5" xfId="9" applyFont="1" applyFill="1" applyBorder="1" applyAlignment="1">
      <alignment vertical="center"/>
    </xf>
    <xf numFmtId="173" fontId="16" fillId="0" borderId="0" xfId="9" applyNumberFormat="1" applyFont="1"/>
    <xf numFmtId="173" fontId="11" fillId="0" borderId="0" xfId="12" applyNumberFormat="1" applyFont="1" applyAlignment="1" applyProtection="1"/>
    <xf numFmtId="173" fontId="17" fillId="0" borderId="0" xfId="9" applyNumberFormat="1" applyFont="1"/>
    <xf numFmtId="174" fontId="17" fillId="0" borderId="0" xfId="9" applyNumberFormat="1" applyFont="1"/>
    <xf numFmtId="0" fontId="17" fillId="0" borderId="0" xfId="9" applyFont="1"/>
    <xf numFmtId="0" fontId="17" fillId="0" borderId="0" xfId="9" applyFont="1" applyAlignment="1">
      <alignment wrapText="1"/>
    </xf>
    <xf numFmtId="173" fontId="19" fillId="0" borderId="4" xfId="12" applyNumberFormat="1" applyFont="1" applyBorder="1" applyAlignment="1" applyProtection="1"/>
    <xf numFmtId="173" fontId="20" fillId="0" borderId="4" xfId="9" applyNumberFormat="1" applyFont="1" applyBorder="1"/>
    <xf numFmtId="173" fontId="17" fillId="0" borderId="4" xfId="9" applyNumberFormat="1" applyFont="1" applyBorder="1"/>
    <xf numFmtId="174" fontId="17" fillId="0" borderId="4" xfId="9" applyNumberFormat="1" applyFont="1" applyBorder="1"/>
    <xf numFmtId="0" fontId="17" fillId="0" borderId="4" xfId="9" applyFont="1" applyBorder="1"/>
    <xf numFmtId="173" fontId="16" fillId="0" borderId="0" xfId="9" quotePrefix="1" applyNumberFormat="1" applyFont="1"/>
    <xf numFmtId="0" fontId="2" fillId="7" borderId="5" xfId="9" applyFill="1" applyBorder="1" applyAlignment="1">
      <alignment horizontal="center" vertical="center"/>
    </xf>
    <xf numFmtId="0" fontId="18" fillId="7" borderId="5" xfId="9" applyFont="1" applyFill="1" applyBorder="1" applyAlignment="1">
      <alignment horizontal="center" vertical="center"/>
    </xf>
    <xf numFmtId="0" fontId="2" fillId="7" borderId="5" xfId="9" applyFill="1" applyBorder="1" applyAlignment="1">
      <alignment horizontal="center" vertical="center" wrapText="1"/>
    </xf>
    <xf numFmtId="165" fontId="18" fillId="7" borderId="5" xfId="9" applyNumberFormat="1" applyFont="1" applyFill="1" applyBorder="1" applyAlignment="1">
      <alignment horizontal="center" vertical="center" wrapText="1"/>
    </xf>
    <xf numFmtId="0" fontId="2" fillId="6" borderId="0" xfId="9" applyFill="1" applyAlignment="1">
      <alignment horizontal="center" vertical="center" wrapText="1"/>
    </xf>
    <xf numFmtId="0" fontId="2" fillId="6" borderId="0" xfId="9" applyFill="1" applyAlignment="1">
      <alignment horizontal="center" vertical="center"/>
    </xf>
    <xf numFmtId="0" fontId="2" fillId="0" borderId="0" xfId="9" applyAlignment="1">
      <alignment horizontal="center" vertical="center"/>
    </xf>
    <xf numFmtId="0" fontId="21" fillId="7" borderId="5" xfId="9" applyFont="1" applyFill="1" applyBorder="1" applyAlignment="1">
      <alignment horizontal="left" vertical="center" indent="1"/>
    </xf>
    <xf numFmtId="0" fontId="2" fillId="6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quotePrefix="1" applyFont="1" applyAlignment="1">
      <alignment horizontal="left" vertical="center"/>
    </xf>
    <xf numFmtId="17" fontId="11" fillId="0" borderId="0" xfId="0" quotePrefix="1" applyNumberFormat="1" applyFont="1" applyAlignment="1">
      <alignment vertical="center"/>
    </xf>
    <xf numFmtId="0" fontId="23" fillId="6" borderId="0" xfId="12" applyFont="1" applyFill="1" applyAlignment="1">
      <alignment vertical="center"/>
    </xf>
    <xf numFmtId="0" fontId="22" fillId="6" borderId="0" xfId="0" applyFont="1" applyFill="1"/>
    <xf numFmtId="0" fontId="24" fillId="6" borderId="0" xfId="0" applyFont="1" applyFill="1"/>
    <xf numFmtId="14" fontId="11" fillId="0" borderId="0" xfId="12" applyNumberFormat="1" applyFont="1" applyAlignment="1" applyProtection="1"/>
    <xf numFmtId="0" fontId="2" fillId="7" borderId="5" xfId="9" applyFill="1" applyBorder="1"/>
    <xf numFmtId="0" fontId="2" fillId="6" borderId="0" xfId="9" applyFill="1" applyAlignment="1">
      <alignment wrapText="1"/>
    </xf>
    <xf numFmtId="0" fontId="2" fillId="6" borderId="0" xfId="9" applyFill="1"/>
    <xf numFmtId="0" fontId="2" fillId="0" borderId="0" xfId="9"/>
    <xf numFmtId="0" fontId="25" fillId="0" borderId="0" xfId="0" applyFont="1"/>
    <xf numFmtId="0" fontId="22" fillId="0" borderId="0" xfId="0" applyFont="1" applyAlignment="1">
      <alignment horizontal="left" vertical="center" indent="1"/>
    </xf>
    <xf numFmtId="0" fontId="22" fillId="0" borderId="0" xfId="12" applyNumberFormat="1" applyFont="1" applyAlignment="1" applyProtection="1">
      <alignment horizontal="left" vertical="center" indent="1"/>
    </xf>
    <xf numFmtId="0" fontId="6" fillId="7" borderId="0" xfId="9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7" borderId="1" xfId="9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67" fontId="26" fillId="0" borderId="1" xfId="0" applyNumberFormat="1" applyFont="1" applyBorder="1" applyAlignment="1">
      <alignment horizontal="center" vertical="center"/>
    </xf>
    <xf numFmtId="167" fontId="26" fillId="0" borderId="0" xfId="0" applyNumberFormat="1" applyFont="1" applyAlignment="1">
      <alignment vertical="center"/>
    </xf>
    <xf numFmtId="0" fontId="6" fillId="10" borderId="0" xfId="0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173" fontId="26" fillId="1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0" fontId="26" fillId="0" borderId="0" xfId="0" applyNumberFormat="1" applyFont="1" applyAlignment="1">
      <alignment horizontal="right" vertical="center"/>
    </xf>
    <xf numFmtId="10" fontId="26" fillId="0" borderId="1" xfId="0" applyNumberFormat="1" applyFont="1" applyBorder="1" applyAlignment="1">
      <alignment horizontal="center" vertical="center"/>
    </xf>
    <xf numFmtId="10" fontId="26" fillId="0" borderId="0" xfId="0" applyNumberFormat="1" applyFont="1" applyAlignment="1">
      <alignment vertical="center"/>
    </xf>
    <xf numFmtId="170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6" fontId="26" fillId="0" borderId="0" xfId="1" applyFont="1" applyAlignment="1">
      <alignment vertical="center"/>
    </xf>
    <xf numFmtId="17" fontId="26" fillId="10" borderId="1" xfId="0" applyNumberFormat="1" applyFont="1" applyFill="1" applyBorder="1" applyAlignment="1">
      <alignment horizontal="left" vertical="center"/>
    </xf>
    <xf numFmtId="0" fontId="28" fillId="10" borderId="0" xfId="0" applyFont="1" applyFill="1" applyAlignment="1">
      <alignment horizontal="left" vertical="center"/>
    </xf>
    <xf numFmtId="175" fontId="26" fillId="0" borderId="0" xfId="0" applyNumberFormat="1" applyFont="1" applyAlignment="1">
      <alignment horizontal="right"/>
    </xf>
    <xf numFmtId="175" fontId="11" fillId="0" borderId="0" xfId="15" applyNumberFormat="1" applyFont="1" applyFill="1" applyBorder="1" applyAlignment="1">
      <alignment horizontal="right"/>
    </xf>
    <xf numFmtId="0" fontId="26" fillId="0" borderId="0" xfId="0" applyFont="1"/>
    <xf numFmtId="176" fontId="26" fillId="0" borderId="0" xfId="2" applyNumberFormat="1" applyFont="1" applyFill="1"/>
    <xf numFmtId="0" fontId="26" fillId="0" borderId="1" xfId="0" applyFont="1" applyBorder="1" applyAlignment="1">
      <alignment horizontal="right" vertical="center"/>
    </xf>
    <xf numFmtId="0" fontId="6" fillId="7" borderId="0" xfId="9" applyFont="1" applyFill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6" fillId="7" borderId="5" xfId="9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166" fontId="31" fillId="0" borderId="0" xfId="1" applyFont="1" applyAlignment="1">
      <alignment vertical="center"/>
    </xf>
    <xf numFmtId="0" fontId="30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6" fillId="2" borderId="1" xfId="1" applyFont="1" applyFill="1" applyBorder="1" applyAlignment="1">
      <alignment horizontal="left" vertical="center"/>
    </xf>
    <xf numFmtId="168" fontId="26" fillId="0" borderId="1" xfId="0" applyNumberFormat="1" applyFont="1" applyBorder="1" applyAlignment="1">
      <alignment horizontal="center" vertical="center"/>
    </xf>
    <xf numFmtId="168" fontId="26" fillId="5" borderId="1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6" fillId="5" borderId="1" xfId="0" applyFont="1" applyFill="1" applyBorder="1"/>
    <xf numFmtId="168" fontId="6" fillId="5" borderId="1" xfId="0" applyNumberFormat="1" applyFont="1" applyFill="1" applyBorder="1"/>
    <xf numFmtId="0" fontId="34" fillId="0" borderId="0" xfId="0" applyFont="1" applyAlignment="1">
      <alignment horizontal="left" indent="1"/>
    </xf>
    <xf numFmtId="0" fontId="33" fillId="0" borderId="0" xfId="0" applyFont="1"/>
    <xf numFmtId="0" fontId="34" fillId="0" borderId="0" xfId="0" applyFont="1" applyAlignment="1">
      <alignment horizontal="left" vertical="center"/>
    </xf>
    <xf numFmtId="169" fontId="26" fillId="0" borderId="1" xfId="1" applyNumberFormat="1" applyFont="1" applyBorder="1" applyAlignment="1">
      <alignment vertical="center"/>
    </xf>
    <xf numFmtId="169" fontId="6" fillId="5" borderId="1" xfId="1" applyNumberFormat="1" applyFont="1" applyFill="1" applyBorder="1" applyAlignment="1">
      <alignment vertical="center"/>
    </xf>
    <xf numFmtId="170" fontId="6" fillId="5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indent="1"/>
    </xf>
    <xf numFmtId="2" fontId="26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6" fillId="7" borderId="1" xfId="9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indent="2"/>
    </xf>
    <xf numFmtId="170" fontId="26" fillId="0" borderId="1" xfId="11" applyNumberFormat="1" applyFont="1" applyBorder="1" applyAlignment="1">
      <alignment horizontal="center" vertical="center"/>
    </xf>
    <xf numFmtId="170" fontId="26" fillId="0" borderId="0" xfId="0" applyNumberFormat="1" applyFont="1" applyAlignment="1">
      <alignment vertical="center"/>
    </xf>
    <xf numFmtId="0" fontId="11" fillId="0" borderId="1" xfId="0" applyFont="1" applyBorder="1" applyAlignment="1">
      <alignment horizontal="left" vertical="center" indent="1"/>
    </xf>
    <xf numFmtId="170" fontId="26" fillId="1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indent="1"/>
    </xf>
    <xf numFmtId="170" fontId="26" fillId="10" borderId="0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indent="2"/>
    </xf>
    <xf numFmtId="3" fontId="26" fillId="0" borderId="1" xfId="2" applyNumberFormat="1" applyFont="1" applyBorder="1" applyAlignment="1">
      <alignment horizontal="center" vertical="center"/>
    </xf>
    <xf numFmtId="0" fontId="27" fillId="0" borderId="0" xfId="0" applyFont="1"/>
    <xf numFmtId="0" fontId="6" fillId="7" borderId="0" xfId="9" applyFont="1" applyFill="1" applyAlignment="1">
      <alignment horizontal="center"/>
    </xf>
    <xf numFmtId="0" fontId="6" fillId="7" borderId="0" xfId="9" applyFont="1" applyFill="1"/>
    <xf numFmtId="166" fontId="26" fillId="0" borderId="0" xfId="0" applyNumberFormat="1" applyFont="1" applyAlignment="1">
      <alignment horizontal="center"/>
    </xf>
    <xf numFmtId="166" fontId="26" fillId="0" borderId="0" xfId="0" applyNumberFormat="1" applyFont="1"/>
    <xf numFmtId="172" fontId="26" fillId="0" borderId="0" xfId="0" applyNumberFormat="1" applyFont="1"/>
    <xf numFmtId="171" fontId="26" fillId="0" borderId="0" xfId="0" applyNumberFormat="1" applyFont="1"/>
    <xf numFmtId="0" fontId="37" fillId="10" borderId="0" xfId="9" applyFont="1" applyFill="1" applyAlignment="1">
      <alignment vertical="center"/>
    </xf>
    <xf numFmtId="170" fontId="26" fillId="0" borderId="0" xfId="0" applyNumberFormat="1" applyFont="1"/>
    <xf numFmtId="0" fontId="37" fillId="13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1" fillId="0" borderId="0" xfId="9" applyFont="1" applyAlignment="1" applyProtection="1">
      <alignment wrapText="1"/>
      <protection locked="0"/>
    </xf>
    <xf numFmtId="0" fontId="11" fillId="0" borderId="0" xfId="9" applyFont="1" applyProtection="1">
      <protection locked="0"/>
    </xf>
    <xf numFmtId="0" fontId="37" fillId="12" borderId="0" xfId="18" applyFont="1" applyFill="1" applyBorder="1" applyAlignment="1">
      <alignment horizontal="left" vertical="center"/>
    </xf>
    <xf numFmtId="4" fontId="19" fillId="0" borderId="4" xfId="19" applyNumberFormat="1" applyFont="1" applyBorder="1" applyAlignment="1">
      <alignment horizontal="center" wrapText="1"/>
    </xf>
    <xf numFmtId="178" fontId="41" fillId="14" borderId="7" xfId="20" applyNumberFormat="1" applyFont="1" applyBorder="1" applyAlignment="1">
      <alignment horizontal="center" vertical="center"/>
      <protection locked="0"/>
    </xf>
    <xf numFmtId="10" fontId="41" fillId="14" borderId="7" xfId="11" applyNumberFormat="1" applyFont="1" applyFill="1" applyBorder="1" applyAlignment="1" applyProtection="1">
      <alignment horizontal="center" vertical="center"/>
      <protection locked="0"/>
    </xf>
    <xf numFmtId="179" fontId="41" fillId="14" borderId="7" xfId="11" applyNumberFormat="1" applyFont="1" applyFill="1" applyBorder="1" applyAlignment="1" applyProtection="1">
      <alignment horizontal="center" vertical="center"/>
      <protection locked="0"/>
    </xf>
    <xf numFmtId="169" fontId="26" fillId="5" borderId="1" xfId="1" applyNumberFormat="1" applyFont="1" applyFill="1" applyBorder="1" applyAlignment="1">
      <alignment vertical="center"/>
    </xf>
    <xf numFmtId="168" fontId="26" fillId="5" borderId="1" xfId="0" applyNumberFormat="1" applyFont="1" applyFill="1" applyBorder="1"/>
    <xf numFmtId="0" fontId="26" fillId="7" borderId="5" xfId="9" applyFont="1" applyFill="1" applyBorder="1" applyAlignment="1">
      <alignment vertical="center"/>
    </xf>
    <xf numFmtId="170" fontId="26" fillId="5" borderId="1" xfId="0" applyNumberFormat="1" applyFont="1" applyFill="1" applyBorder="1" applyAlignment="1">
      <alignment horizontal="center" vertical="center"/>
    </xf>
    <xf numFmtId="170" fontId="11" fillId="0" borderId="1" xfId="0" applyNumberFormat="1" applyFont="1" applyBorder="1" applyAlignment="1">
      <alignment horizontal="center" vertical="center"/>
    </xf>
    <xf numFmtId="170" fontId="33" fillId="0" borderId="1" xfId="0" applyNumberFormat="1" applyFont="1" applyBorder="1" applyAlignment="1">
      <alignment horizontal="center" vertical="center"/>
    </xf>
    <xf numFmtId="170" fontId="26" fillId="0" borderId="1" xfId="1" applyNumberFormat="1" applyFont="1" applyBorder="1" applyAlignment="1">
      <alignment vertical="center"/>
    </xf>
    <xf numFmtId="0" fontId="41" fillId="14" borderId="7" xfId="11" applyNumberFormat="1" applyFont="1" applyFill="1" applyBorder="1" applyAlignment="1" applyProtection="1">
      <alignment horizontal="center" vertical="center"/>
      <protection locked="0"/>
    </xf>
    <xf numFmtId="10" fontId="26" fillId="10" borderId="1" xfId="11" applyNumberFormat="1" applyFont="1" applyFill="1" applyBorder="1" applyAlignment="1">
      <alignment horizontal="center" vertical="center"/>
    </xf>
    <xf numFmtId="4" fontId="19" fillId="0" borderId="4" xfId="19" quotePrefix="1" applyNumberFormat="1" applyFont="1" applyBorder="1" applyAlignment="1">
      <alignment horizontal="center" wrapText="1"/>
    </xf>
    <xf numFmtId="179" fontId="19" fillId="0" borderId="8" xfId="15" applyNumberFormat="1" applyFont="1" applyFill="1" applyBorder="1" applyProtection="1"/>
    <xf numFmtId="0" fontId="48" fillId="10" borderId="0" xfId="0" applyFont="1" applyFill="1" applyAlignment="1">
      <alignment horizontal="left" vertical="center"/>
    </xf>
    <xf numFmtId="3" fontId="26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right" vertical="center"/>
    </xf>
    <xf numFmtId="37" fontId="26" fillId="0" borderId="1" xfId="0" applyNumberFormat="1" applyFont="1" applyFill="1" applyBorder="1" applyAlignment="1">
      <alignment horizontal="center" vertical="center"/>
    </xf>
    <xf numFmtId="178" fontId="41" fillId="14" borderId="7" xfId="20" applyNumberFormat="1" applyFont="1" applyFill="1" applyBorder="1" applyAlignment="1">
      <alignment horizontal="center" vertical="center"/>
      <protection locked="0"/>
    </xf>
    <xf numFmtId="180" fontId="41" fillId="14" borderId="7" xfId="20" applyNumberFormat="1" applyFont="1" applyFill="1" applyBorder="1" applyAlignment="1">
      <alignment horizontal="center" vertical="center"/>
      <protection locked="0"/>
    </xf>
    <xf numFmtId="168" fontId="26" fillId="0" borderId="1" xfId="0" applyNumberFormat="1" applyFont="1" applyFill="1" applyBorder="1" applyAlignment="1">
      <alignment horizontal="center" vertical="center"/>
    </xf>
    <xf numFmtId="170" fontId="26" fillId="0" borderId="1" xfId="0" applyNumberFormat="1" applyFont="1" applyFill="1" applyBorder="1" applyAlignment="1">
      <alignment horizontal="center" vertical="center"/>
    </xf>
    <xf numFmtId="181" fontId="41" fillId="14" borderId="7" xfId="20" applyNumberFormat="1" applyFont="1" applyBorder="1" applyAlignment="1">
      <alignment horizontal="center" vertical="center"/>
      <protection locked="0"/>
    </xf>
    <xf numFmtId="181" fontId="41" fillId="14" borderId="7" xfId="20" applyNumberFormat="1" applyFont="1" applyFill="1" applyBorder="1" applyAlignment="1">
      <alignment horizontal="center" vertical="center"/>
      <protection locked="0"/>
    </xf>
    <xf numFmtId="0" fontId="49" fillId="10" borderId="0" xfId="12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50" fillId="10" borderId="0" xfId="0" applyFont="1" applyFill="1" applyAlignment="1">
      <alignment horizontal="left" vertical="center"/>
    </xf>
    <xf numFmtId="167" fontId="26" fillId="10" borderId="1" xfId="0" applyNumberFormat="1" applyFont="1" applyFill="1" applyBorder="1" applyAlignment="1">
      <alignment horizontal="center" vertical="center"/>
    </xf>
    <xf numFmtId="3" fontId="26" fillId="10" borderId="1" xfId="1" applyNumberFormat="1" applyFont="1" applyFill="1" applyBorder="1" applyAlignment="1">
      <alignment horizontal="center" vertical="center"/>
    </xf>
    <xf numFmtId="3" fontId="26" fillId="10" borderId="1" xfId="2" applyNumberFormat="1" applyFont="1" applyFill="1" applyBorder="1" applyAlignment="1">
      <alignment horizontal="center" vertical="center"/>
    </xf>
    <xf numFmtId="177" fontId="26" fillId="10" borderId="1" xfId="0" applyNumberFormat="1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/>
    </xf>
    <xf numFmtId="170" fontId="26" fillId="10" borderId="1" xfId="11" applyNumberFormat="1" applyFont="1" applyFill="1" applyBorder="1" applyAlignment="1">
      <alignment horizontal="center" vertical="center"/>
    </xf>
    <xf numFmtId="0" fontId="26" fillId="10" borderId="0" xfId="0" applyFont="1" applyFill="1"/>
    <xf numFmtId="2" fontId="26" fillId="0" borderId="0" xfId="0" applyNumberFormat="1" applyFont="1"/>
    <xf numFmtId="178" fontId="41" fillId="14" borderId="9" xfId="20" applyNumberFormat="1" applyFont="1" applyFill="1" applyBorder="1" applyAlignment="1">
      <alignment horizontal="center" vertical="center" wrapText="1"/>
      <protection locked="0"/>
    </xf>
    <xf numFmtId="178" fontId="41" fillId="14" borderId="10" xfId="20" applyNumberFormat="1" applyFont="1" applyFill="1" applyBorder="1" applyAlignment="1">
      <alignment horizontal="center" vertical="center" wrapText="1"/>
      <protection locked="0"/>
    </xf>
  </cellXfs>
  <cellStyles count="46">
    <cellStyle name="Accent1" xfId="18" builtinId="29"/>
    <cellStyle name="Blockout 2" xfId="37" xr:uid="{9E81D55D-70EC-47DB-B186-12D6D9B1EFA8}"/>
    <cellStyle name="Comma" xfId="1" builtinId="3"/>
    <cellStyle name="Comma 2" xfId="3" xr:uid="{00000000-0005-0000-0000-000002000000}"/>
    <cellStyle name="Comma 2 2" xfId="14" xr:uid="{A62E1EA3-D681-47C9-BB06-520808197D59}"/>
    <cellStyle name="Comma 2 2 2" xfId="34" xr:uid="{392E72E5-0EDE-4D88-9680-1B945F67C6DA}"/>
    <cellStyle name="Comma 2 5" xfId="29" xr:uid="{C95B65B4-C84D-428D-8CA8-C91D67C6FE24}"/>
    <cellStyle name="Comma 3" xfId="5" xr:uid="{00000000-0005-0000-0000-000003000000}"/>
    <cellStyle name="Comma 4" xfId="17" xr:uid="{ABBA96B8-F2EC-4EE9-B975-7A7B9A95F4A9}"/>
    <cellStyle name="Comma 5" xfId="25" xr:uid="{A602C14D-2E18-4E04-A902-8E0607A4542E}"/>
    <cellStyle name="Comma 81" xfId="16" xr:uid="{718DF1FF-E755-431E-B842-A3271CCB78C3}"/>
    <cellStyle name="Currency" xfId="2" builtinId="4"/>
    <cellStyle name="Currency 2" xfId="4" xr:uid="{00000000-0005-0000-0000-000005000000}"/>
    <cellStyle name="Currency 2 2" xfId="38" xr:uid="{E7BFE998-5707-4135-9848-AC3345A8D766}"/>
    <cellStyle name="Currency 3" xfId="6" xr:uid="{00000000-0005-0000-0000-000006000000}"/>
    <cellStyle name="Currency 4" xfId="13" xr:uid="{9C62F3F8-8686-4759-BF8F-68C168C9DD84}"/>
    <cellStyle name="dms_1" xfId="7" xr:uid="{00000000-0005-0000-0000-000007000000}"/>
    <cellStyle name="Heading 3 Output" xfId="19" xr:uid="{C795EC3A-1A5C-4F7B-BCE2-649EC05005B5}"/>
    <cellStyle name="Heading 4 Assumptions" xfId="24" xr:uid="{CB8C4324-A05D-4956-987F-9C7977C77CBC}"/>
    <cellStyle name="Heading 4 Assumptions 2" xfId="20" xr:uid="{830AD566-F633-41E2-8ABD-B9233B4EF1AF}"/>
    <cellStyle name="Hyperlink" xfId="12" builtinId="8"/>
    <cellStyle name="Hyperlink 2" xfId="10" xr:uid="{00000000-0005-0000-0000-000009000000}"/>
    <cellStyle name="Normal" xfId="0" builtinId="0"/>
    <cellStyle name="Normal 10" xfId="26" xr:uid="{3242342F-BC66-480E-880E-E8548CF2253B}"/>
    <cellStyle name="Normal 11 6" xfId="23" xr:uid="{7CD97E2C-C855-4277-B493-3CDA6FD50A40}"/>
    <cellStyle name="Normal 123 2" xfId="22" xr:uid="{32BD6C72-23D4-4567-94DA-C21F3F145FAB}"/>
    <cellStyle name="Normal 13" xfId="43" xr:uid="{17254417-1AFE-4E16-905C-BE87AF79C566}"/>
    <cellStyle name="Normal 146" xfId="21" xr:uid="{82F3EAC5-2410-49E5-B80F-6AFD696BA720}"/>
    <cellStyle name="Normal 16" xfId="36" xr:uid="{1E650ADC-174E-4469-9F91-8794DB94C61C}"/>
    <cellStyle name="Normal 2" xfId="9" xr:uid="{00000000-0005-0000-0000-00000B000000}"/>
    <cellStyle name="Normal 2 2" xfId="30" xr:uid="{AA279A5A-C8D7-4FFC-839D-C69F8B3DF8DA}"/>
    <cellStyle name="Normal 2 2 2" xfId="27" xr:uid="{779AC47D-BC06-488C-A644-FFDE9BF2F65D}"/>
    <cellStyle name="Normal 20" xfId="32" xr:uid="{4C418C8D-C259-41B6-9DBE-1FE2D323326C}"/>
    <cellStyle name="Normal 23" xfId="33" xr:uid="{BDF1E29A-EEB1-4102-ACF3-4F13AE0C2B21}"/>
    <cellStyle name="Normal 3" xfId="35" xr:uid="{BB704024-26BE-4D86-935F-7ED13D5683D6}"/>
    <cellStyle name="Normal 3 2" xfId="39" xr:uid="{318DB3EF-1E06-4A45-80FD-489923AEB0F8}"/>
    <cellStyle name="Normal 4" xfId="28" xr:uid="{2627DBA5-CC23-4AD7-A70E-4B0251AC1DDB}"/>
    <cellStyle name="Normal 4 2" xfId="40" xr:uid="{9D5BE676-6DC3-48C4-B564-4DA14CDE25AA}"/>
    <cellStyle name="Normal 4 2 2" xfId="42" xr:uid="{050D9EDC-2E6C-4CE2-A9E8-E765514076F4}"/>
    <cellStyle name="Normal 5" xfId="41" xr:uid="{B6B101FF-043B-4AD1-B7B1-D70DF89D4883}"/>
    <cellStyle name="Normal 6" xfId="44" xr:uid="{1A6AD2BE-8FCB-4146-9BB7-EC0848A14140}"/>
    <cellStyle name="Normal 7" xfId="45" xr:uid="{EF2E4F81-E10A-4082-9FD9-42EF6BC12AEE}"/>
    <cellStyle name="Percent" xfId="11" builtinId="5"/>
    <cellStyle name="Percent 2" xfId="15" xr:uid="{1A0322E6-0478-4101-AFA6-7E9703E2AD34}"/>
    <cellStyle name="RIN_TB2" xfId="8" xr:uid="{00000000-0005-0000-0000-00000D000000}"/>
    <cellStyle name="TableLvl3" xfId="31" xr:uid="{29B83641-D10F-4838-8B97-6D99675D16C2}"/>
  </cellStyles>
  <dxfs count="0"/>
  <tableStyles count="0" defaultTableStyle="TableStyleMedium2" defaultPivotStyle="PivotStyleLight16"/>
  <colors>
    <mruColors>
      <color rgb="FFFF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22414</xdr:colOff>
      <xdr:row>5</xdr:row>
      <xdr:rowOff>145677</xdr:rowOff>
    </xdr:from>
    <xdr:to>
      <xdr:col>6</xdr:col>
      <xdr:colOff>65154</xdr:colOff>
      <xdr:row>9</xdr:row>
      <xdr:rowOff>33618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49" y="1568824"/>
          <a:ext cx="2586476" cy="119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124558</xdr:colOff>
      <xdr:row>2</xdr:row>
      <xdr:rowOff>117230</xdr:rowOff>
    </xdr:from>
    <xdr:to>
      <xdr:col>18</xdr:col>
      <xdr:colOff>1647</xdr:colOff>
      <xdr:row>46</xdr:row>
      <xdr:rowOff>136754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CEBC21-ADC5-494B-AC8C-5E0FD4339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09385" y="410307"/>
          <a:ext cx="4134031" cy="6467216"/>
        </a:xfrm>
        <a:prstGeom prst="rect">
          <a:avLst/>
        </a:prstGeom>
      </xdr:spPr>
    </xdr:pic>
    <xdr:clientData/>
  </xdr:twoCellAnchor>
  <xdr:twoCellAnchor editAs="oneCell">
    <xdr:from>
      <xdr:col>17</xdr:col>
      <xdr:colOff>542925</xdr:colOff>
      <xdr:row>2</xdr:row>
      <xdr:rowOff>123825</xdr:rowOff>
    </xdr:from>
    <xdr:to>
      <xdr:col>24</xdr:col>
      <xdr:colOff>522639</xdr:colOff>
      <xdr:row>50</xdr:row>
      <xdr:rowOff>89061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7B7605-7FDF-469C-8A7B-F8495EF54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44775" y="409575"/>
          <a:ext cx="4243739" cy="6830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1236036</xdr:colOff>
      <xdr:row>0</xdr:row>
      <xdr:rowOff>63690</xdr:rowOff>
    </xdr:from>
    <xdr:to>
      <xdr:col>13</xdr:col>
      <xdr:colOff>307590</xdr:colOff>
      <xdr:row>38</xdr:row>
      <xdr:rowOff>12206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4971" y="63690"/>
          <a:ext cx="3990292" cy="5473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aer.gov.au/system/files/2024-12/2024-12-18%20AER%20-%20Final%20report%20-%202024%20VCR%20review_0.pdf" TargetMode="External"/><Relationship Id="rId1" Type="http://schemas.openxmlformats.org/officeDocument/2006/relationships/hyperlink" Target="https://www.aer.gov.au/documents/2024-12-18-aer-final-report-2024-vcr-review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J32"/>
  <sheetViews>
    <sheetView showGridLines="0" zoomScale="85" zoomScaleNormal="85" workbookViewId="0">
      <selection activeCell="U15" sqref="U15"/>
    </sheetView>
  </sheetViews>
  <sheetFormatPr defaultColWidth="8.85546875" defaultRowHeight="15"/>
  <cols>
    <col min="1" max="4" width="9.140625" customWidth="1"/>
    <col min="5" max="5" width="11.140625" customWidth="1"/>
    <col min="8" max="8" width="7.140625" customWidth="1"/>
    <col min="13" max="13" width="10.5703125" bestFit="1" customWidth="1"/>
    <col min="19" max="19" width="10.7109375" customWidth="1"/>
    <col min="20" max="20" width="13.28515625" customWidth="1"/>
  </cols>
  <sheetData>
    <row r="1" spans="1:36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36" ht="46.5">
      <c r="C2" s="11"/>
      <c r="D2" s="11"/>
      <c r="E2" s="11"/>
      <c r="F2" s="11"/>
      <c r="G2" s="11"/>
      <c r="H2" s="11"/>
      <c r="I2" s="11"/>
      <c r="J2" s="27" t="s">
        <v>28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6" ht="20.25">
      <c r="C3" s="11"/>
      <c r="D3" s="11"/>
      <c r="E3" s="11"/>
      <c r="F3" s="11"/>
      <c r="G3" s="11"/>
      <c r="H3" s="11"/>
      <c r="I3" s="11"/>
      <c r="J3" s="28" t="s">
        <v>27</v>
      </c>
      <c r="K3" s="11"/>
      <c r="L3" s="11"/>
      <c r="M3" s="11"/>
      <c r="N3" s="11"/>
      <c r="O3" s="11"/>
      <c r="P3" s="11"/>
      <c r="Q3" s="11"/>
      <c r="R3" s="11"/>
      <c r="S3" s="28" t="s">
        <v>124</v>
      </c>
      <c r="T3" s="11"/>
      <c r="U3" s="28" t="s">
        <v>74</v>
      </c>
      <c r="V3" s="11"/>
      <c r="W3" s="11"/>
      <c r="X3" s="11"/>
      <c r="Y3" s="11"/>
      <c r="Z3" s="11"/>
      <c r="AA3" s="11"/>
    </row>
    <row r="4" spans="1:36"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36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8" spans="1:36" ht="52.5">
      <c r="I8" s="6"/>
      <c r="J8" s="7"/>
    </row>
    <row r="9" spans="1:36" ht="20.25">
      <c r="L9" s="8"/>
      <c r="M9" s="9"/>
    </row>
    <row r="11" spans="1:36" ht="44.25">
      <c r="A11" s="1"/>
      <c r="B11" s="1"/>
      <c r="C11" s="1"/>
      <c r="E11" s="2"/>
      <c r="F11" s="3"/>
      <c r="H11" s="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36" s="5" customFormat="1" ht="12.75">
      <c r="A12" s="2"/>
      <c r="B12" s="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36" s="5" customFormat="1" ht="13.5" customHeight="1">
      <c r="A13" s="2"/>
      <c r="B13" s="2"/>
      <c r="C13" s="2"/>
      <c r="D13" s="18"/>
      <c r="E13" s="19"/>
      <c r="F13" s="19"/>
      <c r="G13" s="20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36" s="49" customFormat="1" ht="18" customHeight="1">
      <c r="A14" s="2"/>
      <c r="B14" s="2"/>
      <c r="C14" s="50" t="s">
        <v>49</v>
      </c>
      <c r="D14" s="43"/>
      <c r="E14" s="43"/>
      <c r="F14" s="43"/>
      <c r="G14" s="43"/>
      <c r="H14" s="43"/>
      <c r="I14" s="43"/>
      <c r="J14" s="43"/>
      <c r="K14" s="43"/>
      <c r="L14" s="44"/>
      <c r="M14" s="44"/>
      <c r="N14" s="44"/>
      <c r="O14" s="44"/>
      <c r="P14" s="45"/>
      <c r="Q14" s="46"/>
      <c r="R14" s="45"/>
      <c r="S14" s="46"/>
      <c r="T14" s="45"/>
      <c r="U14" s="45"/>
      <c r="V14" s="45"/>
      <c r="W14" s="45"/>
      <c r="X14" s="45"/>
      <c r="Y14" s="45"/>
      <c r="Z14" s="45"/>
      <c r="AA14" s="45"/>
      <c r="AB14" s="5"/>
      <c r="AC14" s="5"/>
      <c r="AD14" s="47"/>
      <c r="AE14" s="47"/>
      <c r="AF14" s="47"/>
      <c r="AG14" s="47"/>
      <c r="AH14" s="47"/>
      <c r="AI14" s="48"/>
      <c r="AJ14" s="48"/>
    </row>
    <row r="15" spans="1:36" s="5" customFormat="1" ht="12.75">
      <c r="A15" s="2"/>
      <c r="B15" s="2"/>
      <c r="C15" s="2"/>
      <c r="D15" s="22"/>
      <c r="E15" s="23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36" s="5" customFormat="1">
      <c r="A16" s="2"/>
      <c r="B16" s="2"/>
      <c r="C16" s="59"/>
      <c r="D16" s="21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3" s="54" customFormat="1" ht="23.25" customHeight="1">
      <c r="A17" s="51"/>
      <c r="B17" s="51"/>
      <c r="C17" s="58" t="s">
        <v>50</v>
      </c>
      <c r="D17" s="52"/>
      <c r="E17" s="53"/>
      <c r="F17" s="53"/>
      <c r="G17" s="53"/>
      <c r="H17" s="67" t="s">
        <v>68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</row>
    <row r="18" spans="1:23" s="54" customFormat="1" ht="23.25" customHeight="1">
      <c r="A18" s="51"/>
      <c r="B18" s="51"/>
      <c r="C18" s="58" t="s">
        <v>51</v>
      </c>
      <c r="D18" s="52"/>
      <c r="E18" s="55"/>
      <c r="F18" s="53"/>
      <c r="G18" s="53"/>
      <c r="H18" s="67" t="s">
        <v>69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spans="1:23" s="54" customFormat="1" ht="23.25" customHeight="1">
      <c r="A19" s="51"/>
      <c r="B19" s="51"/>
      <c r="C19" s="58" t="s">
        <v>52</v>
      </c>
      <c r="D19" s="56"/>
      <c r="E19" s="57"/>
      <c r="F19" s="53"/>
      <c r="G19" s="53"/>
      <c r="H19" s="67" t="s">
        <v>70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</row>
    <row r="20" spans="1:23" s="54" customFormat="1" ht="23.25" customHeight="1">
      <c r="A20" s="51"/>
      <c r="B20" s="51"/>
      <c r="C20" s="58" t="s">
        <v>53</v>
      </c>
      <c r="D20" s="52"/>
      <c r="E20" s="53"/>
      <c r="F20" s="53"/>
      <c r="G20" s="53"/>
      <c r="H20" s="67" t="s">
        <v>71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1:23" s="54" customFormat="1" ht="23.25" customHeight="1">
      <c r="A21" s="51"/>
      <c r="B21" s="51"/>
      <c r="C21" s="58" t="s">
        <v>54</v>
      </c>
      <c r="D21" s="52"/>
      <c r="E21" s="53"/>
      <c r="F21" s="53"/>
      <c r="G21" s="53"/>
      <c r="H21" s="68" t="s">
        <v>72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3" s="5" customFormat="1">
      <c r="A22" s="2"/>
      <c r="B22" s="2"/>
      <c r="C22" s="59"/>
      <c r="D22" s="21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3" s="5" customFormat="1">
      <c r="A23" s="2"/>
      <c r="B23" s="2"/>
      <c r="C23" s="59"/>
      <c r="D23" s="16"/>
      <c r="E23" s="16"/>
      <c r="F23" s="16"/>
      <c r="G23" s="1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5"/>
      <c r="V23" s="15"/>
    </row>
    <row r="24" spans="1:23" ht="15.75">
      <c r="A24" s="1"/>
      <c r="B24" s="1"/>
      <c r="C24" s="60"/>
      <c r="D24" s="16"/>
      <c r="E24" s="16"/>
      <c r="F24" s="16"/>
      <c r="G24" s="1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3" ht="15.75">
      <c r="A25" s="1"/>
      <c r="B25" s="1"/>
      <c r="C25" s="60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3">
      <c r="A26" s="1"/>
      <c r="B26" s="1"/>
      <c r="C26" s="1"/>
      <c r="D26" s="22"/>
      <c r="E26" s="25"/>
      <c r="F26" s="15"/>
      <c r="G26" s="15"/>
      <c r="H26" s="1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3">
      <c r="A27" s="1"/>
      <c r="B27" s="1"/>
      <c r="C27" s="1"/>
      <c r="D27" s="21"/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3">
      <c r="A28" s="1"/>
      <c r="B28" s="1"/>
      <c r="C28" s="1"/>
      <c r="D28" s="21"/>
      <c r="E28" s="15"/>
      <c r="F28" s="15"/>
      <c r="G28" s="15"/>
      <c r="H28" s="15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6"/>
      <c r="T28" s="26"/>
      <c r="U28" s="26"/>
      <c r="V28" s="26"/>
      <c r="W28" s="1"/>
    </row>
    <row r="29" spans="1:23"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3">
      <c r="D30" s="22"/>
      <c r="E30" s="25"/>
      <c r="F30" s="15"/>
      <c r="G30" s="15"/>
      <c r="H30" s="15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3">
      <c r="D31" s="14"/>
      <c r="E31" s="5"/>
      <c r="F31" s="5"/>
      <c r="G31" s="5"/>
      <c r="H31" s="5"/>
    </row>
    <row r="32" spans="1:23">
      <c r="D32" s="14"/>
      <c r="E32" s="5"/>
      <c r="F32" s="5"/>
      <c r="G32" s="5"/>
      <c r="H32" s="5"/>
    </row>
  </sheetData>
  <hyperlinks>
    <hyperlink ref="C17" location="'Output | Decision tables'!A1" display="Output | Decision tables" xr:uid="{672C25E1-6E75-4E0B-A85C-CCDAB0223800}"/>
    <hyperlink ref="C18" location="'STPIS inputs'!A1" display="STPIS inputs" xr:uid="{B177C3D9-5880-494B-9D4C-F58BF4285284}"/>
    <hyperlink ref="C19" location="'Annual performance and targets'!A1" display="Annual performance and targets" xr:uid="{E5D20C0B-C496-463C-9A36-A7E8C9693B62}"/>
    <hyperlink ref="C20" location="'Incentive rates calc'!A1" display="Incentive rates calculations" xr:uid="{15870546-0A90-4BB3-906E-574CEE21D747}"/>
    <hyperlink ref="C21" location="'Change log'!A1" display="Change log" xr:uid="{530A2456-6366-4588-B183-273E9DE0E297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1:K29"/>
  <sheetViews>
    <sheetView showGridLines="0" tabSelected="1" zoomScale="110" zoomScaleNormal="110" workbookViewId="0">
      <selection activeCell="E18" sqref="E18"/>
    </sheetView>
  </sheetViews>
  <sheetFormatPr defaultColWidth="9.140625" defaultRowHeight="11.25"/>
  <cols>
    <col min="1" max="1" width="9.140625" style="90"/>
    <col min="2" max="2" width="52.5703125" style="90" customWidth="1"/>
    <col min="3" max="3" width="24.5703125" style="120" bestFit="1" customWidth="1"/>
    <col min="4" max="6" width="18.42578125" style="90" customWidth="1"/>
    <col min="7" max="7" width="13.5703125" style="90" customWidth="1"/>
    <col min="8" max="8" width="13.42578125" style="90" customWidth="1"/>
    <col min="9" max="10" width="9.5703125" style="90" bestFit="1" customWidth="1"/>
    <col min="11" max="12" width="12.42578125" style="90" bestFit="1" customWidth="1"/>
    <col min="13" max="16384" width="9.140625" style="90"/>
  </cols>
  <sheetData>
    <row r="1" spans="2:11" ht="12.6" customHeight="1"/>
    <row r="2" spans="2:11" ht="12.6" customHeight="1">
      <c r="B2" s="69" t="s">
        <v>75</v>
      </c>
      <c r="C2" s="69"/>
      <c r="D2" s="69"/>
      <c r="E2" s="69"/>
      <c r="F2" s="69"/>
    </row>
    <row r="3" spans="2:11" ht="12.6" customHeight="1"/>
    <row r="4" spans="2:11" s="70" customFormat="1" ht="12.6" customHeight="1">
      <c r="B4" s="116" t="s">
        <v>21</v>
      </c>
      <c r="C4" s="105" t="s">
        <v>79</v>
      </c>
    </row>
    <row r="5" spans="2:11" s="70" customFormat="1" ht="12.6" customHeight="1">
      <c r="B5" s="116" t="s">
        <v>3</v>
      </c>
      <c r="C5" s="117">
        <v>2.5</v>
      </c>
      <c r="D5" s="81" t="s">
        <v>32</v>
      </c>
    </row>
    <row r="6" spans="2:11" s="70" customFormat="1" ht="12.6" customHeight="1">
      <c r="B6" s="116" t="s">
        <v>22</v>
      </c>
      <c r="C6" s="118"/>
      <c r="D6" s="118" t="s">
        <v>1</v>
      </c>
      <c r="E6" s="118" t="s">
        <v>13</v>
      </c>
      <c r="F6" s="118" t="s">
        <v>14</v>
      </c>
    </row>
    <row r="7" spans="2:11" s="70" customFormat="1" ht="12.6" customHeight="1">
      <c r="B7" s="116" t="s">
        <v>43</v>
      </c>
      <c r="C7" s="118" t="s">
        <v>80</v>
      </c>
    </row>
    <row r="8" spans="2:11" ht="12.6" customHeight="1">
      <c r="B8" s="119"/>
    </row>
    <row r="9" spans="2:11" s="70" customFormat="1" ht="12.6" customHeight="1">
      <c r="B9" s="69" t="s">
        <v>23</v>
      </c>
      <c r="C9" s="69"/>
      <c r="D9" s="69"/>
      <c r="E9" s="69"/>
      <c r="F9" s="69"/>
    </row>
    <row r="10" spans="2:11" ht="12.6" customHeight="1"/>
    <row r="11" spans="2:11" s="121" customFormat="1" ht="12.6" customHeight="1">
      <c r="B11" s="121" t="s">
        <v>126</v>
      </c>
      <c r="C11" s="122"/>
    </row>
    <row r="12" spans="2:11" s="70" customFormat="1" ht="12.6" customHeight="1">
      <c r="B12" s="123" t="s">
        <v>0</v>
      </c>
      <c r="C12" s="71"/>
      <c r="D12" s="71" t="s">
        <v>1</v>
      </c>
      <c r="E12" s="71" t="s">
        <v>13</v>
      </c>
      <c r="F12" s="71" t="s">
        <v>14</v>
      </c>
    </row>
    <row r="13" spans="2:11" s="70" customFormat="1" ht="12.6" customHeight="1">
      <c r="B13" s="127" t="s">
        <v>44</v>
      </c>
      <c r="C13" s="128"/>
      <c r="D13" s="128">
        <f>'Annual performance and targets'!$R$42</f>
        <v>122.09502269741753</v>
      </c>
      <c r="E13" s="128">
        <f>'Annual performance and targets'!$R$43</f>
        <v>280.02544680425757</v>
      </c>
      <c r="F13" s="128">
        <f>'Annual performance and targets'!$R$44</f>
        <v>789.39800995457085</v>
      </c>
      <c r="H13" s="126"/>
      <c r="I13" s="126"/>
      <c r="J13" s="126"/>
      <c r="K13" s="126"/>
    </row>
    <row r="14" spans="2:11" s="70" customFormat="1" ht="12.6" customHeight="1">
      <c r="B14" s="127" t="s">
        <v>121</v>
      </c>
      <c r="C14" s="128"/>
      <c r="D14" s="128">
        <f>'Annual performance and targets'!$I$42</f>
        <v>1.2168743937717277</v>
      </c>
      <c r="E14" s="128">
        <f>'Annual performance and targets'!$I$43</f>
        <v>2.3538358618014019</v>
      </c>
      <c r="F14" s="128">
        <f>'Annual performance and targets'!$I$44</f>
        <v>4.5277473082172035</v>
      </c>
      <c r="H14" s="126"/>
      <c r="I14" s="126"/>
      <c r="J14" s="126"/>
    </row>
    <row r="15" spans="2:11" ht="12.6" customHeight="1"/>
    <row r="16" spans="2:11" s="121" customFormat="1" ht="12.6" customHeight="1">
      <c r="B16" s="121" t="s">
        <v>127</v>
      </c>
      <c r="C16" s="122"/>
    </row>
    <row r="17" spans="2:7" s="70" customFormat="1" ht="12.6" customHeight="1">
      <c r="B17" s="123" t="s">
        <v>0</v>
      </c>
      <c r="C17" s="71"/>
      <c r="D17" s="71" t="s">
        <v>1</v>
      </c>
      <c r="E17" s="71" t="s">
        <v>13</v>
      </c>
      <c r="F17" s="71" t="s">
        <v>14</v>
      </c>
    </row>
    <row r="18" spans="2:7" s="70" customFormat="1" ht="12.6" customHeight="1">
      <c r="B18" s="124" t="s">
        <v>86</v>
      </c>
      <c r="C18" s="125"/>
      <c r="D18" s="180">
        <f>'Incentive rates calc'!$D$12</f>
        <v>9.8763228111457737E-3</v>
      </c>
      <c r="E18" s="180">
        <f>'Incentive rates calc'!$E$12</f>
        <v>1.2883992433817276E-2</v>
      </c>
      <c r="F18" s="180">
        <f>'Incentive rates calc'!$F$12</f>
        <v>2.6006035211429647E-3</v>
      </c>
      <c r="G18" s="162"/>
    </row>
    <row r="19" spans="2:7" s="70" customFormat="1" ht="12.6" customHeight="1">
      <c r="B19" s="124" t="s">
        <v>87</v>
      </c>
      <c r="C19" s="125"/>
      <c r="D19" s="180">
        <f>'Incentive rates calc'!$D$13</f>
        <v>0.66062685623962059</v>
      </c>
      <c r="E19" s="180">
        <f>'Incentive rates calc'!$E$13</f>
        <v>1.0218344154609702</v>
      </c>
      <c r="F19" s="180">
        <f>'Incentive rates calc'!$F$13</f>
        <v>0.30227117438663453</v>
      </c>
    </row>
    <row r="20" spans="2:7" s="70" customFormat="1" ht="12.6" customHeight="1">
      <c r="B20" s="129"/>
      <c r="C20" s="130"/>
      <c r="D20" s="130"/>
      <c r="E20" s="130"/>
      <c r="F20" s="130"/>
    </row>
    <row r="21" spans="2:7" s="70" customFormat="1" ht="12.6" customHeight="1">
      <c r="B21" s="121" t="s">
        <v>82</v>
      </c>
      <c r="C21" s="122"/>
      <c r="D21" s="121"/>
      <c r="E21" s="121"/>
      <c r="F21" s="121"/>
    </row>
    <row r="22" spans="2:7" s="70" customFormat="1" ht="12.6" customHeight="1">
      <c r="B22" s="123"/>
      <c r="C22" s="71"/>
      <c r="D22" s="71" t="s">
        <v>83</v>
      </c>
      <c r="E22" s="71" t="s">
        <v>84</v>
      </c>
      <c r="F22" s="71"/>
    </row>
    <row r="23" spans="2:7" s="70" customFormat="1" ht="12.6" customHeight="1">
      <c r="B23" s="131" t="s">
        <v>85</v>
      </c>
      <c r="C23" s="132"/>
      <c r="D23" s="128">
        <v>-0.04</v>
      </c>
      <c r="E23" s="159">
        <f>'Annual performance and targets'!I41</f>
        <v>0.85755907425555566</v>
      </c>
      <c r="F23" s="132"/>
    </row>
    <row r="24" spans="2:7" s="70" customFormat="1" ht="12.6" customHeight="1">
      <c r="C24" s="84"/>
    </row>
    <row r="25" spans="2:7" s="121" customFormat="1" ht="12.6" customHeight="1">
      <c r="B25" s="121" t="s">
        <v>42</v>
      </c>
      <c r="C25" s="122"/>
    </row>
    <row r="26" spans="2:7" s="70" customFormat="1" ht="12.6" customHeight="1">
      <c r="B26" s="123"/>
      <c r="C26" s="71"/>
      <c r="D26" s="71" t="s">
        <v>1</v>
      </c>
      <c r="E26" s="71" t="s">
        <v>13</v>
      </c>
      <c r="F26" s="71" t="s">
        <v>14</v>
      </c>
    </row>
    <row r="27" spans="2:7" s="70" customFormat="1" ht="12.6" customHeight="1">
      <c r="B27" s="131" t="s">
        <v>66</v>
      </c>
      <c r="C27" s="132"/>
      <c r="D27" s="132">
        <f>'STPIS inputs'!D9*(1+'Incentive rates calc'!D11)</f>
        <v>25805.535585909423</v>
      </c>
      <c r="E27" s="132">
        <f>'STPIS inputs'!E9*(1+'Incentive rates calc'!E11)</f>
        <v>25805.535585909423</v>
      </c>
      <c r="F27" s="132">
        <f>'STPIS inputs'!F9*(1+'Incentive rates calc'!F11)</f>
        <v>25805.535585909423</v>
      </c>
    </row>
    <row r="29" spans="2:7">
      <c r="B29" s="13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CECA-5806-416B-9FB7-A6F3110A0AC7}">
  <dimension ref="A2:G31"/>
  <sheetViews>
    <sheetView showGridLines="0" zoomScale="130" zoomScaleNormal="130" workbookViewId="0">
      <selection activeCell="F35" sqref="F35"/>
    </sheetView>
  </sheetViews>
  <sheetFormatPr defaultColWidth="9.140625" defaultRowHeight="11.25"/>
  <cols>
    <col min="1" max="1" width="56" style="90" bestFit="1" customWidth="1"/>
    <col min="2" max="3" width="10.5703125" style="90" bestFit="1" customWidth="1"/>
    <col min="4" max="4" width="11.140625" style="90" bestFit="1" customWidth="1"/>
    <col min="5" max="5" width="10.5703125" style="90" bestFit="1" customWidth="1"/>
    <col min="6" max="6" width="12.85546875" style="90" customWidth="1"/>
    <col min="7" max="16384" width="9.140625" style="90"/>
  </cols>
  <sheetData>
    <row r="2" spans="1:7">
      <c r="A2" s="146" t="s">
        <v>95</v>
      </c>
    </row>
    <row r="3" spans="1:7">
      <c r="A3" s="142" t="s">
        <v>96</v>
      </c>
      <c r="B3" s="147" t="s">
        <v>9</v>
      </c>
      <c r="C3" s="147" t="s">
        <v>10</v>
      </c>
      <c r="D3" s="147" t="s">
        <v>11</v>
      </c>
      <c r="E3" s="147" t="s">
        <v>15</v>
      </c>
      <c r="F3" s="147" t="s">
        <v>119</v>
      </c>
      <c r="G3" s="147" t="s">
        <v>118</v>
      </c>
    </row>
    <row r="4" spans="1:7">
      <c r="A4" s="143" t="s">
        <v>97</v>
      </c>
      <c r="B4" s="148"/>
      <c r="C4" s="148"/>
      <c r="D4" s="148"/>
      <c r="E4" s="148"/>
      <c r="F4" s="166"/>
      <c r="G4" s="183" t="s">
        <v>130</v>
      </c>
    </row>
    <row r="5" spans="1:7">
      <c r="A5" s="143" t="s">
        <v>98</v>
      </c>
      <c r="B5" s="170">
        <v>121.662286261365</v>
      </c>
      <c r="C5" s="170">
        <v>113.251103655319</v>
      </c>
      <c r="D5" s="170">
        <v>130.08354836716541</v>
      </c>
      <c r="E5" s="170">
        <v>108.23096374159158</v>
      </c>
      <c r="F5" s="171">
        <v>130.62367730029999</v>
      </c>
      <c r="G5" s="184"/>
    </row>
    <row r="6" spans="1:7">
      <c r="A6" s="143" t="s">
        <v>99</v>
      </c>
      <c r="B6" s="170">
        <v>260.76956996512303</v>
      </c>
      <c r="C6" s="170">
        <v>265.85338173429301</v>
      </c>
      <c r="D6" s="170">
        <v>305.15925508752645</v>
      </c>
      <c r="E6" s="170">
        <v>283.47740667238872</v>
      </c>
      <c r="F6" s="171">
        <v>278.24408640061</v>
      </c>
      <c r="G6" s="184"/>
    </row>
    <row r="7" spans="1:7">
      <c r="A7" s="143" t="s">
        <v>100</v>
      </c>
      <c r="B7" s="170">
        <v>750.69244381566898</v>
      </c>
      <c r="C7" s="170">
        <v>706.58822327564997</v>
      </c>
      <c r="D7" s="170">
        <v>907.2818204753122</v>
      </c>
      <c r="E7" s="170">
        <v>761.93437667369619</v>
      </c>
      <c r="F7" s="171">
        <v>813.86965137118</v>
      </c>
      <c r="G7" s="184"/>
    </row>
    <row r="8" spans="1:7">
      <c r="A8" s="143" t="s">
        <v>123</v>
      </c>
      <c r="B8" s="170">
        <v>0.85127883932243942</v>
      </c>
      <c r="C8" s="170">
        <v>0.87319999999999998</v>
      </c>
      <c r="D8" s="170">
        <v>0.88534999999999997</v>
      </c>
      <c r="E8" s="170">
        <v>0.84921772484102154</v>
      </c>
      <c r="F8" s="171">
        <v>0.82874880711431775</v>
      </c>
      <c r="G8" s="184"/>
    </row>
    <row r="9" spans="1:7">
      <c r="A9" s="143" t="s">
        <v>101</v>
      </c>
      <c r="B9" s="170"/>
      <c r="C9" s="170"/>
      <c r="D9" s="170"/>
      <c r="E9" s="170"/>
      <c r="F9" s="171"/>
      <c r="G9" s="184"/>
    </row>
    <row r="10" spans="1:7">
      <c r="A10" s="143" t="s">
        <v>102</v>
      </c>
      <c r="B10" s="170">
        <v>1.2940320557740099</v>
      </c>
      <c r="C10" s="170">
        <v>1.1138170368953</v>
      </c>
      <c r="D10" s="170">
        <v>1.2420348393604594</v>
      </c>
      <c r="E10" s="170">
        <v>1.146976322950428</v>
      </c>
      <c r="F10" s="171">
        <v>1.2456196112669</v>
      </c>
      <c r="G10" s="184"/>
    </row>
    <row r="11" spans="1:7">
      <c r="A11" s="143" t="s">
        <v>103</v>
      </c>
      <c r="B11" s="170">
        <v>2.3320137603547599</v>
      </c>
      <c r="C11" s="170">
        <v>2.3976565841954498</v>
      </c>
      <c r="D11" s="170">
        <v>2.477223780397189</v>
      </c>
      <c r="E11" s="170">
        <v>2.2859435979874716</v>
      </c>
      <c r="F11" s="171">
        <v>2.2344494834606001</v>
      </c>
      <c r="G11" s="184"/>
    </row>
    <row r="12" spans="1:7">
      <c r="A12" s="143" t="s">
        <v>104</v>
      </c>
      <c r="B12" s="170">
        <v>4.6519601567101097</v>
      </c>
      <c r="C12" s="170">
        <v>4.5472385758340303</v>
      </c>
      <c r="D12" s="170">
        <v>4.8253005151688608</v>
      </c>
      <c r="E12" s="170">
        <v>4.392937838923479</v>
      </c>
      <c r="F12" s="171">
        <v>4.1794073518379999</v>
      </c>
      <c r="G12" s="184"/>
    </row>
    <row r="13" spans="1:7">
      <c r="B13" s="111" t="s">
        <v>94</v>
      </c>
    </row>
    <row r="16" spans="1:7">
      <c r="A16" s="146" t="s">
        <v>120</v>
      </c>
      <c r="B16" s="147" t="s">
        <v>9</v>
      </c>
      <c r="C16" s="147" t="s">
        <v>10</v>
      </c>
      <c r="D16" s="147" t="s">
        <v>11</v>
      </c>
      <c r="E16" s="147" t="s">
        <v>15</v>
      </c>
      <c r="F16" s="160" t="s">
        <v>78</v>
      </c>
      <c r="G16" s="90" t="s">
        <v>105</v>
      </c>
    </row>
    <row r="17" spans="1:7">
      <c r="A17" s="144" t="s">
        <v>106</v>
      </c>
      <c r="B17" s="150">
        <v>2.1885806707990028E-2</v>
      </c>
      <c r="C17" s="150">
        <v>1.4738079843010555E-2</v>
      </c>
      <c r="D17" s="150">
        <v>-1.4573252192072483E-2</v>
      </c>
      <c r="E17" s="150">
        <v>1.0770516350000016E-2</v>
      </c>
      <c r="F17" s="150">
        <v>5.4259239522062609E-3</v>
      </c>
    </row>
    <row r="18" spans="1:7">
      <c r="A18" s="145" t="s">
        <v>107</v>
      </c>
      <c r="B18" s="150">
        <v>1.7999999999999999E-2</v>
      </c>
      <c r="C18" s="150">
        <v>1.7999999999999999E-2</v>
      </c>
      <c r="D18" s="150">
        <v>1.7999999999999999E-2</v>
      </c>
      <c r="E18" s="150">
        <v>1.7999999999999999E-2</v>
      </c>
      <c r="F18" s="150">
        <v>1.7999999999999999E-2</v>
      </c>
    </row>
    <row r="19" spans="1:7">
      <c r="A19" s="145" t="s">
        <v>108</v>
      </c>
      <c r="B19" s="150">
        <f>IF(B17&gt;B18,B17-B18,0)</f>
        <v>3.8858067079900298E-3</v>
      </c>
      <c r="C19" s="150">
        <f>IF(C17&gt;C18,C17-C18,0)</f>
        <v>0</v>
      </c>
      <c r="D19" s="150">
        <f>IF(D17&gt;D18,D17-D18,0)</f>
        <v>0</v>
      </c>
      <c r="E19" s="150">
        <f>IF(E17&gt;E18,E17-E18,0)</f>
        <v>0</v>
      </c>
      <c r="F19" s="150">
        <f>IF(F17&gt;F18,F17-F18,0)</f>
        <v>0</v>
      </c>
      <c r="G19" s="161">
        <f>SUM(B19:E19)</f>
        <v>3.8858067079900298E-3</v>
      </c>
    </row>
    <row r="22" spans="1:7">
      <c r="A22" s="15" t="s">
        <v>109</v>
      </c>
      <c r="B22" s="148"/>
      <c r="C22" s="149"/>
      <c r="D22" s="149">
        <f>G19</f>
        <v>3.8858067079900298E-3</v>
      </c>
      <c r="E22" s="149"/>
      <c r="F22" s="111"/>
      <c r="G22" s="111"/>
    </row>
    <row r="23" spans="1:7">
      <c r="A23" s="15" t="s">
        <v>110</v>
      </c>
      <c r="B23" s="148"/>
      <c r="C23" s="149"/>
      <c r="D23" s="149">
        <f>D22*0.6</f>
        <v>2.331484024794018E-3</v>
      </c>
      <c r="E23" s="149"/>
    </row>
    <row r="24" spans="1:7">
      <c r="A24" s="15" t="s">
        <v>111</v>
      </c>
      <c r="B24" s="148"/>
      <c r="C24" s="149"/>
      <c r="D24" s="149">
        <f>D22*0.4</f>
        <v>1.554322683196012E-3</v>
      </c>
      <c r="E24" s="149"/>
    </row>
    <row r="25" spans="1:7">
      <c r="A25" s="15" t="s">
        <v>112</v>
      </c>
      <c r="B25" s="148"/>
      <c r="C25" s="158">
        <v>1.5900000000000001E-2</v>
      </c>
      <c r="D25" s="158">
        <v>1.5900000000000001E-2</v>
      </c>
      <c r="E25" s="158">
        <v>3.3999999999999998E-3</v>
      </c>
      <c r="F25" s="111" t="s">
        <v>117</v>
      </c>
    </row>
    <row r="26" spans="1:7">
      <c r="A26" s="15" t="s">
        <v>115</v>
      </c>
      <c r="B26" s="148"/>
      <c r="C26" s="149">
        <f>$D23*C$25/(SUM($C$25:$E$25))</f>
        <v>1.0531419316541161E-3</v>
      </c>
      <c r="D26" s="149">
        <f>$D23*D$25/(SUM($C$25:$E$25))</f>
        <v>1.0531419316541161E-3</v>
      </c>
      <c r="E26" s="149">
        <f>$D23*E$25/(SUM($C$25:$E$25))</f>
        <v>2.2520016148578582E-4</v>
      </c>
    </row>
    <row r="27" spans="1:7">
      <c r="A27" s="15" t="s">
        <v>113</v>
      </c>
      <c r="B27" s="148"/>
      <c r="C27" s="158">
        <v>1.3823000000000001</v>
      </c>
      <c r="D27" s="158">
        <v>1.8112999999999999</v>
      </c>
      <c r="E27" s="158">
        <v>0.51670000000000005</v>
      </c>
      <c r="F27" s="111" t="s">
        <v>117</v>
      </c>
    </row>
    <row r="28" spans="1:7">
      <c r="A28" s="15" t="s">
        <v>116</v>
      </c>
      <c r="B28" s="148"/>
      <c r="C28" s="149">
        <f>$D24*C$27/SUM($C$27:$E$27)</f>
        <v>5.7907453439933366E-4</v>
      </c>
      <c r="D28" s="149">
        <f>$D24*D$27/SUM($C$27:$E$27)</f>
        <v>7.5879165460284511E-4</v>
      </c>
      <c r="E28" s="149">
        <f>$D24*E$27/SUM($C$27:$E$27)</f>
        <v>2.1645649419383322E-4</v>
      </c>
    </row>
    <row r="29" spans="1:7">
      <c r="A29" s="15"/>
      <c r="B29" s="148"/>
      <c r="C29" s="148"/>
      <c r="D29" s="148"/>
      <c r="E29" s="148"/>
    </row>
    <row r="30" spans="1:7">
      <c r="A30" s="15" t="s">
        <v>114</v>
      </c>
      <c r="B30" s="148"/>
      <c r="C30" s="166">
        <f>(C26/C25*100)/5</f>
        <v>1.3247068322693285</v>
      </c>
      <c r="D30" s="166">
        <f>(D26/D25*100)/5</f>
        <v>1.3247068322693285</v>
      </c>
      <c r="E30" s="166">
        <f>(E26/E25*100)/5</f>
        <v>1.3247068322693285</v>
      </c>
      <c r="F30" s="111"/>
      <c r="G30" s="111"/>
    </row>
    <row r="31" spans="1:7">
      <c r="A31" s="15" t="s">
        <v>114</v>
      </c>
      <c r="B31" s="148"/>
      <c r="C31" s="167">
        <f>(C28/C27*100)/5</f>
        <v>8.3784205223082341E-3</v>
      </c>
      <c r="D31" s="167">
        <f>(D28/D27*100)/5</f>
        <v>8.3784205223082324E-3</v>
      </c>
      <c r="E31" s="167">
        <f>(E28/E27*100)/5</f>
        <v>8.3784205223082324E-3</v>
      </c>
      <c r="F31" s="111"/>
      <c r="G31" s="111"/>
    </row>
  </sheetData>
  <mergeCells count="1">
    <mergeCell ref="G4:G12"/>
  </mergeCells>
  <phoneticPr fontId="44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1:J18"/>
  <sheetViews>
    <sheetView showGridLines="0" zoomScaleNormal="100" workbookViewId="0">
      <selection activeCell="C15" sqref="C15"/>
    </sheetView>
  </sheetViews>
  <sheetFormatPr defaultColWidth="9.140625" defaultRowHeight="11.25"/>
  <cols>
    <col min="1" max="1" width="5.42578125" style="90" customWidth="1"/>
    <col min="2" max="2" width="44.42578125" style="90" customWidth="1"/>
    <col min="3" max="8" width="20.85546875" style="90" customWidth="1"/>
    <col min="9" max="16384" width="9.140625" style="90"/>
  </cols>
  <sheetData>
    <row r="1" spans="2:10" ht="14.45" customHeight="1"/>
    <row r="2" spans="2:10" s="70" customFormat="1" ht="14.45" customHeight="1">
      <c r="B2" s="69" t="s">
        <v>29</v>
      </c>
      <c r="C2" s="140"/>
      <c r="D2" s="140"/>
      <c r="E2" s="140"/>
      <c r="F2" s="140"/>
      <c r="G2" s="140"/>
      <c r="H2" s="140"/>
    </row>
    <row r="3" spans="2:10" s="70" customFormat="1" ht="14.45" customHeight="1">
      <c r="C3" s="71" t="s">
        <v>64</v>
      </c>
      <c r="D3" s="71" t="s">
        <v>37</v>
      </c>
      <c r="E3" s="71" t="s">
        <v>38</v>
      </c>
      <c r="F3" s="71" t="s">
        <v>39</v>
      </c>
      <c r="G3" s="71" t="s">
        <v>40</v>
      </c>
      <c r="H3" s="71" t="s">
        <v>77</v>
      </c>
    </row>
    <row r="4" spans="2:10" s="70" customFormat="1" ht="14.45" customHeight="1">
      <c r="B4" s="72" t="s">
        <v>76</v>
      </c>
      <c r="C4" s="73">
        <f>AVERAGE(D4:H4)</f>
        <v>1578160594.5139661</v>
      </c>
      <c r="D4" s="175">
        <f>1442.10095862817*10^6</f>
        <v>1442100958.62817</v>
      </c>
      <c r="E4" s="175">
        <f>1501.12739245275*10^6</f>
        <v>1501127392.45275</v>
      </c>
      <c r="F4" s="175">
        <f>1561.73688788451*10^6</f>
        <v>1561736887.88451</v>
      </c>
      <c r="G4" s="175">
        <f>1663.25790715369*10^6</f>
        <v>1663257907.1536901</v>
      </c>
      <c r="H4" s="175">
        <f>1722.57982645071*10^6</f>
        <v>1722579826.4507101</v>
      </c>
      <c r="I4" s="162"/>
      <c r="J4" s="74"/>
    </row>
    <row r="5" spans="2:10" s="77" customFormat="1" ht="14.45" customHeight="1">
      <c r="B5" s="75"/>
      <c r="C5" s="76"/>
      <c r="H5" s="78"/>
    </row>
    <row r="6" spans="2:10" s="70" customFormat="1" ht="14.45" customHeight="1">
      <c r="B6" s="79"/>
      <c r="C6" s="80"/>
      <c r="D6" s="71" t="s">
        <v>1</v>
      </c>
      <c r="E6" s="71" t="s">
        <v>13</v>
      </c>
      <c r="F6" s="71" t="s">
        <v>14</v>
      </c>
    </row>
    <row r="7" spans="2:10" s="70" customFormat="1" ht="14.45" customHeight="1">
      <c r="B7" s="72" t="str">
        <f>'Incentive rates calc'!B6</f>
        <v>Average annual energy consumption by network type (MWh)</v>
      </c>
      <c r="C7" s="81"/>
      <c r="D7" s="163">
        <v>5294623.2316800598</v>
      </c>
      <c r="E7" s="163">
        <v>6907012.5553100659</v>
      </c>
      <c r="F7" s="163">
        <v>1394164.2130098729</v>
      </c>
    </row>
    <row r="8" spans="2:10" s="70" customFormat="1" ht="14.45" customHeight="1">
      <c r="B8" s="82"/>
      <c r="C8" s="82"/>
      <c r="D8" s="164"/>
      <c r="E8" s="164"/>
      <c r="F8" s="164"/>
    </row>
    <row r="9" spans="2:10" s="70" customFormat="1" ht="14.45" customHeight="1">
      <c r="B9" s="72" t="s">
        <v>61</v>
      </c>
      <c r="C9" s="92"/>
      <c r="D9" s="165">
        <f>25.75*1000</f>
        <v>25750</v>
      </c>
      <c r="E9" s="165">
        <f>25.75*1000</f>
        <v>25750</v>
      </c>
      <c r="F9" s="165">
        <f>25.75*1000</f>
        <v>25750</v>
      </c>
      <c r="G9" s="172" t="s">
        <v>122</v>
      </c>
      <c r="H9" s="87"/>
      <c r="I9" s="87"/>
      <c r="J9" s="87"/>
    </row>
    <row r="10" spans="2:10" s="70" customFormat="1" ht="14.45" customHeight="1"/>
    <row r="11" spans="2:10" s="70" customFormat="1" ht="14.45" customHeight="1">
      <c r="B11" s="72" t="s">
        <v>6</v>
      </c>
      <c r="C11" s="169">
        <f>C15/C14-1</f>
        <v>2.1567217828901697E-3</v>
      </c>
      <c r="D11" s="162"/>
    </row>
    <row r="12" spans="2:10" s="70" customFormat="1" ht="14.45" customHeight="1">
      <c r="C12" s="173"/>
      <c r="D12" s="85"/>
      <c r="E12" s="85"/>
      <c r="F12" s="85"/>
      <c r="G12" s="85"/>
    </row>
    <row r="13" spans="2:10" s="70" customFormat="1" ht="14.45" customHeight="1">
      <c r="B13" s="79" t="s">
        <v>30</v>
      </c>
      <c r="C13" s="173"/>
    </row>
    <row r="14" spans="2:10" s="77" customFormat="1" ht="14.45" customHeight="1">
      <c r="B14" s="86">
        <v>45536</v>
      </c>
      <c r="C14" s="179">
        <v>139.1</v>
      </c>
      <c r="D14" s="174" t="s">
        <v>128</v>
      </c>
    </row>
    <row r="15" spans="2:10" s="77" customFormat="1" ht="14.45" customHeight="1">
      <c r="B15" s="86">
        <v>45627</v>
      </c>
      <c r="C15" s="179">
        <v>139.4</v>
      </c>
      <c r="D15" s="174" t="s">
        <v>129</v>
      </c>
    </row>
    <row r="16" spans="2:10" ht="14.45" customHeight="1"/>
    <row r="17" spans="3:8">
      <c r="C17" s="182"/>
      <c r="D17" s="88"/>
      <c r="E17" s="89"/>
      <c r="F17" s="89"/>
      <c r="G17" s="89"/>
      <c r="H17" s="89"/>
    </row>
    <row r="18" spans="3:8">
      <c r="D18" s="91"/>
      <c r="E18" s="91"/>
      <c r="F18" s="91"/>
      <c r="G18" s="91"/>
      <c r="H18" s="91"/>
    </row>
  </sheetData>
  <hyperlinks>
    <hyperlink ref="G9" r:id="rId1" xr:uid="{6D695D3D-0B8C-4609-9D9E-B66DCFB3D91E}"/>
    <hyperlink ref="D14" r:id="rId2" display="https://www.aer.gov.au/system/files/2024-12/2024-12-18 AER - Final report - 2024 VCR review_0.pdf" xr:uid="{3FD8ACB8-B4A0-4BA8-B6D9-2BC2C89016B9}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T47"/>
  <sheetViews>
    <sheetView showGridLines="0" zoomScale="85" zoomScaleNormal="85" workbookViewId="0">
      <selection activeCell="O11" sqref="O11"/>
    </sheetView>
  </sheetViews>
  <sheetFormatPr defaultColWidth="9.140625" defaultRowHeight="11.25"/>
  <cols>
    <col min="1" max="1" width="5.42578125" style="90" customWidth="1"/>
    <col min="2" max="2" width="20.42578125" style="90" customWidth="1"/>
    <col min="3" max="7" width="13.5703125" style="90" customWidth="1"/>
    <col min="8" max="9" width="18" style="90" customWidth="1"/>
    <col min="10" max="10" width="3.140625" style="90" customWidth="1"/>
    <col min="11" max="11" width="20.42578125" style="90" customWidth="1"/>
    <col min="12" max="16" width="13.5703125" style="90" customWidth="1"/>
    <col min="17" max="18" width="18" style="90" customWidth="1"/>
    <col min="19" max="19" width="3" style="90" customWidth="1"/>
    <col min="20" max="16384" width="9.140625" style="90"/>
  </cols>
  <sheetData>
    <row r="2" spans="2:20">
      <c r="B2" s="69" t="s">
        <v>31</v>
      </c>
      <c r="C2" s="93"/>
      <c r="D2" s="93"/>
      <c r="E2" s="93"/>
      <c r="F2" s="93"/>
      <c r="G2" s="93"/>
      <c r="H2" s="93"/>
      <c r="I2" s="93"/>
      <c r="J2" s="69"/>
      <c r="K2" s="69"/>
      <c r="L2" s="93"/>
      <c r="M2" s="93"/>
      <c r="N2" s="93"/>
      <c r="O2" s="93"/>
      <c r="P2" s="93"/>
      <c r="Q2" s="93"/>
      <c r="R2" s="93"/>
      <c r="T2" s="94" t="s">
        <v>33</v>
      </c>
    </row>
    <row r="3" spans="2:20">
      <c r="T3" s="95"/>
    </row>
    <row r="4" spans="2:20" s="70" customFormat="1">
      <c r="B4" s="96" t="s">
        <v>17</v>
      </c>
      <c r="C4" s="96"/>
      <c r="D4" s="96"/>
      <c r="E4" s="96"/>
      <c r="F4" s="96"/>
      <c r="G4" s="96"/>
      <c r="H4" s="96"/>
      <c r="I4" s="96"/>
      <c r="K4" s="96" t="s">
        <v>17</v>
      </c>
      <c r="L4" s="96"/>
      <c r="M4" s="96"/>
      <c r="N4" s="96"/>
      <c r="O4" s="96"/>
      <c r="P4" s="96"/>
      <c r="Q4" s="96"/>
      <c r="R4" s="96"/>
    </row>
    <row r="5" spans="2:20">
      <c r="T5" s="95"/>
    </row>
    <row r="6" spans="2:20" s="70" customFormat="1">
      <c r="B6" s="97" t="s">
        <v>7</v>
      </c>
      <c r="C6" s="98"/>
      <c r="K6" s="97" t="s">
        <v>8</v>
      </c>
      <c r="L6" s="99"/>
      <c r="M6" s="85"/>
      <c r="N6" s="85"/>
      <c r="O6" s="85"/>
      <c r="P6" s="85"/>
      <c r="Q6" s="85"/>
      <c r="R6" s="85"/>
      <c r="T6" s="100"/>
    </row>
    <row r="7" spans="2:20" s="70" customFormat="1">
      <c r="B7" s="101" t="s">
        <v>0</v>
      </c>
      <c r="C7" s="102" t="s">
        <v>9</v>
      </c>
      <c r="D7" s="102" t="s">
        <v>10</v>
      </c>
      <c r="E7" s="102" t="s">
        <v>11</v>
      </c>
      <c r="F7" s="102" t="s">
        <v>15</v>
      </c>
      <c r="G7" s="102" t="s">
        <v>78</v>
      </c>
      <c r="H7" s="102" t="s">
        <v>18</v>
      </c>
      <c r="I7" s="102" t="s">
        <v>19</v>
      </c>
      <c r="K7" s="104" t="s">
        <v>0</v>
      </c>
      <c r="L7" s="102" t="s">
        <v>9</v>
      </c>
      <c r="M7" s="102" t="s">
        <v>10</v>
      </c>
      <c r="N7" s="102" t="s">
        <v>11</v>
      </c>
      <c r="O7" s="102" t="s">
        <v>15</v>
      </c>
      <c r="P7" s="102" t="s">
        <v>78</v>
      </c>
      <c r="Q7" s="102" t="s">
        <v>18</v>
      </c>
      <c r="R7" s="102" t="s">
        <v>19</v>
      </c>
      <c r="T7" s="100"/>
    </row>
    <row r="8" spans="2:20" s="70" customFormat="1">
      <c r="B8" s="72" t="s">
        <v>81</v>
      </c>
      <c r="C8" s="155">
        <f>'Cap adjustment'!B8</f>
        <v>0.85127883932243942</v>
      </c>
      <c r="D8" s="155">
        <f>'Cap adjustment'!C8</f>
        <v>0.87319999999999998</v>
      </c>
      <c r="E8" s="155">
        <f>'Cap adjustment'!D8</f>
        <v>0.88534999999999997</v>
      </c>
      <c r="F8" s="155">
        <f>'Cap adjustment'!E8</f>
        <v>0.84921772484102154</v>
      </c>
      <c r="G8" s="155">
        <f>'Cap adjustment'!F8</f>
        <v>0.82874880711431775</v>
      </c>
      <c r="H8" s="154">
        <f t="shared" ref="H8:H11" si="0">AVERAGE(C8:F8)</f>
        <v>0.86476164104086517</v>
      </c>
      <c r="I8" s="154">
        <f t="shared" ref="I8:I11" si="1">AVERAGE($C8:$G8)</f>
        <v>0.85755907425555566</v>
      </c>
      <c r="K8" s="72"/>
      <c r="L8" s="105"/>
      <c r="M8" s="105"/>
      <c r="N8" s="105"/>
      <c r="O8" s="105"/>
      <c r="P8" s="168"/>
      <c r="Q8" s="106"/>
      <c r="R8" s="106"/>
      <c r="T8" s="107" t="s">
        <v>34</v>
      </c>
    </row>
    <row r="9" spans="2:20" s="70" customFormat="1">
      <c r="B9" s="72" t="s">
        <v>1</v>
      </c>
      <c r="C9" s="156">
        <f>'Cap adjustment'!B10</f>
        <v>1.2940320557740099</v>
      </c>
      <c r="D9" s="83">
        <f>'Cap adjustment'!C10</f>
        <v>1.1138170368953</v>
      </c>
      <c r="E9" s="83">
        <f>'Cap adjustment'!D10</f>
        <v>1.2420348393604594</v>
      </c>
      <c r="F9" s="83">
        <f>'Cap adjustment'!E10</f>
        <v>1.146976322950428</v>
      </c>
      <c r="G9" s="169">
        <f>'Cap adjustment'!F10</f>
        <v>1.2456196112669</v>
      </c>
      <c r="H9" s="154">
        <f t="shared" si="0"/>
        <v>1.1992150637450494</v>
      </c>
      <c r="I9" s="154">
        <f t="shared" si="1"/>
        <v>1.2084959732494194</v>
      </c>
      <c r="K9" s="72" t="s">
        <v>1</v>
      </c>
      <c r="L9" s="155">
        <f>'Cap adjustment'!B5</f>
        <v>121.662286261365</v>
      </c>
      <c r="M9" s="83">
        <f>'Cap adjustment'!C5</f>
        <v>113.251103655319</v>
      </c>
      <c r="N9" s="83">
        <f>'Cap adjustment'!D5</f>
        <v>130.08354836716541</v>
      </c>
      <c r="O9" s="83">
        <f>'Cap adjustment'!E5</f>
        <v>108.23096374159158</v>
      </c>
      <c r="P9" s="169">
        <v>130.62367730029999</v>
      </c>
      <c r="Q9" s="154">
        <f t="shared" ref="Q9:Q11" si="2">AVERAGE(L9:O9)</f>
        <v>118.30697550636026</v>
      </c>
      <c r="R9" s="154">
        <f>AVERAGE($L9:P9)</f>
        <v>120.77031586514821</v>
      </c>
      <c r="T9" s="107" t="s">
        <v>35</v>
      </c>
    </row>
    <row r="10" spans="2:20" s="70" customFormat="1">
      <c r="B10" s="72" t="s">
        <v>13</v>
      </c>
      <c r="C10" s="156">
        <f>'Cap adjustment'!B11</f>
        <v>2.3320137603547599</v>
      </c>
      <c r="D10" s="83">
        <f>'Cap adjustment'!C11</f>
        <v>2.3976565841954498</v>
      </c>
      <c r="E10" s="83">
        <f>'Cap adjustment'!D11</f>
        <v>2.477223780397189</v>
      </c>
      <c r="F10" s="83">
        <f>'Cap adjustment'!E11</f>
        <v>2.2859435979874716</v>
      </c>
      <c r="G10" s="169">
        <f>'Cap adjustment'!F11</f>
        <v>2.2344494834606001</v>
      </c>
      <c r="H10" s="154">
        <f t="shared" si="0"/>
        <v>2.3732094307337173</v>
      </c>
      <c r="I10" s="154">
        <f t="shared" si="1"/>
        <v>2.3454574412790938</v>
      </c>
      <c r="K10" s="72" t="s">
        <v>13</v>
      </c>
      <c r="L10" s="156">
        <f>'Cap adjustment'!B6</f>
        <v>260.76956996512303</v>
      </c>
      <c r="M10" s="83">
        <f>'Cap adjustment'!C6</f>
        <v>265.85338173429301</v>
      </c>
      <c r="N10" s="83">
        <f>'Cap adjustment'!D6</f>
        <v>305.15925508752645</v>
      </c>
      <c r="O10" s="83">
        <f>'Cap adjustment'!E6</f>
        <v>283.47740667238872</v>
      </c>
      <c r="P10" s="169">
        <v>278.24408640061</v>
      </c>
      <c r="Q10" s="154">
        <f t="shared" si="2"/>
        <v>278.81490336483279</v>
      </c>
      <c r="R10" s="154">
        <f>AVERAGE($L10:P10)</f>
        <v>278.70073997198824</v>
      </c>
      <c r="T10" s="107" t="s">
        <v>35</v>
      </c>
    </row>
    <row r="11" spans="2:20" s="70" customFormat="1">
      <c r="B11" s="72" t="s">
        <v>14</v>
      </c>
      <c r="C11" s="156">
        <f>'Cap adjustment'!B12</f>
        <v>4.6519601567101097</v>
      </c>
      <c r="D11" s="83">
        <f>'Cap adjustment'!C12</f>
        <v>4.5472385758340303</v>
      </c>
      <c r="E11" s="83">
        <f>'Cap adjustment'!D12</f>
        <v>4.8253005151688608</v>
      </c>
      <c r="F11" s="83">
        <f>'Cap adjustment'!E12</f>
        <v>4.392937838923479</v>
      </c>
      <c r="G11" s="169">
        <f>'Cap adjustment'!F12</f>
        <v>4.1794073518379999</v>
      </c>
      <c r="H11" s="154">
        <f t="shared" si="0"/>
        <v>4.6043592716591197</v>
      </c>
      <c r="I11" s="154">
        <f t="shared" si="1"/>
        <v>4.5193688876948954</v>
      </c>
      <c r="K11" s="72" t="s">
        <v>14</v>
      </c>
      <c r="L11" s="156">
        <f>'Cap adjustment'!B7</f>
        <v>750.69244381566898</v>
      </c>
      <c r="M11" s="83">
        <f>'Cap adjustment'!C7</f>
        <v>706.58822327564997</v>
      </c>
      <c r="N11" s="83">
        <f>'Cap adjustment'!D7</f>
        <v>907.2818204753122</v>
      </c>
      <c r="O11" s="83">
        <f>'Cap adjustment'!E7</f>
        <v>761.93437667369619</v>
      </c>
      <c r="P11" s="169">
        <v>813.86965137118</v>
      </c>
      <c r="Q11" s="154">
        <f t="shared" si="2"/>
        <v>781.62421606008184</v>
      </c>
      <c r="R11" s="154">
        <f>AVERAGE($L11:P11)</f>
        <v>788.07330312230147</v>
      </c>
      <c r="S11" s="126"/>
      <c r="T11" s="107" t="s">
        <v>36</v>
      </c>
    </row>
    <row r="12" spans="2:20">
      <c r="B12" s="108"/>
      <c r="C12" s="109"/>
      <c r="D12" s="109"/>
      <c r="E12" s="109"/>
      <c r="F12" s="109"/>
      <c r="G12" s="109"/>
      <c r="H12" s="109"/>
      <c r="I12" s="152"/>
      <c r="K12" s="108"/>
      <c r="L12" s="109"/>
      <c r="M12" s="109"/>
      <c r="N12" s="109"/>
      <c r="O12" s="109"/>
      <c r="P12" s="109"/>
      <c r="Q12" s="109"/>
      <c r="R12" s="109"/>
      <c r="T12" s="110"/>
    </row>
    <row r="13" spans="2:20">
      <c r="C13" s="111" t="s">
        <v>94</v>
      </c>
      <c r="L13" s="111" t="s">
        <v>94</v>
      </c>
      <c r="T13" s="110"/>
    </row>
    <row r="14" spans="2:20">
      <c r="T14" s="110"/>
    </row>
    <row r="15" spans="2:20" s="70" customFormat="1">
      <c r="B15" s="96" t="s">
        <v>16</v>
      </c>
      <c r="C15" s="96"/>
      <c r="D15" s="96"/>
      <c r="E15" s="96"/>
      <c r="F15" s="96"/>
      <c r="G15" s="96"/>
      <c r="H15" s="96"/>
      <c r="I15" s="153"/>
      <c r="K15" s="96" t="s">
        <v>16</v>
      </c>
      <c r="L15" s="96"/>
      <c r="M15" s="96"/>
      <c r="N15" s="96"/>
      <c r="O15" s="96"/>
      <c r="P15" s="96"/>
      <c r="Q15" s="96"/>
      <c r="R15" s="96"/>
    </row>
    <row r="16" spans="2:20">
      <c r="T16" s="110"/>
    </row>
    <row r="17" spans="2:20" s="70" customFormat="1">
      <c r="B17" s="97" t="s">
        <v>7</v>
      </c>
      <c r="K17" s="97" t="s">
        <v>8</v>
      </c>
      <c r="L17" s="85"/>
      <c r="M17" s="85"/>
      <c r="N17" s="85"/>
      <c r="O17" s="85"/>
      <c r="P17" s="85"/>
      <c r="Q17" s="85"/>
      <c r="R17" s="85"/>
      <c r="T17" s="112"/>
    </row>
    <row r="18" spans="2:20" s="70" customFormat="1">
      <c r="B18" s="101" t="s">
        <v>0</v>
      </c>
      <c r="C18" s="102" t="s">
        <v>9</v>
      </c>
      <c r="D18" s="102" t="s">
        <v>10</v>
      </c>
      <c r="E18" s="102" t="s">
        <v>11</v>
      </c>
      <c r="F18" s="102" t="s">
        <v>15</v>
      </c>
      <c r="G18" s="102" t="s">
        <v>78</v>
      </c>
      <c r="H18" s="102" t="s">
        <v>18</v>
      </c>
      <c r="I18" s="102" t="s">
        <v>19</v>
      </c>
      <c r="K18" s="104" t="s">
        <v>0</v>
      </c>
      <c r="L18" s="102" t="s">
        <v>9</v>
      </c>
      <c r="M18" s="102" t="s">
        <v>10</v>
      </c>
      <c r="N18" s="102" t="s">
        <v>11</v>
      </c>
      <c r="O18" s="102" t="s">
        <v>15</v>
      </c>
      <c r="P18" s="102" t="s">
        <v>78</v>
      </c>
      <c r="Q18" s="102" t="s">
        <v>18</v>
      </c>
      <c r="R18" s="102" t="s">
        <v>19</v>
      </c>
      <c r="T18" s="112"/>
    </row>
    <row r="19" spans="2:20" s="70" customFormat="1">
      <c r="B19" s="72" t="s">
        <v>81</v>
      </c>
      <c r="C19" s="83"/>
      <c r="D19" s="83"/>
      <c r="E19" s="83"/>
      <c r="F19" s="83"/>
      <c r="G19" s="169"/>
      <c r="H19" s="154"/>
      <c r="I19" s="115"/>
      <c r="K19" s="72" t="s">
        <v>12</v>
      </c>
      <c r="L19" s="105"/>
      <c r="M19" s="105"/>
      <c r="N19" s="105"/>
      <c r="O19" s="105"/>
      <c r="P19" s="113"/>
      <c r="Q19" s="106"/>
      <c r="R19" s="106"/>
      <c r="T19" s="107" t="s">
        <v>41</v>
      </c>
    </row>
    <row r="20" spans="2:20" s="70" customFormat="1">
      <c r="B20" s="72" t="s">
        <v>1</v>
      </c>
      <c r="C20" s="156">
        <v>1.2940320557740099</v>
      </c>
      <c r="D20" s="83">
        <v>1.1138170368953</v>
      </c>
      <c r="E20" s="83">
        <v>1.2420348393604594</v>
      </c>
      <c r="F20" s="83">
        <v>1.146976322950428</v>
      </c>
      <c r="G20" s="169">
        <f>G9</f>
        <v>1.2456196112669</v>
      </c>
      <c r="H20" s="154">
        <f t="shared" ref="H20:H22" si="3">AVERAGE(C20:F20)</f>
        <v>1.1992150637450494</v>
      </c>
      <c r="I20" s="154">
        <f t="shared" ref="I20:I22" si="4">AVERAGE($C20:$G20)</f>
        <v>1.2084959732494194</v>
      </c>
      <c r="K20" s="72" t="s">
        <v>1</v>
      </c>
      <c r="L20" s="155">
        <v>121.662286261365</v>
      </c>
      <c r="M20" s="83">
        <v>113.251103655319</v>
      </c>
      <c r="N20" s="83">
        <v>130.08354836716541</v>
      </c>
      <c r="O20" s="83">
        <v>108.23096374159158</v>
      </c>
      <c r="P20" s="157">
        <f>P9</f>
        <v>130.62367730029999</v>
      </c>
      <c r="Q20" s="154">
        <f t="shared" ref="Q20:Q22" si="5">AVERAGE(L20:O20)</f>
        <v>118.30697550636026</v>
      </c>
      <c r="R20" s="154">
        <f>AVERAGE($L20:P20)</f>
        <v>120.77031586514821</v>
      </c>
      <c r="T20" s="100"/>
    </row>
    <row r="21" spans="2:20" s="70" customFormat="1">
      <c r="B21" s="72" t="s">
        <v>13</v>
      </c>
      <c r="C21" s="156">
        <v>2.3320137603547599</v>
      </c>
      <c r="D21" s="83">
        <v>2.3976565841954498</v>
      </c>
      <c r="E21" s="83">
        <v>2.477223780397189</v>
      </c>
      <c r="F21" s="83">
        <v>2.2859435979874716</v>
      </c>
      <c r="G21" s="169">
        <f t="shared" ref="G21:G22" si="6">G10</f>
        <v>2.2344494834606001</v>
      </c>
      <c r="H21" s="154">
        <f t="shared" si="3"/>
        <v>2.3732094307337173</v>
      </c>
      <c r="I21" s="154">
        <f t="shared" si="4"/>
        <v>2.3454574412790938</v>
      </c>
      <c r="K21" s="72" t="s">
        <v>13</v>
      </c>
      <c r="L21" s="156">
        <v>260.76956996512303</v>
      </c>
      <c r="M21" s="83">
        <v>265.85338173429301</v>
      </c>
      <c r="N21" s="83">
        <v>305.15925508752645</v>
      </c>
      <c r="O21" s="83">
        <v>283.47740667238872</v>
      </c>
      <c r="P21" s="157">
        <f>P10</f>
        <v>278.24408640061</v>
      </c>
      <c r="Q21" s="154">
        <f t="shared" si="5"/>
        <v>278.81490336483279</v>
      </c>
      <c r="R21" s="154">
        <f>AVERAGE($L21:P21)</f>
        <v>278.70073997198824</v>
      </c>
    </row>
    <row r="22" spans="2:20" s="70" customFormat="1">
      <c r="B22" s="72" t="s">
        <v>14</v>
      </c>
      <c r="C22" s="156">
        <v>4.6519601567101097</v>
      </c>
      <c r="D22" s="83">
        <v>4.5472385758340303</v>
      </c>
      <c r="E22" s="83">
        <v>4.8253005151688608</v>
      </c>
      <c r="F22" s="83">
        <v>4.392937838923479</v>
      </c>
      <c r="G22" s="169">
        <f t="shared" si="6"/>
        <v>4.1794073518379999</v>
      </c>
      <c r="H22" s="154">
        <f t="shared" si="3"/>
        <v>4.6043592716591197</v>
      </c>
      <c r="I22" s="154">
        <f t="shared" si="4"/>
        <v>4.5193688876948954</v>
      </c>
      <c r="K22" s="72" t="s">
        <v>14</v>
      </c>
      <c r="L22" s="156">
        <v>750.69244381566898</v>
      </c>
      <c r="M22" s="83">
        <v>706.58822327564997</v>
      </c>
      <c r="N22" s="83">
        <v>907.2818204753122</v>
      </c>
      <c r="O22" s="83">
        <v>761.93437667369619</v>
      </c>
      <c r="P22" s="157">
        <f>P11</f>
        <v>813.86965137118</v>
      </c>
      <c r="Q22" s="154">
        <f t="shared" si="5"/>
        <v>781.62421606008184</v>
      </c>
      <c r="R22" s="154">
        <f>AVERAGE($L22:P22)</f>
        <v>788.07330312230147</v>
      </c>
    </row>
    <row r="23" spans="2:20">
      <c r="B23" s="108"/>
      <c r="C23" s="109"/>
      <c r="D23" s="109"/>
      <c r="E23" s="109"/>
      <c r="F23" s="109"/>
      <c r="G23" s="109"/>
      <c r="H23" s="109"/>
      <c r="I23" s="109"/>
      <c r="K23" s="108"/>
      <c r="L23" s="109"/>
      <c r="M23" s="109"/>
      <c r="N23" s="109"/>
      <c r="O23" s="109"/>
      <c r="P23" s="109"/>
      <c r="Q23" s="109"/>
      <c r="R23" s="109"/>
    </row>
    <row r="24" spans="2:20">
      <c r="C24" s="111" t="s">
        <v>94</v>
      </c>
      <c r="L24" s="111" t="s">
        <v>94</v>
      </c>
    </row>
    <row r="26" spans="2:20" s="70" customFormat="1">
      <c r="B26" s="96" t="s">
        <v>93</v>
      </c>
      <c r="C26" s="96"/>
      <c r="D26" s="96"/>
      <c r="E26" s="96"/>
      <c r="F26" s="96"/>
      <c r="G26" s="96"/>
      <c r="H26" s="96"/>
      <c r="I26" s="96"/>
      <c r="K26" s="96" t="s">
        <v>65</v>
      </c>
      <c r="L26" s="96"/>
      <c r="M26" s="96"/>
      <c r="N26" s="96"/>
      <c r="O26" s="96"/>
      <c r="P26" s="96"/>
      <c r="Q26" s="96"/>
      <c r="R26" s="96"/>
    </row>
    <row r="28" spans="2:20" s="70" customFormat="1">
      <c r="B28" s="97" t="s">
        <v>7</v>
      </c>
      <c r="K28" s="97" t="s">
        <v>8</v>
      </c>
      <c r="L28" s="85"/>
      <c r="M28" s="85"/>
      <c r="N28" s="85"/>
      <c r="O28" s="85"/>
      <c r="P28" s="85"/>
      <c r="Q28" s="85"/>
      <c r="R28" s="85"/>
    </row>
    <row r="29" spans="2:20" s="70" customFormat="1">
      <c r="B29" s="101" t="s">
        <v>0</v>
      </c>
      <c r="C29" s="102" t="s">
        <v>9</v>
      </c>
      <c r="D29" s="102" t="s">
        <v>10</v>
      </c>
      <c r="E29" s="102" t="s">
        <v>11</v>
      </c>
      <c r="F29" s="102" t="s">
        <v>15</v>
      </c>
      <c r="G29" s="102" t="s">
        <v>78</v>
      </c>
      <c r="H29" s="102" t="s">
        <v>18</v>
      </c>
      <c r="I29" s="102" t="s">
        <v>19</v>
      </c>
      <c r="K29" s="104" t="s">
        <v>0</v>
      </c>
      <c r="L29" s="102" t="s">
        <v>9</v>
      </c>
      <c r="M29" s="102" t="s">
        <v>10</v>
      </c>
      <c r="N29" s="102" t="s">
        <v>11</v>
      </c>
      <c r="O29" s="102" t="s">
        <v>15</v>
      </c>
      <c r="P29" s="102" t="s">
        <v>78</v>
      </c>
      <c r="Q29" s="102" t="s">
        <v>18</v>
      </c>
      <c r="R29" s="102" t="s">
        <v>19</v>
      </c>
    </row>
    <row r="30" spans="2:20" s="70" customFormat="1">
      <c r="B30" s="72"/>
      <c r="C30" s="105"/>
      <c r="D30" s="105"/>
      <c r="E30" s="105"/>
      <c r="F30" s="105"/>
      <c r="G30" s="105"/>
      <c r="H30" s="106"/>
      <c r="I30" s="106"/>
      <c r="K30" s="72" t="s">
        <v>12</v>
      </c>
      <c r="L30" s="113"/>
      <c r="M30" s="113"/>
      <c r="N30" s="113"/>
      <c r="O30" s="113"/>
      <c r="P30" s="113"/>
      <c r="Q30" s="114"/>
      <c r="R30" s="151"/>
    </row>
    <row r="31" spans="2:20" s="70" customFormat="1">
      <c r="B31" s="72" t="s">
        <v>1</v>
      </c>
      <c r="C31" s="83">
        <f>'Cap adjustment'!$C$31</f>
        <v>8.3784205223082341E-3</v>
      </c>
      <c r="D31" s="83">
        <f>'Cap adjustment'!$C$31</f>
        <v>8.3784205223082341E-3</v>
      </c>
      <c r="E31" s="83">
        <f>'Cap adjustment'!$C$31</f>
        <v>8.3784205223082341E-3</v>
      </c>
      <c r="F31" s="83">
        <f>'Cap adjustment'!$C$31</f>
        <v>8.3784205223082341E-3</v>
      </c>
      <c r="G31" s="83">
        <f>'Cap adjustment'!$C$31</f>
        <v>8.3784205223082341E-3</v>
      </c>
      <c r="H31" s="154">
        <f t="shared" ref="H31:H33" si="7">AVERAGE(C31:F31)</f>
        <v>8.3784205223082341E-3</v>
      </c>
      <c r="I31" s="154">
        <f t="shared" ref="I31:I33" si="8">AVERAGE(C31:G31)</f>
        <v>8.3784205223082341E-3</v>
      </c>
      <c r="K31" s="72" t="s">
        <v>1</v>
      </c>
      <c r="L31" s="83">
        <f>'Cap adjustment'!$C$30</f>
        <v>1.3247068322693285</v>
      </c>
      <c r="M31" s="83">
        <f>'Cap adjustment'!$C$30</f>
        <v>1.3247068322693285</v>
      </c>
      <c r="N31" s="83">
        <f>'Cap adjustment'!$C$30</f>
        <v>1.3247068322693285</v>
      </c>
      <c r="O31" s="83">
        <f>'Cap adjustment'!$C$30</f>
        <v>1.3247068322693285</v>
      </c>
      <c r="P31" s="83">
        <f>'Cap adjustment'!$C$30</f>
        <v>1.3247068322693285</v>
      </c>
      <c r="Q31" s="154">
        <f t="shared" ref="Q31:Q33" si="9">AVERAGE(L31:O31)</f>
        <v>1.3247068322693285</v>
      </c>
      <c r="R31" s="154">
        <f t="shared" ref="R31:R33" si="10">AVERAGE(L31:P31)</f>
        <v>1.3247068322693285</v>
      </c>
    </row>
    <row r="32" spans="2:20" s="70" customFormat="1">
      <c r="B32" s="72" t="s">
        <v>13</v>
      </c>
      <c r="C32" s="83">
        <f>'Cap adjustment'!$C$31</f>
        <v>8.3784205223082341E-3</v>
      </c>
      <c r="D32" s="83">
        <f>'Cap adjustment'!$C$31</f>
        <v>8.3784205223082341E-3</v>
      </c>
      <c r="E32" s="83">
        <f>'Cap adjustment'!$C$31</f>
        <v>8.3784205223082341E-3</v>
      </c>
      <c r="F32" s="83">
        <f>'Cap adjustment'!$C$31</f>
        <v>8.3784205223082341E-3</v>
      </c>
      <c r="G32" s="83">
        <f>'Cap adjustment'!$C$31</f>
        <v>8.3784205223082341E-3</v>
      </c>
      <c r="H32" s="154">
        <f t="shared" si="7"/>
        <v>8.3784205223082341E-3</v>
      </c>
      <c r="I32" s="154">
        <f t="shared" si="8"/>
        <v>8.3784205223082341E-3</v>
      </c>
      <c r="K32" s="72" t="s">
        <v>13</v>
      </c>
      <c r="L32" s="83">
        <f>'Cap adjustment'!$C$30</f>
        <v>1.3247068322693285</v>
      </c>
      <c r="M32" s="83">
        <f>'Cap adjustment'!$C$30</f>
        <v>1.3247068322693285</v>
      </c>
      <c r="N32" s="83">
        <f>'Cap adjustment'!$C$30</f>
        <v>1.3247068322693285</v>
      </c>
      <c r="O32" s="83">
        <f>'Cap adjustment'!$C$30</f>
        <v>1.3247068322693285</v>
      </c>
      <c r="P32" s="83">
        <f>'Cap adjustment'!$C$30</f>
        <v>1.3247068322693285</v>
      </c>
      <c r="Q32" s="154">
        <f t="shared" si="9"/>
        <v>1.3247068322693285</v>
      </c>
      <c r="R32" s="154">
        <f t="shared" si="10"/>
        <v>1.3247068322693285</v>
      </c>
    </row>
    <row r="33" spans="2:18" s="70" customFormat="1">
      <c r="B33" s="72" t="s">
        <v>14</v>
      </c>
      <c r="C33" s="83">
        <f>'Cap adjustment'!$C$31</f>
        <v>8.3784205223082341E-3</v>
      </c>
      <c r="D33" s="83">
        <f>'Cap adjustment'!$C$31</f>
        <v>8.3784205223082341E-3</v>
      </c>
      <c r="E33" s="83">
        <f>'Cap adjustment'!$C$31</f>
        <v>8.3784205223082341E-3</v>
      </c>
      <c r="F33" s="83">
        <f>'Cap adjustment'!$C$31</f>
        <v>8.3784205223082341E-3</v>
      </c>
      <c r="G33" s="83">
        <f>'Cap adjustment'!$C$31</f>
        <v>8.3784205223082341E-3</v>
      </c>
      <c r="H33" s="154">
        <f t="shared" si="7"/>
        <v>8.3784205223082341E-3</v>
      </c>
      <c r="I33" s="154">
        <f t="shared" si="8"/>
        <v>8.3784205223082341E-3</v>
      </c>
      <c r="K33" s="72" t="s">
        <v>14</v>
      </c>
      <c r="L33" s="83">
        <f>'Cap adjustment'!$C$30</f>
        <v>1.3247068322693285</v>
      </c>
      <c r="M33" s="83">
        <f>'Cap adjustment'!$C$30</f>
        <v>1.3247068322693285</v>
      </c>
      <c r="N33" s="83">
        <f>'Cap adjustment'!$C$30</f>
        <v>1.3247068322693285</v>
      </c>
      <c r="O33" s="83">
        <f>'Cap adjustment'!$C$30</f>
        <v>1.3247068322693285</v>
      </c>
      <c r="P33" s="83">
        <f>'Cap adjustment'!$C$30</f>
        <v>1.3247068322693285</v>
      </c>
      <c r="Q33" s="154">
        <f t="shared" si="9"/>
        <v>1.3247068322693285</v>
      </c>
      <c r="R33" s="154">
        <f t="shared" si="10"/>
        <v>1.3247068322693285</v>
      </c>
    </row>
    <row r="34" spans="2:18">
      <c r="B34" s="108"/>
      <c r="C34" s="109"/>
      <c r="D34" s="109"/>
      <c r="E34" s="109"/>
      <c r="F34" s="109"/>
      <c r="G34" s="109"/>
      <c r="H34" s="109"/>
      <c r="I34" s="109"/>
      <c r="K34" s="108"/>
      <c r="L34" s="109"/>
      <c r="M34" s="109"/>
      <c r="N34" s="109"/>
      <c r="O34" s="109"/>
      <c r="P34" s="109"/>
      <c r="Q34" s="109"/>
      <c r="R34" s="109"/>
    </row>
    <row r="37" spans="2:18" s="70" customFormat="1">
      <c r="B37" s="96" t="s">
        <v>20</v>
      </c>
      <c r="C37" s="96"/>
      <c r="D37" s="96"/>
      <c r="E37" s="96"/>
      <c r="F37" s="96"/>
      <c r="G37" s="96"/>
      <c r="H37" s="96"/>
      <c r="I37" s="96"/>
      <c r="K37" s="96" t="s">
        <v>20</v>
      </c>
      <c r="L37" s="96"/>
      <c r="M37" s="96"/>
      <c r="N37" s="96"/>
      <c r="O37" s="96"/>
      <c r="P37" s="96"/>
      <c r="Q37" s="96"/>
      <c r="R37" s="96"/>
    </row>
    <row r="39" spans="2:18" s="70" customFormat="1">
      <c r="B39" s="97" t="s">
        <v>7</v>
      </c>
      <c r="K39" s="97" t="s">
        <v>8</v>
      </c>
      <c r="L39" s="85"/>
      <c r="M39" s="85"/>
      <c r="N39" s="85"/>
      <c r="O39" s="85"/>
      <c r="P39" s="85"/>
      <c r="Q39" s="85"/>
      <c r="R39" s="85"/>
    </row>
    <row r="40" spans="2:18" s="70" customFormat="1">
      <c r="B40" s="101" t="s">
        <v>0</v>
      </c>
      <c r="C40" s="102" t="s">
        <v>9</v>
      </c>
      <c r="D40" s="102" t="s">
        <v>10</v>
      </c>
      <c r="E40" s="102" t="s">
        <v>11</v>
      </c>
      <c r="F40" s="102" t="s">
        <v>15</v>
      </c>
      <c r="G40" s="102" t="s">
        <v>78</v>
      </c>
      <c r="H40" s="102" t="s">
        <v>18</v>
      </c>
      <c r="I40" s="102" t="s">
        <v>19</v>
      </c>
      <c r="K40" s="104" t="s">
        <v>0</v>
      </c>
      <c r="L40" s="102" t="s">
        <v>9</v>
      </c>
      <c r="M40" s="102" t="s">
        <v>10</v>
      </c>
      <c r="N40" s="102" t="s">
        <v>11</v>
      </c>
      <c r="O40" s="102" t="s">
        <v>15</v>
      </c>
      <c r="P40" s="102" t="s">
        <v>78</v>
      </c>
      <c r="Q40" s="102" t="s">
        <v>18</v>
      </c>
      <c r="R40" s="102" t="s">
        <v>19</v>
      </c>
    </row>
    <row r="41" spans="2:18" s="70" customFormat="1">
      <c r="B41" s="72" t="s">
        <v>81</v>
      </c>
      <c r="C41" s="83">
        <f>C8</f>
        <v>0.85127883932243942</v>
      </c>
      <c r="D41" s="83">
        <f t="shared" ref="D41:F41" si="11">D8</f>
        <v>0.87319999999999998</v>
      </c>
      <c r="E41" s="83">
        <f t="shared" si="11"/>
        <v>0.88534999999999997</v>
      </c>
      <c r="F41" s="83">
        <f t="shared" si="11"/>
        <v>0.84921772484102154</v>
      </c>
      <c r="G41" s="168">
        <f>G8</f>
        <v>0.82874880711431775</v>
      </c>
      <c r="H41" s="154">
        <v>0.86476164104086517</v>
      </c>
      <c r="I41" s="154">
        <f>AVERAGE($C41:$G41)</f>
        <v>0.85755907425555566</v>
      </c>
      <c r="K41" s="72" t="s">
        <v>12</v>
      </c>
      <c r="L41" s="105"/>
      <c r="M41" s="105"/>
      <c r="N41" s="105"/>
      <c r="O41" s="105"/>
      <c r="P41" s="168"/>
      <c r="Q41" s="106"/>
      <c r="R41" s="106"/>
    </row>
    <row r="42" spans="2:18" s="70" customFormat="1">
      <c r="B42" s="72" t="s">
        <v>1</v>
      </c>
      <c r="C42" s="83">
        <f>$I$9+C31</f>
        <v>1.2168743937717277</v>
      </c>
      <c r="D42" s="83">
        <f>$I$9+D31</f>
        <v>1.2168743937717277</v>
      </c>
      <c r="E42" s="83">
        <f>$I$9+E31</f>
        <v>1.2168743937717277</v>
      </c>
      <c r="F42" s="83">
        <f>$I$9+F31</f>
        <v>1.2168743937717277</v>
      </c>
      <c r="G42" s="169">
        <f>$I$9+G31</f>
        <v>1.2168743937717277</v>
      </c>
      <c r="H42" s="154">
        <v>1.2096880893979347</v>
      </c>
      <c r="I42" s="154">
        <f>AVERAGE($C42:$G42)</f>
        <v>1.2168743937717277</v>
      </c>
      <c r="K42" s="72" t="s">
        <v>1</v>
      </c>
      <c r="L42" s="83">
        <f>$R$9+L31</f>
        <v>122.09502269741753</v>
      </c>
      <c r="M42" s="83">
        <f>$R$9+M31</f>
        <v>122.09502269741753</v>
      </c>
      <c r="N42" s="83">
        <f>$R$9+N31</f>
        <v>122.09502269741753</v>
      </c>
      <c r="O42" s="83">
        <f>$R$9+O31</f>
        <v>122.09502269741753</v>
      </c>
      <c r="P42" s="169">
        <f>$R$9+P31</f>
        <v>122.09502269741753</v>
      </c>
      <c r="Q42" s="154">
        <v>119.96285904669692</v>
      </c>
      <c r="R42" s="154">
        <f>AVERAGE($L42:P42)</f>
        <v>122.09502269741753</v>
      </c>
    </row>
    <row r="43" spans="2:18" s="70" customFormat="1">
      <c r="B43" s="72" t="s">
        <v>13</v>
      </c>
      <c r="C43" s="83">
        <f>$I$10+C32</f>
        <v>2.3538358618014019</v>
      </c>
      <c r="D43" s="83">
        <f>$I$10+D32</f>
        <v>2.3538358618014019</v>
      </c>
      <c r="E43" s="83">
        <f>$I$10+E32</f>
        <v>2.3538358618014019</v>
      </c>
      <c r="F43" s="83">
        <f>$I$10+F32</f>
        <v>2.3538358618014019</v>
      </c>
      <c r="G43" s="169">
        <f>$I$10+G32</f>
        <v>2.3538358618014019</v>
      </c>
      <c r="H43" s="154">
        <v>2.3836824563866026</v>
      </c>
      <c r="I43" s="154">
        <f t="shared" ref="I43:I44" si="12">AVERAGE($C43:$G43)</f>
        <v>2.3538358618014019</v>
      </c>
      <c r="K43" s="72" t="s">
        <v>13</v>
      </c>
      <c r="L43" s="83">
        <f>$R$10+L32</f>
        <v>280.02544680425757</v>
      </c>
      <c r="M43" s="83">
        <f>$R$10+M32</f>
        <v>280.02544680425757</v>
      </c>
      <c r="N43" s="83">
        <f>$R$10+N32</f>
        <v>280.02544680425757</v>
      </c>
      <c r="O43" s="83">
        <f>$R$10+O32</f>
        <v>280.02544680425757</v>
      </c>
      <c r="P43" s="169">
        <f>$R$10+P32</f>
        <v>280.02544680425757</v>
      </c>
      <c r="Q43" s="154">
        <v>280.47078690516946</v>
      </c>
      <c r="R43" s="154">
        <f>AVERAGE($L43:P43)</f>
        <v>280.02544680425757</v>
      </c>
    </row>
    <row r="44" spans="2:18" s="70" customFormat="1">
      <c r="B44" s="72" t="s">
        <v>14</v>
      </c>
      <c r="C44" s="83">
        <f>$I$11+C33</f>
        <v>4.5277473082172035</v>
      </c>
      <c r="D44" s="83">
        <f>$I$11+D33</f>
        <v>4.5277473082172035</v>
      </c>
      <c r="E44" s="83">
        <f>$I$11+E33</f>
        <v>4.5277473082172035</v>
      </c>
      <c r="F44" s="83">
        <f>$I$11+F33</f>
        <v>4.5277473082172035</v>
      </c>
      <c r="G44" s="169">
        <f>$I$11+G33</f>
        <v>4.5277473082172035</v>
      </c>
      <c r="H44" s="154">
        <v>4.6148322973120051</v>
      </c>
      <c r="I44" s="154">
        <f t="shared" si="12"/>
        <v>4.5277473082172035</v>
      </c>
      <c r="K44" s="72" t="s">
        <v>14</v>
      </c>
      <c r="L44" s="83">
        <f>$R$11+L33</f>
        <v>789.39800995457085</v>
      </c>
      <c r="M44" s="83">
        <f>$R$11+M33</f>
        <v>789.39800995457085</v>
      </c>
      <c r="N44" s="83">
        <f>$R$11+N33</f>
        <v>789.39800995457085</v>
      </c>
      <c r="O44" s="83">
        <f>$R$11+O33</f>
        <v>789.39800995457085</v>
      </c>
      <c r="P44" s="169">
        <f>$R$11+P33</f>
        <v>789.39800995457085</v>
      </c>
      <c r="Q44" s="154">
        <v>783.28009960041845</v>
      </c>
      <c r="R44" s="154">
        <f>AVERAGE($L44:P44)</f>
        <v>789.39800995457085</v>
      </c>
    </row>
    <row r="45" spans="2:18">
      <c r="B45" s="108"/>
      <c r="C45" s="109"/>
      <c r="D45" s="109"/>
      <c r="E45" s="109"/>
      <c r="F45" s="109"/>
      <c r="G45" s="109"/>
      <c r="H45" s="109"/>
      <c r="I45" s="109"/>
      <c r="K45" s="108"/>
      <c r="L45" s="109"/>
      <c r="M45" s="109"/>
      <c r="N45" s="109"/>
      <c r="O45" s="109"/>
      <c r="P45" s="109"/>
      <c r="Q45" s="109"/>
      <c r="R45" s="109"/>
    </row>
    <row r="47" spans="2:18">
      <c r="C47" s="141"/>
      <c r="D47" s="141"/>
      <c r="E47" s="141"/>
      <c r="F47" s="141"/>
      <c r="L47" s="141"/>
      <c r="M47" s="141"/>
      <c r="N47" s="141"/>
      <c r="O47" s="14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24"/>
  <sheetViews>
    <sheetView showGridLines="0" zoomScale="115" zoomScaleNormal="115" workbookViewId="0">
      <selection activeCell="E11" sqref="E11"/>
    </sheetView>
  </sheetViews>
  <sheetFormatPr defaultColWidth="9.140625" defaultRowHeight="11.25"/>
  <cols>
    <col min="1" max="1" width="9.140625" style="90"/>
    <col min="2" max="2" width="71.140625" style="90" customWidth="1"/>
    <col min="3" max="3" width="13.140625" style="120" customWidth="1"/>
    <col min="4" max="6" width="18.42578125" style="90" customWidth="1"/>
    <col min="7" max="7" width="10.5703125" style="90" customWidth="1"/>
    <col min="8" max="16384" width="9.140625" style="90"/>
  </cols>
  <sheetData>
    <row r="2" spans="2:6">
      <c r="B2" s="69" t="s">
        <v>24</v>
      </c>
      <c r="C2" s="134"/>
      <c r="D2" s="135"/>
      <c r="E2" s="135"/>
      <c r="F2" s="135"/>
    </row>
    <row r="4" spans="2:6">
      <c r="B4" s="101" t="s">
        <v>55</v>
      </c>
      <c r="C4" s="103"/>
      <c r="D4" s="103" t="s">
        <v>1</v>
      </c>
      <c r="E4" s="103" t="s">
        <v>13</v>
      </c>
      <c r="F4" s="103" t="s">
        <v>14</v>
      </c>
    </row>
    <row r="5" spans="2:6" s="70" customFormat="1">
      <c r="B5" s="116" t="s">
        <v>125</v>
      </c>
      <c r="C5" s="118" t="s">
        <v>88</v>
      </c>
      <c r="D5" s="176">
        <f>'STPIS inputs'!D9</f>
        <v>25750</v>
      </c>
      <c r="E5" s="176">
        <f>'STPIS inputs'!E9</f>
        <v>25750</v>
      </c>
      <c r="F5" s="176">
        <f>'STPIS inputs'!F9</f>
        <v>25750</v>
      </c>
    </row>
    <row r="6" spans="2:6" s="70" customFormat="1">
      <c r="B6" s="116" t="s">
        <v>62</v>
      </c>
      <c r="C6" s="118" t="s">
        <v>89</v>
      </c>
      <c r="D6" s="176">
        <f>'STPIS inputs'!D7</f>
        <v>5294623.2316800598</v>
      </c>
      <c r="E6" s="176">
        <f>'STPIS inputs'!E7</f>
        <v>6907012.5553100659</v>
      </c>
      <c r="F6" s="176">
        <f>'STPIS inputs'!F7</f>
        <v>1394164.2130098729</v>
      </c>
    </row>
    <row r="7" spans="2:6" s="70" customFormat="1">
      <c r="B7" s="116" t="s">
        <v>63</v>
      </c>
      <c r="C7" s="118" t="s">
        <v>2</v>
      </c>
      <c r="D7" s="177">
        <f>'STPIS inputs'!$C$4</f>
        <v>1578160594.5139661</v>
      </c>
      <c r="E7" s="177">
        <f>'STPIS inputs'!$C$4</f>
        <v>1578160594.5139661</v>
      </c>
      <c r="F7" s="177">
        <f>'STPIS inputs'!$C$4</f>
        <v>1578160594.5139661</v>
      </c>
    </row>
    <row r="8" spans="2:6" s="70" customFormat="1">
      <c r="B8" s="116" t="s">
        <v>4</v>
      </c>
      <c r="C8" s="118" t="s">
        <v>90</v>
      </c>
      <c r="D8" s="178">
        <f>+'Annual performance and targets'!I42</f>
        <v>1.2168743937717277</v>
      </c>
      <c r="E8" s="178">
        <f>+'Annual performance and targets'!I43</f>
        <v>2.3538358618014019</v>
      </c>
      <c r="F8" s="178">
        <f>+'Annual performance and targets'!I44</f>
        <v>4.5277473082172035</v>
      </c>
    </row>
    <row r="9" spans="2:6" s="70" customFormat="1">
      <c r="B9" s="116" t="s">
        <v>5</v>
      </c>
      <c r="C9" s="118" t="s">
        <v>91</v>
      </c>
      <c r="D9" s="178">
        <f>+'Annual performance and targets'!R42</f>
        <v>122.09502269741753</v>
      </c>
      <c r="E9" s="178">
        <f>+'Annual performance and targets'!R43</f>
        <v>280.02544680425757</v>
      </c>
      <c r="F9" s="178">
        <f>+'Annual performance and targets'!R44</f>
        <v>789.39800995457085</v>
      </c>
    </row>
    <row r="10" spans="2:6" s="70" customFormat="1">
      <c r="B10" s="116" t="s">
        <v>73</v>
      </c>
      <c r="C10" s="118" t="s">
        <v>92</v>
      </c>
      <c r="D10" s="179">
        <v>1.5</v>
      </c>
      <c r="E10" s="179">
        <v>1.5</v>
      </c>
      <c r="F10" s="179">
        <v>1.5</v>
      </c>
    </row>
    <row r="11" spans="2:6" s="70" customFormat="1">
      <c r="B11" s="116" t="s">
        <v>67</v>
      </c>
      <c r="C11" s="118" t="s">
        <v>6</v>
      </c>
      <c r="D11" s="180">
        <f>'STPIS inputs'!$C$11</f>
        <v>2.1567217828901697E-3</v>
      </c>
      <c r="E11" s="180">
        <f>'STPIS inputs'!$C$11</f>
        <v>2.1567217828901697E-3</v>
      </c>
      <c r="F11" s="180">
        <f>'STPIS inputs'!$C$11</f>
        <v>2.1567217828901697E-3</v>
      </c>
    </row>
    <row r="12" spans="2:6" s="70" customFormat="1">
      <c r="B12" s="116" t="s">
        <v>25</v>
      </c>
      <c r="C12" s="118"/>
      <c r="D12" s="180">
        <f>((D5*(1+D11)*(1-(1/(1+D10)))*D6)/D7)/(365.25*24*60)*100</f>
        <v>9.8763228111457737E-3</v>
      </c>
      <c r="E12" s="180">
        <f t="shared" ref="E12:F12" si="0">((E5*(1+E11)*(1-(1/(1+E10)))*E6)/E7)/(365.25*24*60)*100</f>
        <v>1.2883992433817276E-2</v>
      </c>
      <c r="F12" s="180">
        <f t="shared" si="0"/>
        <v>2.6006035211429647E-3</v>
      </c>
    </row>
    <row r="13" spans="2:6" s="70" customFormat="1">
      <c r="B13" s="116" t="s">
        <v>26</v>
      </c>
      <c r="C13" s="118"/>
      <c r="D13" s="180">
        <f t="shared" ref="D13:F13" si="1">((((((D5*(1+D11))/(1+D10))*D6))/D7)/(365.25*24*60))*(D9/D8)*100</f>
        <v>0.66062685623962059</v>
      </c>
      <c r="E13" s="180">
        <f t="shared" si="1"/>
        <v>1.0218344154609702</v>
      </c>
      <c r="F13" s="180">
        <f t="shared" si="1"/>
        <v>0.30227117438663453</v>
      </c>
    </row>
    <row r="14" spans="2:6">
      <c r="D14" s="181"/>
      <c r="E14" s="181"/>
      <c r="F14" s="181"/>
    </row>
    <row r="16" spans="2:6">
      <c r="C16" s="136"/>
    </row>
    <row r="17" spans="2:3">
      <c r="C17" s="136"/>
    </row>
    <row r="19" spans="2:3">
      <c r="B19" s="137"/>
    </row>
    <row r="20" spans="2:3">
      <c r="B20" s="137"/>
    </row>
    <row r="22" spans="2:3">
      <c r="B22" s="138"/>
    </row>
    <row r="23" spans="2:3">
      <c r="B23" s="137"/>
    </row>
    <row r="24" spans="2:3">
      <c r="B24" s="139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3F23-320B-4D62-A6A0-1EA8DCC46B42}">
  <dimension ref="A1:AH6"/>
  <sheetViews>
    <sheetView zoomScale="115" zoomScaleNormal="115" workbookViewId="0">
      <selection activeCell="J19" sqref="J19"/>
    </sheetView>
  </sheetViews>
  <sheetFormatPr defaultColWidth="9.140625" defaultRowHeight="14.25"/>
  <cols>
    <col min="1" max="2" width="9.140625" style="66"/>
    <col min="3" max="3" width="17" style="66" bestFit="1" customWidth="1"/>
    <col min="4" max="16384" width="9.140625" style="66"/>
  </cols>
  <sheetData>
    <row r="1" spans="1:34" s="65" customFormat="1">
      <c r="A1" s="62"/>
      <c r="B1" s="29" t="s">
        <v>45</v>
      </c>
      <c r="C1" s="62"/>
      <c r="D1" s="62"/>
      <c r="E1" s="62"/>
      <c r="F1" s="62"/>
      <c r="G1" s="62"/>
      <c r="H1" s="62"/>
      <c r="I1" s="62"/>
      <c r="J1" s="30"/>
      <c r="K1" s="30"/>
      <c r="L1" s="30"/>
      <c r="M1" s="30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3"/>
      <c r="AC1" s="63"/>
      <c r="AD1" s="63"/>
      <c r="AE1" s="63"/>
      <c r="AF1" s="63"/>
      <c r="AG1" s="64"/>
      <c r="AH1" s="64"/>
    </row>
    <row r="2" spans="1:34" s="31" customFormat="1">
      <c r="B2" s="32"/>
      <c r="C2" s="33"/>
      <c r="D2" s="33"/>
      <c r="E2" s="33"/>
      <c r="F2" s="34"/>
      <c r="G2" s="35"/>
      <c r="H2" s="3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</row>
    <row r="3" spans="1:34" s="31" customFormat="1" ht="11.25">
      <c r="B3" s="37" t="s">
        <v>60</v>
      </c>
      <c r="C3" s="38" t="s">
        <v>46</v>
      </c>
      <c r="D3" s="38" t="s">
        <v>47</v>
      </c>
      <c r="E3" s="39"/>
      <c r="F3" s="40"/>
      <c r="G3" s="41"/>
      <c r="H3" s="36"/>
    </row>
    <row r="4" spans="1:34" s="31" customFormat="1" ht="11.25">
      <c r="B4" s="32"/>
      <c r="D4" s="31" t="s">
        <v>48</v>
      </c>
      <c r="E4" s="33"/>
      <c r="F4" s="34"/>
      <c r="G4" s="35"/>
      <c r="H4" s="36"/>
    </row>
    <row r="5" spans="1:34" s="31" customFormat="1" ht="11.25">
      <c r="B5" s="61">
        <v>45168</v>
      </c>
      <c r="C5" s="42" t="s">
        <v>56</v>
      </c>
      <c r="D5" s="31" t="s">
        <v>58</v>
      </c>
      <c r="E5" s="33"/>
      <c r="F5" s="34"/>
      <c r="G5" s="35"/>
      <c r="H5" s="36"/>
    </row>
    <row r="6" spans="1:34">
      <c r="B6" s="61">
        <v>45168</v>
      </c>
      <c r="C6" s="42" t="s">
        <v>57</v>
      </c>
      <c r="D6" s="31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x0020_Number xmlns="8f493e50-f4fa-4672-bec5-6587e791f720">R0002365121</Record_x0020_Number>
    <TaxCatchAll xmlns="8f493e50-f4fa-4672-bec5-6587e791f720">
      <Value>65</Value>
      <Value>59</Value>
      <Value>16</Value>
    </TaxCatchAll>
    <Business_x0020_Groups xmlns="8f493e50-f4fa-4672-bec5-6587e791f720">Operations</Business_x0020_Groups>
    <Person_x0020_or_x0020_Group xmlns="cdf0dde9-ebef-4e0b-9cde-c91850d92f2d">
      <UserInfo>
        <DisplayName>William Godwin</DisplayName>
        <AccountId>3592</AccountId>
        <AccountType/>
      </UserInfo>
    </Person_x0020_or_x0020_Group>
    <Published_x0020_Externally xmlns="8f493e50-f4fa-4672-bec5-6587e791f720">Yes</Published_x0020_Externally>
    <Document_x0020_Category xmlns="8f493e50-f4fa-4672-bec5-6587e791f720" xsi:nil="true"/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Models and Pricing Tariffs</TermName>
          <TermId xmlns="http://schemas.microsoft.com/office/infopath/2007/PartnerControls">2d578944-a888-48cf-9157-a3f07df87eae</TermId>
        </TermInfo>
      </Terms>
    </de1a554c53354888900e11ba3ff10e9e>
    <Attachment_x0020_Category xmlns="8f493e50-f4fa-4672-bec5-6587e791f720">Primary Attachment</Attachment_x0020_Category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Revenue Proposal</TermName>
          <TermId xmlns="http://schemas.microsoft.com/office/infopath/2007/PartnerControls">f3980111-814c-44b7-9aa4-fe076fe6d80d</TermId>
        </TermInfo>
      </Terms>
    </m5487619c60d4cdf829961d62f0a4c8b>
    <Document_x0020_Status xmlns="cdf0dde9-ebef-4e0b-9cde-c91850d92f2d">Draft</Document_x0020_Status>
    <Confidential1 xmlns="8f493e50-f4fa-4672-bec5-6587e791f720">No</Confidential1>
    <Attachment_x0020_ID xmlns="8f493e50-f4fa-4672-bec5-6587e791f720" xsi:nil="true"/>
    <d515513357cb4f278bf18cadf524fc2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Transmission</TermName>
          <TermId xmlns="http://schemas.microsoft.com/office/infopath/2007/PartnerControls">057fc33d-fae5-41b9-87e5-dc1e3aa504ba</TermId>
        </TermInfo>
      </Terms>
    </d515513357cb4f278bf18cadf524fc2b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959CD9CB7D29F2488657205585980DC8" ma:contentTypeVersion="11" ma:contentTypeDescription="" ma:contentTypeScope="" ma:versionID="3b9cbdfcd76ece5c8c8a993b7b6caf03">
  <xsd:schema xmlns:xsd="http://www.w3.org/2001/XMLSchema" xmlns:xs="http://www.w3.org/2001/XMLSchema" xmlns:p="http://schemas.microsoft.com/office/2006/metadata/properties" xmlns:ns1="8f493e50-f4fa-4672-bec5-6587e791f720" xmlns:ns3="cdf0dde9-ebef-4e0b-9cde-c91850d92f2d" targetNamespace="http://schemas.microsoft.com/office/2006/metadata/properties" ma:root="true" ma:fieldsID="61f92c5bded25d940e0c44e2f11605e2" ns1:_="" ns3:_="">
    <xsd:import namespace="8f493e50-f4fa-4672-bec5-6587e791f720"/>
    <xsd:import namespace="cdf0dde9-ebef-4e0b-9cde-c91850d92f2d"/>
    <xsd:element name="properties">
      <xsd:complexType>
        <xsd:sequence>
          <xsd:element name="documentManagement">
            <xsd:complexType>
              <xsd:all>
                <xsd:element ref="ns1:Attachment_x0020_ID" minOccurs="0"/>
                <xsd:element ref="ns1:Record_x0020_Number" minOccurs="0"/>
                <xsd:element ref="ns3:Document_x0020_Status" minOccurs="0"/>
                <xsd:element ref="ns1:Confidential1" minOccurs="0"/>
                <xsd:element ref="ns1:Business_x0020_Groups" minOccurs="0"/>
                <xsd:element ref="ns1:Attachment_x0020_Category"/>
                <xsd:element ref="ns1:Document_x0020_Category" minOccurs="0"/>
                <xsd:element ref="ns1:Published_x0020_Externally" minOccurs="0"/>
                <xsd:element ref="ns3:Person_x0020_or_x0020_Group" minOccurs="0"/>
                <xsd:element ref="ns1:d515513357cb4f278bf18cadf524fc2b" minOccurs="0"/>
                <xsd:element ref="ns1:TaxCatchAllLabel" minOccurs="0"/>
                <xsd:element ref="ns1:m5487619c60d4cdf829961d62f0a4c8b" minOccurs="0"/>
                <xsd:element ref="ns1:TaxCatchAll" minOccurs="0"/>
                <xsd:element ref="ns1:de1a554c53354888900e11ba3ff10e9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Attachment_x0020_ID" ma:index="0" nillable="true" ma:displayName="Attachment ID" ma:description="E.g. TN123, TN123T%, TN123P, TN123T" ma:internalName="Attachment_x0020_ID">
      <xsd:simpleType>
        <xsd:restriction base="dms:Text">
          <xsd:maxLength value="255"/>
        </xsd:restriction>
      </xsd:simpleType>
    </xsd:element>
    <xsd:element name="Record_x0020_Number" ma:index="3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Confidential1" ma:index="8" nillable="true" ma:displayName="Confidential" ma:default="No" ma:format="RadioButtons" ma:internalName="Confidential1">
      <xsd:simpleType>
        <xsd:restriction base="dms:Choice">
          <xsd:enumeration value="Yes"/>
          <xsd:enumeration value="No"/>
        </xsd:restriction>
      </xsd:simpleType>
    </xsd:element>
    <xsd:element name="Business_x0020_Groups" ma:index="9" nillable="true" ma:displayName="Business Groups" ma:format="Dropdown" ma:internalName="Business_x0020_Groups">
      <xsd:simpleType>
        <xsd:restriction base="dms:Choice">
          <xsd:enumeration value="Finance"/>
          <xsd:enumeration value="Growth"/>
          <xsd:enumeration value="Governance"/>
          <xsd:enumeration value="Operations"/>
          <xsd:enumeration value="People"/>
          <xsd:enumeration value="Stakeholder"/>
          <xsd:enumeration value="Transformation, Strategy &amp; Digital"/>
        </xsd:restriction>
      </xsd:simpleType>
    </xsd:element>
    <xsd:element name="Attachment_x0020_Category" ma:index="10" ma:displayName="Attachment Category" ma:default="Primary Attachment" ma:format="Dropdown" ma:internalName="Attachment_x0020_Category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Document_x0020_Category" ma:index="11" nillable="true" ma:displayName="Document Category" ma:format="Dropdown" ma:internalName="Document_x0020_Category">
      <xsd:simpleType>
        <xsd:restriction base="dms:Choice">
          <xsd:enumeration value="Overview"/>
          <xsd:enumeration value="Fact Sheet"/>
          <xsd:enumeration value="Submission"/>
          <xsd:enumeration value="Supporting Information"/>
          <xsd:enumeration value="Correspondence"/>
          <xsd:enumeration value="Presentation"/>
          <xsd:enumeration value="Strategy"/>
          <xsd:enumeration value="Not applicable"/>
          <xsd:enumeration value="Superseded"/>
        </xsd:restriction>
      </xsd:simpleType>
    </xsd:element>
    <xsd:element name="Published_x0020_Externally" ma:index="12" nillable="true" ma:displayName="Send to AER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  <xsd:element name="d515513357cb4f278bf18cadf524fc2b" ma:index="15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487619c60d4cdf829961d62f0a4c8b" ma:index="22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1a554c53354888900e11ba3ff10e9e" ma:index="25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0dde9-ebef-4e0b-9cde-c91850d92f2d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6" nillable="true" ma:displayName="Document Status" ma:default="Draft" ma:format="RadioButtons" ma:internalName="Document_x0020_Status">
      <xsd:simpleType>
        <xsd:restriction base="dms:Choice">
          <xsd:enumeration value="Draft"/>
          <xsd:enumeration value="Final"/>
          <xsd:enumeration value="Superseded"/>
        </xsd:restriction>
      </xsd:simpleType>
    </xsd:element>
    <xsd:element name="Person_x0020_or_x0020_Group" ma:index="13" nillable="true" ma:displayName="Person or Group" ma:list="UserInfo" ma:SearchPeopleOnly="false" ma:SharePointGroup="0" ma:internalName="Person_x0020_or_x0020_Group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p r o p e r t i e s   x m l n s = " h t t p : / / w w w . i m a n a g e . c o m / w o r k / x m l s c h e m a " >  
     < d o c u m e n t i d > A C C C a n d A E R ! 1 5 8 0 7 2 8 4 . 1 < / d o c u m e n t i d >  
     < s e n d e r i d > P W U < / s e n d e r i d >  
     < s e n d e r e m a i l > P A T R I C K . W U @ A C C C . G O V . A U < / s e n d e r e m a i l >  
     < l a s t m o d i f i e d > 2 0 2 3 - 0 9 - 2 0 T 0 8 : 1 7 : 3 1 . 0 0 0 0 0 0 0 + 1 0 : 0 0 < / l a s t m o d i f i e d >  
     < d a t a b a s e > A C C C a n d A E R < / d a t a b a s e >  
 < / p r o p e r t i e s > 
</file>

<file path=customXml/item5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Props1.xml><?xml version="1.0" encoding="utf-8"?>
<ds:datastoreItem xmlns:ds="http://schemas.openxmlformats.org/officeDocument/2006/customXml" ds:itemID="{5E472E08-CC30-4362-88AA-B9EC68F20FF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f493e50-f4fa-4672-bec5-6587e791f720"/>
    <ds:schemaRef ds:uri="http://purl.org/dc/elements/1.1/"/>
    <ds:schemaRef ds:uri="http://schemas.microsoft.com/office/2006/metadata/properties"/>
    <ds:schemaRef ds:uri="cdf0dde9-ebef-4e0b-9cde-c91850d92f2d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E2F6CE-1DF0-4E9F-A53C-2006F4D59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493e50-f4fa-4672-bec5-6587e791f720"/>
    <ds:schemaRef ds:uri="cdf0dde9-ebef-4e0b-9cde-c91850d92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643B0A-1560-4EEA-84B1-095E5E1A58E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9296BDD-9822-4B10-8FBC-A83108FF41A4}">
  <ds:schemaRefs>
    <ds:schemaRef ds:uri="http://www.imanage.com/work/xmlschema"/>
  </ds:schemaRefs>
</ds:datastoreItem>
</file>

<file path=customXml/itemProps5.xml><?xml version="1.0" encoding="utf-8"?>
<ds:datastoreItem xmlns:ds="http://schemas.openxmlformats.org/officeDocument/2006/customXml" ds:itemID="{7F7D60B2-3A6A-43D6-ADDA-D4839F2B309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Output | Decision tables</vt:lpstr>
      <vt:lpstr>Cap adjustment</vt:lpstr>
      <vt:lpstr>STPIS inputs</vt:lpstr>
      <vt:lpstr>Annual performance and targets</vt:lpstr>
      <vt:lpstr>Incentive rates calc</vt:lpstr>
      <vt:lpstr>Change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Zula Altai</dc:creator>
  <cp:lastModifiedBy>Alaia Guido</cp:lastModifiedBy>
  <dcterms:created xsi:type="dcterms:W3CDTF">2021-10-04T03:52:19Z</dcterms:created>
  <dcterms:modified xsi:type="dcterms:W3CDTF">2025-04-23T05:31:07Z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0x01010001E02CCC3410964E993CCD35D068A93E020400959CD9CB7D29F2488657205585980DC8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{cdf0dde9-ebef-4e0b-9cde-c91850d92f2d}</vt:lpwstr>
  </property>
  <property fmtid="{D5CDD505-2E9C-101B-9397-08002B2CF9AE}" pid="6" name="RecordPoint_ActiveItemUniqueId">
    <vt:lpwstr>{54e45a2b-5305-435a-b38e-cdb4050c6290}</vt:lpwstr>
  </property>
  <property fmtid="{D5CDD505-2E9C-101B-9397-08002B2CF9AE}" pid="7" name="RecordPoint_ActiveItemWebId">
    <vt:lpwstr>{0e6c1e0d-ce9b-4acb-bd7f-e21f20d4c138}</vt:lpwstr>
  </property>
  <property fmtid="{D5CDD505-2E9C-101B-9397-08002B2CF9AE}" pid="8" name="AP Year">
    <vt:lpwstr/>
  </property>
  <property fmtid="{D5CDD505-2E9C-101B-9397-08002B2CF9AE}" pid="9" name="Primary Audience">
    <vt:lpwstr/>
  </property>
  <property fmtid="{D5CDD505-2E9C-101B-9397-08002B2CF9AE}" pid="10" name="Network">
    <vt:lpwstr>65;#Transmission|057fc33d-fae5-41b9-87e5-dc1e3aa504ba</vt:lpwstr>
  </property>
  <property fmtid="{D5CDD505-2E9C-101B-9397-08002B2CF9AE}" pid="11" name="AP Category">
    <vt:lpwstr/>
  </property>
  <property fmtid="{D5CDD505-2E9C-101B-9397-08002B2CF9AE}" pid="12" name="AP Other">
    <vt:lpwstr/>
  </property>
  <property fmtid="{D5CDD505-2E9C-101B-9397-08002B2CF9AE}" pid="13" name="RecordPoint_RecordNumberSubmitted">
    <vt:lpwstr>R0002365121</vt:lpwstr>
  </property>
  <property fmtid="{D5CDD505-2E9C-101B-9397-08002B2CF9AE}" pid="14" name="RecordPoint_SubmissionCompleted">
    <vt:lpwstr>2023-01-24T08:50:08.3374086+11:00</vt:lpwstr>
  </property>
  <property fmtid="{D5CDD505-2E9C-101B-9397-08002B2CF9AE}" pid="15" name="Determination Category">
    <vt:lpwstr>59;#Models and Pricing Tariffs|2d578944-a888-48cf-9157-a3f07df87eae</vt:lpwstr>
  </property>
  <property fmtid="{D5CDD505-2E9C-101B-9397-08002B2CF9AE}" pid="16" name="Determination Activity">
    <vt:lpwstr>16;#Revenue Proposal|f3980111-814c-44b7-9aa4-fe076fe6d80d</vt:lpwstr>
  </property>
  <property fmtid="{D5CDD505-2E9C-101B-9397-08002B2CF9AE}" pid="17" name="RecordPoint_SubmissionDate">
    <vt:lpwstr/>
  </property>
  <property fmtid="{D5CDD505-2E9C-101B-9397-08002B2CF9AE}" pid="18" name="RecordPoint_RecordFormat">
    <vt:lpwstr/>
  </property>
  <property fmtid="{D5CDD505-2E9C-101B-9397-08002B2CF9AE}" pid="19" name="RecordPoint_ActiveItemMoved">
    <vt:lpwstr/>
  </property>
  <property fmtid="{D5CDD505-2E9C-101B-9397-08002B2CF9AE}" pid="20" name="MSIP_Label_d9d5a995-dfdf-4407-9a97-edbbc68c9f53_Enabled">
    <vt:lpwstr>true</vt:lpwstr>
  </property>
  <property fmtid="{D5CDD505-2E9C-101B-9397-08002B2CF9AE}" pid="21" name="MSIP_Label_d9d5a995-dfdf-4407-9a97-edbbc68c9f53_SetDate">
    <vt:lpwstr>2024-06-25T23:38:38Z</vt:lpwstr>
  </property>
  <property fmtid="{D5CDD505-2E9C-101B-9397-08002B2CF9AE}" pid="22" name="MSIP_Label_d9d5a995-dfdf-4407-9a97-edbbc68c9f53_Method">
    <vt:lpwstr>Privileged</vt:lpwstr>
  </property>
  <property fmtid="{D5CDD505-2E9C-101B-9397-08002B2CF9AE}" pid="23" name="MSIP_Label_d9d5a995-dfdf-4407-9a97-edbbc68c9f53_Name">
    <vt:lpwstr>OFFICIAL</vt:lpwstr>
  </property>
  <property fmtid="{D5CDD505-2E9C-101B-9397-08002B2CF9AE}" pid="24" name="MSIP_Label_d9d5a995-dfdf-4407-9a97-edbbc68c9f53_SiteId">
    <vt:lpwstr>b33e9e1a-e443-4edd-9789-24bed26d38d6</vt:lpwstr>
  </property>
  <property fmtid="{D5CDD505-2E9C-101B-9397-08002B2CF9AE}" pid="25" name="MSIP_Label_d9d5a995-dfdf-4407-9a97-edbbc68c9f53_ActionId">
    <vt:lpwstr>191e0bff-8823-4239-aab0-3c23069629cb</vt:lpwstr>
  </property>
  <property fmtid="{D5CDD505-2E9C-101B-9397-08002B2CF9AE}" pid="26" name="MSIP_Label_d9d5a995-dfdf-4407-9a97-edbbc68c9f53_ContentBits">
    <vt:lpwstr>0</vt:lpwstr>
  </property>
</Properties>
</file>