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17F95C88-F9A0-40F3-B18C-70CFE66F7FCE}" xr6:coauthVersionLast="47" xr6:coauthVersionMax="47" xr10:uidLastSave="{00000000-0000-0000-0000-000000000000}"/>
  <bookViews>
    <workbookView xWindow="-30828" yWindow="-10884" windowWidth="30936" windowHeight="16896" tabRatio="691" activeTab="4" xr2:uid="{00000000-000D-0000-FFFF-FFFF00000000}"/>
  </bookViews>
  <sheets>
    <sheet name="Index" sheetId="5" r:id="rId1"/>
    <sheet name="Change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  <sheet name="Lookup | Tables" sheetId="9" r:id="rId8"/>
  </sheets>
  <definedNames>
    <definedName name="A10offset">10</definedName>
    <definedName name="A11offset">11</definedName>
    <definedName name="A12offset">12</definedName>
    <definedName name="A13offset">13</definedName>
    <definedName name="A14offset">14</definedName>
    <definedName name="A15offset">15</definedName>
    <definedName name="A16offset">16</definedName>
    <definedName name="A17offset">17</definedName>
    <definedName name="A18offset">18</definedName>
    <definedName name="A19offset">19</definedName>
    <definedName name="A1offset">1</definedName>
    <definedName name="A20offset">20</definedName>
    <definedName name="A21offset">21</definedName>
    <definedName name="A22offset">22</definedName>
    <definedName name="A23offset">23</definedName>
    <definedName name="A24offset">24</definedName>
    <definedName name="A25offset">25</definedName>
    <definedName name="A26offset">26</definedName>
    <definedName name="A27offset">27</definedName>
    <definedName name="A28offset">28</definedName>
    <definedName name="A29offset">29</definedName>
    <definedName name="A2offset">2</definedName>
    <definedName name="A30offset">30</definedName>
    <definedName name="A31offset">31</definedName>
    <definedName name="A32offset">32</definedName>
    <definedName name="A33offset">33</definedName>
    <definedName name="A34offset">34</definedName>
    <definedName name="A35offset">35</definedName>
    <definedName name="A36offset">36</definedName>
    <definedName name="A37offset">37</definedName>
    <definedName name="A38offset">38</definedName>
    <definedName name="A39offset">39</definedName>
    <definedName name="A3offset">3</definedName>
    <definedName name="A40offset">40</definedName>
    <definedName name="A41offset">41</definedName>
    <definedName name="A42offset">42</definedName>
    <definedName name="A43offset">43</definedName>
    <definedName name="A44offset">44</definedName>
    <definedName name="A45offset">45</definedName>
    <definedName name="A46offset">46</definedName>
    <definedName name="A47offset">47</definedName>
    <definedName name="A48offset">48</definedName>
    <definedName name="A49offset">49</definedName>
    <definedName name="A4offset">4</definedName>
    <definedName name="A50offset">50</definedName>
    <definedName name="A5offset">5</definedName>
    <definedName name="A6offset">6</definedName>
    <definedName name="A7offset">7</definedName>
    <definedName name="A8offset">8</definedName>
    <definedName name="A9offset">9</definedName>
    <definedName name="abba" hidden="1">{"Ownership",#N/A,FALSE,"Ownership";"Contents",#N/A,FALSE,"Contents"}</definedName>
    <definedName name="anscount" hidden="1">1</definedName>
    <definedName name="CRCP_span">CONCATENATE(CRCP_y1, " to ",CRCP_y5)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M14" i="13"/>
  <c r="E9" i="4"/>
  <c r="M9" i="13"/>
  <c r="N9" i="13" s="1"/>
  <c r="O9" i="13" s="1"/>
  <c r="P9" i="13" s="1"/>
  <c r="C15" i="13"/>
  <c r="G15" i="13"/>
  <c r="C10" i="13"/>
  <c r="G8" i="4"/>
  <c r="F8" i="4"/>
  <c r="E8" i="4"/>
  <c r="F9" i="4"/>
  <c r="C47" i="4"/>
  <c r="B1" i="2"/>
  <c r="B1" i="10" s="1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H15" i="13" l="1"/>
  <c r="E10" i="4" s="1"/>
  <c r="H24" i="3"/>
  <c r="D10" i="4"/>
  <c r="D12" i="4" s="1"/>
  <c r="G10" i="13"/>
  <c r="H10" i="13" s="1"/>
  <c r="I10" i="13" s="1"/>
  <c r="J10" i="13" s="1"/>
  <c r="K10" i="13" s="1"/>
  <c r="L10" i="13" s="1"/>
  <c r="I31" i="3" s="1"/>
  <c r="G11" i="4"/>
  <c r="F11" i="4"/>
  <c r="E11" i="4"/>
  <c r="F19" i="4"/>
  <c r="E19" i="4" s="1"/>
  <c r="D19" i="4" s="1"/>
  <c r="N14" i="13"/>
  <c r="B1" i="9"/>
  <c r="B1" i="5"/>
  <c r="B1" i="3"/>
  <c r="B1" i="13"/>
  <c r="B1" i="4"/>
  <c r="I15" i="13" l="1"/>
  <c r="I24" i="3"/>
  <c r="F13" i="4"/>
  <c r="G13" i="4"/>
  <c r="E13" i="4"/>
  <c r="E18" i="4" s="1"/>
  <c r="E21" i="4" s="1"/>
  <c r="H13" i="4"/>
  <c r="D21" i="4"/>
  <c r="D20" i="4"/>
  <c r="H31" i="3"/>
  <c r="E12" i="4"/>
  <c r="G14" i="4" s="1"/>
  <c r="M10" i="13"/>
  <c r="N10" i="13" s="1"/>
  <c r="K31" i="3" s="1"/>
  <c r="O14" i="13"/>
  <c r="J15" i="13" l="1"/>
  <c r="J24" i="3"/>
  <c r="F10" i="4"/>
  <c r="F12" i="4" s="1"/>
  <c r="F20" i="4" s="1"/>
  <c r="H14" i="4"/>
  <c r="E20" i="4"/>
  <c r="F14" i="4"/>
  <c r="F18" i="4" s="1"/>
  <c r="F21" i="4" s="1"/>
  <c r="J31" i="3"/>
  <c r="O10" i="13"/>
  <c r="P10" i="13" s="1"/>
  <c r="P14" i="13"/>
  <c r="H15" i="4" l="1"/>
  <c r="G15" i="4"/>
  <c r="G18" i="4" s="1"/>
  <c r="G21" i="4" s="1"/>
  <c r="K15" i="13"/>
  <c r="K24" i="3"/>
  <c r="G10" i="4"/>
  <c r="G12" i="4" s="1"/>
  <c r="L31" i="3"/>
  <c r="L24" i="3" l="1"/>
  <c r="D32" i="4" s="1"/>
  <c r="D33" i="4" s="1"/>
  <c r="H10" i="4"/>
  <c r="H12" i="4" s="1"/>
  <c r="H20" i="4" s="1"/>
  <c r="L15" i="13"/>
  <c r="H32" i="3"/>
  <c r="D26" i="4" s="1"/>
  <c r="G20" i="4"/>
  <c r="H16" i="4"/>
  <c r="H18" i="4" s="1"/>
  <c r="H21" i="4" s="1"/>
  <c r="D38" i="4" s="1"/>
  <c r="M15" i="13" l="1"/>
  <c r="I32" i="3"/>
  <c r="E26" i="4" s="1"/>
  <c r="N15" i="13" l="1"/>
  <c r="J32" i="3"/>
  <c r="F26" i="4" s="1"/>
  <c r="K32" i="3" l="1"/>
  <c r="G26" i="4" s="1"/>
  <c r="O15" i="13"/>
  <c r="P15" i="13" l="1"/>
  <c r="L32" i="3"/>
  <c r="H26" i="4" s="1"/>
  <c r="M22" i="13" l="1"/>
  <c r="E25" i="4" s="1"/>
  <c r="P22" i="13"/>
  <c r="H25" i="4" s="1"/>
  <c r="D44" i="4" l="1"/>
  <c r="E44" i="4" s="1"/>
  <c r="L22" i="13"/>
  <c r="D25" i="4" s="1"/>
  <c r="D27" i="4" s="1"/>
  <c r="D28" i="4" s="1"/>
  <c r="O22" i="13"/>
  <c r="G25" i="4" s="1"/>
  <c r="N22" i="13"/>
  <c r="F25" i="4" s="1"/>
  <c r="F27" i="4" s="1"/>
  <c r="F28" i="4" s="1"/>
  <c r="E27" i="4"/>
  <c r="E28" i="4" s="1"/>
  <c r="G27" i="4" l="1"/>
  <c r="G28" i="4" s="1"/>
  <c r="F44" i="4"/>
  <c r="G44" i="4" s="1"/>
  <c r="H44" i="4" s="1"/>
  <c r="H27" i="4"/>
  <c r="H28" i="4" s="1"/>
  <c r="D35" i="4" s="1"/>
  <c r="D37" i="4" l="1"/>
  <c r="D39" i="4" s="1"/>
  <c r="D45" i="4" s="1"/>
  <c r="D36" i="4" l="1"/>
  <c r="J8" i="10"/>
  <c r="E45" i="4"/>
  <c r="F45" i="4" l="1"/>
  <c r="K8" i="10"/>
  <c r="G45" i="4" l="1"/>
  <c r="L8" i="10"/>
  <c r="H45" i="4" l="1"/>
  <c r="M8" i="10"/>
  <c r="N8" i="10" l="1"/>
  <c r="O8" i="10" s="1"/>
  <c r="D47" i="4"/>
</calcChain>
</file>

<file path=xl/sharedStrings.xml><?xml version="1.0" encoding="utf-8"?>
<sst xmlns="http://schemas.openxmlformats.org/spreadsheetml/2006/main" count="331" uniqueCount="177">
  <si>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</si>
  <si>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</si>
  <si>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</si>
  <si>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</si>
  <si>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</si>
  <si>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</si>
  <si>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</si>
  <si>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</si>
  <si>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</si>
  <si>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</si>
  <si>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</si>
  <si>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</si>
  <si>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</si>
  <si>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</si>
  <si>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</si>
  <si>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</si>
  <si>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</si>
  <si>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</si>
  <si>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</si>
  <si>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 or calculation</t>
  </si>
  <si>
    <t>NSP Name</t>
  </si>
  <si>
    <t>SA Power Networks</t>
  </si>
  <si>
    <t>Determination stage</t>
  </si>
  <si>
    <t>Regulatory proposal</t>
  </si>
  <si>
    <t>Determination years</t>
  </si>
  <si>
    <t>2025-30</t>
  </si>
  <si>
    <t>Draft decision</t>
  </si>
  <si>
    <t>First year of regulatory period</t>
  </si>
  <si>
    <t>2025-26</t>
  </si>
  <si>
    <t>Revised proposal</t>
  </si>
  <si>
    <t>Final decision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</si>
  <si>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</si>
  <si>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</si>
  <si>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</si>
  <si>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</si>
  <si>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</si>
  <si>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</si>
  <si>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</si>
  <si>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</si>
  <si>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</si>
  <si>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</si>
  <si>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</si>
  <si>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</si>
  <si>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</si>
  <si>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</si>
  <si>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</si>
  <si>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</si>
  <si>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</si>
  <si>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</si>
  <si>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</si>
  <si>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</si>
  <si>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</si>
  <si>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</si>
  <si>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</si>
  <si>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</si>
  <si>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DNSP/AER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</si>
  <si>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</si>
  <si>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</si>
  <si>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</si>
  <si>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</si>
  <si>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</si>
  <si>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</si>
  <si>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 (includes customer contributions)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</si>
  <si>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</si>
  <si>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</si>
  <si>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</si>
  <si>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</si>
  <si>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</si>
  <si>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 (includes customer contributions)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</si>
  <si>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</si>
  <si>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</si>
  <si>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</si>
  <si>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</si>
  <si>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</si>
  <si>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</si>
  <si>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</si>
  <si>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</si>
  <si>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</si>
  <si>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</si>
  <si>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</si>
  <si>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</si>
  <si>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</si>
  <si>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</si>
  <si>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</si>
  <si>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</si>
  <si>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</si>
  <si>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</si>
  <si>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</si>
  <si>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</si>
  <si>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</si>
  <si>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</si>
  <si>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</si>
  <si>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</si>
  <si>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</si>
  <si>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</si>
  <si>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</si>
  <si>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</si>
  <si>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</si>
  <si>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Forecast capex</t>
  </si>
  <si>
    <t>Underspend or Overspend, %</t>
  </si>
  <si>
    <t>Relevant sharing ratio</t>
  </si>
  <si>
    <t>Total underspend (NPV) adjusted for deferrals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</si>
  <si>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</si>
  <si>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</si>
  <si>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</si>
  <si>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</si>
  <si>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</si>
  <si>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</si>
  <si>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</si>
  <si>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2024-25</t>
  </si>
  <si>
    <t>Note. The dollar base should be consistent with the post tax revenue model</t>
  </si>
  <si>
    <t>Revenue Adjustments</t>
  </si>
  <si>
    <t>Total</t>
  </si>
  <si>
    <t>CESS increments as per NER 6.4.3(a)(5)</t>
  </si>
  <si>
    <t>Internal Link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</si>
  <si>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</si>
  <si>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</si>
  <si>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</si>
  <si>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</si>
  <si>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</si>
  <si>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</si>
  <si>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</si>
  <si>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</si>
  <si>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</si>
  <si>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</si>
  <si>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</si>
  <si>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</si>
  <si>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</si>
  <si>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</si>
  <si>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</si>
  <si>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</si>
  <si>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</si>
  <si>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</si>
  <si>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</si>
  <si>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</si>
  <si>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</si>
  <si>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</si>
  <si>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</si>
  <si>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</si>
  <si>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</si>
  <si>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</si>
  <si>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</si>
  <si>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</si>
  <si>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AER draft decision amendments</t>
  </si>
  <si>
    <t>#</t>
  </si>
  <si>
    <t>Sheet</t>
  </si>
  <si>
    <t>Reference</t>
  </si>
  <si>
    <t>Notes</t>
  </si>
  <si>
    <t>The AER's draft decision amendments are highlighted in green</t>
  </si>
  <si>
    <t>SAPN Revised Proposal amendments are highlighted in purple</t>
  </si>
  <si>
    <t>K18:K20</t>
  </si>
  <si>
    <t>updated actual capex for 2023-24</t>
  </si>
  <si>
    <t>L18:L20</t>
  </si>
  <si>
    <t>updated forecast capex for 2024-25</t>
  </si>
  <si>
    <t>AER final decision amendments</t>
  </si>
  <si>
    <t>D7</t>
  </si>
  <si>
    <t>Amended project stage to draft decision</t>
  </si>
  <si>
    <t>K9</t>
  </si>
  <si>
    <t>Updated to exact unrounded value</t>
  </si>
  <si>
    <t>J13, K13</t>
  </si>
  <si>
    <t>Updated actual and estimated CPI</t>
  </si>
  <si>
    <t>L14</t>
  </si>
  <si>
    <t>Updated forecast CPI for 2025-30 period</t>
  </si>
  <si>
    <t>H20, J20, K20</t>
  </si>
  <si>
    <t>Updated 20-25 real vanilla WACC to be consistent with our 2020-25 decision</t>
  </si>
  <si>
    <t>L21:P21</t>
  </si>
  <si>
    <t>Updated 25-30 real vanilla WACC</t>
  </si>
  <si>
    <t>H8:J8</t>
  </si>
  <si>
    <t>Amended to be consistent with the latest PTRM</t>
  </si>
  <si>
    <t>H18:J20</t>
  </si>
  <si>
    <t>Amended to be consistent with annual reporting RIN</t>
  </si>
  <si>
    <t>The AER's final decision amendments are highlighted in blue</t>
  </si>
  <si>
    <t>Updated project stage to final decision</t>
  </si>
  <si>
    <t>K13</t>
  </si>
  <si>
    <t>Updated actual CPI for 2024-25</t>
  </si>
  <si>
    <t>J8, L9</t>
  </si>
  <si>
    <t>Updated CPI to reflect SAPN's revised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</si>
</sst>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&quot;$&quot;#,##0.000000"/>
    <numFmt numFmtId="196" formatCode="#,##0.000000"/>
    <numFmt numFmtId="197" formatCode="#,##0.0000000000000000"/>
    <numFmt numFmtId="198" formatCode="0.000000000"/>
    <numFmt numFmtId="199" formatCode="_(###\ ##0.00_);\(###\ ##0.00\);_(&quot;-&quot;_)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2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0" fontId="23" fillId="0" borderId="0"/>
    <xf numFmtId="0" fontId="79" fillId="0" borderId="0"/>
  </cellStyleXfs>
  <cellXfs count="209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Alignment="1" applyProtection="1">
      <alignment horizont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6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195" fontId="24" fillId="55" borderId="2" xfId="0" applyNumberFormat="1" applyFont="1" applyFill="1" applyBorder="1" applyAlignment="1">
      <alignment horizontal="right" vertical="center"/>
    </xf>
    <xf numFmtId="195" fontId="24" fillId="55" borderId="39" xfId="0" applyNumberFormat="1" applyFont="1" applyFill="1" applyBorder="1" applyAlignment="1">
      <alignment horizontal="right" vertical="center"/>
    </xf>
    <xf numFmtId="10" fontId="24" fillId="56" borderId="28" xfId="0" applyNumberFormat="1" applyFont="1" applyFill="1" applyBorder="1" applyAlignment="1">
      <alignment horizontal="center" vertical="center"/>
    </xf>
    <xf numFmtId="10" fontId="24" fillId="53" borderId="28" xfId="268" applyNumberFormat="1" applyFont="1" applyFill="1" applyBorder="1" applyAlignment="1">
      <alignment horizontal="center" vertical="center"/>
    </xf>
    <xf numFmtId="10" fontId="24" fillId="56" borderId="28" xfId="268" applyNumberFormat="1" applyFont="1" applyFill="1" applyBorder="1" applyAlignment="1">
      <alignment horizontal="center" vertical="center"/>
    </xf>
    <xf numFmtId="196" fontId="3" fillId="3" borderId="0" xfId="0" applyNumberFormat="1" applyFont="1" applyFill="1" applyAlignment="1">
      <alignment horizontal="center" vertical="center"/>
    </xf>
    <xf numFmtId="197" fontId="3" fillId="3" borderId="0" xfId="0" applyNumberFormat="1" applyFont="1" applyFill="1" applyAlignment="1">
      <alignment horizontal="center" vertical="center"/>
    </xf>
    <xf numFmtId="2" fontId="24" fillId="56" borderId="26" xfId="1" applyNumberFormat="1" applyFont="1" applyFill="1" applyBorder="1" applyAlignment="1">
      <alignment horizontal="center" vertical="center"/>
    </xf>
    <xf numFmtId="198" fontId="0" fillId="3" borderId="0" xfId="0" applyNumberFormat="1" applyFill="1" applyAlignment="1">
      <alignment vertical="center"/>
    </xf>
    <xf numFmtId="0" fontId="101" fillId="56" borderId="0" xfId="265" applyFont="1" applyFill="1" applyAlignment="1">
      <alignment horizontal="center" vertical="center" wrapText="1"/>
    </xf>
    <xf numFmtId="0" fontId="23" fillId="0" borderId="21" xfId="340" applyBorder="1" applyAlignment="1">
      <alignment vertical="top"/>
    </xf>
    <xf numFmtId="0" fontId="23" fillId="0" borderId="0" xfId="340"/>
    <xf numFmtId="0" fontId="23" fillId="56" borderId="0" xfId="340" applyFill="1"/>
    <xf numFmtId="199" fontId="20" fillId="55" borderId="26" xfId="55" applyNumberFormat="1" applyFont="1" applyFill="1" applyBorder="1" applyAlignment="1" applyProtection="1">
      <alignment horizontal="center" vertical="center"/>
    </xf>
    <xf numFmtId="0" fontId="23" fillId="57" borderId="0" xfId="340" applyFill="1"/>
    <xf numFmtId="2" fontId="24" fillId="57" borderId="26" xfId="1" applyNumberFormat="1" applyFont="1" applyFill="1" applyBorder="1" applyAlignment="1">
      <alignment horizontal="center" vertical="center"/>
    </xf>
    <xf numFmtId="0" fontId="101" fillId="58" borderId="0" xfId="265" applyFont="1" applyFill="1" applyAlignment="1">
      <alignment horizontal="center" vertical="center" wrapText="1"/>
    </xf>
    <xf numFmtId="10" fontId="24" fillId="58" borderId="28" xfId="0" applyNumberFormat="1" applyFont="1" applyFill="1" applyBorder="1" applyAlignment="1">
      <alignment horizontal="center" vertical="center"/>
    </xf>
    <xf numFmtId="0" fontId="23" fillId="0" borderId="0" xfId="339" applyAlignment="1">
      <alignment vertical="top"/>
    </xf>
    <xf numFmtId="0" fontId="23" fillId="0" borderId="0" xfId="147"/>
    <xf numFmtId="0" fontId="23" fillId="0" borderId="0" xfId="339" applyAlignment="1">
      <alignment vertical="top" wrapText="1"/>
    </xf>
    <xf numFmtId="0" fontId="23" fillId="58" borderId="0" xfId="340" applyFill="1" applyAlignment="1">
      <alignment vertical="top"/>
    </xf>
    <xf numFmtId="0" fontId="0" fillId="58" borderId="0" xfId="0" applyFill="1"/>
    <xf numFmtId="0" fontId="23" fillId="56" borderId="0" xfId="339" applyFill="1" applyAlignment="1">
      <alignment vertical="top"/>
    </xf>
    <xf numFmtId="0" fontId="23" fillId="56" borderId="0" xfId="147" applyFill="1"/>
    <xf numFmtId="0" fontId="24" fillId="58" borderId="26" xfId="1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42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0 2 2" xfId="340" xr:uid="{1BDDF85A-9AFD-4014-A5A7-59379341A72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22" xfId="341" xr:uid="{1E0CF58E-9313-48BA-909A-26DA6939E487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45" xfId="339" xr:uid="{4F50A16A-5FDF-47AC-868E-9D547C2F3FDE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C198E0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zoomScaleNormal="100" workbookViewId="0"/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SA Power Networks 2025-30 Final decision - Capital expenditure sharing scheme model</v>
      </c>
      <c r="D1" s="4"/>
      <c r="E1" s="4"/>
    </row>
    <row r="2" spans="2:13" ht="18" customHeight="1">
      <c r="B2" s="28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103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103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103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103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103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103" t="s">
        <v>14</v>
      </c>
      <c r="D12" s="26" t="s">
        <v>15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2.75" customHeight="1"/>
    <row r="14" spans="2:13" s="8" customFormat="1" ht="12.75" customHeight="1">
      <c r="C14" s="23" t="s">
        <v>16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8046-A5DC-4D65-AD82-5DA8A5032376}">
  <sheetPr>
    <tabColor rgb="FF00B0F0"/>
  </sheetPr>
  <dimension ref="A1:D28"/>
  <sheetViews>
    <sheetView workbookViewId="0">
      <selection activeCell="C30" sqref="C30"/>
    </sheetView>
  </sheetViews>
  <sheetFormatPr defaultColWidth="8.7265625" defaultRowHeight="12.5"/>
  <cols>
    <col min="1" max="1" width="3" style="193" bestFit="1" customWidth="1"/>
    <col min="2" max="2" width="24.6328125" style="193" bestFit="1" customWidth="1"/>
    <col min="3" max="3" width="19.81640625" style="193" customWidth="1"/>
    <col min="4" max="4" width="115.1796875" style="193" bestFit="1" customWidth="1"/>
    <col min="5" max="16384" width="8.7265625" style="193"/>
  </cols>
  <sheetData>
    <row r="1" spans="1:4">
      <c r="A1" s="192" t="s">
        <v>144</v>
      </c>
      <c r="B1" s="192" t="s">
        <v>145</v>
      </c>
      <c r="C1" s="192" t="s">
        <v>146</v>
      </c>
      <c r="D1" s="192" t="s">
        <v>147</v>
      </c>
    </row>
    <row r="2" spans="1:4" s="201" customFormat="1">
      <c r="A2" s="205">
        <v>1</v>
      </c>
      <c r="B2" s="200" t="s">
        <v>4</v>
      </c>
      <c r="C2" s="201" t="s">
        <v>155</v>
      </c>
      <c r="D2" s="201" t="s">
        <v>156</v>
      </c>
    </row>
    <row r="3" spans="1:4" s="201" customFormat="1">
      <c r="A3" s="205">
        <v>2</v>
      </c>
      <c r="B3" s="200" t="s">
        <v>6</v>
      </c>
      <c r="C3" s="202" t="s">
        <v>157</v>
      </c>
      <c r="D3" s="201" t="s">
        <v>158</v>
      </c>
    </row>
    <row r="4" spans="1:4" s="201" customFormat="1">
      <c r="A4" s="205">
        <v>3</v>
      </c>
      <c r="B4" s="200" t="s">
        <v>6</v>
      </c>
      <c r="C4" s="202" t="s">
        <v>159</v>
      </c>
      <c r="D4" s="201" t="s">
        <v>160</v>
      </c>
    </row>
    <row r="5" spans="1:4" s="201" customFormat="1">
      <c r="A5" s="205">
        <v>4</v>
      </c>
      <c r="B5" s="200" t="s">
        <v>6</v>
      </c>
      <c r="C5" s="202" t="s">
        <v>161</v>
      </c>
      <c r="D5" s="200" t="s">
        <v>162</v>
      </c>
    </row>
    <row r="6" spans="1:4" s="201" customFormat="1">
      <c r="A6" s="205">
        <v>5</v>
      </c>
      <c r="B6" s="200" t="s">
        <v>6</v>
      </c>
      <c r="C6" s="201" t="s">
        <v>163</v>
      </c>
      <c r="D6" s="201" t="s">
        <v>164</v>
      </c>
    </row>
    <row r="7" spans="1:4" s="201" customFormat="1">
      <c r="A7" s="205">
        <v>6</v>
      </c>
      <c r="B7" s="200" t="s">
        <v>6</v>
      </c>
      <c r="C7" s="201" t="s">
        <v>165</v>
      </c>
      <c r="D7" s="201" t="s">
        <v>166</v>
      </c>
    </row>
    <row r="8" spans="1:4" s="201" customFormat="1">
      <c r="A8" s="205">
        <v>7</v>
      </c>
      <c r="B8" s="200" t="s">
        <v>8</v>
      </c>
      <c r="C8" s="200" t="s">
        <v>167</v>
      </c>
      <c r="D8" s="201" t="s">
        <v>168</v>
      </c>
    </row>
    <row r="9" spans="1:4" s="201" customFormat="1">
      <c r="A9" s="206">
        <v>8</v>
      </c>
      <c r="B9" s="200" t="s">
        <v>8</v>
      </c>
      <c r="C9" s="200" t="s">
        <v>169</v>
      </c>
      <c r="D9" s="200" t="s">
        <v>170</v>
      </c>
    </row>
    <row r="11" spans="1:4">
      <c r="A11" s="194" t="s">
        <v>148</v>
      </c>
      <c r="B11" s="194"/>
      <c r="C11" s="194"/>
      <c r="D11" s="194"/>
    </row>
    <row r="13" spans="1:4">
      <c r="A13" s="196" t="s">
        <v>149</v>
      </c>
      <c r="B13" s="196"/>
      <c r="C13" s="196"/>
      <c r="D13" s="196"/>
    </row>
    <row r="15" spans="1:4">
      <c r="A15" s="193">
        <v>1</v>
      </c>
      <c r="B15" s="193" t="s">
        <v>8</v>
      </c>
      <c r="C15" s="193" t="s">
        <v>150</v>
      </c>
      <c r="D15" s="193" t="s">
        <v>151</v>
      </c>
    </row>
    <row r="16" spans="1:4">
      <c r="A16" s="193">
        <v>2</v>
      </c>
      <c r="B16" s="193" t="s">
        <v>8</v>
      </c>
      <c r="C16" s="193" t="s">
        <v>152</v>
      </c>
      <c r="D16" s="193" t="s">
        <v>153</v>
      </c>
    </row>
    <row r="18" spans="1:4">
      <c r="A18" s="203" t="s">
        <v>171</v>
      </c>
      <c r="B18" s="203"/>
      <c r="C18" s="203"/>
      <c r="D18" s="203"/>
    </row>
    <row r="19" spans="1:4" ht="14.5">
      <c r="A19"/>
      <c r="B19"/>
      <c r="C19"/>
      <c r="D19"/>
    </row>
    <row r="20" spans="1:4" ht="14.5">
      <c r="A20" s="204">
        <v>1</v>
      </c>
      <c r="B20" s="200" t="s">
        <v>4</v>
      </c>
      <c r="C20" s="201" t="s">
        <v>155</v>
      </c>
      <c r="D20" s="201" t="s">
        <v>172</v>
      </c>
    </row>
    <row r="21" spans="1:4" ht="14.5">
      <c r="A21" s="204">
        <v>2</v>
      </c>
      <c r="B21" s="200" t="s">
        <v>6</v>
      </c>
      <c r="C21" s="193" t="s">
        <v>175</v>
      </c>
      <c r="D21" s="193" t="s">
        <v>176</v>
      </c>
    </row>
    <row r="22" spans="1:4" ht="14.5">
      <c r="A22" s="204">
        <v>3</v>
      </c>
      <c r="B22" s="200" t="s">
        <v>6</v>
      </c>
      <c r="C22" s="202" t="s">
        <v>173</v>
      </c>
      <c r="D22" s="201" t="s">
        <v>174</v>
      </c>
    </row>
    <row r="23" spans="1:4" ht="14.5">
      <c r="A23" s="204">
        <v>4</v>
      </c>
      <c r="B23" s="200" t="s">
        <v>6</v>
      </c>
      <c r="C23" s="202" t="s">
        <v>161</v>
      </c>
      <c r="D23" s="200" t="s">
        <v>162</v>
      </c>
    </row>
    <row r="24" spans="1:4" ht="14.5">
      <c r="A24" s="204">
        <v>5</v>
      </c>
      <c r="B24" s="200" t="s">
        <v>6</v>
      </c>
      <c r="C24" s="201" t="s">
        <v>165</v>
      </c>
      <c r="D24" s="201" t="s">
        <v>166</v>
      </c>
    </row>
    <row r="28" spans="1:4" ht="3.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D7" sqref="D7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7265625" style="11" customWidth="1"/>
    <col min="5" max="8" width="12.7265625" style="11" customWidth="1"/>
    <col min="9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SA Power Networks 2025-30 Final decision - Capital expenditure sharing scheme model</v>
      </c>
      <c r="F1" s="99"/>
      <c r="G1" s="100" t="s">
        <v>17</v>
      </c>
      <c r="H1" s="135" t="s">
        <v>18</v>
      </c>
      <c r="I1" s="172" t="s">
        <v>19</v>
      </c>
      <c r="M1" s="101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71" customFormat="1" ht="11.25" customHeight="1">
      <c r="C6" s="70" t="s">
        <v>20</v>
      </c>
      <c r="D6" s="136" t="s">
        <v>21</v>
      </c>
      <c r="J6" s="80"/>
      <c r="K6" s="80"/>
      <c r="L6" s="80"/>
      <c r="M6" s="80"/>
    </row>
    <row r="7" spans="1:13" s="71" customFormat="1" ht="11.25" customHeight="1">
      <c r="C7" s="70" t="s">
        <v>22</v>
      </c>
      <c r="D7" s="207" t="s">
        <v>30</v>
      </c>
      <c r="I7" s="80"/>
      <c r="J7" s="173" t="s">
        <v>23</v>
      </c>
      <c r="K7" s="80"/>
      <c r="L7" s="80"/>
    </row>
    <row r="8" spans="1:13" s="71" customFormat="1" ht="11.25" customHeight="1">
      <c r="C8" s="70" t="s">
        <v>24</v>
      </c>
      <c r="D8" s="136" t="s">
        <v>25</v>
      </c>
      <c r="J8" s="173" t="s">
        <v>26</v>
      </c>
      <c r="K8" s="80"/>
      <c r="L8" s="80"/>
      <c r="M8" s="80"/>
    </row>
    <row r="9" spans="1:13" s="71" customFormat="1" ht="11.25" customHeight="1">
      <c r="C9" s="70" t="s">
        <v>27</v>
      </c>
      <c r="D9" s="154" t="s">
        <v>28</v>
      </c>
      <c r="J9" s="173" t="s">
        <v>29</v>
      </c>
      <c r="K9" s="80"/>
      <c r="L9" s="80"/>
      <c r="M9" s="80"/>
    </row>
    <row r="10" spans="1:13" s="71" customFormat="1" ht="11.25" customHeight="1">
      <c r="C10" s="70"/>
      <c r="J10" s="173" t="s">
        <v>30</v>
      </c>
      <c r="K10" s="80"/>
      <c r="L10" s="80"/>
      <c r="M10" s="80"/>
    </row>
    <row r="11" spans="1:13" s="71" customFormat="1" ht="11.25" customHeight="1">
      <c r="C11" s="90" t="s">
        <v>31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32</v>
      </c>
      <c r="E12" s="72" t="s">
        <v>33</v>
      </c>
      <c r="F12" s="72" t="s">
        <v>34</v>
      </c>
      <c r="G12" s="72" t="s">
        <v>35</v>
      </c>
      <c r="H12" s="72" t="s">
        <v>36</v>
      </c>
      <c r="J12" s="80"/>
      <c r="K12" s="80"/>
      <c r="L12" s="80"/>
      <c r="M12" s="80"/>
    </row>
    <row r="13" spans="1:13" s="71" customFormat="1" ht="11.25" customHeight="1">
      <c r="C13" s="70" t="s">
        <v>37</v>
      </c>
      <c r="D13" s="155" t="str">
        <f t="shared" ref="D13:F13" si="0">IF(LEN(E13)&gt;4,CONCATENATE(LEFT(E13,4)-1&amp;"–"&amp;IF(RIGHT(E13,2)="00","99",IF(RIGHT(E13,2)-1&lt;10,"0","")&amp;RIGHT(E13,2)-1)),E13-1)</f>
        <v>2020–21</v>
      </c>
      <c r="E13" s="155" t="str">
        <f t="shared" si="0"/>
        <v>2021–22</v>
      </c>
      <c r="F13" s="155" t="str">
        <f t="shared" si="0"/>
        <v>2022–23</v>
      </c>
      <c r="G13" s="155" t="str">
        <f>IF(LEN(H13)&gt;4,CONCATENATE(LEFT(H13,4)-1&amp;"–"&amp;IF(RIGHT(H13,2)="00","99",IF(RIGHT(H13,2)-1&lt;10,"0","")&amp;RIGHT(H13,2)-1)),H13-1)</f>
        <v>2023–24</v>
      </c>
      <c r="H13" s="155" t="str">
        <f>IF(LEN(D9)&gt;4,CONCATENATE(LEFT(D9,4)-1&amp;"–"&amp;IF(RIGHT(D9,2)="00","99",IF(RIGHT(D9,2)-1&lt;10,"0","")&amp;RIGHT(D9,2)-1)),D9-1)</f>
        <v>2024–25</v>
      </c>
      <c r="J13" s="80"/>
      <c r="K13" s="80"/>
      <c r="L13" s="80"/>
      <c r="M13" s="80"/>
    </row>
    <row r="14" spans="1:13" s="71" customFormat="1" ht="11.25" customHeight="1">
      <c r="C14" s="70" t="s">
        <v>38</v>
      </c>
      <c r="D14" s="136" t="s">
        <v>39</v>
      </c>
      <c r="E14" s="136" t="s">
        <v>39</v>
      </c>
      <c r="F14" s="136" t="s">
        <v>39</v>
      </c>
      <c r="G14" s="136" t="s">
        <v>39</v>
      </c>
      <c r="H14" s="136" t="s">
        <v>39</v>
      </c>
      <c r="J14" s="80"/>
      <c r="K14" s="80"/>
      <c r="L14" s="80"/>
      <c r="M14" s="80"/>
    </row>
    <row r="15" spans="1:13" s="71" customFormat="1" ht="11.25" customHeight="1">
      <c r="C15" s="70" t="s">
        <v>40</v>
      </c>
      <c r="D15" s="136" t="s">
        <v>41</v>
      </c>
      <c r="E15" s="136" t="s">
        <v>41</v>
      </c>
      <c r="F15" s="136" t="s">
        <v>41</v>
      </c>
      <c r="G15" s="136" t="s">
        <v>41</v>
      </c>
      <c r="H15" s="136" t="s">
        <v>42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32</v>
      </c>
      <c r="E17" s="72" t="s">
        <v>33</v>
      </c>
      <c r="F17" s="72" t="s">
        <v>34</v>
      </c>
      <c r="G17" s="72" t="s">
        <v>35</v>
      </c>
      <c r="H17" s="72" t="s">
        <v>36</v>
      </c>
      <c r="J17" s="80"/>
      <c r="K17" s="80"/>
      <c r="L17" s="80"/>
      <c r="M17" s="80"/>
    </row>
    <row r="18" spans="1:13" s="71" customFormat="1" ht="11.25" customHeight="1">
      <c r="C18" s="70" t="s">
        <v>43</v>
      </c>
      <c r="D18" s="155" t="str">
        <f>D9</f>
        <v>2025-26</v>
      </c>
      <c r="E18" s="155" t="str">
        <f>IF(LEN(D18)&gt;4,CONCATENATE(LEFT(D18,4)+1&amp;"–"&amp;IF(RIGHT(D18,2)+1&gt;9,"","0")&amp;RIGHT(D18,2)+1),D18+1)</f>
        <v>2026–27</v>
      </c>
      <c r="F18" s="155" t="str">
        <f t="shared" ref="F18:H18" si="1">IF(LEN(E18)&gt;4,CONCATENATE(LEFT(E18,4)+1&amp;"–"&amp;IF(RIGHT(E18,2)+1&gt;9,"","0")&amp;RIGHT(E18,2)+1),E18+1)</f>
        <v>2027–28</v>
      </c>
      <c r="G18" s="155" t="str">
        <f t="shared" si="1"/>
        <v>2028–29</v>
      </c>
      <c r="H18" s="155" t="str">
        <f t="shared" si="1"/>
        <v>2029–30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16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L9" sqref="L9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SA Power Networks 2025-30 Final decision - Capital expenditure sharing scheme model</v>
      </c>
      <c r="D1" s="3"/>
      <c r="E1" s="3"/>
      <c r="F1" s="3"/>
      <c r="G1" s="99"/>
      <c r="H1" s="100" t="s">
        <v>17</v>
      </c>
      <c r="I1" s="135" t="s">
        <v>18</v>
      </c>
      <c r="J1" s="172" t="s">
        <v>19</v>
      </c>
      <c r="K1" s="191" t="s">
        <v>143</v>
      </c>
      <c r="L1" s="198" t="s">
        <v>154</v>
      </c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44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46</v>
      </c>
      <c r="E6" s="76" t="s">
        <v>47</v>
      </c>
      <c r="F6" s="76"/>
      <c r="N6" s="2"/>
    </row>
    <row r="7" spans="1:20" ht="11.25" customHeight="1">
      <c r="A7" s="2"/>
      <c r="B7" s="2"/>
      <c r="C7" s="13"/>
      <c r="D7" s="80"/>
      <c r="E7" s="80"/>
      <c r="F7" s="152" t="str">
        <f>IF(LEN(G7)&gt;4,CONCATENATE(LEFT(G7,4)-1&amp;"–"&amp;IF(RIGHT(G7,2)="00","99",IF(RIGHT(G7,2)-1&lt;10,"0","")&amp;RIGHT(G7,2)-1)),G7-1)</f>
        <v>2019–20</v>
      </c>
      <c r="G7" s="153" t="str">
        <f>'Input | General'!D13</f>
        <v>2020–21</v>
      </c>
      <c r="H7" s="153" t="str">
        <f>'Input | General'!E13</f>
        <v>2021–22</v>
      </c>
      <c r="I7" s="153" t="str">
        <f>'Input | General'!F13</f>
        <v>2022–23</v>
      </c>
      <c r="J7" s="153" t="str">
        <f>'Input | General'!G13</f>
        <v>2023–24</v>
      </c>
      <c r="K7" s="153" t="str">
        <f>'Input | General'!H13</f>
        <v>2024–25</v>
      </c>
      <c r="L7" s="153" t="str">
        <f>'Input | General'!D18</f>
        <v>2025-26</v>
      </c>
      <c r="M7" s="153" t="str">
        <f>'Input | General'!E18</f>
        <v>2026–27</v>
      </c>
      <c r="N7" s="153" t="str">
        <f>'Input | General'!F18</f>
        <v>2027–28</v>
      </c>
      <c r="O7" s="153" t="str">
        <f>'Input | General'!G18</f>
        <v>2028–29</v>
      </c>
      <c r="P7" s="153" t="str">
        <f>'Input | General'!H18</f>
        <v>2029–30</v>
      </c>
    </row>
    <row r="8" spans="1:20" ht="11.25" customHeight="1">
      <c r="A8" s="2"/>
      <c r="B8" s="2"/>
      <c r="C8" s="81" t="s">
        <v>48</v>
      </c>
      <c r="D8" s="79" t="s">
        <v>49</v>
      </c>
      <c r="E8" s="79" t="s">
        <v>50</v>
      </c>
      <c r="F8" s="79"/>
      <c r="G8" s="137">
        <v>8.6058519793459354E-3</v>
      </c>
      <c r="H8" s="137">
        <v>3.4982935153583528E-2</v>
      </c>
      <c r="I8" s="137">
        <v>7.8318219291014124E-2</v>
      </c>
      <c r="J8" s="199">
        <v>4.0519877675840865E-2</v>
      </c>
      <c r="K8" s="137">
        <v>3.3000000000000002E-2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51</v>
      </c>
      <c r="D9" s="79" t="s">
        <v>49</v>
      </c>
      <c r="E9" s="79" t="s">
        <v>50</v>
      </c>
      <c r="F9" s="79"/>
      <c r="G9" s="119"/>
      <c r="H9" s="119"/>
      <c r="I9" s="119"/>
      <c r="J9" s="119"/>
      <c r="K9" s="119"/>
      <c r="L9" s="199">
        <v>2.8497022352319323E-2</v>
      </c>
      <c r="M9" s="156">
        <f t="shared" ref="M9:P9" si="0">L9</f>
        <v>2.8497022352319323E-2</v>
      </c>
      <c r="N9" s="156">
        <f t="shared" si="0"/>
        <v>2.8497022352319323E-2</v>
      </c>
      <c r="O9" s="156">
        <f t="shared" si="0"/>
        <v>2.8497022352319323E-2</v>
      </c>
      <c r="P9" s="156">
        <f t="shared" si="0"/>
        <v>2.8497022352319323E-2</v>
      </c>
    </row>
    <row r="10" spans="1:20" ht="11.25" customHeight="1">
      <c r="A10" s="2"/>
      <c r="B10" s="2"/>
      <c r="C10" s="125" t="str">
        <f>"CPI Index (base year "&amp;F7&amp;")"</f>
        <v>CPI Index (base year 2019–20)</v>
      </c>
      <c r="D10" s="79" t="s">
        <v>49</v>
      </c>
      <c r="E10" s="79" t="s">
        <v>0</v>
      </c>
      <c r="F10" s="158">
        <v>1</v>
      </c>
      <c r="G10" s="159">
        <f>IF(G7&lt;&gt;"",(F10*(1+G8)),"")</f>
        <v>1.0086058519793459</v>
      </c>
      <c r="H10" s="159">
        <f>IF(H7&lt;&gt;"",(G10*(1+H8)),"")</f>
        <v>1.0438898450946643</v>
      </c>
      <c r="I10" s="159">
        <f>IF(I7&lt;&gt;"",(H10*(1+I8)),"")</f>
        <v>1.1256454388984509</v>
      </c>
      <c r="J10" s="159">
        <f>IF(J7&lt;&gt;"",(I10*(1+J8)),"")</f>
        <v>1.1712564543889843</v>
      </c>
      <c r="K10" s="159">
        <f>IF(K7&lt;&gt;"",(J10*(1+K8)),"")</f>
        <v>1.2099079173838208</v>
      </c>
      <c r="L10" s="159">
        <f t="shared" ref="L10:P10" si="1">IF(L7&lt;&gt;"",(K10*(1+L9)),"")</f>
        <v>1.2443866903497556</v>
      </c>
      <c r="M10" s="159">
        <f t="shared" si="1"/>
        <v>1.2798480056795811</v>
      </c>
      <c r="N10" s="159">
        <f t="shared" si="1"/>
        <v>1.3163198629050035</v>
      </c>
      <c r="O10" s="159">
        <f t="shared" si="1"/>
        <v>1.3538310594610092</v>
      </c>
      <c r="P10" s="159">
        <f t="shared" si="1"/>
        <v>1.3924112134237339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48</v>
      </c>
      <c r="D13" s="79" t="s">
        <v>52</v>
      </c>
      <c r="E13" s="79" t="s">
        <v>50</v>
      </c>
      <c r="F13" s="79"/>
      <c r="G13" s="137">
        <v>8.6058519793459354E-3</v>
      </c>
      <c r="H13" s="137">
        <v>3.4982935153583528E-2</v>
      </c>
      <c r="I13" s="137">
        <v>7.8318219291014124E-2</v>
      </c>
      <c r="J13" s="184">
        <v>4.0519877675840865E-2</v>
      </c>
      <c r="K13" s="199">
        <v>2.4246877296105973E-2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51</v>
      </c>
      <c r="D14" s="79" t="s">
        <v>52</v>
      </c>
      <c r="E14" s="79" t="s">
        <v>50</v>
      </c>
      <c r="F14" s="79"/>
      <c r="G14" s="88"/>
      <c r="H14" s="88"/>
      <c r="I14" s="88"/>
      <c r="J14" s="88"/>
      <c r="K14" s="88"/>
      <c r="L14" s="199">
        <v>2.7196985947837593E-2</v>
      </c>
      <c r="M14" s="156">
        <f t="shared" ref="M14:P14" si="2">L14</f>
        <v>2.7196985947837593E-2</v>
      </c>
      <c r="N14" s="156">
        <f t="shared" si="2"/>
        <v>2.7196985947837593E-2</v>
      </c>
      <c r="O14" s="156">
        <f t="shared" si="2"/>
        <v>2.7196985947837593E-2</v>
      </c>
      <c r="P14" s="156">
        <f t="shared" si="2"/>
        <v>2.7196985947837593E-2</v>
      </c>
    </row>
    <row r="15" spans="1:20" ht="11.25" customHeight="1">
      <c r="A15" s="2"/>
      <c r="B15" s="2"/>
      <c r="C15" s="125" t="str">
        <f>"CPI Index (base year "&amp;F7&amp;")"</f>
        <v>CPI Index (base year 2019–20)</v>
      </c>
      <c r="D15" s="79" t="s">
        <v>52</v>
      </c>
      <c r="E15" s="79" t="s">
        <v>0</v>
      </c>
      <c r="F15" s="158">
        <v>1</v>
      </c>
      <c r="G15" s="159">
        <f>IF(G7&lt;&gt;"",(F15*(1+G13)),"")</f>
        <v>1.0086058519793459</v>
      </c>
      <c r="H15" s="159">
        <f>IF(H7&lt;&gt;"",(G15*(1+H13)),"")</f>
        <v>1.0438898450946643</v>
      </c>
      <c r="I15" s="159">
        <f>IF(I7&lt;&gt;"",(H15*(1+I13)),"")</f>
        <v>1.1256454388984509</v>
      </c>
      <c r="J15" s="159">
        <f>IF(J7&lt;&gt;"",(I15*(1+J13)),"")</f>
        <v>1.1712564543889843</v>
      </c>
      <c r="K15" s="159">
        <f>IF(K7&lt;&gt;"",(J15*(1+K13)),"")</f>
        <v>1.1996557659208262</v>
      </c>
      <c r="L15" s="159">
        <f t="shared" ref="L15:P15" si="3">IF(L7&lt;&gt;"",(K15*(1+L14)),"")</f>
        <v>1.2322827869288173</v>
      </c>
      <c r="M15" s="159">
        <f t="shared" si="3"/>
        <v>1.2657971645686825</v>
      </c>
      <c r="N15" s="159">
        <f t="shared" si="3"/>
        <v>1.3002230322662696</v>
      </c>
      <c r="O15" s="159">
        <f t="shared" si="3"/>
        <v>1.33558517980387</v>
      </c>
      <c r="P15" s="159">
        <f t="shared" si="3"/>
        <v>1.3719090711711361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53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46</v>
      </c>
      <c r="E19" s="76" t="s">
        <v>47</v>
      </c>
      <c r="F19" s="80"/>
      <c r="G19" s="87" t="str">
        <f>G7</f>
        <v>2020–21</v>
      </c>
      <c r="H19" s="87" t="str">
        <f t="shared" ref="H19:P19" si="4">H7</f>
        <v>2021–22</v>
      </c>
      <c r="I19" s="87" t="str">
        <f t="shared" si="4"/>
        <v>2022–23</v>
      </c>
      <c r="J19" s="87" t="str">
        <f t="shared" si="4"/>
        <v>2023–24</v>
      </c>
      <c r="K19" s="87" t="str">
        <f t="shared" si="4"/>
        <v>2024–25</v>
      </c>
      <c r="L19" s="87" t="str">
        <f t="shared" si="4"/>
        <v>2025-26</v>
      </c>
      <c r="M19" s="87" t="str">
        <f t="shared" si="4"/>
        <v>2026–27</v>
      </c>
      <c r="N19" s="87" t="str">
        <f t="shared" si="4"/>
        <v>2027–28</v>
      </c>
      <c r="O19" s="87" t="str">
        <f t="shared" si="4"/>
        <v>2028–29</v>
      </c>
      <c r="P19" s="87" t="str">
        <f t="shared" si="4"/>
        <v>2029–30</v>
      </c>
    </row>
    <row r="20" spans="1:16" ht="11.25" customHeight="1">
      <c r="C20" s="81" t="s">
        <v>54</v>
      </c>
      <c r="D20" s="79" t="s">
        <v>55</v>
      </c>
      <c r="E20" s="79" t="s">
        <v>50</v>
      </c>
      <c r="F20" s="80"/>
      <c r="G20" s="185">
        <v>2.4166123692419772E-2</v>
      </c>
      <c r="H20" s="186">
        <v>2.2405149377671352E-2</v>
      </c>
      <c r="I20" s="185">
        <v>2.1622476556407477E-2</v>
      </c>
      <c r="J20" s="186">
        <v>2.2220313702952854E-2</v>
      </c>
      <c r="K20" s="186">
        <v>2.2547007664524887E-2</v>
      </c>
      <c r="L20" s="88"/>
      <c r="M20" s="88"/>
      <c r="N20" s="88"/>
      <c r="O20" s="88"/>
      <c r="P20" s="88"/>
    </row>
    <row r="21" spans="1:16" ht="11.25" customHeight="1">
      <c r="C21" s="133" t="s">
        <v>56</v>
      </c>
      <c r="D21" s="79" t="s">
        <v>55</v>
      </c>
      <c r="E21" s="79" t="s">
        <v>50</v>
      </c>
      <c r="F21" s="80"/>
      <c r="G21" s="80"/>
      <c r="H21" s="80"/>
      <c r="I21" s="80"/>
      <c r="J21" s="80"/>
      <c r="K21" s="80"/>
      <c r="L21" s="199">
        <v>3.313572536247307E-2</v>
      </c>
      <c r="M21" s="199">
        <v>3.3336462301971403E-2</v>
      </c>
      <c r="N21" s="199">
        <v>3.3796830372072956E-2</v>
      </c>
      <c r="O21" s="199">
        <v>3.4608962853606956E-2</v>
      </c>
      <c r="P21" s="199">
        <v>3.539159058646444E-2</v>
      </c>
    </row>
    <row r="22" spans="1:16" ht="11.25" customHeight="1">
      <c r="C22" s="81" t="s">
        <v>57</v>
      </c>
      <c r="D22" s="79" t="s">
        <v>58</v>
      </c>
      <c r="E22" s="79" t="s">
        <v>50</v>
      </c>
      <c r="F22" s="80"/>
      <c r="G22" s="157">
        <f>IF(AND(G13&lt;&gt;"",G20&lt;&gt;""),((1+G20)*(1+G13)-1),"")</f>
        <v>3.2979945755177154E-2</v>
      </c>
      <c r="H22" s="157">
        <f>IF(AND(H13&lt;&gt;"",H20&lt;&gt;""),((1+H20)*(1+H13)-1),"")</f>
        <v>5.8171882419040255E-2</v>
      </c>
      <c r="I22" s="157">
        <f>IF(AND(I13&lt;&gt;"",I20&lt;&gt;""),((1+I20)*(1+I13)-1),"")</f>
        <v>0.10163412970798102</v>
      </c>
      <c r="J22" s="157">
        <f>IF(AND(J13&lt;&gt;"",J20&lt;&gt;""),((1+J20)*(1+J13)-1),"")</f>
        <v>6.3640555771956153E-2</v>
      </c>
      <c r="K22" s="157">
        <f>IF(AND(K13&lt;&gt;"",K20&lt;&gt;""),((1+K20)*(1+K13)-1),"")</f>
        <v>4.7340579488867052E-2</v>
      </c>
      <c r="L22" s="157">
        <f>IF(AND(L14&lt;&gt;"",L21&lt;&gt;""),((1+L21)*(1+L14)-1),"")</f>
        <v>6.1233903167365211E-2</v>
      </c>
      <c r="M22" s="157">
        <f t="shared" ref="M22:P22" si="5">IF(AND(M14&lt;&gt;"",M21&lt;&gt;""),((1+M21)*(1+M14)-1),"")</f>
        <v>6.1440099546586247E-2</v>
      </c>
      <c r="N22" s="157">
        <f t="shared" si="5"/>
        <v>6.1912988240621303E-2</v>
      </c>
      <c r="O22" s="157">
        <f t="shared" si="5"/>
        <v>6.2747208277843525E-2</v>
      </c>
      <c r="P22" s="157">
        <f t="shared" si="5"/>
        <v>6.3551121126153687E-2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16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188"/>
      <c r="I26" s="86"/>
      <c r="J26" s="188"/>
      <c r="K26" s="187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tabSelected="1" workbookViewId="0">
      <selection activeCell="H31" sqref="H31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20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SA Power Networks 2025-30 Final decision - Capital expenditure sharing scheme model</v>
      </c>
      <c r="D1" s="3"/>
      <c r="E1" s="3"/>
      <c r="F1" s="3"/>
      <c r="G1" s="3"/>
      <c r="H1" s="99"/>
      <c r="I1" s="100" t="s">
        <v>17</v>
      </c>
      <c r="J1" s="135" t="s">
        <v>18</v>
      </c>
      <c r="K1" s="172" t="s">
        <v>19</v>
      </c>
      <c r="L1" s="191" t="s">
        <v>143</v>
      </c>
    </row>
    <row r="2" spans="2:14" ht="18" customHeight="1">
      <c r="B2" s="10" t="s">
        <v>59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60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46</v>
      </c>
      <c r="E6" s="76" t="s">
        <v>47</v>
      </c>
      <c r="F6" s="76" t="s">
        <v>61</v>
      </c>
      <c r="G6" s="65"/>
      <c r="H6" s="87" t="str">
        <f>IF('Input | General'!D14="Yes",'Input | General'!D13,"n/a")</f>
        <v>2020–21</v>
      </c>
      <c r="I6" s="87" t="str">
        <f>IF('Input | General'!E14="Yes",'Input | General'!E13,"n/a")</f>
        <v>2021–22</v>
      </c>
      <c r="J6" s="87" t="str">
        <f>IF('Input | General'!F14="Yes",'Input | General'!F13,"n/a")</f>
        <v>2022–23</v>
      </c>
      <c r="K6" s="87" t="str">
        <f>IF('Input | General'!G14="Yes",'Input | General'!G13,"n/a")</f>
        <v>2023–24</v>
      </c>
      <c r="L6" s="87" t="str">
        <f>IF('Input | General'!H14="Yes",'Input | General'!H13,"n/a")</f>
        <v>2024–25</v>
      </c>
    </row>
    <row r="7" spans="2:14" s="69" customFormat="1" ht="10.5" customHeight="1"/>
    <row r="8" spans="2:14" ht="10.5" customHeight="1">
      <c r="C8" s="81" t="s">
        <v>62</v>
      </c>
      <c r="D8" s="79" t="s">
        <v>52</v>
      </c>
      <c r="E8" s="79" t="s">
        <v>63</v>
      </c>
      <c r="F8" s="79" t="str">
        <f>'Input | Inflation and Disc Rate'!$F$7</f>
        <v>2019–20</v>
      </c>
      <c r="G8" s="69"/>
      <c r="H8" s="189">
        <v>426.31311877933734</v>
      </c>
      <c r="I8" s="189">
        <v>425.10580392295492</v>
      </c>
      <c r="J8" s="189">
        <v>422.00582016960368</v>
      </c>
      <c r="K8" s="189">
        <v>413.60157999679205</v>
      </c>
      <c r="L8" s="189">
        <v>391.4523899342675</v>
      </c>
    </row>
    <row r="9" spans="2:14" ht="10.5" customHeight="1">
      <c r="C9" s="81" t="s">
        <v>64</v>
      </c>
      <c r="D9" s="79" t="s">
        <v>52</v>
      </c>
      <c r="E9" s="79" t="s">
        <v>63</v>
      </c>
      <c r="F9" s="79" t="str">
        <f>'Input | Inflation and Disc Rate'!$F$7</f>
        <v>2019–20</v>
      </c>
      <c r="G9" s="69"/>
      <c r="H9" s="138">
        <v>70.572005920245957</v>
      </c>
      <c r="I9" s="138">
        <v>71.473163908104709</v>
      </c>
      <c r="J9" s="138">
        <v>76.601329458596069</v>
      </c>
      <c r="K9" s="138">
        <v>72.974841015280759</v>
      </c>
      <c r="L9" s="138">
        <v>71.035689040122591</v>
      </c>
    </row>
    <row r="10" spans="2:14" ht="10.5" customHeight="1">
      <c r="C10" s="81" t="s">
        <v>65</v>
      </c>
      <c r="D10" s="79" t="s">
        <v>52</v>
      </c>
      <c r="E10" s="79" t="s">
        <v>63</v>
      </c>
      <c r="F10" s="79" t="str">
        <f>'Input | Inflation and Disc Rate'!$F$7</f>
        <v>2019–20</v>
      </c>
      <c r="G10" s="69"/>
      <c r="H10" s="138">
        <v>2.3375000000000004</v>
      </c>
      <c r="I10" s="138">
        <v>3.2629999999999999</v>
      </c>
      <c r="J10" s="138">
        <v>5.4554999999999998</v>
      </c>
      <c r="K10" s="138">
        <v>4.4710000000000001</v>
      </c>
      <c r="L10" s="138">
        <v>3.1315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66</v>
      </c>
      <c r="D12" s="77" t="s">
        <v>58</v>
      </c>
      <c r="E12" s="171" t="s">
        <v>63</v>
      </c>
      <c r="F12" s="162" t="str">
        <f>'Input | Inflation and Disc Rate'!$F$7</f>
        <v>2019–20</v>
      </c>
      <c r="G12" s="69"/>
      <c r="H12" s="160">
        <f>IF(H6="", "", H8-H9-H10)</f>
        <v>353.40361285909142</v>
      </c>
      <c r="I12" s="160">
        <f t="shared" ref="I12:L12" si="0">IF(I6="", "", I8-I9-I10)</f>
        <v>350.36964001485023</v>
      </c>
      <c r="J12" s="160">
        <f t="shared" si="0"/>
        <v>339.94899071100764</v>
      </c>
      <c r="K12" s="160">
        <f t="shared" si="0"/>
        <v>336.15573898151126</v>
      </c>
      <c r="L12" s="160">
        <f t="shared" si="0"/>
        <v>317.28520089414491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67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46</v>
      </c>
      <c r="E16" s="76" t="s">
        <v>47</v>
      </c>
      <c r="F16" s="76" t="s">
        <v>61</v>
      </c>
      <c r="G16" s="65"/>
      <c r="H16" s="87" t="str">
        <f>H6</f>
        <v>2020–21</v>
      </c>
      <c r="I16" s="87" t="str">
        <f t="shared" ref="I16:L16" si="1">I6</f>
        <v>2021–22</v>
      </c>
      <c r="J16" s="87" t="str">
        <f t="shared" si="1"/>
        <v>2022–23</v>
      </c>
      <c r="K16" s="87" t="str">
        <f t="shared" si="1"/>
        <v>2023–24</v>
      </c>
      <c r="L16" s="87" t="str">
        <f t="shared" si="1"/>
        <v>2024–25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190"/>
      <c r="I17" s="190"/>
      <c r="J17" s="190"/>
      <c r="K17" s="190"/>
      <c r="L17" s="190"/>
      <c r="M17" s="69"/>
      <c r="N17" s="69"/>
    </row>
    <row r="18" spans="2:14" ht="10.5" customHeight="1">
      <c r="B18" s="74"/>
      <c r="C18" s="81" t="s">
        <v>68</v>
      </c>
      <c r="D18" s="79" t="s">
        <v>52</v>
      </c>
      <c r="E18" s="79" t="s">
        <v>63</v>
      </c>
      <c r="F18" s="79" t="s">
        <v>69</v>
      </c>
      <c r="G18" s="69"/>
      <c r="H18" s="189">
        <v>392.07770603557515</v>
      </c>
      <c r="I18" s="189">
        <v>400.89202418171254</v>
      </c>
      <c r="J18" s="138">
        <v>467.80934279485706</v>
      </c>
      <c r="K18" s="197">
        <v>497.29201784219333</v>
      </c>
      <c r="L18" s="197">
        <v>522.4</v>
      </c>
    </row>
    <row r="19" spans="2:14" ht="10.5" customHeight="1">
      <c r="B19" s="74"/>
      <c r="C19" s="81" t="s">
        <v>64</v>
      </c>
      <c r="D19" s="79" t="s">
        <v>52</v>
      </c>
      <c r="E19" s="79" t="s">
        <v>63</v>
      </c>
      <c r="F19" s="79" t="s">
        <v>69</v>
      </c>
      <c r="G19" s="69"/>
      <c r="H19" s="138">
        <v>77.200440932137724</v>
      </c>
      <c r="I19" s="189">
        <v>72.033171494909908</v>
      </c>
      <c r="J19" s="138">
        <v>78.728523471830925</v>
      </c>
      <c r="K19" s="197">
        <v>109.8783220187929</v>
      </c>
      <c r="L19" s="197">
        <v>104.4</v>
      </c>
    </row>
    <row r="20" spans="2:14" ht="10.5" customHeight="1">
      <c r="B20" s="74"/>
      <c r="C20" s="126" t="s">
        <v>65</v>
      </c>
      <c r="D20" s="79" t="s">
        <v>52</v>
      </c>
      <c r="E20" s="79" t="s">
        <v>63</v>
      </c>
      <c r="F20" s="79" t="s">
        <v>69</v>
      </c>
      <c r="G20" s="127"/>
      <c r="H20" s="139">
        <v>2.9489332700000004</v>
      </c>
      <c r="I20" s="189">
        <v>3.2970864300305514</v>
      </c>
      <c r="J20" s="189">
        <v>8.6880268800000007</v>
      </c>
      <c r="K20" s="197">
        <v>6.2994979172727303</v>
      </c>
      <c r="L20" s="197">
        <v>4.3999999999999995</v>
      </c>
    </row>
    <row r="21" spans="2:14" ht="10.5" customHeight="1">
      <c r="B21" s="74"/>
      <c r="C21" s="134" t="s">
        <v>70</v>
      </c>
      <c r="D21" s="79" t="s">
        <v>52</v>
      </c>
      <c r="E21" s="79" t="s">
        <v>63</v>
      </c>
      <c r="F21" s="79" t="s">
        <v>69</v>
      </c>
      <c r="G21" s="127"/>
      <c r="H21" s="139"/>
      <c r="I21" s="138"/>
      <c r="J21" s="138"/>
      <c r="K21" s="138"/>
      <c r="L21" s="138"/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71</v>
      </c>
      <c r="D23" s="77" t="s">
        <v>58</v>
      </c>
      <c r="E23" s="171" t="s">
        <v>63</v>
      </c>
      <c r="F23" s="171" t="s">
        <v>69</v>
      </c>
      <c r="G23" s="69"/>
      <c r="H23" s="160">
        <f>IF(H16="", "", H18-H19-H20-H21)</f>
        <v>311.92833183343743</v>
      </c>
      <c r="I23" s="160">
        <f t="shared" ref="I23:L23" si="2">IF(I16="", "", I18-I19-I20-I21)</f>
        <v>325.56176625677205</v>
      </c>
      <c r="J23" s="160">
        <f t="shared" si="2"/>
        <v>380.39279244302617</v>
      </c>
      <c r="K23" s="160">
        <f t="shared" si="2"/>
        <v>381.11419790612769</v>
      </c>
      <c r="L23" s="160">
        <f t="shared" si="2"/>
        <v>413.6</v>
      </c>
    </row>
    <row r="24" spans="2:14" ht="10.5" customHeight="1">
      <c r="B24" s="74"/>
      <c r="C24" s="78" t="s">
        <v>71</v>
      </c>
      <c r="D24" s="77" t="s">
        <v>58</v>
      </c>
      <c r="E24" s="171" t="s">
        <v>63</v>
      </c>
      <c r="F24" s="162" t="str">
        <f>'Input | Inflation and Disc Rate'!$F$7</f>
        <v>2019–20</v>
      </c>
      <c r="G24" s="69"/>
      <c r="H24" s="160">
        <f>H23/'Input | Inflation and Disc Rate'!G15</f>
        <v>309.26682729560946</v>
      </c>
      <c r="I24" s="160">
        <f>I23/'Input | Inflation and Disc Rate'!H15</f>
        <v>311.87367880492098</v>
      </c>
      <c r="J24" s="160">
        <f>J23/'Input | Inflation and Disc Rate'!I15</f>
        <v>337.93304649755078</v>
      </c>
      <c r="K24" s="160">
        <f>K23/'Input | Inflation and Disc Rate'!J15</f>
        <v>325.38919762448234</v>
      </c>
      <c r="L24" s="160">
        <f>L23/'Input | Inflation and Disc Rate'!K15</f>
        <v>344.76556671449066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72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2025-26</v>
      </c>
      <c r="I28" s="68" t="str">
        <f>'Input | General'!E18</f>
        <v>2026–27</v>
      </c>
      <c r="J28" s="68" t="str">
        <f>'Input | General'!F18</f>
        <v>2027–28</v>
      </c>
      <c r="K28" s="68" t="str">
        <f>'Input | General'!G18</f>
        <v>2028–29</v>
      </c>
      <c r="L28" s="68" t="str">
        <f>'Input | General'!H18</f>
        <v>2029–30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73</v>
      </c>
      <c r="D30" s="79" t="s">
        <v>49</v>
      </c>
      <c r="E30" s="79" t="s">
        <v>63</v>
      </c>
      <c r="F30" s="79" t="s">
        <v>69</v>
      </c>
      <c r="G30" s="69"/>
      <c r="H30" s="138">
        <v>21.335556188512555</v>
      </c>
      <c r="I30" s="138">
        <v>6.9666248674510678</v>
      </c>
      <c r="J30" s="138">
        <v>0.50577340448800456</v>
      </c>
      <c r="K30" s="138">
        <v>0</v>
      </c>
      <c r="L30" s="138">
        <v>0</v>
      </c>
    </row>
    <row r="31" spans="2:14" ht="11.25" customHeight="1">
      <c r="C31" s="85" t="s">
        <v>73</v>
      </c>
      <c r="D31" s="66" t="s">
        <v>58</v>
      </c>
      <c r="E31" s="79" t="s">
        <v>63</v>
      </c>
      <c r="F31" s="162" t="str">
        <f>F24</f>
        <v>2019–20</v>
      </c>
      <c r="G31" s="69"/>
      <c r="H31" s="161">
        <f>IF(H30&lt;&gt;"",H30/('Input | Inflation and Disc Rate'!K10*(1+'Input | Inflation and Disc Rate'!L9)^0.5),"")</f>
        <v>17.38801998945063</v>
      </c>
      <c r="I31" s="161">
        <f>IF(I30&lt;&gt;"",I30/('Input | Inflation and Disc Rate'!L10*(1+'Input | Inflation and Disc Rate'!M9)^0.5),"")</f>
        <v>5.5203364668151602</v>
      </c>
      <c r="J31" s="161">
        <f>IF(J30&lt;&gt;"",J30/('Input | Inflation and Disc Rate'!M10*(1+'Input | Inflation and Disc Rate'!N9)^0.5),"")</f>
        <v>0.38966919411636708</v>
      </c>
      <c r="K31" s="161">
        <f>IF(K30&lt;&gt;"",K30/('Input | Inflation and Disc Rate'!N10*(1+'Input | Inflation and Disc Rate'!O9)^0.5),"")</f>
        <v>0</v>
      </c>
      <c r="L31" s="161">
        <f>IF(L30&lt;&gt;"",L30/('Input | Inflation and Disc Rate'!O10*(1+'Input | Inflation and Disc Rate'!P9)^0.5),"")</f>
        <v>0</v>
      </c>
    </row>
    <row r="32" spans="2:14" ht="11.25" customHeight="1">
      <c r="C32" s="85" t="s">
        <v>73</v>
      </c>
      <c r="D32" s="66" t="s">
        <v>52</v>
      </c>
      <c r="E32" s="79" t="s">
        <v>63</v>
      </c>
      <c r="F32" s="79" t="s">
        <v>69</v>
      </c>
      <c r="G32" s="69"/>
      <c r="H32" s="161">
        <f>IF(H30&lt;&gt;"",H31*'Input | Inflation and Disc Rate'!K15*(1+'Input | Inflation and Disc Rate'!L14)^0.5,"")</f>
        <v>21.141395202714378</v>
      </c>
      <c r="I32" s="161">
        <f>IF(I30&lt;&gt;"",I31*'Input | Inflation and Disc Rate'!L15*(1+'Input | Inflation and Disc Rate'!M14)^0.5,"")</f>
        <v>6.8945003704840691</v>
      </c>
      <c r="J32" s="161">
        <f>IF(J30&lt;&gt;"",J31*'Input | Inflation and Disc Rate'!M15*(1+'Input | Inflation and Disc Rate'!N14)^0.5,"")</f>
        <v>0.49990451598058644</v>
      </c>
      <c r="K32" s="161">
        <f>IF(K30&lt;&gt;"",K31*'Input | Inflation and Disc Rate'!N15*(1+'Input | Inflation and Disc Rate'!O14)^0.5,"")</f>
        <v>0</v>
      </c>
      <c r="L32" s="161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16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5" type="noConversion"/>
  <conditionalFormatting sqref="H20:H21">
    <cfRule type="expression" dxfId="8" priority="9">
      <formula>IF($H$6&lt;&gt;"","FALSE","TRUE")</formula>
    </cfRule>
  </conditionalFormatting>
  <conditionalFormatting sqref="H8:L10">
    <cfRule type="expression" dxfId="7" priority="1">
      <formula>IF($H$6&lt;&gt;"","FALSE","TRUE")</formula>
    </cfRule>
  </conditionalFormatting>
  <conditionalFormatting sqref="H18:L19">
    <cfRule type="expression" dxfId="6" priority="14">
      <formula>IF($H$6&lt;&gt;"","FALSE","TRUE")</formula>
    </cfRule>
  </conditionalFormatting>
  <conditionalFormatting sqref="H30:L30">
    <cfRule type="expression" dxfId="5" priority="3">
      <formula>IF($H$6&lt;&gt;"","FALSE","TRUE")</formula>
    </cfRule>
  </conditionalFormatting>
  <conditionalFormatting sqref="I20:L21">
    <cfRule type="expression" dxfId="4" priority="4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Normal="100" workbookViewId="0">
      <selection activeCell="F11" sqref="F11"/>
    </sheetView>
  </sheetViews>
  <sheetFormatPr defaultColWidth="0" defaultRowHeight="0" customHeight="1" zeroHeight="1"/>
  <cols>
    <col min="1" max="2" width="1.26953125" style="2" customWidth="1"/>
    <col min="3" max="3" width="73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2" width="12.7265625" style="2" customWidth="1"/>
    <col min="13" max="13" width="13.54296875" style="2" customWidth="1"/>
    <col min="14" max="14" width="12.7265625" style="2" customWidth="1"/>
    <col min="15" max="16" width="2.81640625" style="2" customWidth="1"/>
    <col min="17" max="16383" width="0" style="2" hidden="1"/>
    <col min="16384" max="16384" width="12.7265625" style="2" hidden="1"/>
  </cols>
  <sheetData>
    <row r="1" spans="2:23" ht="18" customHeight="1">
      <c r="B1" s="3" t="str">
        <f>'Input | General'!$B$1</f>
        <v>SA Power Networks 2025-30 Final decision - Capital expenditure sharing scheme model</v>
      </c>
      <c r="C1" s="2"/>
      <c r="J1" s="117"/>
      <c r="K1" s="100" t="s">
        <v>17</v>
      </c>
      <c r="L1" s="135" t="s">
        <v>18</v>
      </c>
      <c r="M1" s="172" t="s">
        <v>19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74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75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76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77</v>
      </c>
      <c r="D7" s="87" t="str">
        <f>IF('Input | General'!D14="Yes",'Input | General'!D13,"n/a")</f>
        <v>2020–21</v>
      </c>
      <c r="E7" s="87" t="str">
        <f>IF('Input | General'!E14="Yes",'Input | General'!E13,"n/a")</f>
        <v>2021–22</v>
      </c>
      <c r="F7" s="87" t="str">
        <f>IF('Input | General'!F14="Yes",'Input | General'!F13,"n/a")</f>
        <v>2022–23</v>
      </c>
      <c r="G7" s="87" t="str">
        <f>IF('Input | General'!G14="Yes",'Input | General'!G13,"n/a")</f>
        <v>2023–24</v>
      </c>
      <c r="H7" s="128" t="str">
        <f>IF('Input | General'!H14="Yes",'Input | General'!H13,"n/a")</f>
        <v>2024–25</v>
      </c>
      <c r="I7" s="93"/>
    </row>
    <row r="8" spans="2:23" ht="11.25" customHeight="1">
      <c r="C8" s="111" t="s">
        <v>78</v>
      </c>
      <c r="D8" s="143">
        <f>'Input | Inflation and Disc Rate'!G20</f>
        <v>2.4166123692419772E-2</v>
      </c>
      <c r="E8" s="144">
        <f>'Input | Inflation and Disc Rate'!H20</f>
        <v>2.2405149377671352E-2</v>
      </c>
      <c r="F8" s="144">
        <f>'Input | Inflation and Disc Rate'!I20</f>
        <v>2.1622476556407477E-2</v>
      </c>
      <c r="G8" s="144">
        <f>'Input | Inflation and Disc Rate'!J20</f>
        <v>2.2220313702952854E-2</v>
      </c>
      <c r="H8" s="145">
        <f>'Input | Inflation and Disc Rate'!K20</f>
        <v>2.2547007664524887E-2</v>
      </c>
      <c r="I8" s="93"/>
      <c r="J8" s="80"/>
      <c r="K8" s="80"/>
    </row>
    <row r="9" spans="2:23" ht="11.25" customHeight="1">
      <c r="C9" s="131" t="s">
        <v>79</v>
      </c>
      <c r="D9" s="144">
        <f>'Input | Inflation and Disc Rate'!G22</f>
        <v>3.2979945755177154E-2</v>
      </c>
      <c r="E9" s="144">
        <f>'Input | Inflation and Disc Rate'!H22</f>
        <v>5.8171882419040255E-2</v>
      </c>
      <c r="F9" s="144">
        <f>'Input | Inflation and Disc Rate'!I22</f>
        <v>0.10163412970798102</v>
      </c>
      <c r="G9" s="144">
        <f>'Input | Inflation and Disc Rate'!J22</f>
        <v>6.3640555771956153E-2</v>
      </c>
      <c r="H9" s="145">
        <f>'Input | Inflation and Disc Rate'!K22</f>
        <v>4.7340579488867052E-2</v>
      </c>
      <c r="I9" s="93"/>
      <c r="J9" s="80"/>
      <c r="K9" s="80"/>
    </row>
    <row r="10" spans="2:23" ht="11.25" customHeight="1">
      <c r="C10" s="109" t="s">
        <v>80</v>
      </c>
      <c r="D10" s="146">
        <f>'Input | Reported Capex'!H$12*'Input | Inflation and Disc Rate'!G$15*(1+'Input | Inflation and Disc Rate'!G$20)^0.5</f>
        <v>360.72618762878699</v>
      </c>
      <c r="E10" s="147">
        <f>'Input | Reported Capex'!I$12*'Input | Inflation and Disc Rate'!H$15*(1+'Input | Inflation and Disc Rate'!H$20)^0.5</f>
        <v>369.82192412749185</v>
      </c>
      <c r="F10" s="147">
        <f>'Input | Reported Capex'!J$12*'Input | Inflation and Disc Rate'!I$15*(1+'Input | Inflation and Disc Rate'!I$20)^0.5</f>
        <v>386.77695648521433</v>
      </c>
      <c r="G10" s="147">
        <f>'Input | Reported Capex'!K$12*'Input | Inflation and Disc Rate'!J$15*(1+'Input | Inflation and Disc Rate'!J$20)^0.5</f>
        <v>398.07488726138212</v>
      </c>
      <c r="H10" s="148">
        <f>'Input | Reported Capex'!L$12*'Input | Inflation and Disc Rate'!K$15*(1+'Input | Inflation and Disc Rate'!K$20)^0.5</f>
        <v>384.9001697237685</v>
      </c>
      <c r="I10" s="93"/>
      <c r="J10" s="80"/>
      <c r="K10" s="80"/>
      <c r="N10" s="124"/>
    </row>
    <row r="11" spans="2:23" ht="11.25" customHeight="1">
      <c r="C11" s="109" t="s">
        <v>81</v>
      </c>
      <c r="D11" s="149">
        <f>'Input | Reported Capex'!H23*(1+D$9)^0.5</f>
        <v>317.03029715681362</v>
      </c>
      <c r="E11" s="147">
        <f>'Input | Reported Capex'!I23*(1+E$9)^0.5</f>
        <v>334.89719084685288</v>
      </c>
      <c r="F11" s="147">
        <f>'Input | Reported Capex'!J23*(1+F$9)^0.5</f>
        <v>399.25555801129093</v>
      </c>
      <c r="G11" s="147">
        <f>'Input | Reported Capex'!K23*(1+G$9)^0.5</f>
        <v>393.05431853252776</v>
      </c>
      <c r="H11" s="148">
        <f>'Input | Reported Capex'!L23*(1+H$9)^0.5</f>
        <v>423.27682943511081</v>
      </c>
      <c r="I11" s="93"/>
      <c r="J11" s="80"/>
      <c r="K11" s="80"/>
    </row>
    <row r="12" spans="2:23" s="14" customFormat="1" ht="11.25" customHeight="1">
      <c r="C12" s="109" t="s">
        <v>82</v>
      </c>
      <c r="D12" s="174">
        <f>(D10-D11)</f>
        <v>43.695890471973371</v>
      </c>
      <c r="E12" s="175">
        <f>(E10-E11)</f>
        <v>34.924733280638975</v>
      </c>
      <c r="F12" s="175">
        <f t="shared" ref="F12:H12" si="0">(F10-F11)</f>
        <v>-12.478601526076602</v>
      </c>
      <c r="G12" s="175">
        <f t="shared" si="0"/>
        <v>5.0205687288543572</v>
      </c>
      <c r="H12" s="176">
        <f t="shared" si="0"/>
        <v>-38.376659711342313</v>
      </c>
      <c r="I12" s="93"/>
      <c r="J12" s="80"/>
      <c r="K12" s="80"/>
    </row>
    <row r="13" spans="2:23" ht="11.25" customHeight="1">
      <c r="C13" s="109" t="s">
        <v>83</v>
      </c>
      <c r="D13" s="89"/>
      <c r="E13" s="175">
        <f>$D$12*$E$8</f>
        <v>0.97901295321492976</v>
      </c>
      <c r="F13" s="175">
        <f>$D$12*$F$8*(1+'Input | Inflation and Disc Rate'!H13)</f>
        <v>0.97786571210354289</v>
      </c>
      <c r="G13" s="175">
        <f>$D$12*$G$8*(1+'Input | Inflation and Disc Rate'!H13)*(1+'Input | Inflation and Disc Rate'!I13)</f>
        <v>1.0836047808129599</v>
      </c>
      <c r="H13" s="176">
        <f>$D$12*$H$8*(1+'Input | Inflation and Disc Rate'!H13)*(1+'Input | Inflation and Disc Rate'!I13)*(1+'Input | Inflation and Disc Rate'!J13)</f>
        <v>1.1440895535955116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84</v>
      </c>
      <c r="D14" s="89"/>
      <c r="E14" s="130"/>
      <c r="F14" s="175">
        <f>$E$12*F$8</f>
        <v>0.75515922659940027</v>
      </c>
      <c r="G14" s="175">
        <f>$E$12*G$8*(1+'Input | Inflation and Disc Rate'!I13)</f>
        <v>0.83681648521845398</v>
      </c>
      <c r="H14" s="176">
        <f>$E$12*H$8*(1+'Input | Inflation and Disc Rate'!I13)*(1+'Input | Inflation and Disc Rate'!J13)</f>
        <v>0.88352600133110792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85</v>
      </c>
      <c r="D15" s="89"/>
      <c r="E15" s="129"/>
      <c r="F15" s="129"/>
      <c r="G15" s="175">
        <f>$F$12*G$8</f>
        <v>-0.27727844048356831</v>
      </c>
      <c r="H15" s="176">
        <f>$F$12*$H$8*(1+'Input | Inflation and Disc Rate'!J13)</f>
        <v>-0.29275559946912272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86</v>
      </c>
      <c r="D16" s="89"/>
      <c r="E16" s="129"/>
      <c r="F16" s="129"/>
      <c r="G16" s="129"/>
      <c r="H16" s="176">
        <f>$G$12*$H$8</f>
        <v>0.11319880160975317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87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88</v>
      </c>
      <c r="D18" s="177">
        <f>SUM(D13:D17)</f>
        <v>0</v>
      </c>
      <c r="E18" s="178">
        <f>SUM(E13:E17)</f>
        <v>0.97901295321492976</v>
      </c>
      <c r="F18" s="178">
        <f t="shared" ref="F18:H18" si="1">SUM(F13:F17)</f>
        <v>1.7330249387029433</v>
      </c>
      <c r="G18" s="178">
        <f t="shared" si="1"/>
        <v>1.6431428255478457</v>
      </c>
      <c r="H18" s="179">
        <f t="shared" si="1"/>
        <v>1.8480587570672498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89</v>
      </c>
      <c r="D19" s="177">
        <f>E19*(1+E$9)</f>
        <v>1.2986030503264117</v>
      </c>
      <c r="E19" s="178">
        <f>F19*(1+F$9)</f>
        <v>1.2272137182077947</v>
      </c>
      <c r="F19" s="178">
        <f>G19*(1+G$9)</f>
        <v>1.1139939160500612</v>
      </c>
      <c r="G19" s="178">
        <f>H19*(1+H$9)</f>
        <v>1.0473405794888671</v>
      </c>
      <c r="H19" s="180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90</v>
      </c>
      <c r="D20" s="174">
        <f>D12*D19</f>
        <v>56.74361665363341</v>
      </c>
      <c r="E20" s="175">
        <f>E12*E19</f>
        <v>42.860111786748469</v>
      </c>
      <c r="F20" s="175">
        <f t="shared" ref="F20:H20" si="2">F12*F19</f>
        <v>-13.901086180862343</v>
      </c>
      <c r="G20" s="175">
        <f t="shared" si="2"/>
        <v>5.2582453618420075</v>
      </c>
      <c r="H20" s="176">
        <f t="shared" si="2"/>
        <v>-38.376659711342313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91</v>
      </c>
      <c r="D21" s="177">
        <f>D18*D19</f>
        <v>0</v>
      </c>
      <c r="E21" s="178">
        <f>E18*E19</f>
        <v>1.2014581264884876</v>
      </c>
      <c r="F21" s="178">
        <f t="shared" ref="F21:H21" si="3">F18*F19</f>
        <v>1.9305792380781091</v>
      </c>
      <c r="G21" s="178">
        <f t="shared" si="3"/>
        <v>1.7209301590922552</v>
      </c>
      <c r="H21" s="179">
        <f t="shared" si="3"/>
        <v>1.8480587570672498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92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77</v>
      </c>
      <c r="D24" s="105" t="str">
        <f>'Input | General'!$D$18</f>
        <v>2025-26</v>
      </c>
      <c r="E24" s="105" t="str">
        <f>'Input | General'!$E$18</f>
        <v>2026–27</v>
      </c>
      <c r="F24" s="105" t="str">
        <f>'Input | General'!$F$18</f>
        <v>2027–28</v>
      </c>
      <c r="G24" s="105" t="str">
        <f>'Input | General'!$G$18</f>
        <v>2028–29</v>
      </c>
      <c r="H24" s="106" t="str">
        <f>'Input | General'!$H$18</f>
        <v>2029–30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93</v>
      </c>
      <c r="D25" s="150">
        <f>'Input | Inflation and Disc Rate'!L$22</f>
        <v>6.1233903167365211E-2</v>
      </c>
      <c r="E25" s="150">
        <f>'Input | Inflation and Disc Rate'!M$22</f>
        <v>6.1440099546586247E-2</v>
      </c>
      <c r="F25" s="150">
        <f>'Input | Inflation and Disc Rate'!N$22</f>
        <v>6.1912988240621303E-2</v>
      </c>
      <c r="G25" s="150">
        <f>'Input | Inflation and Disc Rate'!O$22</f>
        <v>6.2747208277843525E-2</v>
      </c>
      <c r="H25" s="151">
        <f>'Input | Inflation and Disc Rate'!P$22</f>
        <v>6.3551121126153687E-2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94</v>
      </c>
      <c r="D26" s="147">
        <f>'Input | Reported Capex'!H32</f>
        <v>21.141395202714378</v>
      </c>
      <c r="E26" s="147">
        <f>'Input | Reported Capex'!I32</f>
        <v>6.8945003704840691</v>
      </c>
      <c r="F26" s="147">
        <f>'Input | Reported Capex'!J32</f>
        <v>0.49990451598058644</v>
      </c>
      <c r="G26" s="147">
        <f>'Input | Reported Capex'!K32</f>
        <v>0</v>
      </c>
      <c r="H26" s="148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95</v>
      </c>
      <c r="D27" s="175">
        <f>1/(1+D25)^(0.5)</f>
        <v>0.97072103811401123</v>
      </c>
      <c r="E27" s="175">
        <f>1/((1+E25)^(0.5)*(1+D25))</f>
        <v>0.91462093703774983</v>
      </c>
      <c r="F27" s="175">
        <f>1/((1+F25)^(0.5)*(1+E25)*(1+D25))</f>
        <v>0.86148739461232549</v>
      </c>
      <c r="G27" s="175">
        <f>1/((1+G25)^(0.5)*(1+F25)*(1+E25)*(1+D25))</f>
        <v>0.81094140364568246</v>
      </c>
      <c r="H27" s="176">
        <f>1/((1+H25)^(0.5)*(1+G25)*(1+F25)*(1+E25)*(1+D25))</f>
        <v>0.76277298476087496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96</v>
      </c>
      <c r="D28" s="178">
        <f>D26*D27</f>
        <v>20.522397098357477</v>
      </c>
      <c r="E28" s="178">
        <f t="shared" ref="E28:G28" si="4">E26*E27</f>
        <v>6.3058543892592525</v>
      </c>
      <c r="F28" s="178">
        <f t="shared" si="4"/>
        <v>0.43066143902705106</v>
      </c>
      <c r="G28" s="178">
        <f t="shared" si="4"/>
        <v>0</v>
      </c>
      <c r="H28" s="179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97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98</v>
      </c>
      <c r="D31" s="163">
        <f>SUM('Input | Reported Capex'!H12:L12)</f>
        <v>1697.1631834606055</v>
      </c>
      <c r="E31" s="92"/>
      <c r="F31" s="94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81</v>
      </c>
      <c r="D32" s="164">
        <f>SUM('Input | Reported Capex'!H24:L24)</f>
        <v>1629.2283169370542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99</v>
      </c>
      <c r="D33" s="181">
        <f>(D31-D32)/D31</f>
        <v>4.0028482343712271E-2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100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101</v>
      </c>
      <c r="D35" s="163">
        <f>SUM(D20:H20)-SUM(D28:H28)</f>
        <v>25.325314983375442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102</v>
      </c>
      <c r="D36" s="164">
        <f>D35-D37</f>
        <v>17.727720488362809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103</v>
      </c>
      <c r="D37" s="164">
        <f>D34*D35</f>
        <v>7.5975944950126326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104</v>
      </c>
      <c r="D38" s="164">
        <f>SUM(D21:H21)</f>
        <v>6.7010262807261016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105</v>
      </c>
      <c r="D39" s="165">
        <f>D37-D38</f>
        <v>0.896568214286531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106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2025-26</v>
      </c>
      <c r="E43" s="104" t="str">
        <f>'Input | General'!E18</f>
        <v>2026–27</v>
      </c>
      <c r="F43" s="104" t="str">
        <f>'Input | General'!F18</f>
        <v>2027–28</v>
      </c>
      <c r="G43" s="104" t="str">
        <f>'Input | General'!G18</f>
        <v>2028–29</v>
      </c>
      <c r="H43" s="104" t="str">
        <f>'Input | General'!H18</f>
        <v>2029–30</v>
      </c>
    </row>
    <row r="44" spans="2:15" s="24" customFormat="1" ht="11.25" customHeight="1">
      <c r="C44" s="96" t="s">
        <v>107</v>
      </c>
      <c r="D44" s="169">
        <f>1/(1+'Input | Inflation and Disc Rate'!L21)</f>
        <v>0.96792703557816906</v>
      </c>
      <c r="E44" s="168">
        <f>D44/(1+'Input | Inflation and Disc Rate'!M21)</f>
        <v>0.93670074645571955</v>
      </c>
      <c r="F44" s="168">
        <f>E44/(1+'Input | Inflation and Disc Rate'!N21)</f>
        <v>0.90607817603638063</v>
      </c>
      <c r="G44" s="168">
        <f>F44/(1+'Input | Inflation and Disc Rate'!O21)</f>
        <v>0.87576872863857746</v>
      </c>
      <c r="H44" s="168">
        <f>G44/(1+'Input | Inflation and Disc Rate'!P21)</f>
        <v>0.84583334131826038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6">
        <f>D39/(SUM(D44:H44))</f>
        <v>0.19781714056994554</v>
      </c>
      <c r="E45" s="182">
        <f>D45</f>
        <v>0.19781714056994554</v>
      </c>
      <c r="F45" s="182">
        <f t="shared" ref="F45:H45" si="5">E45</f>
        <v>0.19781714056994554</v>
      </c>
      <c r="G45" s="182">
        <f t="shared" si="5"/>
        <v>0.19781714056994554</v>
      </c>
      <c r="H45" s="183">
        <f t="shared" si="5"/>
        <v>0.19781714056994554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7">
        <f>SUM(D45:H45)</f>
        <v>0.98908570284972774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16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J8" sqref="J8:N8"/>
    </sheetView>
  </sheetViews>
  <sheetFormatPr defaultColWidth="0" defaultRowHeight="11.25" customHeight="1" zeroHeight="1"/>
  <cols>
    <col min="1" max="2" width="1.26953125" style="43" customWidth="1"/>
    <col min="3" max="3" width="36" style="43" customWidth="1"/>
    <col min="4" max="4" width="23.7265625" style="45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3" customWidth="1"/>
    <col min="16" max="17" width="3" style="43" customWidth="1"/>
    <col min="18" max="24" width="9.269531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SA Power Networks 2025-30 Final decision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17</v>
      </c>
      <c r="L1" s="135" t="s">
        <v>18</v>
      </c>
      <c r="M1" s="172" t="s">
        <v>19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12</v>
      </c>
      <c r="C2" s="51"/>
      <c r="D2" s="51"/>
      <c r="E2" s="51"/>
      <c r="F2" s="52"/>
      <c r="G2" s="52"/>
      <c r="H2" s="52"/>
      <c r="I2" s="52"/>
    </row>
    <row r="3" spans="1:27" s="53" customFormat="1" ht="10.5">
      <c r="D3" s="54"/>
      <c r="E3" s="54"/>
      <c r="F3" s="54"/>
      <c r="G3" s="54"/>
      <c r="H3" s="54"/>
      <c r="I3" s="54"/>
      <c r="J3" s="208"/>
      <c r="K3" s="208"/>
      <c r="L3" s="208"/>
      <c r="M3" s="54"/>
      <c r="N3" s="208"/>
      <c r="O3" s="208"/>
      <c r="P3" s="208"/>
      <c r="Q3" s="208"/>
      <c r="R3" s="208"/>
      <c r="S3" s="208"/>
      <c r="T3" s="208"/>
      <c r="U3" s="55"/>
      <c r="V3" s="55"/>
      <c r="W3" s="55"/>
      <c r="X3" s="55"/>
      <c r="Y3" s="55"/>
      <c r="Z3" s="55"/>
      <c r="AA3" s="55"/>
    </row>
    <row r="4" spans="1:27" s="42" customFormat="1" ht="13">
      <c r="A4" s="34"/>
      <c r="B4" s="35" t="s">
        <v>108</v>
      </c>
      <c r="C4" s="34"/>
      <c r="D4" s="34"/>
      <c r="E4" s="140" t="s">
        <v>63</v>
      </c>
      <c r="F4" s="140" t="s">
        <v>109</v>
      </c>
      <c r="G4" s="36"/>
      <c r="H4" s="36"/>
      <c r="I4" s="36"/>
      <c r="J4" s="56" t="s">
        <v>110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111</v>
      </c>
      <c r="D6" s="59" t="s">
        <v>46</v>
      </c>
      <c r="E6" s="59" t="s">
        <v>47</v>
      </c>
      <c r="F6" s="59" t="s">
        <v>61</v>
      </c>
      <c r="H6" s="59"/>
      <c r="I6" s="59"/>
      <c r="J6" s="60" t="str">
        <f>'Calc | CESS Revenue Increments'!D43</f>
        <v>2025-26</v>
      </c>
      <c r="K6" s="60" t="str">
        <f>'Calc | CESS Revenue Increments'!E43</f>
        <v>2026–27</v>
      </c>
      <c r="L6" s="60" t="str">
        <f>'Calc | CESS Revenue Increments'!F43</f>
        <v>2027–28</v>
      </c>
      <c r="M6" s="60" t="str">
        <f>'Calc | CESS Revenue Increments'!G43</f>
        <v>2028–29</v>
      </c>
      <c r="N6" s="60" t="str">
        <f>'Calc | CESS Revenue Increments'!H43</f>
        <v>2029–30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113</v>
      </c>
      <c r="D8" s="27" t="s">
        <v>10</v>
      </c>
      <c r="E8" s="45" t="str">
        <f>$E$4</f>
        <v>$millions</v>
      </c>
      <c r="F8" s="45" t="str">
        <f>$F$4</f>
        <v>2024-25</v>
      </c>
      <c r="H8" s="59"/>
      <c r="I8" s="59"/>
      <c r="J8" s="161">
        <f>'Calc | CESS Revenue Increments'!D45</f>
        <v>0.19781714056994554</v>
      </c>
      <c r="K8" s="161">
        <f>'Calc | CESS Revenue Increments'!E45</f>
        <v>0.19781714056994554</v>
      </c>
      <c r="L8" s="161">
        <f>'Calc | CESS Revenue Increments'!F45</f>
        <v>0.19781714056994554</v>
      </c>
      <c r="M8" s="161">
        <f>'Calc | CESS Revenue Increments'!G45</f>
        <v>0.19781714056994554</v>
      </c>
      <c r="N8" s="161">
        <f>'Calc | CESS Revenue Increments'!H45</f>
        <v>0.19781714056994554</v>
      </c>
      <c r="O8" s="195">
        <f>SUM(J8:N8)</f>
        <v>0.98908570284972774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">
      <c r="A11" s="34"/>
      <c r="B11" s="35" t="s">
        <v>16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/>
  </sheetViews>
  <sheetFormatPr defaultColWidth="0" defaultRowHeight="11.25" customHeight="1" zeroHeight="1"/>
  <cols>
    <col min="1" max="2" width="1.26953125" style="43" customWidth="1"/>
    <col min="3" max="3" width="56.453125" style="43" customWidth="1"/>
    <col min="4" max="4" width="9.1796875" style="44" customWidth="1"/>
    <col min="5" max="5" width="14.1796875" style="45" customWidth="1"/>
    <col min="6" max="7" width="4.54296875" style="43" customWidth="1"/>
    <col min="8" max="12" width="9.26953125" style="43" customWidth="1"/>
    <col min="13" max="14" width="2.81640625" style="43" customWidth="1"/>
    <col min="15" max="22" width="9.269531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5">
      <c r="B1" s="3" t="str">
        <f>'Input | General'!$B$1</f>
        <v>SA Power Networks 2025-30 Final decision - Capital expenditure sharing scheme model</v>
      </c>
      <c r="C1" s="30"/>
      <c r="D1" s="31"/>
      <c r="E1" s="31"/>
      <c r="F1" s="31"/>
      <c r="G1" s="31"/>
      <c r="H1" s="99"/>
      <c r="I1" s="100" t="s">
        <v>17</v>
      </c>
      <c r="J1" s="135" t="s">
        <v>18</v>
      </c>
      <c r="K1" s="142" t="s">
        <v>114</v>
      </c>
      <c r="P1" s="101"/>
      <c r="Q1" s="80"/>
      <c r="R1" s="80"/>
      <c r="S1" s="80"/>
      <c r="T1" s="80"/>
      <c r="U1" s="80"/>
    </row>
    <row r="2" spans="1:29" s="29" customFormat="1" ht="13">
      <c r="B2" s="32" t="s">
        <v>14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">
      <c r="A4" s="34"/>
      <c r="B4" s="35" t="s">
        <v>115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"/>
    <row r="6" spans="1:29" ht="10.5">
      <c r="C6" s="46" t="s">
        <v>116</v>
      </c>
      <c r="D6" s="47"/>
      <c r="E6" s="47" t="s">
        <v>117</v>
      </c>
      <c r="F6" s="47"/>
    </row>
    <row r="7" spans="1:29" ht="10">
      <c r="C7" s="48" t="s">
        <v>118</v>
      </c>
      <c r="D7" s="45"/>
      <c r="E7" s="141" t="s">
        <v>119</v>
      </c>
    </row>
    <row r="8" spans="1:29" ht="10">
      <c r="C8" s="48" t="s">
        <v>120</v>
      </c>
      <c r="D8" s="45"/>
      <c r="E8" s="141" t="s">
        <v>121</v>
      </c>
    </row>
    <row r="9" spans="1:29" ht="10">
      <c r="C9" s="48" t="s">
        <v>122</v>
      </c>
      <c r="D9" s="45"/>
      <c r="E9" s="141" t="s">
        <v>63</v>
      </c>
      <c r="S9" s="49"/>
    </row>
    <row r="10" spans="1:29" ht="10">
      <c r="D10" s="43"/>
      <c r="E10" s="43"/>
    </row>
    <row r="11" spans="1:29" ht="10">
      <c r="C11" s="48" t="s">
        <v>41</v>
      </c>
      <c r="D11" s="45"/>
      <c r="E11" s="141" t="s">
        <v>41</v>
      </c>
    </row>
    <row r="12" spans="1:29" ht="10">
      <c r="C12" s="48" t="s">
        <v>42</v>
      </c>
      <c r="D12" s="45"/>
      <c r="E12" s="141" t="s">
        <v>42</v>
      </c>
    </row>
    <row r="13" spans="1:29" ht="10">
      <c r="C13" s="48" t="s">
        <v>123</v>
      </c>
      <c r="D13" s="45"/>
      <c r="E13" s="141" t="s">
        <v>124</v>
      </c>
    </row>
    <row r="14" spans="1:29" ht="10">
      <c r="C14" s="48"/>
      <c r="D14" s="45"/>
      <c r="E14" s="43"/>
    </row>
    <row r="15" spans="1:29" ht="10">
      <c r="C15" s="48"/>
      <c r="D15" s="45"/>
      <c r="E15" s="43"/>
    </row>
    <row r="16" spans="1:29" s="42" customFormat="1" ht="13">
      <c r="A16" s="34"/>
      <c r="B16" s="35" t="s">
        <v>125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"/>
    <row r="18" spans="3:19" ht="10.5">
      <c r="C18" s="46" t="str">
        <f>B16</f>
        <v>Years</v>
      </c>
      <c r="D18" s="47"/>
      <c r="E18" s="47" t="s">
        <v>117</v>
      </c>
      <c r="F18" s="47"/>
    </row>
    <row r="19" spans="3:19" ht="10.5">
      <c r="C19" s="48" t="s">
        <v>123</v>
      </c>
      <c r="D19" s="47"/>
      <c r="E19" s="141" t="s">
        <v>124</v>
      </c>
      <c r="F19" s="47"/>
    </row>
    <row r="20" spans="3:19" ht="10.5">
      <c r="C20" s="48" t="s">
        <v>69</v>
      </c>
      <c r="D20" s="45"/>
      <c r="E20" s="141" t="s">
        <v>69</v>
      </c>
      <c r="F20" s="47"/>
    </row>
    <row r="21" spans="3:19" ht="10.5">
      <c r="C21" s="48" t="s">
        <v>126</v>
      </c>
      <c r="D21" s="45"/>
      <c r="E21" s="141" t="s">
        <v>126</v>
      </c>
      <c r="F21" s="47"/>
    </row>
    <row r="22" spans="3:19" ht="10.5">
      <c r="C22" s="48" t="s">
        <v>127</v>
      </c>
      <c r="D22" s="45"/>
      <c r="E22" s="141" t="s">
        <v>127</v>
      </c>
      <c r="F22" s="47"/>
    </row>
    <row r="23" spans="3:19" ht="10">
      <c r="C23" s="48" t="s">
        <v>128</v>
      </c>
      <c r="D23" s="45"/>
      <c r="E23" s="141" t="s">
        <v>128</v>
      </c>
    </row>
    <row r="24" spans="3:19" ht="10">
      <c r="C24" s="48" t="s">
        <v>129</v>
      </c>
      <c r="D24" s="45"/>
      <c r="E24" s="141" t="s">
        <v>129</v>
      </c>
    </row>
    <row r="25" spans="3:19" ht="10">
      <c r="C25" s="48" t="s">
        <v>130</v>
      </c>
      <c r="D25" s="45"/>
      <c r="E25" s="141" t="s">
        <v>130</v>
      </c>
      <c r="S25" s="49"/>
    </row>
    <row r="26" spans="3:19" ht="10">
      <c r="C26" s="48" t="s">
        <v>131</v>
      </c>
      <c r="D26" s="45"/>
      <c r="E26" s="141" t="s">
        <v>131</v>
      </c>
      <c r="S26" s="49"/>
    </row>
    <row r="27" spans="3:19" ht="10">
      <c r="C27" s="48" t="s">
        <v>132</v>
      </c>
      <c r="D27" s="45"/>
      <c r="E27" s="141" t="s">
        <v>132</v>
      </c>
      <c r="S27" s="49"/>
    </row>
    <row r="28" spans="3:19" ht="10">
      <c r="C28" s="48" t="s">
        <v>133</v>
      </c>
      <c r="D28" s="45"/>
      <c r="E28" s="141" t="s">
        <v>133</v>
      </c>
      <c r="S28" s="49"/>
    </row>
    <row r="29" spans="3:19" ht="10">
      <c r="C29" s="48" t="s">
        <v>134</v>
      </c>
      <c r="D29" s="45"/>
      <c r="E29" s="141" t="s">
        <v>134</v>
      </c>
      <c r="S29" s="49"/>
    </row>
    <row r="30" spans="3:19" ht="10">
      <c r="C30" s="48" t="s">
        <v>135</v>
      </c>
      <c r="D30" s="45"/>
      <c r="E30" s="141" t="s">
        <v>135</v>
      </c>
      <c r="S30" s="49"/>
    </row>
    <row r="31" spans="3:19" ht="10">
      <c r="C31" s="48" t="s">
        <v>136</v>
      </c>
      <c r="D31" s="45"/>
      <c r="E31" s="141" t="s">
        <v>136</v>
      </c>
      <c r="S31" s="49"/>
    </row>
    <row r="32" spans="3:19" ht="10">
      <c r="C32" s="48" t="s">
        <v>137</v>
      </c>
      <c r="D32" s="45"/>
      <c r="E32" s="141" t="s">
        <v>137</v>
      </c>
      <c r="S32" s="49"/>
    </row>
    <row r="33" spans="1:29" ht="10">
      <c r="C33" s="48" t="s">
        <v>138</v>
      </c>
      <c r="D33" s="45"/>
      <c r="E33" s="141" t="s">
        <v>138</v>
      </c>
      <c r="S33" s="49"/>
    </row>
    <row r="34" spans="1:29" ht="10">
      <c r="C34" s="48" t="s">
        <v>139</v>
      </c>
      <c r="D34" s="45"/>
      <c r="E34" s="141" t="s">
        <v>139</v>
      </c>
      <c r="S34" s="49"/>
    </row>
    <row r="35" spans="1:29" ht="10">
      <c r="C35" s="48" t="s">
        <v>140</v>
      </c>
      <c r="D35" s="45"/>
      <c r="E35" s="141" t="s">
        <v>140</v>
      </c>
      <c r="S35" s="49"/>
    </row>
    <row r="36" spans="1:29" ht="10">
      <c r="C36" s="48" t="s">
        <v>141</v>
      </c>
      <c r="D36" s="45"/>
      <c r="E36" s="141" t="s">
        <v>141</v>
      </c>
      <c r="S36" s="49"/>
    </row>
    <row r="37" spans="1:29" ht="10">
      <c r="C37" s="48" t="s">
        <v>142</v>
      </c>
      <c r="D37" s="45"/>
      <c r="E37" s="141" t="s">
        <v>142</v>
      </c>
      <c r="S37" s="49"/>
    </row>
    <row r="38" spans="1:29" ht="10">
      <c r="C38" s="48" t="s">
        <v>109</v>
      </c>
      <c r="D38" s="45"/>
      <c r="E38" s="141" t="s">
        <v>109</v>
      </c>
    </row>
    <row r="39" spans="1:29" ht="10">
      <c r="C39" s="48" t="s">
        <v>28</v>
      </c>
      <c r="D39" s="45"/>
      <c r="E39" s="170" t="s">
        <v>28</v>
      </c>
    </row>
    <row r="40" spans="1:29" s="42" customFormat="1" ht="13">
      <c r="A40" s="34"/>
      <c r="B40" s="35" t="s">
        <v>16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O15">
    <cfRule type="expression" dxfId="3" priority="8" stopIfTrue="1">
      <formula>#REF!="Actual"</formula>
    </cfRule>
  </conditionalFormatting>
  <conditionalFormatting sqref="O38:O39">
    <cfRule type="expression" dxfId="2" priority="7" stopIfTrue="1">
      <formula>#REF!="Actual"</formula>
    </cfRule>
  </conditionalFormatting>
  <conditionalFormatting sqref="O11:P15">
    <cfRule type="expression" dxfId="1" priority="9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870EC-05B5-47EB-8766-6FD735F4F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B42DF-8C94-4200-B766-1A8E5B6DA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Changelog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2024-09-03T01:08:04Z</dcterms:created>
  <dcterms:modified xsi:type="dcterms:W3CDTF">2025-03-27T01:36:25Z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2025-03-17T05:11:22Z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8f15b21b-0172-4a33-bb96-d05e8621b58a</vt:lpwstr>
  </property>
  <property fmtid="{D5CDD505-2E9C-101B-9397-08002B2CF9AE}" pid="8" name="MSIP_Label_d9d5a995-dfdf-4407-9a97-edbbc68c9f53_ContentBits">
    <vt:lpwstr>0</vt:lpwstr>
  </property>
</Properties>
</file>